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13_ncr:1_{A9B05193-48C7-4D7B-A66A-546C142AD05E}" xr6:coauthVersionLast="45" xr6:coauthVersionMax="45" xr10:uidLastSave="{00000000-0000-0000-0000-000000000000}"/>
  <bookViews>
    <workbookView xWindow="-120" yWindow="-120" windowWidth="29040" windowHeight="15840" firstSheet="4" activeTab="6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PGA Proposed Typical Bill" sheetId="526" r:id="rId4"/>
    <sheet name="PGA Proposed Rate Adj." sheetId="527" r:id="rId5"/>
    <sheet name="TTA Summary of Def. Accts." sheetId="498" r:id="rId6"/>
    <sheet name="TTA Proposed Rate 590" sheetId="499" r:id="rId7"/>
    <sheet name="TTA Amount of Change" sheetId="500" r:id="rId8"/>
    <sheet name="TTA Cost by Class" sheetId="501" r:id="rId9"/>
    <sheet name="TTA Proposed Typical Bill" sheetId="502" r:id="rId10"/>
    <sheet name="Workpapers---&gt;" sheetId="497" r:id="rId11"/>
    <sheet name="Combined PGA &amp; TTA" sheetId="530" r:id="rId12"/>
    <sheet name="Balances at TTA 7-31-2020" sheetId="511" r:id="rId13"/>
    <sheet name="TTA Int calc thru 10-31-2020" sheetId="450" r:id="rId14"/>
    <sheet name="TTA Int during Amort" sheetId="513" r:id="rId15"/>
    <sheet name="TTA Amort Calc thru 10-31-2020" sheetId="454" r:id="rId16"/>
    <sheet name="TTA EstimatedBalances" sheetId="512" r:id="rId17"/>
    <sheet name="Test Period Volumes" sheetId="452" r:id="rId18"/>
    <sheet name="Bills-Therms-Revs" sheetId="472" r:id="rId19"/>
    <sheet name="proposed WA Rates 11-1-20" sheetId="496" r:id="rId20"/>
    <sheet name="Sheet1" sheetId="5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 localSheetId="12">'Balances at TTA 7-31-2020'!$A$9:$I$393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2">'TTA EstimatedBalances'!$A$11:$I$24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 localSheetId="7">[20]input!$C$4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 localSheetId="12">'TTA Int during Amort'!$A$23:$Q$35</definedName>
    <definedName name="InterestDuringAmort">#REF!</definedName>
    <definedName name="INTERSTATE" localSheetId="12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12">#REF!</definedName>
    <definedName name="njnjn" localSheetId="2">#REF!</definedName>
    <definedName name="njnjn" localSheetId="3">#REF!</definedName>
    <definedName name="njnjn" localSheetId="7">#REF!</definedName>
    <definedName name="njnjn">#REF!</definedName>
    <definedName name="NN" localSheetId="12">[13]SETUP!#REF!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 localSheetId="7">[31]Bills!#REF!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 localSheetId="12">'Test Period Volumes'!#REF!</definedName>
    <definedName name="PGAPeriodVolumes">'Test Period Volumes'!#REF!</definedName>
    <definedName name="pint3" localSheetId="2">'PGA Amount Change'!pint3</definedName>
    <definedName name="pint3" localSheetId="3">'PGA Proposed Typical Bill'!pint3</definedName>
    <definedName name="pint3">[0]!pint3</definedName>
    <definedName name="pint3r" localSheetId="2">'PGA Amount Change'!pint3r</definedName>
    <definedName name="pint3r" localSheetId="3">'PGA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18">'Bills-Therms-Revs'!$A$1:$K$56</definedName>
    <definedName name="_xlnm.Print_Area" localSheetId="2">'PGA Amount Change'!$A$1:$M$60</definedName>
    <definedName name="_xlnm.Print_Area" localSheetId="1">'PGA Demand Cost Allocation'!$A$2:$M$32</definedName>
    <definedName name="_xlnm.Print_Area" localSheetId="4">'PGA Proposed Rate Adj.'!$A$1:$N$39</definedName>
    <definedName name="_xlnm.Print_Area" localSheetId="19">'proposed WA Rates 11-1-20'!$A$1:$L$47</definedName>
    <definedName name="_xlnm.Print_Area" localSheetId="17">'Test Period Volumes'!$B$1:$I$49</definedName>
    <definedName name="_xlnm.Print_Area" localSheetId="14">'TTA Int during Amort'!$A$1:$AF$39</definedName>
    <definedName name="_xlnm.Print_Area" localSheetId="6">'TTA Proposed Rate 590'!$B$1:$H$25</definedName>
    <definedName name="_xlnm.Print_Area" localSheetId="5">'TTA Summary of Def. Accts.'!$A$1:$O$24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4">'TTA Int during Amort'!$A:$C,'TTA Int during Amort'!$7:$7</definedName>
    <definedName name="print1" localSheetId="3">'PGA Proposed Typical Bill'!print1</definedName>
    <definedName name="print1">[14]!print1</definedName>
    <definedName name="print10" localSheetId="2">'PGA Amount Change'!print10</definedName>
    <definedName name="print10" localSheetId="3">'PGA Proposed Typical Bill'!print10</definedName>
    <definedName name="print10">[0]!print10</definedName>
    <definedName name="print2" localSheetId="3">'PGA Proposed Typical Bill'!print2</definedName>
    <definedName name="print2">[14]!print2</definedName>
    <definedName name="print3" localSheetId="3">'PGA Proposed Typical Bill'!print3</definedName>
    <definedName name="print3">[14]!print3</definedName>
    <definedName name="pzint3" localSheetId="2">'PGA Amount Change'!pzint3</definedName>
    <definedName name="pzint3" localSheetId="3">'PGA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 localSheetId="12">'Test Period Volumes'!#REF!</definedName>
    <definedName name="TestPeriodVolumes">'Test Period Volumes'!#REF!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12">[35]!xyz5</definedName>
    <definedName name="xyz5" localSheetId="2">'PGA Amount Change'!xyz5</definedName>
    <definedName name="xyz5" localSheetId="3">'PGA Proposed Typical Bill'!xyz5</definedName>
    <definedName name="xyz5" localSheetId="7">'TTA Amount of Change'!xyz5</definedName>
    <definedName name="xyz5">'Balances at TTA 7-31-2020'!xyz5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524" l="1"/>
  <c r="D28" i="524"/>
  <c r="D24" i="524" l="1"/>
  <c r="F12" i="452" l="1"/>
  <c r="F11" i="452"/>
  <c r="F10" i="452"/>
  <c r="E9" i="452"/>
  <c r="F8" i="452" l="1"/>
  <c r="H40" i="524" l="1"/>
  <c r="H15" i="500" l="1"/>
  <c r="D20" i="524" l="1"/>
  <c r="E28" i="524"/>
  <c r="G28" i="524"/>
  <c r="I28" i="524"/>
  <c r="L16" i="525" l="1"/>
  <c r="F9" i="524" l="1"/>
  <c r="AD30" i="513" l="1"/>
  <c r="AD29" i="513"/>
  <c r="AD28" i="513"/>
  <c r="AC30" i="513"/>
  <c r="AC29" i="513"/>
  <c r="AC28" i="513"/>
  <c r="AB30" i="513"/>
  <c r="AB29" i="513"/>
  <c r="AB28" i="513"/>
  <c r="AA30" i="513"/>
  <c r="AA29" i="513"/>
  <c r="AA28" i="513"/>
  <c r="Z30" i="513"/>
  <c r="Z29" i="513"/>
  <c r="Z28" i="513"/>
  <c r="Y30" i="513"/>
  <c r="Y29" i="513"/>
  <c r="Y28" i="513"/>
  <c r="X30" i="513"/>
  <c r="X29" i="513"/>
  <c r="X28" i="513"/>
  <c r="W30" i="513"/>
  <c r="W29" i="513"/>
  <c r="W28" i="513"/>
  <c r="V30" i="513"/>
  <c r="V29" i="513"/>
  <c r="V28" i="513"/>
  <c r="U30" i="513"/>
  <c r="U29" i="513"/>
  <c r="U28" i="513"/>
  <c r="AD13" i="513"/>
  <c r="AC13" i="513"/>
  <c r="AB13" i="513"/>
  <c r="AA13" i="513"/>
  <c r="Z13" i="513"/>
  <c r="Y13" i="513"/>
  <c r="X13" i="513"/>
  <c r="W13" i="513"/>
  <c r="V13" i="513"/>
  <c r="U13" i="513"/>
  <c r="T13" i="513"/>
  <c r="S13" i="513"/>
  <c r="AD12" i="513"/>
  <c r="AC12" i="513"/>
  <c r="AB12" i="513"/>
  <c r="AA12" i="513"/>
  <c r="Z12" i="513"/>
  <c r="Y12" i="513"/>
  <c r="X12" i="513"/>
  <c r="W12" i="513"/>
  <c r="V12" i="513"/>
  <c r="U12" i="513"/>
  <c r="T12" i="513"/>
  <c r="S12" i="513"/>
  <c r="T28" i="513"/>
  <c r="S28" i="513"/>
  <c r="R28" i="513"/>
  <c r="Q28" i="513"/>
  <c r="P28" i="513"/>
  <c r="O28" i="513"/>
  <c r="N28" i="513"/>
  <c r="M28" i="513"/>
  <c r="L28" i="513"/>
  <c r="K28" i="513"/>
  <c r="J28" i="513"/>
  <c r="I28" i="513"/>
  <c r="H28" i="513"/>
  <c r="G28" i="513"/>
  <c r="G29" i="513"/>
  <c r="G30" i="513"/>
  <c r="AE11" i="513"/>
  <c r="H11" i="512"/>
  <c r="H15" i="530"/>
  <c r="I47" i="452" l="1"/>
  <c r="E13" i="498"/>
  <c r="H19" i="525" l="1"/>
  <c r="AD11" i="513" l="1"/>
  <c r="AD16" i="513" s="1"/>
  <c r="AC11" i="513"/>
  <c r="AB11" i="513"/>
  <c r="AA11" i="513"/>
  <c r="AA19" i="513" s="1"/>
  <c r="AA22" i="513" s="1"/>
  <c r="Z11" i="513"/>
  <c r="Z19" i="513" s="1"/>
  <c r="Z22" i="513" s="1"/>
  <c r="Y11" i="513"/>
  <c r="X11" i="513"/>
  <c r="W11" i="513"/>
  <c r="W19" i="513" s="1"/>
  <c r="W22" i="513" s="1"/>
  <c r="V11" i="513"/>
  <c r="V19" i="513" s="1"/>
  <c r="V22" i="513" s="1"/>
  <c r="U11" i="513"/>
  <c r="T11" i="513"/>
  <c r="S11" i="513"/>
  <c r="S19" i="513" s="1"/>
  <c r="AC16" i="513" l="1"/>
  <c r="AB16" i="513"/>
  <c r="AA16" i="513"/>
  <c r="T16" i="513"/>
  <c r="X16" i="513"/>
  <c r="AB19" i="513"/>
  <c r="AB22" i="513" s="1"/>
  <c r="U16" i="513"/>
  <c r="Y16" i="513"/>
  <c r="AC19" i="513"/>
  <c r="AC22" i="513" s="1"/>
  <c r="AD19" i="513"/>
  <c r="AD22" i="513" s="1"/>
  <c r="Z16" i="513"/>
  <c r="Y19" i="513"/>
  <c r="Y22" i="513" s="1"/>
  <c r="X19" i="513"/>
  <c r="X22" i="513" s="1"/>
  <c r="W16" i="513"/>
  <c r="V16" i="513"/>
  <c r="U19" i="513"/>
  <c r="U22" i="513" s="1"/>
  <c r="T19" i="513"/>
  <c r="T22" i="513" s="1"/>
  <c r="S22" i="513"/>
  <c r="S16" i="513"/>
  <c r="G14" i="498"/>
  <c r="H47" i="452"/>
  <c r="H35" i="452"/>
  <c r="H36" i="452"/>
  <c r="H37" i="452"/>
  <c r="H38" i="452"/>
  <c r="H39" i="452"/>
  <c r="H40" i="452"/>
  <c r="H41" i="452"/>
  <c r="H42" i="452"/>
  <c r="H43" i="452"/>
  <c r="H44" i="452"/>
  <c r="H45" i="452"/>
  <c r="H46" i="452"/>
  <c r="S26" i="513"/>
  <c r="T26" i="513"/>
  <c r="U26" i="513"/>
  <c r="V26" i="513"/>
  <c r="W26" i="513"/>
  <c r="X26" i="513"/>
  <c r="Y26" i="513"/>
  <c r="Z26" i="513"/>
  <c r="AA26" i="513"/>
  <c r="AB26" i="513"/>
  <c r="AC26" i="513"/>
  <c r="AD26" i="513"/>
  <c r="D14" i="499" l="1"/>
  <c r="D40" i="524" l="1"/>
  <c r="H21" i="530" l="1"/>
  <c r="F21" i="530"/>
  <c r="E21" i="530"/>
  <c r="H20" i="530"/>
  <c r="F20" i="530"/>
  <c r="E20" i="530"/>
  <c r="H19" i="530"/>
  <c r="F19" i="530"/>
  <c r="E16" i="530"/>
  <c r="E15" i="530"/>
  <c r="H14" i="530"/>
  <c r="E14" i="530"/>
  <c r="H13" i="530"/>
  <c r="E13" i="530"/>
  <c r="E12" i="530"/>
  <c r="H22" i="530" l="1"/>
  <c r="E22" i="530"/>
  <c r="E17" i="530"/>
  <c r="E24" i="530" s="1"/>
  <c r="F22" i="530"/>
  <c r="D44" i="524" l="1"/>
  <c r="F37" i="524" l="1"/>
  <c r="F38" i="524"/>
  <c r="F36" i="524"/>
  <c r="C14" i="512" l="1"/>
  <c r="B17" i="454"/>
  <c r="A17" i="454"/>
  <c r="A14" i="512" s="1"/>
  <c r="B14" i="512"/>
  <c r="B14" i="450" l="1"/>
  <c r="A14" i="450"/>
  <c r="R11" i="513" l="1"/>
  <c r="D17" i="511"/>
  <c r="E43" i="529" l="1"/>
  <c r="F43" i="529" s="1"/>
  <c r="E41" i="529"/>
  <c r="B41" i="529"/>
  <c r="E39" i="529"/>
  <c r="E37" i="529"/>
  <c r="H21" i="529"/>
  <c r="F21" i="529"/>
  <c r="E21" i="529"/>
  <c r="H20" i="529"/>
  <c r="F20" i="529"/>
  <c r="E20" i="529"/>
  <c r="H19" i="529"/>
  <c r="F19" i="529"/>
  <c r="E16" i="529"/>
  <c r="H15" i="529"/>
  <c r="E15" i="529"/>
  <c r="H14" i="529"/>
  <c r="E14" i="529"/>
  <c r="H13" i="529"/>
  <c r="E13" i="529"/>
  <c r="E12" i="529"/>
  <c r="F22" i="529" l="1"/>
  <c r="H22" i="529"/>
  <c r="E22" i="529"/>
  <c r="E17" i="529"/>
  <c r="K43" i="529"/>
  <c r="E24" i="529" l="1"/>
  <c r="H20" i="500"/>
  <c r="H14" i="500"/>
  <c r="E21" i="500"/>
  <c r="E20" i="500"/>
  <c r="E16" i="500"/>
  <c r="E15" i="500"/>
  <c r="E14" i="500"/>
  <c r="E13" i="500"/>
  <c r="I52" i="472"/>
  <c r="H21" i="500" l="1"/>
  <c r="F21" i="500"/>
  <c r="B21" i="502" l="1"/>
  <c r="F20" i="500"/>
  <c r="E12" i="500"/>
  <c r="D17" i="499"/>
  <c r="D16" i="499"/>
  <c r="D15" i="499"/>
  <c r="N1" i="498" l="1"/>
  <c r="G1" i="499" s="1"/>
  <c r="L1" i="530" s="1"/>
  <c r="K1" i="527"/>
  <c r="L1" i="500" l="1"/>
  <c r="I1" i="501" s="1"/>
  <c r="K2" i="502" s="1"/>
  <c r="L1" i="529"/>
  <c r="M1" i="526"/>
  <c r="L1" i="525"/>
  <c r="H18" i="525" l="1"/>
  <c r="H17" i="525"/>
  <c r="E55" i="525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S30" i="513" s="1"/>
  <c r="R12" i="513"/>
  <c r="Q12" i="513"/>
  <c r="P12" i="513"/>
  <c r="O12" i="513"/>
  <c r="N12" i="513"/>
  <c r="M12" i="513"/>
  <c r="L12" i="513"/>
  <c r="K12" i="513"/>
  <c r="J12" i="513"/>
  <c r="I12" i="513"/>
  <c r="H12" i="513"/>
  <c r="G12" i="513"/>
  <c r="S29" i="513" s="1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B13" i="513"/>
  <c r="D13" i="513"/>
  <c r="D12" i="513"/>
  <c r="F8" i="454"/>
  <c r="E8" i="454"/>
  <c r="D8" i="454"/>
  <c r="S32" i="513" l="1"/>
  <c r="T30" i="513"/>
  <c r="AA32" i="513"/>
  <c r="Z32" i="513"/>
  <c r="T29" i="513"/>
  <c r="T32" i="513" s="1"/>
  <c r="W32" i="513"/>
  <c r="P30" i="513"/>
  <c r="I30" i="513"/>
  <c r="M30" i="513"/>
  <c r="Q30" i="513"/>
  <c r="AE13" i="513"/>
  <c r="H30" i="513"/>
  <c r="J30" i="513"/>
  <c r="N30" i="513"/>
  <c r="R30" i="513"/>
  <c r="L30" i="513"/>
  <c r="K30" i="513"/>
  <c r="O30" i="513"/>
  <c r="I29" i="513"/>
  <c r="AE12" i="513"/>
  <c r="H29" i="513"/>
  <c r="L29" i="513"/>
  <c r="P29" i="513"/>
  <c r="M29" i="513"/>
  <c r="Q29" i="513"/>
  <c r="J29" i="513"/>
  <c r="N29" i="513"/>
  <c r="R29" i="513"/>
  <c r="K29" i="513"/>
  <c r="O29" i="513"/>
  <c r="E8" i="450"/>
  <c r="D8" i="450"/>
  <c r="AC32" i="513" l="1"/>
  <c r="V32" i="513"/>
  <c r="U32" i="513"/>
  <c r="Y32" i="513"/>
  <c r="AD32" i="513"/>
  <c r="X32" i="513"/>
  <c r="AB32" i="513"/>
  <c r="AE15" i="513"/>
  <c r="I39" i="472"/>
  <c r="H16" i="530" l="1"/>
  <c r="H16" i="529"/>
  <c r="H16" i="500"/>
  <c r="H20" i="525"/>
  <c r="I48" i="452"/>
  <c r="I57" i="452" s="1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I17" i="452"/>
  <c r="I16" i="452"/>
  <c r="I15" i="452"/>
  <c r="I14" i="452"/>
  <c r="I13" i="452"/>
  <c r="I12" i="452"/>
  <c r="I11" i="452"/>
  <c r="I10" i="452"/>
  <c r="I9" i="452"/>
  <c r="I8" i="452"/>
  <c r="I7" i="452"/>
  <c r="E31" i="452" l="1"/>
  <c r="E43" i="452" s="1"/>
  <c r="G30" i="452"/>
  <c r="G42" i="452" s="1"/>
  <c r="E29" i="452"/>
  <c r="E41" i="452" s="1"/>
  <c r="G28" i="452"/>
  <c r="G40" i="452" s="1"/>
  <c r="E27" i="452"/>
  <c r="E39" i="452" s="1"/>
  <c r="G26" i="452"/>
  <c r="G38" i="452" s="1"/>
  <c r="E25" i="452"/>
  <c r="E37" i="452" s="1"/>
  <c r="G24" i="452"/>
  <c r="G36" i="452" s="1"/>
  <c r="E23" i="452"/>
  <c r="E35" i="452" s="1"/>
  <c r="G22" i="452"/>
  <c r="G34" i="452" s="1"/>
  <c r="G46" i="452" s="1"/>
  <c r="E21" i="452"/>
  <c r="E33" i="452" s="1"/>
  <c r="E45" i="452" s="1"/>
  <c r="G20" i="452"/>
  <c r="G32" i="452" s="1"/>
  <c r="G44" i="452" s="1"/>
  <c r="H33" i="452"/>
  <c r="E9" i="454"/>
  <c r="H34" i="452"/>
  <c r="F9" i="454"/>
  <c r="H32" i="452"/>
  <c r="D9" i="454"/>
  <c r="F27" i="452"/>
  <c r="F39" i="452" s="1"/>
  <c r="D26" i="452"/>
  <c r="D38" i="452" s="1"/>
  <c r="D28" i="452"/>
  <c r="D40" i="452" s="1"/>
  <c r="D22" i="452"/>
  <c r="D34" i="452" s="1"/>
  <c r="D46" i="452" s="1"/>
  <c r="D24" i="452"/>
  <c r="D36" i="452" s="1"/>
  <c r="F31" i="452"/>
  <c r="F43" i="452" s="1"/>
  <c r="D20" i="452"/>
  <c r="D32" i="452" s="1"/>
  <c r="F23" i="452"/>
  <c r="F35" i="452" s="1"/>
  <c r="D30" i="452"/>
  <c r="D42" i="452" s="1"/>
  <c r="H48" i="452"/>
  <c r="F25" i="452"/>
  <c r="F37" i="452" s="1"/>
  <c r="F29" i="452"/>
  <c r="F41" i="452" s="1"/>
  <c r="E20" i="452"/>
  <c r="E32" i="452" s="1"/>
  <c r="C21" i="452"/>
  <c r="G21" i="452"/>
  <c r="G33" i="452" s="1"/>
  <c r="G45" i="452" s="1"/>
  <c r="E22" i="452"/>
  <c r="E34" i="452" s="1"/>
  <c r="E46" i="452" s="1"/>
  <c r="C23" i="452"/>
  <c r="C35" i="452" s="1"/>
  <c r="G23" i="452"/>
  <c r="G35" i="452" s="1"/>
  <c r="E24" i="452"/>
  <c r="E36" i="452" s="1"/>
  <c r="C25" i="452"/>
  <c r="C37" i="452" s="1"/>
  <c r="G25" i="452"/>
  <c r="G37" i="452" s="1"/>
  <c r="E26" i="452"/>
  <c r="E38" i="452" s="1"/>
  <c r="C27" i="452"/>
  <c r="C39" i="452" s="1"/>
  <c r="G27" i="452"/>
  <c r="G39" i="452" s="1"/>
  <c r="E28" i="452"/>
  <c r="E40" i="452" s="1"/>
  <c r="C29" i="452"/>
  <c r="C41" i="452" s="1"/>
  <c r="G29" i="452"/>
  <c r="G41" i="452" s="1"/>
  <c r="E30" i="452"/>
  <c r="E42" i="452" s="1"/>
  <c r="C31" i="452"/>
  <c r="C43" i="452" s="1"/>
  <c r="G31" i="452"/>
  <c r="G43" i="452" s="1"/>
  <c r="F20" i="452"/>
  <c r="F32" i="452" s="1"/>
  <c r="D21" i="452"/>
  <c r="D33" i="452" s="1"/>
  <c r="D45" i="452" s="1"/>
  <c r="F22" i="452"/>
  <c r="F34" i="452" s="1"/>
  <c r="F46" i="452" s="1"/>
  <c r="D23" i="452"/>
  <c r="D35" i="452" s="1"/>
  <c r="F24" i="452"/>
  <c r="F36" i="452" s="1"/>
  <c r="D25" i="452"/>
  <c r="D37" i="452" s="1"/>
  <c r="F26" i="452"/>
  <c r="F38" i="452" s="1"/>
  <c r="D27" i="452"/>
  <c r="D39" i="452" s="1"/>
  <c r="F28" i="452"/>
  <c r="F40" i="452" s="1"/>
  <c r="D29" i="452"/>
  <c r="D41" i="452" s="1"/>
  <c r="F30" i="452"/>
  <c r="F42" i="452" s="1"/>
  <c r="D31" i="452"/>
  <c r="D43" i="452" s="1"/>
  <c r="F21" i="452"/>
  <c r="F33" i="452" s="1"/>
  <c r="F45" i="452" s="1"/>
  <c r="C20" i="452"/>
  <c r="C22" i="452"/>
  <c r="C24" i="452"/>
  <c r="C36" i="452" s="1"/>
  <c r="C26" i="452"/>
  <c r="C38" i="452" s="1"/>
  <c r="C28" i="452"/>
  <c r="C40" i="452" s="1"/>
  <c r="C30" i="452"/>
  <c r="C42" i="452" s="1"/>
  <c r="G47" i="452" l="1"/>
  <c r="F48" i="452"/>
  <c r="F44" i="452"/>
  <c r="F47" i="452" s="1"/>
  <c r="D44" i="452"/>
  <c r="D47" i="452" s="1"/>
  <c r="E44" i="452"/>
  <c r="E47" i="452" s="1"/>
  <c r="C33" i="452"/>
  <c r="C45" i="452" s="1"/>
  <c r="E7" i="454"/>
  <c r="C34" i="452"/>
  <c r="C46" i="452" s="1"/>
  <c r="F7" i="454"/>
  <c r="C32" i="452"/>
  <c r="D7" i="454"/>
  <c r="E48" i="452"/>
  <c r="D48" i="452"/>
  <c r="G48" i="452"/>
  <c r="C44" i="452" l="1"/>
  <c r="C47" i="452"/>
  <c r="F14" i="530"/>
  <c r="F14" i="529"/>
  <c r="C48" i="452"/>
  <c r="F12" i="500" s="1"/>
  <c r="F13" i="530"/>
  <c r="F13" i="529"/>
  <c r="F15" i="530"/>
  <c r="F15" i="529"/>
  <c r="F16" i="530"/>
  <c r="F16" i="529"/>
  <c r="F14" i="500"/>
  <c r="F18" i="525"/>
  <c r="F15" i="500"/>
  <c r="F19" i="525"/>
  <c r="F16" i="500"/>
  <c r="F20" i="525"/>
  <c r="F13" i="500"/>
  <c r="F17" i="525"/>
  <c r="H57" i="525"/>
  <c r="H55" i="525"/>
  <c r="F57" i="525"/>
  <c r="F55" i="525"/>
  <c r="F12" i="530" l="1"/>
  <c r="F17" i="530" s="1"/>
  <c r="F24" i="530" s="1"/>
  <c r="F12" i="529"/>
  <c r="F17" i="529" s="1"/>
  <c r="F24" i="529" s="1"/>
  <c r="F16" i="525"/>
  <c r="E57" i="525"/>
  <c r="E20" i="525"/>
  <c r="E19" i="525"/>
  <c r="E18" i="525"/>
  <c r="E17" i="525"/>
  <c r="I17" i="526" s="1"/>
  <c r="M26" i="527"/>
  <c r="I26" i="526"/>
  <c r="M26" i="526" s="1"/>
  <c r="I21" i="526"/>
  <c r="I19" i="526"/>
  <c r="K57" i="525"/>
  <c r="K56" i="525"/>
  <c r="H56" i="525"/>
  <c r="H58" i="525" s="1"/>
  <c r="F56" i="525"/>
  <c r="E56" i="525"/>
  <c r="K55" i="525"/>
  <c r="L55" i="525" s="1"/>
  <c r="J50" i="525"/>
  <c r="H50" i="525"/>
  <c r="F50" i="525"/>
  <c r="F44" i="525"/>
  <c r="E44" i="525"/>
  <c r="J25" i="525"/>
  <c r="J24" i="525"/>
  <c r="H24" i="525"/>
  <c r="H44" i="525" s="1"/>
  <c r="J21" i="525"/>
  <c r="J26" i="524"/>
  <c r="H26" i="524"/>
  <c r="F26" i="524"/>
  <c r="F18" i="524"/>
  <c r="F24" i="524" s="1"/>
  <c r="F20" i="524" s="1"/>
  <c r="F28" i="524" s="1"/>
  <c r="F21" i="525" l="1"/>
  <c r="F45" i="525" s="1"/>
  <c r="F53" i="525" s="1"/>
  <c r="J44" i="525"/>
  <c r="J45" i="525" s="1"/>
  <c r="L56" i="525"/>
  <c r="L58" i="525" s="1"/>
  <c r="O26" i="526"/>
  <c r="F58" i="525"/>
  <c r="E58" i="525"/>
  <c r="H18" i="524"/>
  <c r="H24" i="524" s="1"/>
  <c r="H20" i="524" s="1"/>
  <c r="E21" i="525"/>
  <c r="E45" i="525" s="1"/>
  <c r="J53" i="525"/>
  <c r="J51" i="525"/>
  <c r="L19" i="525" l="1"/>
  <c r="L18" i="525"/>
  <c r="F60" i="525"/>
  <c r="N56" i="525"/>
  <c r="L60" i="525"/>
  <c r="E60" i="525"/>
  <c r="J18" i="524"/>
  <c r="J24" i="524" s="1"/>
  <c r="J20" i="524" s="1"/>
  <c r="J28" i="524" s="1"/>
  <c r="L20" i="525" s="1"/>
  <c r="D43" i="496" l="1"/>
  <c r="D42" i="496"/>
  <c r="D41" i="496"/>
  <c r="D40" i="496"/>
  <c r="I23" i="526" l="1"/>
  <c r="D9" i="450" l="1"/>
  <c r="E9" i="450"/>
  <c r="F16" i="454" l="1"/>
  <c r="F22" i="454" l="1"/>
  <c r="F25" i="454" s="1"/>
  <c r="F20" i="454"/>
  <c r="I43" i="496"/>
  <c r="I42" i="496"/>
  <c r="I41" i="496"/>
  <c r="I40" i="496"/>
  <c r="C26" i="513" l="1"/>
  <c r="Q26" i="513" l="1"/>
  <c r="M26" i="513"/>
  <c r="I26" i="513"/>
  <c r="O26" i="513"/>
  <c r="R26" i="513"/>
  <c r="J26" i="513"/>
  <c r="P26" i="513"/>
  <c r="L26" i="513"/>
  <c r="H26" i="513"/>
  <c r="K26" i="513"/>
  <c r="G26" i="513"/>
  <c r="N26" i="513"/>
  <c r="F19" i="450"/>
  <c r="D20" i="511" l="1"/>
  <c r="E16" i="513" l="1"/>
  <c r="E19" i="513"/>
  <c r="E22" i="513" l="1"/>
  <c r="H13" i="500" l="1"/>
  <c r="C12" i="513" l="1"/>
  <c r="C29" i="513" s="1"/>
  <c r="C13" i="513"/>
  <c r="C30" i="513" s="1"/>
  <c r="C11" i="513"/>
  <c r="C28" i="513" s="1"/>
  <c r="B15" i="454" l="1"/>
  <c r="B16" i="454"/>
  <c r="B14" i="454"/>
  <c r="A15" i="454"/>
  <c r="A12" i="512" s="1"/>
  <c r="A16" i="454"/>
  <c r="A13" i="512" s="1"/>
  <c r="A14" i="454"/>
  <c r="A11" i="512" s="1"/>
  <c r="F22" i="450"/>
  <c r="C9" i="450"/>
  <c r="B12" i="450"/>
  <c r="B13" i="450"/>
  <c r="B11" i="450"/>
  <c r="A12" i="450"/>
  <c r="A13" i="450"/>
  <c r="A11" i="450"/>
  <c r="G17" i="512"/>
  <c r="C13" i="512"/>
  <c r="C12" i="512"/>
  <c r="C11" i="512"/>
  <c r="B12" i="512"/>
  <c r="B13" i="512"/>
  <c r="B11" i="512"/>
  <c r="B19" i="513"/>
  <c r="B35" i="513" s="1"/>
  <c r="A19" i="513"/>
  <c r="A35" i="513" s="1"/>
  <c r="B12" i="513"/>
  <c r="B29" i="513" s="1"/>
  <c r="B30" i="513"/>
  <c r="B11" i="513"/>
  <c r="B28" i="513" s="1"/>
  <c r="A12" i="513"/>
  <c r="A29" i="513" s="1"/>
  <c r="A13" i="513"/>
  <c r="A30" i="513" s="1"/>
  <c r="A11" i="513"/>
  <c r="A28" i="513" s="1"/>
  <c r="D28" i="513"/>
  <c r="D29" i="513"/>
  <c r="D30" i="513"/>
  <c r="G21" i="512"/>
  <c r="C13" i="450" l="1"/>
  <c r="C14" i="450"/>
  <c r="C11" i="450"/>
  <c r="C21" i="512"/>
  <c r="C24" i="512" s="1"/>
  <c r="C17" i="512"/>
  <c r="C12" i="450"/>
  <c r="C19" i="450" l="1"/>
  <c r="C22" i="450" s="1"/>
  <c r="C13" i="498" l="1"/>
  <c r="D22" i="511" l="1"/>
  <c r="I16" i="472"/>
  <c r="G32" i="472"/>
  <c r="H12" i="530" l="1"/>
  <c r="H17" i="530" s="1"/>
  <c r="H24" i="530" s="1"/>
  <c r="H12" i="529"/>
  <c r="H17" i="529" s="1"/>
  <c r="H24" i="529" s="1"/>
  <c r="H12" i="500"/>
  <c r="H16" i="525"/>
  <c r="G16" i="472"/>
  <c r="F32" i="472"/>
  <c r="F16" i="472"/>
  <c r="H21" i="525" l="1"/>
  <c r="I15" i="526"/>
  <c r="H45" i="525" l="1"/>
  <c r="H60" i="525"/>
  <c r="H19" i="500"/>
  <c r="F19" i="500"/>
  <c r="C13" i="501"/>
  <c r="G22" i="499"/>
  <c r="F22" i="499"/>
  <c r="G21" i="499"/>
  <c r="F21" i="499"/>
  <c r="K19" i="500" l="1"/>
  <c r="K19" i="530"/>
  <c r="L19" i="530" s="1"/>
  <c r="K19" i="529"/>
  <c r="L19" i="529" s="1"/>
  <c r="H51" i="525"/>
  <c r="H53" i="525"/>
  <c r="N60" i="525"/>
  <c r="C22" i="498"/>
  <c r="E13" i="501"/>
  <c r="C15" i="501"/>
  <c r="E15" i="501"/>
  <c r="L19" i="500"/>
  <c r="J30" i="496" l="1"/>
  <c r="J37" i="496"/>
  <c r="J39" i="496"/>
  <c r="D16" i="454" l="1"/>
  <c r="D13" i="512" s="1"/>
  <c r="D13" i="450" s="1"/>
  <c r="G26" i="472"/>
  <c r="C19" i="501" l="1"/>
  <c r="G39" i="472" l="1"/>
  <c r="H39" i="524" s="1"/>
  <c r="H38" i="524" l="1"/>
  <c r="H30" i="524" s="1"/>
  <c r="H22" i="524" s="1"/>
  <c r="H37" i="524"/>
  <c r="F30" i="524" s="1"/>
  <c r="F22" i="524" s="1"/>
  <c r="H36" i="524"/>
  <c r="D30" i="524" s="1"/>
  <c r="J30" i="524"/>
  <c r="J22" i="524" s="1"/>
  <c r="H44" i="524"/>
  <c r="L30" i="524" l="1"/>
  <c r="D22" i="524"/>
  <c r="L22" i="524" s="1"/>
  <c r="G46" i="472"/>
  <c r="C33" i="529" l="1"/>
  <c r="C17" i="501"/>
  <c r="C21" i="501"/>
  <c r="E13" i="502" l="1"/>
  <c r="D33" i="529" s="1"/>
  <c r="E15" i="502"/>
  <c r="D35" i="529" s="1"/>
  <c r="C35" i="529"/>
  <c r="E22" i="500"/>
  <c r="E17" i="500"/>
  <c r="E17" i="502"/>
  <c r="D37" i="529" s="1"/>
  <c r="E17" i="501"/>
  <c r="E19" i="501"/>
  <c r="E19" i="502"/>
  <c r="D39" i="529" s="1"/>
  <c r="F17" i="500"/>
  <c r="H17" i="500"/>
  <c r="E21" i="501"/>
  <c r="E21" i="502"/>
  <c r="C23" i="501"/>
  <c r="F22" i="500"/>
  <c r="E23" i="502"/>
  <c r="H22" i="500"/>
  <c r="E23" i="501"/>
  <c r="F37" i="529" l="1"/>
  <c r="K37" i="529"/>
  <c r="F39" i="529"/>
  <c r="K39" i="529"/>
  <c r="E24" i="500"/>
  <c r="F24" i="500"/>
  <c r="H24" i="500"/>
  <c r="F39" i="472"/>
  <c r="I46" i="472"/>
  <c r="F46" i="472"/>
  <c r="F26" i="472"/>
  <c r="I32" i="472"/>
  <c r="F40" i="472" l="1"/>
  <c r="F47" i="472" s="1"/>
  <c r="L47" i="496"/>
  <c r="L30" i="496" l="1"/>
  <c r="L28" i="496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G55" i="472" s="1"/>
  <c r="I47" i="472"/>
  <c r="I53" i="472" l="1"/>
  <c r="I55" i="472"/>
  <c r="E17" i="454"/>
  <c r="D17" i="454"/>
  <c r="D14" i="512" s="1"/>
  <c r="D14" i="450" l="1"/>
  <c r="D15" i="454"/>
  <c r="D12" i="512" s="1"/>
  <c r="D12" i="450" s="1"/>
  <c r="D14" i="454"/>
  <c r="E14" i="454"/>
  <c r="E16" i="454"/>
  <c r="E13" i="512" s="1"/>
  <c r="E13" i="450" s="1"/>
  <c r="G13" i="450" s="1"/>
  <c r="E15" i="454"/>
  <c r="E14" i="512" l="1"/>
  <c r="E14" i="450" s="1"/>
  <c r="F14" i="512" s="1"/>
  <c r="F13" i="512"/>
  <c r="D22" i="454"/>
  <c r="E22" i="454"/>
  <c r="E12" i="512"/>
  <c r="E12" i="450" s="1"/>
  <c r="G12" i="450" s="1"/>
  <c r="E20" i="454"/>
  <c r="D11" i="512"/>
  <c r="D11" i="450" s="1"/>
  <c r="D20" i="454"/>
  <c r="H18" i="454"/>
  <c r="H16" i="454"/>
  <c r="H17" i="454"/>
  <c r="H15" i="454"/>
  <c r="H14" i="454"/>
  <c r="G14" i="450" l="1"/>
  <c r="H14" i="512"/>
  <c r="D21" i="512"/>
  <c r="D24" i="512" s="1"/>
  <c r="E11" i="512"/>
  <c r="E11" i="450" s="1"/>
  <c r="G11" i="450" s="1"/>
  <c r="H13" i="512"/>
  <c r="F13" i="513"/>
  <c r="F12" i="512"/>
  <c r="H22" i="454"/>
  <c r="H25" i="454" s="1"/>
  <c r="H20" i="454"/>
  <c r="D17" i="512"/>
  <c r="G16" i="450" s="1"/>
  <c r="D25" i="454"/>
  <c r="E25" i="454"/>
  <c r="H12" i="512" l="1"/>
  <c r="F12" i="513"/>
  <c r="F11" i="512"/>
  <c r="F11" i="513" s="1"/>
  <c r="D19" i="450"/>
  <c r="AE30" i="513" l="1"/>
  <c r="AF11" i="513"/>
  <c r="F21" i="512"/>
  <c r="F24" i="512" s="1"/>
  <c r="F17" i="512"/>
  <c r="E19" i="450"/>
  <c r="E22" i="450" s="1"/>
  <c r="E17" i="450"/>
  <c r="F19" i="513"/>
  <c r="AE28" i="513" l="1"/>
  <c r="AE29" i="513"/>
  <c r="P19" i="513"/>
  <c r="P16" i="513"/>
  <c r="R19" i="513"/>
  <c r="R22" i="513" s="1"/>
  <c r="R16" i="513"/>
  <c r="Q19" i="513"/>
  <c r="Q16" i="513"/>
  <c r="K16" i="513"/>
  <c r="N19" i="513"/>
  <c r="I19" i="513"/>
  <c r="G19" i="513"/>
  <c r="O19" i="513"/>
  <c r="AF13" i="513"/>
  <c r="J16" i="513"/>
  <c r="K19" i="513"/>
  <c r="H19" i="513"/>
  <c r="M19" i="513"/>
  <c r="L19" i="513"/>
  <c r="AF12" i="513"/>
  <c r="I16" i="513"/>
  <c r="G16" i="513"/>
  <c r="J19" i="513"/>
  <c r="N16" i="513"/>
  <c r="L16" i="513"/>
  <c r="M16" i="513"/>
  <c r="O16" i="513"/>
  <c r="H16" i="513"/>
  <c r="C17" i="450"/>
  <c r="AE35" i="513" l="1"/>
  <c r="AE19" i="513"/>
  <c r="AE16" i="513"/>
  <c r="R32" i="513"/>
  <c r="P22" i="513"/>
  <c r="Q22" i="513"/>
  <c r="Q32" i="513"/>
  <c r="H22" i="513"/>
  <c r="O22" i="513"/>
  <c r="I22" i="513"/>
  <c r="G22" i="513"/>
  <c r="N22" i="513"/>
  <c r="J22" i="513"/>
  <c r="L22" i="513"/>
  <c r="M22" i="513"/>
  <c r="K22" i="513"/>
  <c r="L32" i="513"/>
  <c r="I32" i="513"/>
  <c r="J32" i="513"/>
  <c r="G32" i="513"/>
  <c r="N32" i="513"/>
  <c r="M32" i="513"/>
  <c r="K32" i="513"/>
  <c r="P32" i="513"/>
  <c r="AF19" i="513"/>
  <c r="O32" i="513"/>
  <c r="H32" i="513"/>
  <c r="AE22" i="513" l="1"/>
  <c r="F13" i="498"/>
  <c r="D17" i="450" l="1"/>
  <c r="D22" i="450"/>
  <c r="G19" i="450"/>
  <c r="E17" i="512" l="1"/>
  <c r="E21" i="512"/>
  <c r="E24" i="512" s="1"/>
  <c r="G22" i="450"/>
  <c r="F16" i="513"/>
  <c r="G17" i="450"/>
  <c r="F22" i="513"/>
  <c r="H21" i="512"/>
  <c r="D13" i="498" s="1"/>
  <c r="G15" i="513" l="1"/>
  <c r="G35" i="513"/>
  <c r="G36" i="513" s="1"/>
  <c r="G13" i="498"/>
  <c r="H17" i="512"/>
  <c r="AF22" i="513"/>
  <c r="AF16" i="513"/>
  <c r="H15" i="513" l="1"/>
  <c r="H35" i="513"/>
  <c r="H36" i="513" s="1"/>
  <c r="I14" i="498"/>
  <c r="J14" i="498"/>
  <c r="AE32" i="513"/>
  <c r="H24" i="512"/>
  <c r="I15" i="513" l="1"/>
  <c r="I35" i="513"/>
  <c r="I36" i="513" s="1"/>
  <c r="E22" i="498"/>
  <c r="D22" i="498"/>
  <c r="J15" i="513" l="1"/>
  <c r="J35" i="513"/>
  <c r="J36" i="513" s="1"/>
  <c r="F22" i="498"/>
  <c r="K15" i="513" l="1"/>
  <c r="K35" i="513"/>
  <c r="K36" i="513" s="1"/>
  <c r="I22" i="498"/>
  <c r="E13" i="499" s="1"/>
  <c r="J22" i="498"/>
  <c r="E15" i="499" s="1"/>
  <c r="G22" i="498"/>
  <c r="L15" i="513" l="1"/>
  <c r="L35" i="513"/>
  <c r="L36" i="513" s="1"/>
  <c r="K22" i="498"/>
  <c r="E20" i="499" s="1"/>
  <c r="F20" i="499" s="1"/>
  <c r="E17" i="499"/>
  <c r="G13" i="499"/>
  <c r="E14" i="499"/>
  <c r="F13" i="499"/>
  <c r="K20" i="530" l="1"/>
  <c r="L20" i="530" s="1"/>
  <c r="K20" i="529"/>
  <c r="L20" i="529" s="1"/>
  <c r="M15" i="513"/>
  <c r="M35" i="513"/>
  <c r="M36" i="513" s="1"/>
  <c r="K12" i="500"/>
  <c r="G13" i="502" s="1"/>
  <c r="G20" i="499"/>
  <c r="G17" i="499"/>
  <c r="F17" i="499"/>
  <c r="F14" i="499"/>
  <c r="G14" i="499"/>
  <c r="K20" i="500"/>
  <c r="G23" i="502" s="1"/>
  <c r="F31" i="496"/>
  <c r="J31" i="496" s="1"/>
  <c r="L22" i="529" l="1"/>
  <c r="N20" i="529"/>
  <c r="N20" i="530"/>
  <c r="L22" i="530"/>
  <c r="N15" i="513"/>
  <c r="N35" i="513"/>
  <c r="N36" i="513" s="1"/>
  <c r="L20" i="500"/>
  <c r="L22" i="500" s="1"/>
  <c r="G23" i="501"/>
  <c r="H23" i="501" s="1"/>
  <c r="I23" i="501" s="1"/>
  <c r="L12" i="500"/>
  <c r="G13" i="501"/>
  <c r="H13" i="501" s="1"/>
  <c r="I13" i="501" s="1"/>
  <c r="F9" i="496"/>
  <c r="K16" i="500"/>
  <c r="F25" i="496"/>
  <c r="F12" i="496"/>
  <c r="K13" i="500"/>
  <c r="G15" i="502" s="1"/>
  <c r="F34" i="496"/>
  <c r="F33" i="496"/>
  <c r="F32" i="496"/>
  <c r="L31" i="496"/>
  <c r="F40" i="496"/>
  <c r="J40" i="496" s="1"/>
  <c r="K23" i="502"/>
  <c r="I23" i="502"/>
  <c r="O15" i="513" l="1"/>
  <c r="O35" i="513"/>
  <c r="O36" i="513" s="1"/>
  <c r="J32" i="496"/>
  <c r="L32" i="496" s="1"/>
  <c r="J33" i="496"/>
  <c r="L33" i="496" s="1"/>
  <c r="J34" i="496"/>
  <c r="L34" i="496" s="1"/>
  <c r="N20" i="500"/>
  <c r="N12" i="500"/>
  <c r="M12" i="500"/>
  <c r="K13" i="502"/>
  <c r="I13" i="502"/>
  <c r="F26" i="496"/>
  <c r="L13" i="500"/>
  <c r="G15" i="501"/>
  <c r="H15" i="501" s="1"/>
  <c r="I15" i="501" s="1"/>
  <c r="G21" i="501"/>
  <c r="H21" i="501" s="1"/>
  <c r="I21" i="501" s="1"/>
  <c r="G21" i="502"/>
  <c r="D41" i="529" s="1"/>
  <c r="L16" i="500"/>
  <c r="F42" i="496"/>
  <c r="F43" i="496"/>
  <c r="F41" i="496"/>
  <c r="L40" i="496"/>
  <c r="P15" i="513" l="1"/>
  <c r="P35" i="513"/>
  <c r="P36" i="513" s="1"/>
  <c r="F41" i="529"/>
  <c r="K41" i="529"/>
  <c r="J43" i="496"/>
  <c r="L43" i="496" s="1"/>
  <c r="J42" i="496"/>
  <c r="L42" i="496" s="1"/>
  <c r="J41" i="496"/>
  <c r="L41" i="496" s="1"/>
  <c r="N16" i="500"/>
  <c r="M16" i="500"/>
  <c r="K21" i="502"/>
  <c r="I21" i="502"/>
  <c r="M13" i="500"/>
  <c r="N13" i="500"/>
  <c r="E16" i="499"/>
  <c r="F15" i="499"/>
  <c r="G15" i="499"/>
  <c r="K15" i="502"/>
  <c r="I15" i="502"/>
  <c r="Q15" i="513" l="1"/>
  <c r="Q35" i="513"/>
  <c r="Q36" i="513" s="1"/>
  <c r="K15" i="500"/>
  <c r="F15" i="496"/>
  <c r="F16" i="499"/>
  <c r="G16" i="499"/>
  <c r="R15" i="513" l="1"/>
  <c r="S35" i="513" s="1"/>
  <c r="R35" i="513"/>
  <c r="R36" i="513" s="1"/>
  <c r="K14" i="500"/>
  <c r="G17" i="502" s="1"/>
  <c r="F20" i="496"/>
  <c r="F17" i="496"/>
  <c r="F16" i="496"/>
  <c r="G19" i="501"/>
  <c r="H19" i="501" s="1"/>
  <c r="I19" i="501" s="1"/>
  <c r="G19" i="502"/>
  <c r="L15" i="500"/>
  <c r="S36" i="513" l="1"/>
  <c r="S15" i="513"/>
  <c r="N15" i="500"/>
  <c r="M15" i="500"/>
  <c r="F22" i="496"/>
  <c r="F21" i="496"/>
  <c r="I19" i="502"/>
  <c r="K19" i="502"/>
  <c r="L14" i="500"/>
  <c r="G17" i="501"/>
  <c r="H17" i="501" s="1"/>
  <c r="I17" i="501" s="1"/>
  <c r="T15" i="513" l="1"/>
  <c r="T35" i="513"/>
  <c r="T36" i="513" s="1"/>
  <c r="I17" i="502"/>
  <c r="K17" i="502"/>
  <c r="M14" i="500"/>
  <c r="N14" i="500"/>
  <c r="L17" i="500"/>
  <c r="U15" i="513" l="1"/>
  <c r="U35" i="513"/>
  <c r="U36" i="513" s="1"/>
  <c r="M17" i="500"/>
  <c r="L24" i="500"/>
  <c r="N24" i="500" s="1"/>
  <c r="V15" i="513" l="1"/>
  <c r="V35" i="513"/>
  <c r="V36" i="513" s="1"/>
  <c r="W15" i="513" l="1"/>
  <c r="W35" i="513"/>
  <c r="W36" i="513" s="1"/>
  <c r="X15" i="513" l="1"/>
  <c r="X35" i="513"/>
  <c r="X36" i="513" s="1"/>
  <c r="Y15" i="513" l="1"/>
  <c r="Y35" i="513"/>
  <c r="Y36" i="513" s="1"/>
  <c r="Z15" i="513" l="1"/>
  <c r="Z35" i="513"/>
  <c r="Z36" i="513" s="1"/>
  <c r="AA15" i="513" l="1"/>
  <c r="AA35" i="513"/>
  <c r="AA36" i="513" s="1"/>
  <c r="AB15" i="513" l="1"/>
  <c r="AB35" i="513"/>
  <c r="AB36" i="513" s="1"/>
  <c r="AC15" i="513" l="1"/>
  <c r="AD35" i="513" s="1"/>
  <c r="AC35" i="513"/>
  <c r="AC36" i="513" s="1"/>
  <c r="AD15" i="513" l="1"/>
  <c r="AD36" i="513"/>
  <c r="AE36" i="513" s="1"/>
  <c r="F11" i="524" l="1"/>
  <c r="L17" i="525" l="1"/>
  <c r="G16" i="527" l="1"/>
  <c r="M16" i="525"/>
  <c r="E9" i="496"/>
  <c r="J9" i="496" s="1"/>
  <c r="L9" i="496" s="1"/>
  <c r="N9" i="496" s="1"/>
  <c r="K22" i="527"/>
  <c r="K23" i="526"/>
  <c r="M20" i="525"/>
  <c r="E25" i="496"/>
  <c r="M17" i="525"/>
  <c r="E12" i="496"/>
  <c r="J12" i="496" s="1"/>
  <c r="L12" i="496" s="1"/>
  <c r="H18" i="527"/>
  <c r="E15" i="496"/>
  <c r="K21" i="526"/>
  <c r="M19" i="525"/>
  <c r="E20" i="496"/>
  <c r="M18" i="525"/>
  <c r="I20" i="527"/>
  <c r="K19" i="526"/>
  <c r="G26" i="527" l="1"/>
  <c r="I26" i="527"/>
  <c r="I28" i="527"/>
  <c r="K15" i="529"/>
  <c r="L15" i="529" s="1"/>
  <c r="K14" i="530"/>
  <c r="K14" i="529"/>
  <c r="L14" i="529" s="1"/>
  <c r="O21" i="526"/>
  <c r="M21" i="526"/>
  <c r="O17" i="525"/>
  <c r="N17" i="525"/>
  <c r="K28" i="527"/>
  <c r="K26" i="527"/>
  <c r="K16" i="530"/>
  <c r="L16" i="530" s="1"/>
  <c r="K16" i="529"/>
  <c r="L16" i="529" s="1"/>
  <c r="O18" i="525"/>
  <c r="N18" i="525"/>
  <c r="E17" i="496"/>
  <c r="J17" i="496" s="1"/>
  <c r="L17" i="496" s="1"/>
  <c r="E16" i="496"/>
  <c r="J16" i="496" s="1"/>
  <c r="L16" i="496" s="1"/>
  <c r="J15" i="496"/>
  <c r="L15" i="496" s="1"/>
  <c r="E26" i="496"/>
  <c r="J26" i="496" s="1"/>
  <c r="L26" i="496" s="1"/>
  <c r="J25" i="496"/>
  <c r="L25" i="496" s="1"/>
  <c r="E22" i="496"/>
  <c r="J22" i="496" s="1"/>
  <c r="L22" i="496" s="1"/>
  <c r="E21" i="496"/>
  <c r="J21" i="496" s="1"/>
  <c r="L21" i="496" s="1"/>
  <c r="J20" i="496"/>
  <c r="L20" i="496" s="1"/>
  <c r="H28" i="527"/>
  <c r="K17" i="526"/>
  <c r="H26" i="527"/>
  <c r="K13" i="529"/>
  <c r="K13" i="530"/>
  <c r="L13" i="530" s="1"/>
  <c r="N20" i="525"/>
  <c r="O20" i="525"/>
  <c r="N16" i="525"/>
  <c r="M21" i="525"/>
  <c r="O16" i="525"/>
  <c r="M19" i="526"/>
  <c r="O19" i="526"/>
  <c r="O19" i="525"/>
  <c r="N19" i="525"/>
  <c r="O23" i="526"/>
  <c r="M23" i="526"/>
  <c r="G28" i="527"/>
  <c r="K15" i="526"/>
  <c r="P12" i="530" s="1"/>
  <c r="K12" i="529"/>
  <c r="K12" i="530"/>
  <c r="L12" i="530" s="1"/>
  <c r="N13" i="530" l="1"/>
  <c r="M13" i="530"/>
  <c r="M16" i="530"/>
  <c r="N16" i="530"/>
  <c r="L12" i="529"/>
  <c r="E33" i="529"/>
  <c r="E35" i="529"/>
  <c r="L13" i="529"/>
  <c r="M15" i="529"/>
  <c r="N15" i="529"/>
  <c r="N12" i="530"/>
  <c r="M60" i="525"/>
  <c r="O60" i="525" s="1"/>
  <c r="N21" i="525"/>
  <c r="M45" i="525"/>
  <c r="K15" i="530"/>
  <c r="L15" i="530" s="1"/>
  <c r="L14" i="530"/>
  <c r="M15" i="526"/>
  <c r="O15" i="526"/>
  <c r="O17" i="526"/>
  <c r="M17" i="526"/>
  <c r="N16" i="529"/>
  <c r="M16" i="529"/>
  <c r="N14" i="529"/>
  <c r="M14" i="529"/>
  <c r="M15" i="530" l="1"/>
  <c r="N15" i="530"/>
  <c r="M13" i="529"/>
  <c r="N13" i="529"/>
  <c r="F35" i="529"/>
  <c r="K35" i="529"/>
  <c r="F33" i="529"/>
  <c r="K33" i="529"/>
  <c r="M12" i="530"/>
  <c r="L17" i="530"/>
  <c r="N45" i="525"/>
  <c r="M53" i="525"/>
  <c r="N53" i="525" s="1"/>
  <c r="N14" i="530"/>
  <c r="M14" i="530"/>
  <c r="M12" i="529"/>
  <c r="N12" i="529"/>
  <c r="L17" i="529"/>
  <c r="L24" i="530" l="1"/>
  <c r="N24" i="530" s="1"/>
  <c r="M17" i="530"/>
  <c r="M17" i="529"/>
  <c r="L24" i="529"/>
  <c r="N24" i="5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02011B2E-7E49-4EAC-B5B3-0BE6A1552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From 2018
 IRP Demand Forecast Medium Scenario</t>
        </r>
      </text>
    </comment>
    <comment ref="H39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<sst xmlns="http://schemas.openxmlformats.org/spreadsheetml/2006/main" count="841" uniqueCount="362">
  <si>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</si>
  <si>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</si>
  <si>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</si>
  <si>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</si>
  <si>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</si>
  <si>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</si>
  <si>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</si>
  <si>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</si>
  <si>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</si>
  <si>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</si>
  <si>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</si>
  <si>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</si>
  <si>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</si>
  <si>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</si>
  <si>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</si>
  <si>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</si>
  <si>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</si>
  <si>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</si>
  <si>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</si>
  <si>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</si>
  <si>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</si>
  <si>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</si>
  <si>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</si>
  <si>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</si>
  <si>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</si>
  <si>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</si>
  <si>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</si>
  <si>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</si>
  <si>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</si>
  <si>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</si>
  <si>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</si>
  <si>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</si>
  <si>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</si>
  <si>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</si>
  <si>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</si>
  <si>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</si>
  <si>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</si>
  <si>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</si>
  <si>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</si>
  <si>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</si>
  <si>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</si>
  <si>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</si>
  <si>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</si>
  <si>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</si>
  <si>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</si>
  <si>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</si>
  <si>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</si>
  <si>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</si>
  <si>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</si>
  <si>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</si>
  <si>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</si>
  <si>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</si>
  <si>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</si>
  <si>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</si>
  <si>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</si>
  <si>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</si>
  <si>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</si>
  <si>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</si>
  <si>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</si>
  <si>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</si>
  <si>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</si>
  <si>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</si>
  <si>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</si>
  <si>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</si>
  <si>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</si>
  <si>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</si>
  <si>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</si>
  <si>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</si>
  <si>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</si>
  <si>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</si>
  <si>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</si>
  <si>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</si>
  <si>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</si>
  <si>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</si>
  <si>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</si>
  <si>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</si>
  <si>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</si>
  <si>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</si>
  <si>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</si>
  <si>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</si>
  <si>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</si>
  <si>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</si>
  <si>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</si>
  <si>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</si>
  <si>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</si>
  <si>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</si>
  <si>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</si>
  <si>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</si>
  <si>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</si>
  <si>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</si>
  <si>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</si>
  <si>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</si>
  <si>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</si>
  <si>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</si>
  <si>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</si>
  <si>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</si>
  <si>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</si>
  <si>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</si>
  <si>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</si>
  <si>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</si>
  <si>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</si>
  <si>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</si>
  <si>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</si>
  <si>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</si>
  <si>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</si>
  <si>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</si>
  <si>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</si>
  <si>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</si>
  <si>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</si>
  <si>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</si>
  <si>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</si>
  <si>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</si>
  <si>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</si>
  <si>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</si>
  <si>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</si>
  <si>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</si>
  <si>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</si>
  <si>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</si>
  <si>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</si>
  <si>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</si>
  <si>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</si>
  <si>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</si>
  <si>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</si>
  <si>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</si>
  <si>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</si>
  <si>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</si>
  <si>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</si>
  <si>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</si>
  <si>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</si>
  <si>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</si>
  <si>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</si>
  <si>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</si>
  <si>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</si>
  <si>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</si>
  <si>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</si>
  <si>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</si>
  <si>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</si>
  <si>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</si>
  <si>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</si>
  <si>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</si>
  <si>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</si>
  <si>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</si>
  <si>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</si>
  <si>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</si>
  <si>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</si>
  <si>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</si>
  <si>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</si>
  <si>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</si>
  <si>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</si>
  <si>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</si>
  <si>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</si>
  <si>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</si>
  <si>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</si>
  <si>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</si>
  <si>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</si>
  <si>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</si>
  <si>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</si>
  <si>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</si>
  <si>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</si>
  <si>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</si>
  <si>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</si>
  <si>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</si>
  <si>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</si>
  <si>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</si>
  <si>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</si>
  <si>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</si>
  <si>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</si>
  <si>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</si>
  <si>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</si>
  <si>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</si>
  <si>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</si>
  <si>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</si>
  <si>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</si>
  <si>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</si>
  <si>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</si>
  <si>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</si>
  <si>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</si>
  <si>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</si>
  <si>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</si>
  <si>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</si>
  <si>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</si>
  <si>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</si>
  <si>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</si>
  <si>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</si>
  <si>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</si>
  <si>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</si>
  <si>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</si>
  <si>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</si>
  <si>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Reverse Prior Temporary Rate Adj.</t>
  </si>
  <si>
    <t>Gas Cost Related Temporary Rate Adj.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</si>
  <si>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</si>
  <si>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</si>
  <si>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</si>
  <si>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</si>
  <si>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</si>
  <si>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</si>
  <si>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</si>
  <si>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</si>
  <si>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</si>
  <si>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</si>
  <si>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</si>
  <si>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</si>
  <si>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</si>
  <si>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</si>
  <si>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</si>
  <si>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</si>
  <si>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</si>
  <si>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</si>
  <si>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</si>
  <si>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</si>
  <si>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</si>
  <si>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</si>
  <si>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</si>
  <si>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</si>
  <si>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</si>
  <si>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</si>
  <si>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</si>
  <si>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</si>
  <si>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</si>
  <si>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</si>
  <si>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</si>
  <si>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</si>
  <si>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</si>
  <si>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</si>
  <si>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</si>
  <si>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</si>
  <si>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</si>
  <si>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</si>
  <si>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</si>
  <si>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</si>
  <si>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</si>
  <si>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</si>
  <si>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</si>
  <si>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</si>
  <si>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</si>
  <si>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</si>
  <si>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</si>
  <si>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</si>
  <si>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Restated</t>
  </si>
  <si>
    <t>Gas Cost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</si>
  <si>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</si>
  <si>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</si>
  <si>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</si>
  <si>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</si>
  <si>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</si>
  <si>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</si>
  <si>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</si>
  <si>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</si>
  <si>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</si>
  <si>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</si>
  <si>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</si>
  <si>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</si>
  <si>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</si>
  <si>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</si>
  <si>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</si>
  <si>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</si>
  <si>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</si>
  <si>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</si>
  <si>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</si>
  <si>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</si>
  <si>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</si>
  <si>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</si>
  <si>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</si>
  <si>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</si>
  <si>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</si>
  <si>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</si>
  <si>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</si>
  <si>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</si>
  <si>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</si>
  <si>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</si>
  <si>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</si>
  <si>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</si>
  <si>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</si>
  <si>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</si>
  <si>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</si>
  <si>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</si>
  <si>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</si>
  <si>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</si>
  <si>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</si>
  <si>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</si>
  <si>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</si>
  <si>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</si>
  <si>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</si>
  <si>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</si>
  <si>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</si>
  <si>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</si>
  <si>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</si>
  <si>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</si>
  <si>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</si>
  <si>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</si>
  <si>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</si>
  <si>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</si>
  <si>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</si>
  <si>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</si>
  <si>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</si>
  <si>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</si>
  <si>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</si>
  <si>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</si>
  <si>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</si>
  <si>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</si>
  <si>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</si>
  <si>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</si>
  <si>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</si>
  <si>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</si>
  <si>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</si>
  <si>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</si>
  <si>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</si>
  <si>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</si>
  <si>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</si>
  <si>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</si>
  <si>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</si>
  <si>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</si>
  <si>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</si>
  <si>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</si>
  <si>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</si>
  <si>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</si>
  <si>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</si>
  <si>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</si>
  <si>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</si>
  <si>
    <t>Forecasted</t>
  </si>
  <si>
    <t>Basic Service Charge</t>
  </si>
  <si>
    <t>WA Gas Cost Tracking</t>
  </si>
  <si>
    <t>TTA Calculation of Per Therm Rates to Amortize Deferred Accounts</t>
  </si>
  <si>
    <t>(d) from TTA Exhibit A, Page 7 of 11</t>
  </si>
  <si>
    <t xml:space="preserve">Schedule 595 - WACOG </t>
  </si>
  <si>
    <t>BASED UPON THE  TWELVE MONTHS ENDED 7/31/2019</t>
  </si>
  <si>
    <t>Actual</t>
  </si>
  <si>
    <t>11/01/19  R/S 595 PGA Gas Cost Adjustment</t>
  </si>
  <si>
    <t>4/01/2019 Rates</t>
  </si>
  <si>
    <t>both</t>
  </si>
  <si>
    <t xml:space="preserve">                           -  </t>
  </si>
  <si>
    <t>Rate Period</t>
  </si>
  <si>
    <t>Estimated 2019</t>
  </si>
  <si>
    <t>(c) from 2018 TTA Exhibit A , Page 7 of 11</t>
  </si>
  <si>
    <t>11/1/19 Rates</t>
  </si>
  <si>
    <t>Account Balance 7/31/2020</t>
  </si>
  <si>
    <t>Interest Assignments &amp; Amortization through 10/31/2020</t>
  </si>
  <si>
    <t>10/31/2020
Balance</t>
  </si>
  <si>
    <t>INTEREST CALCULATIONS FOR AMORTIZATION PERIOD 11/1/2020 TO 10/31/2021</t>
  </si>
  <si>
    <t>FOR TWELVE MONTHS ENDED 7/31/2020</t>
  </si>
  <si>
    <t>Estimated Amortization Thru 10/31/2020 on Balances Currently Amortizing</t>
  </si>
  <si>
    <t>ESTIMATED BALANCES FOR DEFERRED ACCOUNTS PERIOD ENDING: 010/31/2020</t>
  </si>
  <si>
    <t>Deferral Balances at 7/31/2020</t>
  </si>
  <si>
    <t>(Source:  WAC 480-90-233 Monthly Deferral Reporting for period ending 7/31/2020)</t>
  </si>
  <si>
    <t>Balance 7/31/2020</t>
  </si>
  <si>
    <t>11/01/2019 Rates</t>
  </si>
  <si>
    <t>BASED UPON THE  TWELVE MONTHS ENDED 7/31/2020</t>
  </si>
  <si>
    <t>1 Year</t>
  </si>
  <si>
    <t>PROPOSED RATES 11/1/20</t>
  </si>
  <si>
    <t>2020 PGA Gas Demand Cost Allocation</t>
  </si>
  <si>
    <t>47WA.2530.01289</t>
  </si>
  <si>
    <t>11/01/2019 WA Temporary Gas Cost Amortization</t>
  </si>
  <si>
    <t>CNGC Advice W20-09-01</t>
  </si>
  <si>
    <t>Based Upon the Twelve Months Ended 7/31/20</t>
  </si>
  <si>
    <t>WACOG Effective November 1, 2019</t>
  </si>
  <si>
    <t>Incremental R/S 590 Rate Change</t>
  </si>
  <si>
    <t>Posted R/S 590 Tariff Rate</t>
  </si>
  <si>
    <t>RATE ADDITION SCHEDULE NO. 590</t>
  </si>
  <si>
    <t>Rates Effective 3/1/20</t>
  </si>
  <si>
    <t>Rates Effective 11/01/20</t>
  </si>
  <si>
    <t>11/01/20             R/S 590 Change TTA</t>
  </si>
  <si>
    <t>TTA &amp; PGA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</si>
</sst>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</numFmts>
  <fonts count="11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/>
  </cellStyleXfs>
  <cellXfs count="861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37" fontId="27" fillId="0" borderId="0" xfId="0" applyNumberFormat="1" applyFont="1" applyFill="1" applyProtection="1"/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4" fontId="27" fillId="0" borderId="0" xfId="20" applyFont="1" applyFill="1" applyAlignment="1" applyProtection="1">
      <alignment horizontal="left"/>
    </xf>
    <xf numFmtId="174" fontId="27" fillId="0" borderId="0" xfId="20" applyNumberFormat="1" applyFont="1" applyFill="1"/>
    <xf numFmtId="164" fontId="27" fillId="0" borderId="0" xfId="20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4" fontId="27" fillId="0" borderId="0" xfId="0" applyFont="1" applyFill="1" applyBorder="1" applyAlignment="1" applyProtection="1">
      <alignment horizontal="right"/>
    </xf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4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0" applyFont="1" applyFill="1"/>
    <xf numFmtId="168" fontId="87" fillId="0" borderId="0" xfId="1" applyNumberFormat="1" applyFont="1" applyFill="1" applyBorder="1"/>
    <xf numFmtId="164" fontId="27" fillId="0" borderId="0" xfId="20" applyFont="1" applyFill="1" applyAlignment="1">
      <alignment horizontal="center"/>
    </xf>
    <xf numFmtId="10" fontId="87" fillId="0" borderId="0" xfId="14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4" applyFont="1" applyFill="1"/>
    <xf numFmtId="44" fontId="27" fillId="0" borderId="0" xfId="5835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4" applyFont="1" applyFill="1" applyBorder="1" applyAlignment="1">
      <alignment horizontal="center"/>
    </xf>
    <xf numFmtId="202" fontId="27" fillId="0" borderId="0" xfId="5834" applyNumberFormat="1" applyFont="1" applyFill="1"/>
    <xf numFmtId="173" fontId="27" fillId="0" borderId="0" xfId="5834" applyNumberFormat="1" applyFont="1" applyFill="1"/>
    <xf numFmtId="0" fontId="87" fillId="0" borderId="0" xfId="5834" applyFont="1" applyFill="1"/>
    <xf numFmtId="164" fontId="91" fillId="0" borderId="0" xfId="20" quotePrefix="1" applyFont="1" applyFill="1" applyAlignment="1">
      <alignment horizontal="left"/>
    </xf>
    <xf numFmtId="166" fontId="27" fillId="0" borderId="17" xfId="15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39" fontId="27" fillId="0" borderId="0" xfId="4" applyNumberFormat="1" applyFont="1" applyFill="1" applyBorder="1" applyProtection="1"/>
    <xf numFmtId="202" fontId="27" fillId="0" borderId="13" xfId="5834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4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43" fontId="91" fillId="0" borderId="0" xfId="1" applyFont="1" applyFill="1" applyBorder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73" fontId="27" fillId="0" borderId="12" xfId="5835" applyNumberFormat="1" applyFont="1" applyFill="1" applyBorder="1"/>
    <xf numFmtId="0" fontId="27" fillId="0" borderId="12" xfId="5834" applyFont="1" applyFill="1" applyBorder="1"/>
    <xf numFmtId="0" fontId="27" fillId="0" borderId="15" xfId="5834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0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4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4" applyFont="1" applyFill="1" applyBorder="1"/>
    <xf numFmtId="173" fontId="27" fillId="0" borderId="0" xfId="5834" applyNumberFormat="1" applyFont="1" applyFill="1" applyBorder="1"/>
    <xf numFmtId="0" fontId="27" fillId="0" borderId="0" xfId="5834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173" fontId="27" fillId="0" borderId="12" xfId="8738" applyNumberFormat="1" applyFont="1" applyFill="1" applyBorder="1"/>
    <xf numFmtId="3" fontId="27" fillId="0" borderId="0" xfId="0" applyNumberFormat="1" applyFont="1" applyFill="1"/>
    <xf numFmtId="164" fontId="87" fillId="0" borderId="0" xfId="20" applyFont="1" applyFill="1" applyBorder="1"/>
    <xf numFmtId="172" fontId="87" fillId="0" borderId="0" xfId="2" applyNumberFormat="1" applyFont="1" applyFill="1" applyBorder="1"/>
    <xf numFmtId="44" fontId="87" fillId="0" borderId="0" xfId="2" applyFont="1" applyFill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4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5" applyNumberFormat="1" applyFont="1" applyFill="1" applyBorder="1"/>
    <xf numFmtId="44" fontId="27" fillId="0" borderId="0" xfId="2" applyFont="1" applyFill="1" applyBorder="1" applyProtection="1"/>
    <xf numFmtId="174" fontId="27" fillId="0" borderId="0" xfId="4" applyNumberFormat="1" applyFont="1" applyFill="1" applyBorder="1" applyAlignment="1">
      <alignment horizontal="centerContinuous"/>
    </xf>
    <xf numFmtId="174" fontId="27" fillId="0" borderId="0" xfId="4" applyNumberFormat="1" applyFont="1" applyFill="1" applyBorder="1" applyAlignment="1" applyProtection="1">
      <alignment horizontal="center"/>
    </xf>
    <xf numFmtId="174" fontId="27" fillId="0" borderId="0" xfId="4" applyNumberFormat="1" applyFont="1" applyFill="1" applyBorder="1"/>
    <xf numFmtId="174" fontId="27" fillId="0" borderId="0" xfId="1" applyNumberFormat="1" applyFont="1" applyFill="1" applyBorder="1" applyProtection="1"/>
    <xf numFmtId="43" fontId="27" fillId="0" borderId="0" xfId="1" applyNumberFormat="1" applyFont="1" applyFill="1" applyBorder="1" applyProtection="1"/>
    <xf numFmtId="174" fontId="87" fillId="0" borderId="0" xfId="4" applyNumberFormat="1" applyFont="1" applyFill="1" applyBorder="1" applyProtection="1"/>
    <xf numFmtId="10" fontId="87" fillId="0" borderId="0" xfId="1" applyNumberFormat="1" applyFont="1" applyFill="1" applyBorder="1" applyProtection="1"/>
    <xf numFmtId="174" fontId="27" fillId="0" borderId="0" xfId="4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74" fontId="87" fillId="0" borderId="0" xfId="1" applyNumberFormat="1" applyFont="1" applyFill="1" applyBorder="1" applyProtection="1"/>
    <xf numFmtId="174" fontId="87" fillId="0" borderId="0" xfId="4" applyNumberFormat="1" applyFont="1" applyFill="1" applyBorder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0" fontId="87" fillId="0" borderId="7" xfId="5834" applyFont="1" applyFill="1" applyBorder="1" applyAlignment="1">
      <alignment horizontal="center" wrapText="1"/>
    </xf>
    <xf numFmtId="0" fontId="87" fillId="0" borderId="3" xfId="8737" quotePrefix="1" applyFont="1" applyFill="1" applyBorder="1" applyAlignment="1">
      <alignment horizontal="center" wrapText="1"/>
    </xf>
    <xf numFmtId="0" fontId="87" fillId="0" borderId="3" xfId="8737" applyFont="1" applyFill="1" applyBorder="1" applyAlignment="1">
      <alignment horizontal="center" wrapText="1"/>
    </xf>
    <xf numFmtId="0" fontId="87" fillId="0" borderId="8" xfId="5834" applyFont="1" applyFill="1" applyBorder="1" applyAlignment="1">
      <alignment horizontal="center" wrapText="1"/>
    </xf>
    <xf numFmtId="164" fontId="87" fillId="0" borderId="1" xfId="0" applyFont="1" applyFill="1" applyBorder="1" applyAlignment="1" applyProtection="1">
      <alignment horizontal="center"/>
    </xf>
    <xf numFmtId="37" fontId="27" fillId="0" borderId="0" xfId="2" applyNumberFormat="1" applyFont="1" applyFill="1" applyBorder="1"/>
    <xf numFmtId="176" fontId="87" fillId="0" borderId="0" xfId="14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5" applyNumberFormat="1" applyFont="1" applyFill="1" applyBorder="1" applyAlignment="1"/>
    <xf numFmtId="168" fontId="89" fillId="44" borderId="0" xfId="15" applyNumberFormat="1" applyFont="1" applyFill="1" applyBorder="1"/>
    <xf numFmtId="3" fontId="94" fillId="44" borderId="0" xfId="0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15" fillId="0" borderId="0" xfId="51499" applyFill="1"/>
    <xf numFmtId="164" fontId="15" fillId="0" borderId="0" xfId="51499" applyFill="1" applyBorder="1"/>
    <xf numFmtId="168" fontId="0" fillId="0" borderId="0" xfId="51501" applyNumberFormat="1" applyFont="1" applyFill="1"/>
    <xf numFmtId="168" fontId="15" fillId="0" borderId="0" xfId="51499" applyNumberFormat="1" applyFill="1"/>
    <xf numFmtId="164" fontId="87" fillId="0" borderId="0" xfId="51499" applyFont="1" applyFill="1" applyBorder="1"/>
    <xf numFmtId="205" fontId="27" fillId="0" borderId="0" xfId="51499" applyNumberFormat="1" applyFont="1" applyFill="1" applyBorder="1"/>
    <xf numFmtId="164" fontId="15" fillId="0" borderId="0" xfId="51499" quotePrefix="1" applyFill="1" applyAlignment="1" applyProtection="1">
      <alignment horizontal="left"/>
    </xf>
    <xf numFmtId="164" fontId="15" fillId="0" borderId="0" xfId="51499" applyFill="1" applyAlignment="1" applyProtection="1">
      <alignment horizontal="left"/>
    </xf>
    <xf numFmtId="174" fontId="15" fillId="0" borderId="0" xfId="51499" applyNumberFormat="1" applyFill="1"/>
    <xf numFmtId="164" fontId="15" fillId="0" borderId="0" xfId="51499" quotePrefix="1" applyFill="1" applyAlignment="1">
      <alignment horizontal="centerContinuous"/>
    </xf>
    <xf numFmtId="164" fontId="97" fillId="0" borderId="54" xfId="51499" applyFont="1" applyFill="1" applyBorder="1"/>
    <xf numFmtId="164" fontId="97" fillId="0" borderId="0" xfId="51499" applyFont="1" applyFill="1"/>
    <xf numFmtId="164" fontId="97" fillId="0" borderId="9" xfId="51499" applyFont="1" applyFill="1" applyBorder="1" applyAlignment="1" applyProtection="1">
      <alignment horizontal="center"/>
    </xf>
    <xf numFmtId="164" fontId="97" fillId="0" borderId="5" xfId="51499" applyFont="1" applyFill="1" applyBorder="1"/>
    <xf numFmtId="164" fontId="97" fillId="0" borderId="9" xfId="51499" applyFont="1" applyFill="1" applyBorder="1"/>
    <xf numFmtId="164" fontId="97" fillId="0" borderId="9" xfId="51499" applyFont="1" applyFill="1" applyBorder="1" applyAlignment="1">
      <alignment horizontal="centerContinuous"/>
    </xf>
    <xf numFmtId="164" fontId="97" fillId="0" borderId="52" xfId="51499" applyFont="1" applyFill="1" applyBorder="1"/>
    <xf numFmtId="37" fontId="97" fillId="0" borderId="9" xfId="51499" applyNumberFormat="1" applyFont="1" applyFill="1" applyBorder="1" applyProtection="1"/>
    <xf numFmtId="10" fontId="97" fillId="0" borderId="9" xfId="51502" applyNumberFormat="1" applyFont="1" applyFill="1" applyBorder="1" applyProtection="1"/>
    <xf numFmtId="10" fontId="97" fillId="0" borderId="0" xfId="51499" applyNumberFormat="1" applyFont="1" applyFill="1"/>
    <xf numFmtId="37" fontId="97" fillId="0" borderId="13" xfId="51499" applyNumberFormat="1" applyFont="1" applyFill="1" applyBorder="1" applyProtection="1"/>
    <xf numFmtId="37" fontId="97" fillId="0" borderId="52" xfId="51499" applyNumberFormat="1" applyFont="1" applyFill="1" applyBorder="1" applyProtection="1"/>
    <xf numFmtId="10" fontId="97" fillId="0" borderId="52" xfId="51502" applyNumberFormat="1" applyFont="1" applyFill="1" applyBorder="1" applyProtection="1"/>
    <xf numFmtId="37" fontId="97" fillId="0" borderId="55" xfId="51499" applyNumberFormat="1" applyFont="1" applyFill="1" applyBorder="1" applyProtection="1"/>
    <xf numFmtId="168" fontId="15" fillId="0" borderId="0" xfId="51501" applyNumberFormat="1" applyFont="1" applyFill="1"/>
    <xf numFmtId="10" fontId="97" fillId="0" borderId="55" xfId="51499" applyNumberFormat="1" applyFont="1" applyFill="1" applyBorder="1"/>
    <xf numFmtId="10" fontId="97" fillId="0" borderId="5" xfId="51499" applyNumberFormat="1" applyFont="1" applyFill="1" applyBorder="1"/>
    <xf numFmtId="164" fontId="98" fillId="0" borderId="0" xfId="51499" applyFont="1" applyFill="1" applyBorder="1"/>
    <xf numFmtId="164" fontId="98" fillId="0" borderId="6" xfId="51499" applyFont="1" applyFill="1" applyBorder="1"/>
    <xf numFmtId="10" fontId="98" fillId="0" borderId="50" xfId="51499" applyNumberFormat="1" applyFont="1" applyFill="1" applyBorder="1"/>
    <xf numFmtId="164" fontId="15" fillId="0" borderId="0" xfId="51506" applyFont="1" applyFill="1"/>
    <xf numFmtId="164" fontId="15" fillId="0" borderId="0" xfId="51499" applyFill="1" applyAlignment="1" applyProtection="1">
      <alignment horizontal="center"/>
    </xf>
    <xf numFmtId="164" fontId="15" fillId="0" borderId="0" xfId="51499" applyFill="1" applyAlignment="1">
      <alignment horizontal="center"/>
    </xf>
    <xf numFmtId="164" fontId="22" fillId="0" borderId="0" xfId="51499" applyFont="1" applyFill="1" applyAlignment="1">
      <alignment horizontal="centerContinuous"/>
    </xf>
    <xf numFmtId="164" fontId="15" fillId="0" borderId="0" xfId="51499" quotePrefix="1" applyFill="1" applyAlignment="1">
      <alignment horizontal="center"/>
    </xf>
    <xf numFmtId="164" fontId="15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5" fillId="0" borderId="0" xfId="51499" applyNumberFormat="1" applyFill="1" applyProtection="1"/>
    <xf numFmtId="165" fontId="15" fillId="0" borderId="58" xfId="51499" applyNumberFormat="1" applyFill="1" applyBorder="1" applyProtection="1"/>
    <xf numFmtId="165" fontId="15" fillId="0" borderId="0" xfId="51499" applyNumberFormat="1" applyFill="1" applyBorder="1" applyProtection="1"/>
    <xf numFmtId="165" fontId="15" fillId="0" borderId="0" xfId="51499" applyNumberFormat="1" applyFill="1"/>
    <xf numFmtId="164" fontId="15" fillId="0" borderId="0" xfId="51499" applyFill="1" applyAlignment="1"/>
    <xf numFmtId="164" fontId="25" fillId="0" borderId="0" xfId="51499" applyFont="1" applyFill="1" applyAlignment="1">
      <alignment horizontal="center"/>
    </xf>
    <xf numFmtId="164" fontId="25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5" fillId="0" borderId="0" xfId="51499" quotePrefix="1" applyFont="1" applyFill="1" applyAlignment="1">
      <alignment horizontal="center"/>
    </xf>
    <xf numFmtId="164" fontId="25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5" fillId="0" borderId="0" xfId="51499" applyNumberFormat="1" applyFont="1" applyFill="1" applyAlignment="1" applyProtection="1">
      <alignment horizontal="center"/>
    </xf>
    <xf numFmtId="164" fontId="25" fillId="0" borderId="0" xfId="51499" quotePrefix="1" applyFont="1" applyFill="1" applyAlignment="1" applyProtection="1">
      <alignment horizontal="left"/>
    </xf>
    <xf numFmtId="165" fontId="25" fillId="0" borderId="0" xfId="51499" applyNumberFormat="1" applyFont="1" applyFill="1" applyProtection="1"/>
    <xf numFmtId="49" fontId="25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5" fillId="0" borderId="0" xfId="51499" applyFont="1" applyFill="1" applyAlignment="1" applyProtection="1">
      <alignment horizontal="left"/>
    </xf>
    <xf numFmtId="165" fontId="25" fillId="0" borderId="58" xfId="51499" applyNumberFormat="1" applyFont="1" applyFill="1" applyBorder="1" applyProtection="1"/>
    <xf numFmtId="164" fontId="25" fillId="0" borderId="50" xfId="51499" quotePrefix="1" applyFont="1" applyFill="1" applyBorder="1" applyAlignment="1">
      <alignment horizontal="center"/>
    </xf>
    <xf numFmtId="164" fontId="25" fillId="0" borderId="51" xfId="51499" applyFont="1" applyFill="1" applyBorder="1"/>
    <xf numFmtId="164" fontId="25" fillId="0" borderId="52" xfId="51499" quotePrefix="1" applyFont="1" applyFill="1" applyBorder="1" applyAlignment="1">
      <alignment horizontal="center"/>
    </xf>
    <xf numFmtId="164" fontId="25" fillId="0" borderId="54" xfId="51499" applyFont="1" applyFill="1" applyBorder="1"/>
    <xf numFmtId="164" fontId="25" fillId="0" borderId="55" xfId="51499" applyFont="1" applyFill="1" applyBorder="1"/>
    <xf numFmtId="164" fontId="25" fillId="0" borderId="56" xfId="51499" applyFont="1" applyFill="1" applyBorder="1"/>
    <xf numFmtId="164" fontId="25" fillId="0" borderId="12" xfId="51499" quotePrefix="1" applyFont="1" applyFill="1" applyBorder="1" applyAlignment="1">
      <alignment horizontal="left"/>
    </xf>
    <xf numFmtId="164" fontId="25" fillId="0" borderId="9" xfId="51499" applyFont="1" applyFill="1" applyBorder="1"/>
    <xf numFmtId="172" fontId="25" fillId="0" borderId="5" xfId="51500" applyNumberFormat="1" applyFont="1" applyFill="1" applyBorder="1"/>
    <xf numFmtId="164" fontId="25" fillId="0" borderId="0" xfId="51499" applyFont="1" applyFill="1" applyBorder="1"/>
    <xf numFmtId="172" fontId="100" fillId="0" borderId="9" xfId="51500" applyNumberFormat="1" applyFont="1" applyFill="1" applyBorder="1"/>
    <xf numFmtId="164" fontId="25" fillId="0" borderId="12" xfId="51499" applyFont="1" applyFill="1" applyBorder="1"/>
    <xf numFmtId="168" fontId="25" fillId="0" borderId="5" xfId="51501" applyNumberFormat="1" applyFont="1" applyFill="1" applyBorder="1"/>
    <xf numFmtId="168" fontId="25" fillId="0" borderId="9" xfId="51501" applyNumberFormat="1" applyFont="1" applyFill="1" applyBorder="1"/>
    <xf numFmtId="164" fontId="25" fillId="0" borderId="15" xfId="51499" applyFont="1" applyFill="1" applyBorder="1"/>
    <xf numFmtId="164" fontId="25" fillId="0" borderId="13" xfId="51499" applyFont="1" applyFill="1" applyBorder="1"/>
    <xf numFmtId="168" fontId="25" fillId="0" borderId="6" xfId="51501" applyNumberFormat="1" applyFont="1" applyFill="1" applyBorder="1"/>
    <xf numFmtId="164" fontId="25" fillId="0" borderId="1" xfId="51499" applyFont="1" applyFill="1" applyBorder="1"/>
    <xf numFmtId="168" fontId="25" fillId="0" borderId="13" xfId="51501" applyNumberFormat="1" applyFont="1" applyFill="1" applyBorder="1"/>
    <xf numFmtId="168" fontId="25" fillId="0" borderId="0" xfId="51501" applyNumberFormat="1" applyFont="1" applyFill="1" applyBorder="1"/>
    <xf numFmtId="164" fontId="25" fillId="0" borderId="57" xfId="51499" applyFont="1" applyFill="1" applyBorder="1"/>
    <xf numFmtId="164" fontId="25" fillId="0" borderId="52" xfId="51499" applyFont="1" applyFill="1" applyBorder="1"/>
    <xf numFmtId="168" fontId="25" fillId="0" borderId="50" xfId="51501" quotePrefix="1" applyNumberFormat="1" applyFont="1" applyFill="1" applyBorder="1" applyAlignment="1">
      <alignment horizontal="center"/>
    </xf>
    <xf numFmtId="164" fontId="25" fillId="0" borderId="52" xfId="51499" applyFont="1" applyFill="1" applyBorder="1" applyAlignment="1">
      <alignment horizontal="center"/>
    </xf>
    <xf numFmtId="164" fontId="25" fillId="0" borderId="53" xfId="51499" applyFont="1" applyFill="1" applyBorder="1"/>
    <xf numFmtId="168" fontId="25" fillId="0" borderId="55" xfId="51501" applyNumberFormat="1" applyFont="1" applyFill="1" applyBorder="1"/>
    <xf numFmtId="168" fontId="25" fillId="0" borderId="54" xfId="51501" applyNumberFormat="1" applyFont="1" applyFill="1" applyBorder="1"/>
    <xf numFmtId="174" fontId="25" fillId="0" borderId="5" xfId="51501" applyNumberFormat="1" applyFont="1" applyFill="1" applyBorder="1"/>
    <xf numFmtId="174" fontId="25" fillId="0" borderId="9" xfId="51501" applyNumberFormat="1" applyFont="1" applyFill="1" applyBorder="1"/>
    <xf numFmtId="164" fontId="25" fillId="0" borderId="12" xfId="51499" quotePrefix="1" applyFont="1" applyFill="1" applyBorder="1"/>
    <xf numFmtId="210" fontId="25" fillId="0" borderId="5" xfId="51502" applyNumberFormat="1" applyFont="1" applyFill="1" applyBorder="1"/>
    <xf numFmtId="210" fontId="25" fillId="0" borderId="9" xfId="51502" applyNumberFormat="1" applyFont="1" applyFill="1" applyBorder="1"/>
    <xf numFmtId="9" fontId="25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5" fillId="0" borderId="9" xfId="51500" applyNumberFormat="1" applyFont="1" applyFill="1" applyBorder="1"/>
    <xf numFmtId="168" fontId="25" fillId="0" borderId="9" xfId="51499" applyNumberFormat="1" applyFont="1" applyFill="1" applyBorder="1"/>
    <xf numFmtId="164" fontId="25" fillId="0" borderId="0" xfId="51499" applyFont="1" applyFill="1" applyAlignment="1">
      <alignment horizontal="centerContinuous"/>
    </xf>
    <xf numFmtId="164" fontId="25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/>
    <xf numFmtId="164" fontId="25" fillId="0" borderId="54" xfId="51499" applyFont="1" applyFill="1" applyBorder="1" applyAlignment="1" applyProtection="1">
      <alignment horizontal="center"/>
    </xf>
    <xf numFmtId="164" fontId="25" fillId="0" borderId="55" xfId="51499" applyFont="1" applyFill="1" applyBorder="1" applyAlignment="1" applyProtection="1">
      <alignment horizontal="center"/>
    </xf>
    <xf numFmtId="174" fontId="25" fillId="0" borderId="54" xfId="51499" applyNumberFormat="1" applyFont="1" applyFill="1" applyBorder="1" applyAlignment="1">
      <alignment horizontal="centerContinuous"/>
    </xf>
    <xf numFmtId="164" fontId="25" fillId="0" borderId="5" xfId="51499" applyFont="1" applyFill="1" applyBorder="1" applyAlignment="1" applyProtection="1">
      <alignment horizontal="left"/>
    </xf>
    <xf numFmtId="164" fontId="25" fillId="0" borderId="9" xfId="51499" quotePrefix="1" applyFont="1" applyFill="1" applyBorder="1"/>
    <xf numFmtId="164" fontId="25" fillId="0" borderId="9" xfId="51499" applyFont="1" applyFill="1" applyBorder="1" applyAlignment="1" applyProtection="1">
      <alignment horizontal="center"/>
    </xf>
    <xf numFmtId="164" fontId="25" fillId="0" borderId="5" xfId="51499" applyFont="1" applyFill="1" applyBorder="1"/>
    <xf numFmtId="164" fontId="25" fillId="0" borderId="5" xfId="51499" applyFont="1" applyFill="1" applyBorder="1" applyAlignment="1" applyProtection="1">
      <alignment horizontal="center"/>
    </xf>
    <xf numFmtId="164" fontId="25" fillId="0" borderId="0" xfId="51499" applyFont="1" applyFill="1" applyBorder="1" applyAlignment="1" applyProtection="1">
      <alignment horizontal="center"/>
    </xf>
    <xf numFmtId="174" fontId="25" fillId="0" borderId="9" xfId="51499" applyNumberFormat="1" applyFont="1" applyFill="1" applyBorder="1" applyAlignment="1">
      <alignment horizontal="centerContinuous"/>
    </xf>
    <xf numFmtId="164" fontId="25" fillId="0" borderId="9" xfId="51499" applyFont="1" applyFill="1" applyBorder="1" applyAlignment="1">
      <alignment horizontal="centerContinuous"/>
    </xf>
    <xf numFmtId="164" fontId="25" fillId="0" borderId="0" xfId="51499" applyFont="1" applyFill="1" applyBorder="1" applyAlignment="1" applyProtection="1">
      <alignment horizontal="centerContinuous"/>
    </xf>
    <xf numFmtId="174" fontId="25" fillId="0" borderId="9" xfId="51499" applyNumberFormat="1" applyFont="1" applyFill="1" applyBorder="1" applyAlignment="1" applyProtection="1">
      <alignment horizontal="center"/>
    </xf>
    <xf numFmtId="164" fontId="100" fillId="0" borderId="51" xfId="51499" applyFont="1" applyFill="1" applyBorder="1" applyAlignment="1" applyProtection="1">
      <alignment horizontal="left"/>
    </xf>
    <xf numFmtId="164" fontId="25" fillId="0" borderId="50" xfId="51499" applyFont="1" applyFill="1" applyBorder="1"/>
    <xf numFmtId="37" fontId="25" fillId="0" borderId="50" xfId="51499" applyNumberFormat="1" applyFont="1" applyFill="1" applyBorder="1" applyProtection="1"/>
    <xf numFmtId="174" fontId="25" fillId="0" borderId="51" xfId="51499" applyNumberFormat="1" applyFont="1" applyFill="1" applyBorder="1"/>
    <xf numFmtId="164" fontId="25" fillId="0" borderId="0" xfId="51499" applyFont="1" applyFill="1" applyBorder="1" applyAlignment="1" applyProtection="1">
      <alignment horizontal="left"/>
    </xf>
    <xf numFmtId="174" fontId="25" fillId="0" borderId="9" xfId="51499" applyNumberFormat="1" applyFont="1" applyFill="1" applyBorder="1"/>
    <xf numFmtId="164" fontId="25" fillId="0" borderId="5" xfId="51499" applyFont="1" applyFill="1" applyBorder="1" applyProtection="1"/>
    <xf numFmtId="164" fontId="25" fillId="0" borderId="9" xfId="51499" quotePrefix="1" applyFont="1" applyFill="1" applyBorder="1" applyAlignment="1">
      <alignment horizontal="left"/>
    </xf>
    <xf numFmtId="37" fontId="25" fillId="0" borderId="9" xfId="51499" applyNumberFormat="1" applyFont="1" applyFill="1" applyBorder="1" applyProtection="1"/>
    <xf numFmtId="37" fontId="25" fillId="0" borderId="5" xfId="51499" applyNumberFormat="1" applyFont="1" applyFill="1" applyBorder="1" applyProtection="1"/>
    <xf numFmtId="37" fontId="25" fillId="0" borderId="0" xfId="51499" applyNumberFormat="1" applyFont="1" applyFill="1" applyBorder="1" applyProtection="1"/>
    <xf numFmtId="174" fontId="25" fillId="0" borderId="9" xfId="51501" applyNumberFormat="1" applyFont="1" applyFill="1" applyBorder="1" applyProtection="1"/>
    <xf numFmtId="39" fontId="25" fillId="0" borderId="9" xfId="51499" applyNumberFormat="1" applyFont="1" applyFill="1" applyBorder="1" applyProtection="1"/>
    <xf numFmtId="37" fontId="25" fillId="0" borderId="13" xfId="51499" applyNumberFormat="1" applyFont="1" applyFill="1" applyBorder="1" applyProtection="1"/>
    <xf numFmtId="164" fontId="25" fillId="0" borderId="6" xfId="51499" applyFont="1" applyFill="1" applyBorder="1" applyProtection="1"/>
    <xf numFmtId="164" fontId="25" fillId="0" borderId="51" xfId="51499" applyFont="1" applyFill="1" applyBorder="1" applyAlignment="1" applyProtection="1">
      <alignment horizontal="left"/>
    </xf>
    <xf numFmtId="37" fontId="25" fillId="0" borderId="52" xfId="51499" applyNumberFormat="1" applyFont="1" applyFill="1" applyBorder="1" applyProtection="1"/>
    <xf numFmtId="37" fontId="25" fillId="0" borderId="51" xfId="51499" applyNumberFormat="1" applyFont="1" applyFill="1" applyBorder="1" applyProtection="1"/>
    <xf numFmtId="37" fontId="25" fillId="0" borderId="57" xfId="51499" applyNumberFormat="1" applyFont="1" applyFill="1" applyBorder="1" applyProtection="1"/>
    <xf numFmtId="174" fontId="25" fillId="0" borderId="50" xfId="51499" applyNumberFormat="1" applyFont="1" applyFill="1" applyBorder="1" applyProtection="1"/>
    <xf numFmtId="174" fontId="25" fillId="0" borderId="51" xfId="51499" applyNumberFormat="1" applyFont="1" applyFill="1" applyBorder="1" applyProtection="1"/>
    <xf numFmtId="164" fontId="25" fillId="0" borderId="55" xfId="51499" applyFont="1" applyFill="1" applyBorder="1" applyProtection="1"/>
    <xf numFmtId="37" fontId="25" fillId="0" borderId="55" xfId="51499" applyNumberFormat="1" applyFont="1" applyFill="1" applyBorder="1" applyProtection="1"/>
    <xf numFmtId="174" fontId="25" fillId="0" borderId="55" xfId="51499" applyNumberFormat="1" applyFont="1" applyFill="1" applyBorder="1"/>
    <xf numFmtId="37" fontId="105" fillId="0" borderId="9" xfId="51499" applyNumberFormat="1" applyFont="1" applyFill="1" applyBorder="1" applyAlignment="1" applyProtection="1">
      <alignment horizontal="left"/>
    </xf>
    <xf numFmtId="174" fontId="25" fillId="0" borderId="5" xfId="51499" applyNumberFormat="1" applyFont="1" applyFill="1" applyBorder="1" applyAlignment="1" applyProtection="1">
      <alignment horizontal="left"/>
    </xf>
    <xf numFmtId="164" fontId="25" fillId="0" borderId="9" xfId="51499" applyFont="1" applyFill="1" applyBorder="1" applyAlignment="1" applyProtection="1">
      <alignment horizontal="left"/>
    </xf>
    <xf numFmtId="211" fontId="25" fillId="0" borderId="0" xfId="51500" applyNumberFormat="1" applyFont="1" applyFill="1" applyBorder="1" applyProtection="1"/>
    <xf numFmtId="164" fontId="25" fillId="0" borderId="15" xfId="51499" applyFont="1" applyFill="1" applyBorder="1" applyAlignment="1" applyProtection="1">
      <alignment horizontal="left"/>
    </xf>
    <xf numFmtId="164" fontId="25" fillId="0" borderId="6" xfId="51499" applyFont="1" applyFill="1" applyBorder="1" applyAlignment="1" applyProtection="1">
      <alignment horizontal="center"/>
    </xf>
    <xf numFmtId="37" fontId="25" fillId="0" borderId="6" xfId="51499" applyNumberFormat="1" applyFont="1" applyFill="1" applyBorder="1" applyProtection="1"/>
    <xf numFmtId="37" fontId="25" fillId="0" borderId="1" xfId="51499" applyNumberFormat="1" applyFont="1" applyFill="1" applyBorder="1" applyProtection="1"/>
    <xf numFmtId="37" fontId="25" fillId="0" borderId="15" xfId="51499" applyNumberFormat="1" applyFont="1" applyFill="1" applyBorder="1" applyProtection="1"/>
    <xf numFmtId="174" fontId="25" fillId="0" borderId="13" xfId="51499" applyNumberFormat="1" applyFont="1" applyFill="1" applyBorder="1"/>
    <xf numFmtId="43" fontId="25" fillId="0" borderId="9" xfId="51501" applyFont="1" applyFill="1" applyBorder="1"/>
    <xf numFmtId="164" fontId="25" fillId="0" borderId="9" xfId="51499" quotePrefix="1" applyFont="1" applyFill="1" applyBorder="1" applyAlignment="1" applyProtection="1">
      <alignment horizontal="center"/>
    </xf>
    <xf numFmtId="164" fontId="25" fillId="0" borderId="13" xfId="51499" quotePrefix="1" applyFont="1" applyFill="1" applyBorder="1" applyAlignment="1" applyProtection="1">
      <alignment horizontal="center"/>
    </xf>
    <xf numFmtId="164" fontId="25" fillId="0" borderId="1" xfId="51499" applyFont="1" applyFill="1" applyBorder="1" applyAlignment="1" applyProtection="1">
      <alignment horizontal="left"/>
    </xf>
    <xf numFmtId="174" fontId="25" fillId="0" borderId="5" xfId="51499" applyNumberFormat="1" applyFont="1" applyFill="1" applyBorder="1"/>
    <xf numFmtId="164" fontId="100" fillId="0" borderId="1" xfId="51499" applyFont="1" applyFill="1" applyBorder="1" applyAlignment="1" applyProtection="1">
      <alignment horizontal="left"/>
    </xf>
    <xf numFmtId="174" fontId="25" fillId="0" borderId="1" xfId="51499" applyNumberFormat="1" applyFont="1" applyFill="1" applyBorder="1" applyProtection="1"/>
    <xf numFmtId="174" fontId="25" fillId="0" borderId="9" xfId="51499" applyNumberFormat="1" applyFont="1" applyFill="1" applyBorder="1" applyProtection="1"/>
    <xf numFmtId="37" fontId="100" fillId="0" borderId="0" xfId="51499" applyNumberFormat="1" applyFont="1" applyFill="1" applyBorder="1" applyAlignment="1" applyProtection="1">
      <alignment horizontal="left"/>
    </xf>
    <xf numFmtId="174" fontId="25" fillId="0" borderId="50" xfId="51499" applyNumberFormat="1" applyFont="1" applyFill="1" applyBorder="1"/>
    <xf numFmtId="168" fontId="25" fillId="0" borderId="52" xfId="51501" applyNumberFormat="1" applyFont="1" applyFill="1" applyBorder="1"/>
    <xf numFmtId="164" fontId="25" fillId="0" borderId="1" xfId="51499" applyFont="1" applyFill="1" applyBorder="1" applyAlignment="1">
      <alignment horizontal="center"/>
    </xf>
    <xf numFmtId="168" fontId="25" fillId="0" borderId="1" xfId="51503" applyNumberFormat="1" applyFont="1" applyFill="1" applyBorder="1" applyProtection="1"/>
    <xf numFmtId="168" fontId="25" fillId="0" borderId="1" xfId="51503" applyNumberFormat="1" applyFont="1" applyFill="1" applyBorder="1"/>
    <xf numFmtId="173" fontId="25" fillId="0" borderId="1" xfId="51504" applyNumberFormat="1" applyFont="1" applyFill="1" applyBorder="1" applyProtection="1"/>
    <xf numFmtId="172" fontId="25" fillId="0" borderId="1" xfId="51504" applyNumberFormat="1" applyFont="1" applyFill="1" applyBorder="1" applyProtection="1"/>
    <xf numFmtId="10" fontId="25" fillId="0" borderId="1" xfId="51505" applyNumberFormat="1" applyFont="1" applyFill="1" applyBorder="1" applyProtection="1"/>
    <xf numFmtId="164" fontId="25" fillId="0" borderId="12" xfId="51499" applyFont="1" applyFill="1" applyBorder="1" applyAlignment="1" applyProtection="1">
      <alignment horizontal="center"/>
    </xf>
    <xf numFmtId="164" fontId="25" fillId="0" borderId="12" xfId="51499" applyFont="1" applyFill="1" applyBorder="1" applyAlignment="1" applyProtection="1">
      <alignment horizontal="left"/>
    </xf>
    <xf numFmtId="168" fontId="25" fillId="0" borderId="55" xfId="51503" applyNumberFormat="1" applyFont="1" applyFill="1" applyBorder="1"/>
    <xf numFmtId="168" fontId="25" fillId="0" borderId="53" xfId="51503" applyNumberFormat="1" applyFont="1" applyFill="1" applyBorder="1" applyProtection="1"/>
    <xf numFmtId="168" fontId="25" fillId="0" borderId="54" xfId="51503" applyNumberFormat="1" applyFont="1" applyFill="1" applyBorder="1"/>
    <xf numFmtId="173" fontId="25" fillId="0" borderId="55" xfId="51504" applyNumberFormat="1" applyFont="1" applyFill="1" applyBorder="1"/>
    <xf numFmtId="172" fontId="25" fillId="0" borderId="55" xfId="51504" applyNumberFormat="1" applyFont="1" applyFill="1" applyBorder="1"/>
    <xf numFmtId="10" fontId="25" fillId="0" borderId="55" xfId="51505" applyNumberFormat="1" applyFont="1" applyFill="1" applyBorder="1" applyProtection="1"/>
    <xf numFmtId="168" fontId="25" fillId="0" borderId="5" xfId="51503" applyNumberFormat="1" applyFont="1" applyFill="1" applyBorder="1" applyProtection="1"/>
    <xf numFmtId="168" fontId="25" fillId="0" borderId="12" xfId="51503" applyNumberFormat="1" applyFont="1" applyFill="1" applyBorder="1" applyProtection="1"/>
    <xf numFmtId="168" fontId="25" fillId="0" borderId="9" xfId="51503" applyNumberFormat="1" applyFont="1" applyFill="1" applyBorder="1" applyProtection="1"/>
    <xf numFmtId="173" fontId="25" fillId="0" borderId="5" xfId="51504" applyNumberFormat="1" applyFont="1" applyFill="1" applyBorder="1" applyProtection="1"/>
    <xf numFmtId="172" fontId="25" fillId="0" borderId="5" xfId="51504" applyNumberFormat="1" applyFont="1" applyFill="1" applyBorder="1" applyProtection="1"/>
    <xf numFmtId="10" fontId="25" fillId="0" borderId="5" xfId="51505" applyNumberFormat="1" applyFont="1" applyFill="1" applyBorder="1" applyProtection="1"/>
    <xf numFmtId="168" fontId="25" fillId="0" borderId="6" xfId="51503" applyNumberFormat="1" applyFont="1" applyFill="1" applyBorder="1" applyProtection="1"/>
    <xf numFmtId="168" fontId="25" fillId="0" borderId="15" xfId="51503" applyNumberFormat="1" applyFont="1" applyFill="1" applyBorder="1" applyProtection="1"/>
    <xf numFmtId="10" fontId="25" fillId="0" borderId="6" xfId="51505" applyNumberFormat="1" applyFont="1" applyFill="1" applyBorder="1" applyProtection="1"/>
    <xf numFmtId="164" fontId="25" fillId="0" borderId="50" xfId="51499" applyFont="1" applyFill="1" applyBorder="1" applyAlignment="1">
      <alignment horizontal="center"/>
    </xf>
    <xf numFmtId="164" fontId="100" fillId="0" borderId="57" xfId="51499" applyFont="1" applyFill="1" applyBorder="1" applyAlignment="1" applyProtection="1">
      <alignment horizontal="left"/>
    </xf>
    <xf numFmtId="164" fontId="100" fillId="0" borderId="51" xfId="51499" applyFont="1" applyFill="1" applyBorder="1"/>
    <xf numFmtId="164" fontId="100" fillId="0" borderId="52" xfId="51499" applyFont="1" applyFill="1" applyBorder="1"/>
    <xf numFmtId="168" fontId="25" fillId="0" borderId="50" xfId="51503" applyNumberFormat="1" applyFont="1" applyFill="1" applyBorder="1"/>
    <xf numFmtId="168" fontId="25" fillId="0" borderId="57" xfId="51503" applyNumberFormat="1" applyFont="1" applyFill="1" applyBorder="1"/>
    <xf numFmtId="164" fontId="100" fillId="0" borderId="5" xfId="51499" applyFont="1" applyFill="1" applyBorder="1"/>
    <xf numFmtId="168" fontId="25" fillId="0" borderId="52" xfId="51503" applyNumberFormat="1" applyFont="1" applyFill="1" applyBorder="1"/>
    <xf numFmtId="164" fontId="100" fillId="0" borderId="0" xfId="51499" applyFont="1" applyFill="1" applyBorder="1"/>
    <xf numFmtId="173" fontId="100" fillId="0" borderId="50" xfId="51504" applyNumberFormat="1" applyFont="1" applyFill="1" applyBorder="1"/>
    <xf numFmtId="172" fontId="100" fillId="0" borderId="50" xfId="51504" applyNumberFormat="1" applyFont="1" applyFill="1" applyBorder="1"/>
    <xf numFmtId="10" fontId="100" fillId="0" borderId="50" xfId="51505" applyNumberFormat="1" applyFont="1" applyFill="1" applyBorder="1"/>
    <xf numFmtId="164" fontId="25" fillId="0" borderId="0" xfId="51499" applyFont="1" applyFill="1" applyBorder="1" applyAlignment="1">
      <alignment horizontal="center"/>
    </xf>
    <xf numFmtId="164" fontId="100" fillId="0" borderId="0" xfId="51499" applyFont="1" applyFill="1" applyBorder="1" applyAlignment="1" applyProtection="1">
      <alignment horizontal="left"/>
    </xf>
    <xf numFmtId="168" fontId="100" fillId="0" borderId="51" xfId="51503" applyNumberFormat="1" applyFont="1" applyFill="1" applyBorder="1"/>
    <xf numFmtId="168" fontId="100" fillId="0" borderId="0" xfId="51503" applyNumberFormat="1" applyFont="1" applyFill="1" applyBorder="1"/>
    <xf numFmtId="173" fontId="100" fillId="0" borderId="0" xfId="51504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5" fillId="0" borderId="57" xfId="51499" applyFont="1" applyFill="1" applyBorder="1" applyAlignment="1">
      <alignment horizontal="center"/>
    </xf>
    <xf numFmtId="168" fontId="100" fillId="0" borderId="50" xfId="51503" applyNumberFormat="1" applyFont="1" applyFill="1" applyBorder="1"/>
    <xf numFmtId="168" fontId="100" fillId="0" borderId="57" xfId="51503" applyNumberFormat="1" applyFont="1" applyFill="1" applyBorder="1"/>
    <xf numFmtId="168" fontId="100" fillId="0" borderId="6" xfId="51503" applyNumberFormat="1" applyFont="1" applyFill="1" applyBorder="1"/>
    <xf numFmtId="168" fontId="100" fillId="0" borderId="52" xfId="51503" applyNumberFormat="1" applyFont="1" applyFill="1" applyBorder="1"/>
    <xf numFmtId="37" fontId="100" fillId="0" borderId="50" xfId="51499" applyNumberFormat="1" applyFont="1" applyFill="1" applyBorder="1"/>
    <xf numFmtId="164" fontId="25" fillId="0" borderId="0" xfId="51506" applyFont="1" applyFill="1" applyAlignment="1" applyProtection="1">
      <alignment horizontal="center"/>
    </xf>
    <xf numFmtId="164" fontId="25" fillId="0" borderId="0" xfId="51506" applyFont="1" applyFill="1"/>
    <xf numFmtId="175" fontId="25" fillId="0" borderId="0" xfId="51506" applyNumberFormat="1" applyFont="1" applyFill="1" applyProtection="1"/>
    <xf numFmtId="7" fontId="25" fillId="0" borderId="0" xfId="51506" applyNumberFormat="1" applyFont="1" applyFill="1" applyProtection="1"/>
    <xf numFmtId="5" fontId="25" fillId="0" borderId="0" xfId="51506" applyNumberFormat="1" applyFont="1" applyFill="1" applyProtection="1"/>
    <xf numFmtId="165" fontId="25" fillId="0" borderId="0" xfId="51506" applyNumberFormat="1" applyFont="1" applyFill="1" applyProtection="1"/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100" fillId="0" borderId="0" xfId="0" applyFont="1" applyFill="1" applyBorder="1" applyAlignment="1">
      <alignment vertical="center" wrapText="1"/>
    </xf>
    <xf numFmtId="164" fontId="100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100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5" fontId="100" fillId="0" borderId="0" xfId="0" applyNumberFormat="1" applyFont="1" applyFill="1" applyBorder="1" applyProtection="1"/>
    <xf numFmtId="173" fontId="100" fillId="0" borderId="21" xfId="2" applyNumberFormat="1" applyFont="1" applyFill="1" applyBorder="1" applyProtection="1"/>
    <xf numFmtId="173" fontId="100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9" xfId="0" quotePrefix="1" applyFont="1" applyFill="1" applyBorder="1" applyAlignment="1" applyProtection="1">
      <alignment horizontal="center" wrapText="1"/>
    </xf>
    <xf numFmtId="164" fontId="25" fillId="0" borderId="60" xfId="0" applyFont="1" applyFill="1" applyBorder="1" applyAlignment="1" applyProtection="1">
      <alignment horizontal="center"/>
    </xf>
    <xf numFmtId="164" fontId="25" fillId="0" borderId="59" xfId="0" applyFont="1" applyFill="1" applyBorder="1" applyAlignment="1" applyProtection="1">
      <alignment horizontal="center"/>
    </xf>
    <xf numFmtId="173" fontId="25" fillId="0" borderId="59" xfId="2" applyNumberFormat="1" applyFont="1" applyFill="1" applyBorder="1" applyAlignment="1" applyProtection="1">
      <alignment horizontal="center"/>
    </xf>
    <xf numFmtId="173" fontId="25" fillId="0" borderId="59" xfId="2" applyNumberFormat="1" applyFont="1" applyFill="1" applyBorder="1"/>
    <xf numFmtId="173" fontId="25" fillId="0" borderId="59" xfId="2" applyNumberFormat="1" applyFont="1" applyFill="1" applyBorder="1" applyProtection="1"/>
    <xf numFmtId="173" fontId="100" fillId="0" borderId="59" xfId="2" applyNumberFormat="1" applyFont="1" applyFill="1" applyBorder="1" applyProtection="1"/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106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100" fillId="0" borderId="0" xfId="4" applyFont="1" applyFill="1" applyAlignment="1" applyProtection="1"/>
    <xf numFmtId="164" fontId="25" fillId="0" borderId="0" xfId="20" applyFont="1" applyFill="1" applyAlignment="1">
      <alignment horizontal="center"/>
    </xf>
    <xf numFmtId="164" fontId="25" fillId="0" borderId="0" xfId="20" applyFont="1" applyFill="1"/>
    <xf numFmtId="164" fontId="25" fillId="0" borderId="0" xfId="20" applyFont="1" applyFill="1" applyBorder="1"/>
    <xf numFmtId="174" fontId="25" fillId="0" borderId="0" xfId="20" applyNumberFormat="1" applyFont="1" applyFill="1"/>
    <xf numFmtId="164" fontId="25" fillId="0" borderId="0" xfId="20" applyFont="1" applyFill="1" applyAlignment="1">
      <alignment horizontal="centerContinuous"/>
    </xf>
    <xf numFmtId="174" fontId="25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5" fillId="0" borderId="0" xfId="20" quotePrefix="1" applyFont="1" applyFill="1" applyAlignment="1">
      <alignment horizontal="centerContinuous"/>
    </xf>
    <xf numFmtId="164" fontId="25" fillId="0" borderId="4" xfId="20" applyFont="1" applyFill="1" applyBorder="1" applyAlignment="1">
      <alignment horizontal="center"/>
    </xf>
    <xf numFmtId="164" fontId="25" fillId="0" borderId="2" xfId="20" applyFont="1" applyFill="1" applyBorder="1"/>
    <xf numFmtId="164" fontId="25" fillId="0" borderId="16" xfId="20" applyFont="1" applyFill="1" applyBorder="1"/>
    <xf numFmtId="164" fontId="25" fillId="0" borderId="4" xfId="20" applyFont="1" applyFill="1" applyBorder="1" applyAlignment="1" applyProtection="1">
      <alignment horizontal="center"/>
    </xf>
    <xf numFmtId="164" fontId="25" fillId="0" borderId="9" xfId="20" applyFont="1" applyFill="1" applyBorder="1"/>
    <xf numFmtId="174" fontId="25" fillId="0" borderId="16" xfId="20" applyNumberFormat="1" applyFont="1" applyFill="1" applyBorder="1" applyAlignment="1">
      <alignment horizontal="centerContinuous"/>
    </xf>
    <xf numFmtId="164" fontId="25" fillId="0" borderId="4" xfId="20" applyFont="1" applyFill="1" applyBorder="1"/>
    <xf numFmtId="164" fontId="25" fillId="0" borderId="5" xfId="20" applyFont="1" applyFill="1" applyBorder="1" applyAlignment="1" applyProtection="1">
      <alignment horizontal="center"/>
    </xf>
    <xf numFmtId="164" fontId="25" fillId="0" borderId="9" xfId="20" quotePrefix="1" applyFont="1" applyFill="1" applyBorder="1"/>
    <xf numFmtId="164" fontId="25" fillId="0" borderId="9" xfId="20" applyFont="1" applyFill="1" applyBorder="1" applyAlignment="1" applyProtection="1">
      <alignment horizontal="center"/>
    </xf>
    <xf numFmtId="174" fontId="25" fillId="0" borderId="9" xfId="20" applyNumberFormat="1" applyFont="1" applyFill="1" applyBorder="1" applyAlignment="1">
      <alignment horizontal="centerContinuous"/>
    </xf>
    <xf numFmtId="164" fontId="25" fillId="0" borderId="9" xfId="20" applyFont="1" applyFill="1" applyBorder="1" applyAlignment="1">
      <alignment horizontal="centerContinuous"/>
    </xf>
    <xf numFmtId="164" fontId="25" fillId="0" borderId="5" xfId="20" applyFont="1" applyFill="1" applyBorder="1" applyAlignment="1">
      <alignment horizontal="center"/>
    </xf>
    <xf numFmtId="164" fontId="25" fillId="0" borderId="0" xfId="20" applyFont="1" applyFill="1" applyBorder="1" applyAlignment="1" applyProtection="1">
      <alignment horizontal="centerContinuous"/>
    </xf>
    <xf numFmtId="164" fontId="25" fillId="0" borderId="6" xfId="20" applyFont="1" applyFill="1" applyBorder="1" applyAlignment="1" applyProtection="1">
      <alignment horizontal="center"/>
    </xf>
    <xf numFmtId="164" fontId="25" fillId="0" borderId="9" xfId="20" applyFont="1" applyFill="1" applyBorder="1" applyAlignment="1">
      <alignment horizontal="center"/>
    </xf>
    <xf numFmtId="164" fontId="25" fillId="0" borderId="0" xfId="20" applyFont="1" applyFill="1" applyBorder="1" applyAlignment="1">
      <alignment horizontal="center"/>
    </xf>
    <xf numFmtId="174" fontId="25" fillId="0" borderId="9" xfId="20" applyNumberFormat="1" applyFont="1" applyFill="1" applyBorder="1" applyAlignment="1" applyProtection="1">
      <alignment horizontal="center"/>
    </xf>
    <xf numFmtId="164" fontId="25" fillId="0" borderId="6" xfId="20" applyFont="1" applyFill="1" applyBorder="1" applyAlignment="1">
      <alignment horizontal="center"/>
    </xf>
    <xf numFmtId="164" fontId="25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5" fillId="0" borderId="3" xfId="20" applyFont="1" applyFill="1" applyBorder="1"/>
    <xf numFmtId="37" fontId="25" fillId="0" borderId="3" xfId="20" applyNumberFormat="1" applyFont="1" applyFill="1" applyBorder="1" applyProtection="1"/>
    <xf numFmtId="174" fontId="25" fillId="0" borderId="3" xfId="20" applyNumberFormat="1" applyFont="1" applyFill="1" applyBorder="1"/>
    <xf numFmtId="164" fontId="25" fillId="0" borderId="8" xfId="20" applyFont="1" applyFill="1" applyBorder="1"/>
    <xf numFmtId="164" fontId="25" fillId="0" borderId="0" xfId="20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4" applyNumberFormat="1" applyFont="1" applyFill="1" applyBorder="1" applyProtection="1"/>
    <xf numFmtId="10" fontId="25" fillId="0" borderId="4" xfId="20" applyNumberFormat="1" applyFont="1" applyFill="1" applyBorder="1"/>
    <xf numFmtId="164" fontId="25" fillId="0" borderId="9" xfId="20" quotePrefix="1" applyFont="1" applyFill="1" applyBorder="1" applyAlignment="1">
      <alignment horizontal="left"/>
    </xf>
    <xf numFmtId="37" fontId="25" fillId="0" borderId="9" xfId="20" applyNumberFormat="1" applyFont="1" applyFill="1" applyBorder="1" applyProtection="1"/>
    <xf numFmtId="37" fontId="25" fillId="0" borderId="0" xfId="20" applyNumberFormat="1" applyFont="1" applyFill="1" applyBorder="1" applyProtection="1"/>
    <xf numFmtId="10" fontId="25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37" fontId="100" fillId="0" borderId="0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100" fillId="0" borderId="8" xfId="14" applyNumberFormat="1" applyFont="1" applyFill="1" applyBorder="1" applyProtection="1"/>
    <xf numFmtId="10" fontId="25" fillId="0" borderId="6" xfId="20" applyNumberFormat="1" applyFont="1" applyFill="1" applyBorder="1"/>
    <xf numFmtId="164" fontId="25" fillId="0" borderId="1" xfId="20" applyFont="1" applyFill="1" applyBorder="1" applyAlignment="1">
      <alignment horizontal="center"/>
    </xf>
    <xf numFmtId="164" fontId="100" fillId="0" borderId="1" xfId="20" applyFont="1" applyFill="1" applyBorder="1" applyAlignment="1" applyProtection="1">
      <alignment horizontal="left"/>
    </xf>
    <xf numFmtId="164" fontId="25" fillId="0" borderId="1" xfId="20" applyFont="1" applyFill="1" applyBorder="1"/>
    <xf numFmtId="168" fontId="25" fillId="0" borderId="1" xfId="1" applyNumberFormat="1" applyFont="1" applyFill="1" applyBorder="1" applyProtection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4" applyNumberFormat="1" applyFont="1" applyFill="1" applyBorder="1" applyProtection="1"/>
    <xf numFmtId="10" fontId="25" fillId="0" borderId="0" xfId="20" applyNumberFormat="1" applyFont="1" applyFill="1"/>
    <xf numFmtId="164" fontId="25" fillId="0" borderId="12" xfId="20" applyFont="1" applyFill="1" applyBorder="1" applyAlignment="1" applyProtection="1">
      <alignment horizontal="center"/>
    </xf>
    <xf numFmtId="164" fontId="25" fillId="0" borderId="11" xfId="20" applyFont="1" applyFill="1" applyBorder="1" applyAlignment="1" applyProtection="1">
      <alignment horizontal="left"/>
    </xf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4" applyNumberFormat="1" applyFont="1" applyFill="1" applyBorder="1" applyProtection="1"/>
    <xf numFmtId="164" fontId="25" fillId="0" borderId="12" xfId="20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0" applyFont="1" applyFill="1" applyBorder="1"/>
    <xf numFmtId="164" fontId="25" fillId="0" borderId="10" xfId="20" applyFont="1" applyFill="1" applyBorder="1" applyAlignment="1">
      <alignment horizontal="center"/>
    </xf>
    <xf numFmtId="164" fontId="100" fillId="0" borderId="7" xfId="20" applyFont="1" applyFill="1" applyBorder="1" applyAlignment="1" applyProtection="1">
      <alignment horizontal="left"/>
    </xf>
    <xf numFmtId="168" fontId="100" fillId="0" borderId="10" xfId="1" applyNumberFormat="1" applyFont="1" applyFill="1" applyBorder="1"/>
    <xf numFmtId="164" fontId="100" fillId="0" borderId="0" xfId="20" applyFont="1" applyFill="1" applyBorder="1"/>
    <xf numFmtId="173" fontId="100" fillId="0" borderId="10" xfId="2" applyNumberFormat="1" applyFont="1" applyFill="1" applyBorder="1"/>
    <xf numFmtId="172" fontId="100" fillId="0" borderId="10" xfId="2" applyNumberFormat="1" applyFont="1" applyFill="1" applyBorder="1"/>
    <xf numFmtId="10" fontId="100" fillId="0" borderId="0" xfId="14" applyNumberFormat="1" applyFont="1" applyFill="1"/>
    <xf numFmtId="164" fontId="100" fillId="0" borderId="6" xfId="20" applyFont="1" applyFill="1" applyBorder="1"/>
    <xf numFmtId="164" fontId="100" fillId="0" borderId="0" xfId="20" applyFont="1" applyFill="1" applyBorder="1" applyAlignment="1" applyProtection="1">
      <alignment horizontal="left"/>
    </xf>
    <xf numFmtId="168" fontId="100" fillId="0" borderId="0" xfId="1" applyNumberFormat="1" applyFont="1" applyFill="1" applyBorder="1"/>
    <xf numFmtId="173" fontId="100" fillId="0" borderId="0" xfId="2" applyNumberFormat="1" applyFont="1" applyFill="1" applyBorder="1"/>
    <xf numFmtId="172" fontId="100" fillId="0" borderId="0" xfId="2" applyNumberFormat="1" applyFont="1" applyFill="1" applyBorder="1"/>
    <xf numFmtId="10" fontId="100" fillId="0" borderId="0" xfId="14" applyNumberFormat="1" applyFont="1" applyFill="1" applyBorder="1"/>
    <xf numFmtId="164" fontId="100" fillId="0" borderId="0" xfId="20" applyFont="1" applyFill="1"/>
    <xf numFmtId="10" fontId="100" fillId="0" borderId="10" xfId="20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100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4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4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100" fillId="0" borderId="0" xfId="0" applyFont="1" applyFill="1" applyAlignment="1"/>
    <xf numFmtId="164" fontId="25" fillId="0" borderId="0" xfId="0" applyFont="1"/>
    <xf numFmtId="164" fontId="10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87" fillId="0" borderId="0" xfId="0" applyFont="1" applyFill="1" applyBorder="1" applyAlignment="1" applyProtection="1">
      <alignment horizontal="center"/>
    </xf>
    <xf numFmtId="0" fontId="87" fillId="0" borderId="0" xfId="5834" applyFont="1" applyFill="1" applyAlignment="1">
      <alignment horizontal="center"/>
    </xf>
    <xf numFmtId="17" fontId="27" fillId="44" borderId="10" xfId="15" applyNumberFormat="1" applyFont="1" applyFill="1" applyBorder="1"/>
    <xf numFmtId="17" fontId="27" fillId="44" borderId="10" xfId="0" applyNumberFormat="1" applyFont="1" applyFill="1" applyBorder="1"/>
    <xf numFmtId="164" fontId="107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499" applyFont="1" applyFill="1"/>
    <xf numFmtId="164" fontId="11" fillId="0" borderId="0" xfId="51499" applyFont="1" applyFill="1" applyAlignment="1" applyProtection="1">
      <alignment horizontal="left"/>
    </xf>
    <xf numFmtId="43" fontId="27" fillId="0" borderId="0" xfId="5834" applyNumberFormat="1" applyFont="1" applyFill="1"/>
    <xf numFmtId="174" fontId="0" fillId="0" borderId="0" xfId="51501" applyNumberFormat="1" applyFont="1" applyFill="1"/>
    <xf numFmtId="205" fontId="25" fillId="0" borderId="0" xfId="51499" applyNumberFormat="1" applyFont="1" applyFill="1"/>
    <xf numFmtId="205" fontId="15" fillId="0" borderId="0" xfId="51499" applyNumberFormat="1" applyFill="1"/>
    <xf numFmtId="173" fontId="25" fillId="0" borderId="12" xfId="51500" applyNumberFormat="1" applyFont="1" applyFill="1" applyBorder="1"/>
    <xf numFmtId="173" fontId="25" fillId="0" borderId="0" xfId="51500" applyNumberFormat="1" applyFont="1" applyFill="1" applyBorder="1"/>
    <xf numFmtId="209" fontId="25" fillId="0" borderId="0" xfId="51499" applyNumberFormat="1" applyFont="1" applyFill="1"/>
    <xf numFmtId="175" fontId="25" fillId="0" borderId="0" xfId="51506" applyNumberFormat="1" applyFont="1" applyFill="1" applyAlignment="1" applyProtection="1">
      <alignment horizontal="center"/>
    </xf>
    <xf numFmtId="164" fontId="108" fillId="0" borderId="0" xfId="0" applyFont="1"/>
    <xf numFmtId="164" fontId="108" fillId="0" borderId="0" xfId="0" applyFont="1" applyFill="1"/>
    <xf numFmtId="17" fontId="27" fillId="0" borderId="0" xfId="0" applyNumberFormat="1" applyFont="1" applyFill="1" applyBorder="1"/>
    <xf numFmtId="164" fontId="27" fillId="0" borderId="0" xfId="0" quotePrefix="1" applyFont="1" applyFill="1" applyAlignment="1">
      <alignment horizontal="left"/>
    </xf>
    <xf numFmtId="3" fontId="27" fillId="0" borderId="0" xfId="1" applyNumberFormat="1" applyFont="1" applyFill="1"/>
    <xf numFmtId="37" fontId="1" fillId="44" borderId="10" xfId="0" applyNumberFormat="1" applyFont="1" applyFill="1" applyBorder="1"/>
    <xf numFmtId="168" fontId="27" fillId="44" borderId="52" xfId="15" applyNumberFormat="1" applyFont="1" applyFill="1" applyBorder="1"/>
    <xf numFmtId="37" fontId="1" fillId="44" borderId="5" xfId="0" applyNumberFormat="1" applyFont="1" applyFill="1" applyBorder="1"/>
    <xf numFmtId="37" fontId="2" fillId="44" borderId="10" xfId="0" applyNumberFormat="1" applyFont="1" applyFill="1" applyBorder="1"/>
    <xf numFmtId="3" fontId="2" fillId="44" borderId="5" xfId="0" applyNumberFormat="1" applyFont="1" applyFill="1" applyBorder="1"/>
    <xf numFmtId="37" fontId="2" fillId="44" borderId="5" xfId="0" applyNumberFormat="1" applyFont="1" applyFill="1" applyBorder="1"/>
    <xf numFmtId="168" fontId="2" fillId="44" borderId="10" xfId="1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100" fillId="0" borderId="0" xfId="51499" applyFont="1" applyFill="1" applyAlignment="1" applyProtection="1">
      <alignment horizontal="center"/>
    </xf>
    <xf numFmtId="164" fontId="25" fillId="0" borderId="2" xfId="20" applyFont="1" applyFill="1" applyBorder="1" applyAlignment="1" applyProtection="1">
      <alignment horizontal="center"/>
    </xf>
    <xf numFmtId="164" fontId="25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8" fontId="25" fillId="0" borderId="1" xfId="1" applyNumberFormat="1" applyFont="1" applyFill="1" applyBorder="1"/>
    <xf numFmtId="168" fontId="25" fillId="0" borderId="4" xfId="1" applyNumberFormat="1" applyFont="1" applyFill="1" applyBorder="1"/>
    <xf numFmtId="168" fontId="100" fillId="0" borderId="3" xfId="1" applyNumberFormat="1" applyFont="1" applyFill="1" applyBorder="1"/>
    <xf numFmtId="164" fontId="87" fillId="0" borderId="0" xfId="0" quotePrefix="1" applyFont="1" applyFill="1" applyAlignment="1"/>
    <xf numFmtId="17" fontId="87" fillId="0" borderId="0" xfId="0" quotePrefix="1" applyNumberFormat="1" applyFont="1" applyFill="1" applyAlignment="1" applyProtection="1">
      <alignment horizontal="center"/>
    </xf>
    <xf numFmtId="164" fontId="87" fillId="0" borderId="0" xfId="0" applyFont="1" applyFill="1" applyAlignment="1">
      <alignment horizontal="centerContinuous"/>
    </xf>
    <xf numFmtId="173" fontId="25" fillId="0" borderId="9" xfId="51500" applyNumberFormat="1" applyFont="1" applyFill="1" applyBorder="1"/>
    <xf numFmtId="173" fontId="25" fillId="0" borderId="5" xfId="51500" applyNumberFormat="1" applyFont="1" applyFill="1" applyBorder="1"/>
    <xf numFmtId="210" fontId="0" fillId="0" borderId="0" xfId="51502" applyNumberFormat="1" applyFont="1" applyFill="1"/>
    <xf numFmtId="164" fontId="15" fillId="0" borderId="0" xfId="51506" applyFont="1" applyFill="1" applyProtection="1"/>
    <xf numFmtId="164" fontId="25" fillId="0" borderId="0" xfId="51506" applyFont="1" applyFill="1" applyProtection="1"/>
    <xf numFmtId="164" fontId="25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>
      <alignment horizontal="centerContinuous"/>
    </xf>
    <xf numFmtId="164" fontId="25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 applyProtection="1">
      <alignment horizontal="right"/>
    </xf>
    <xf numFmtId="10" fontId="25" fillId="0" borderId="0" xfId="51506" applyNumberFormat="1" applyFont="1" applyFill="1" applyProtection="1"/>
    <xf numFmtId="7" fontId="25" fillId="0" borderId="0" xfId="51506" applyNumberFormat="1" applyFont="1" applyFill="1"/>
    <xf numFmtId="37" fontId="25" fillId="0" borderId="0" xfId="51506" applyNumberFormat="1" applyFont="1" applyFill="1" applyAlignment="1" applyProtection="1">
      <alignment horizontal="right"/>
    </xf>
    <xf numFmtId="10" fontId="15" fillId="0" borderId="0" xfId="51506" applyNumberFormat="1" applyFont="1" applyFill="1"/>
    <xf numFmtId="9" fontId="15" fillId="0" borderId="0" xfId="14" applyFont="1" applyFill="1"/>
    <xf numFmtId="10" fontId="15" fillId="0" borderId="0" xfId="14" applyNumberFormat="1" applyFont="1" applyFill="1"/>
    <xf numFmtId="168" fontId="15" fillId="0" borderId="0" xfId="1" applyNumberFormat="1" applyFont="1" applyFill="1"/>
    <xf numFmtId="0" fontId="87" fillId="0" borderId="0" xfId="5834" applyFont="1" applyFill="1" applyAlignment="1">
      <alignment horizontal="center"/>
    </xf>
    <xf numFmtId="2" fontId="27" fillId="0" borderId="0" xfId="20" applyNumberFormat="1" applyFont="1" applyFill="1"/>
    <xf numFmtId="164" fontId="100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0" fontId="87" fillId="0" borderId="1" xfId="5834" quotePrefix="1" applyFont="1" applyFill="1" applyBorder="1" applyAlignment="1">
      <alignment horizontal="center" wrapText="1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14" fontId="87" fillId="0" borderId="0" xfId="0" applyNumberFormat="1" applyFont="1" applyFill="1" applyAlignment="1" applyProtection="1">
      <alignment horizontal="center"/>
    </xf>
    <xf numFmtId="14" fontId="90" fillId="0" borderId="0" xfId="0" applyNumberFormat="1" applyFont="1" applyFill="1" applyAlignment="1">
      <alignment horizontal="centerContinuous"/>
    </xf>
    <xf numFmtId="37" fontId="87" fillId="0" borderId="0" xfId="2" applyNumberFormat="1" applyFont="1" applyFill="1"/>
    <xf numFmtId="174" fontId="25" fillId="0" borderId="0" xfId="51501" applyNumberFormat="1" applyFont="1" applyFill="1"/>
    <xf numFmtId="0" fontId="25" fillId="0" borderId="6" xfId="3" quotePrefix="1" applyFont="1" applyFill="1" applyBorder="1" applyAlignment="1" applyProtection="1">
      <alignment horizontal="center"/>
    </xf>
    <xf numFmtId="173" fontId="15" fillId="0" borderId="0" xfId="2" applyNumberFormat="1" applyFont="1" applyFill="1"/>
    <xf numFmtId="173" fontId="27" fillId="0" borderId="0" xfId="3" applyNumberFormat="1" applyFont="1" applyFill="1"/>
    <xf numFmtId="10" fontId="25" fillId="0" borderId="55" xfId="20" applyNumberFormat="1" applyFont="1" applyFill="1" applyBorder="1"/>
    <xf numFmtId="164" fontId="25" fillId="0" borderId="6" xfId="20" applyFont="1" applyFill="1" applyBorder="1"/>
    <xf numFmtId="43" fontId="87" fillId="0" borderId="0" xfId="1" applyFont="1" applyFill="1"/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00" fillId="0" borderId="43" xfId="0" quotePrefix="1" applyFont="1" applyFill="1" applyBorder="1" applyAlignment="1" applyProtection="1">
      <alignment horizontal="center"/>
    </xf>
    <xf numFmtId="164" fontId="100" fillId="0" borderId="1" xfId="0" applyFont="1" applyFill="1" applyBorder="1" applyAlignment="1" applyProtection="1">
      <alignment horizontal="center"/>
    </xf>
    <xf numFmtId="164" fontId="100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5" fillId="0" borderId="15" xfId="20" applyFont="1" applyFill="1" applyBorder="1" applyAlignment="1" applyProtection="1">
      <alignment horizontal="center"/>
    </xf>
    <xf numFmtId="164" fontId="25" fillId="0" borderId="13" xfId="20" applyFont="1" applyFill="1" applyBorder="1" applyAlignment="1" applyProtection="1">
      <alignment horizontal="center"/>
    </xf>
    <xf numFmtId="164" fontId="106" fillId="0" borderId="0" xfId="4" quotePrefix="1" applyFont="1" applyFill="1" applyBorder="1" applyAlignment="1" applyProtection="1">
      <alignment horizontal="justify" wrapText="1"/>
    </xf>
    <xf numFmtId="164" fontId="106" fillId="0" borderId="0" xfId="4" applyFont="1" applyFill="1" applyAlignment="1">
      <alignment horizontal="justify" wrapText="1"/>
    </xf>
    <xf numFmtId="164" fontId="100" fillId="0" borderId="0" xfId="4" quotePrefix="1" applyFont="1" applyFill="1" applyAlignment="1" applyProtection="1">
      <alignment horizontal="center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quotePrefix="1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164" fontId="27" fillId="0" borderId="0" xfId="4" applyFont="1" applyFill="1" applyAlignment="1"/>
    <xf numFmtId="0" fontId="27" fillId="0" borderId="7" xfId="5834" applyFont="1" applyFill="1" applyBorder="1" applyAlignment="1">
      <alignment horizontal="center"/>
    </xf>
    <xf numFmtId="0" fontId="27" fillId="0" borderId="3" xfId="5834" applyFont="1" applyFill="1" applyBorder="1" applyAlignment="1">
      <alignment horizontal="center"/>
    </xf>
    <xf numFmtId="0" fontId="27" fillId="0" borderId="8" xfId="5834" applyFont="1" applyFill="1" applyBorder="1" applyAlignment="1">
      <alignment horizontal="center"/>
    </xf>
    <xf numFmtId="0" fontId="87" fillId="0" borderId="0" xfId="5834" applyFont="1" applyFill="1" applyAlignment="1">
      <alignment horizontal="center"/>
    </xf>
    <xf numFmtId="0" fontId="87" fillId="45" borderId="0" xfId="5834" applyFont="1" applyFill="1" applyAlignment="1">
      <alignment horizontal="center"/>
    </xf>
  </cellXfs>
  <cellStyles count="51507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n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W20-09-01%20Gas%20Cost%20WP,%2009-15-2020(C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OLK152\2008%20TTA%20filing%20-%20Update%205-1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OR Gas Cost Track"/>
      <sheetName val="Director view-WA Gas Cost Track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IV-1a Glossary"/>
      <sheetName val="SENDOUT Inputs"/>
      <sheetName val="Mark to Market Input"/>
      <sheetName val="Storage Report"/>
      <sheetName val="RP view Sys Gas Cost Track"/>
    </sheetNames>
    <sheetDataSet>
      <sheetData sheetId="0" refreshError="1"/>
      <sheetData sheetId="1">
        <row r="101">
          <cell r="W101">
            <v>65665947.741346508</v>
          </cell>
          <cell r="Y101">
            <v>42662500.055220172</v>
          </cell>
          <cell r="AC101">
            <v>262104646.08524853</v>
          </cell>
        </row>
        <row r="109">
          <cell r="W109">
            <v>5.4872944999999618E-3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2"/>
      <sheetName val="Ex1-p3"/>
      <sheetName val="Ex1-p4"/>
      <sheetName val="Ex1-p5"/>
      <sheetName val="Ex1-p6 (2)"/>
      <sheetName val="Ex1-p6"/>
      <sheetName val="Ex1-p7"/>
      <sheetName val="Ex1-p7-Inc"/>
      <sheetName val="Balances at 6-30-08"/>
      <sheetName val="Int calc thru 10-31-08"/>
      <sheetName val="Amort Calc thru 10-31-08"/>
      <sheetName val="Estimated Balances"/>
      <sheetName val="Int during Amort Calc"/>
      <sheetName val="Technical Adj Reversal"/>
      <sheetName val="Test Period Volumes"/>
      <sheetName val="Demand Calc"/>
      <sheetName val="Actual Bills"/>
      <sheetName val="Actual therms"/>
      <sheetName val="Actual.Rev"/>
      <sheetName val="Margin"/>
      <sheetName val="Firm reservation"/>
      <sheetName val="Ex1-p5-not used"/>
      <sheetName val="General Inputs"/>
    </sheetNames>
    <sheetDataSet>
      <sheetData sheetId="0"/>
      <sheetData sheetId="1"/>
      <sheetData sheetId="2"/>
      <sheetData sheetId="3">
        <row r="48">
          <cell r="G48">
            <v>5829683</v>
          </cell>
          <cell r="K48">
            <v>918684.11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workbookViewId="0">
      <selection activeCell="B26" sqref="B26"/>
    </sheetView>
  </sheetViews>
  <sheetFormatPr defaultRowHeight="10.5"/>
  <cols>
    <col min="2" max="2" width="67.109375" bestFit="1" customWidth="1"/>
    <col min="6" max="6" width="10.109375" bestFit="1" customWidth="1"/>
  </cols>
  <sheetData>
    <row r="2" spans="2:10" ht="15">
      <c r="B2" s="828" t="s">
        <v>217</v>
      </c>
      <c r="C2" s="828"/>
      <c r="D2" s="828"/>
      <c r="E2" s="828"/>
      <c r="F2" s="828"/>
      <c r="G2" s="746"/>
      <c r="H2" s="746"/>
      <c r="I2" s="746"/>
      <c r="J2" s="746"/>
    </row>
    <row r="4" spans="2:10" ht="15">
      <c r="B4" s="827" t="s">
        <v>291</v>
      </c>
      <c r="C4" s="827"/>
      <c r="D4" s="827"/>
      <c r="E4" s="827"/>
      <c r="F4" s="827"/>
      <c r="G4" s="747"/>
      <c r="H4" s="747"/>
      <c r="I4" s="747"/>
      <c r="J4" s="747"/>
    </row>
    <row r="7" spans="2:10" ht="15">
      <c r="B7" s="827" t="s">
        <v>317</v>
      </c>
      <c r="C7" s="827"/>
      <c r="D7" s="827"/>
      <c r="E7" s="827"/>
      <c r="F7" s="827"/>
    </row>
    <row r="10" spans="2:10" ht="15.5">
      <c r="B10" s="743" t="s">
        <v>0</v>
      </c>
      <c r="C10" s="742"/>
      <c r="D10" s="742"/>
      <c r="E10" s="742"/>
      <c r="F10" s="743" t="s">
        <v>292</v>
      </c>
      <c r="G10" s="742"/>
    </row>
    <row r="11" spans="2:10" ht="15.5">
      <c r="B11" s="742"/>
      <c r="C11" s="742"/>
      <c r="D11" s="742"/>
      <c r="E11" s="742"/>
      <c r="F11" s="742"/>
      <c r="G11" s="742"/>
    </row>
    <row r="12" spans="2:10" ht="15.5">
      <c r="B12" s="742" t="s">
        <v>321</v>
      </c>
      <c r="C12" s="742"/>
      <c r="D12" s="742"/>
      <c r="E12" s="742"/>
      <c r="F12" s="745" t="s">
        <v>307</v>
      </c>
      <c r="G12" s="742"/>
    </row>
    <row r="13" spans="2:10" ht="15.5">
      <c r="B13" s="742" t="s">
        <v>349</v>
      </c>
      <c r="C13" s="742"/>
      <c r="D13" s="742"/>
      <c r="E13" s="742"/>
      <c r="F13" s="744">
        <v>3</v>
      </c>
      <c r="G13" s="742"/>
    </row>
    <row r="14" spans="2:10" ht="15.5">
      <c r="B14" s="742" t="s">
        <v>293</v>
      </c>
      <c r="C14" s="742"/>
      <c r="D14" s="742"/>
      <c r="E14" s="742"/>
      <c r="F14" s="744">
        <v>4</v>
      </c>
      <c r="G14" s="742"/>
    </row>
    <row r="15" spans="2:10" ht="15.5">
      <c r="B15" s="742" t="s">
        <v>294</v>
      </c>
      <c r="C15" s="742"/>
      <c r="D15" s="742"/>
      <c r="E15" s="742"/>
      <c r="F15" s="744">
        <v>5</v>
      </c>
      <c r="G15" s="742"/>
    </row>
    <row r="16" spans="2:10" ht="15.5">
      <c r="B16" s="742" t="s">
        <v>295</v>
      </c>
      <c r="C16" s="742"/>
      <c r="D16" s="742"/>
      <c r="E16" s="742"/>
      <c r="F16" s="744">
        <v>6</v>
      </c>
      <c r="G16" s="742"/>
    </row>
    <row r="17" spans="2:7" ht="15.5">
      <c r="B17" s="742" t="s">
        <v>322</v>
      </c>
      <c r="C17" s="742"/>
      <c r="D17" s="742"/>
      <c r="E17" s="742"/>
      <c r="F17" s="744">
        <v>7</v>
      </c>
      <c r="G17" s="742"/>
    </row>
    <row r="18" spans="2:7" ht="15.5">
      <c r="B18" s="742" t="s">
        <v>296</v>
      </c>
      <c r="C18" s="742"/>
      <c r="D18" s="742"/>
      <c r="E18" s="742"/>
      <c r="F18" s="744">
        <v>8</v>
      </c>
      <c r="G18" s="742"/>
    </row>
    <row r="19" spans="2:7" ht="15.5">
      <c r="B19" s="742" t="s">
        <v>297</v>
      </c>
      <c r="C19" s="742"/>
      <c r="D19" s="742"/>
      <c r="E19" s="742"/>
      <c r="F19" s="744">
        <v>9</v>
      </c>
      <c r="G19" s="742"/>
    </row>
    <row r="20" spans="2:7" ht="15.5">
      <c r="B20" s="742" t="s">
        <v>298</v>
      </c>
      <c r="C20" s="742"/>
      <c r="D20" s="742"/>
      <c r="E20" s="742"/>
      <c r="F20" s="744">
        <v>10</v>
      </c>
      <c r="G20" s="742"/>
    </row>
    <row r="21" spans="2:7" ht="15.5">
      <c r="B21" s="742" t="s">
        <v>318</v>
      </c>
      <c r="C21" s="742"/>
      <c r="D21" s="742"/>
      <c r="E21" s="742"/>
      <c r="F21" s="744">
        <v>11</v>
      </c>
      <c r="G21" s="742"/>
    </row>
    <row r="22" spans="2:7" ht="15.5">
      <c r="B22" s="742"/>
      <c r="C22" s="742"/>
      <c r="D22" s="742"/>
      <c r="E22" s="742"/>
      <c r="F22" s="742"/>
      <c r="G22" s="742"/>
    </row>
    <row r="23" spans="2:7" ht="15.5">
      <c r="B23" s="742"/>
      <c r="C23" s="742"/>
      <c r="D23" s="742"/>
      <c r="E23" s="742"/>
      <c r="F23" s="742"/>
      <c r="G23" s="742"/>
    </row>
    <row r="24" spans="2:7" ht="15.5">
      <c r="B24" s="742"/>
      <c r="C24" s="742"/>
      <c r="D24" s="742"/>
      <c r="E24" s="742"/>
      <c r="F24" s="742"/>
      <c r="G24" s="742"/>
    </row>
    <row r="25" spans="2:7" ht="15.5">
      <c r="B25" s="742"/>
      <c r="C25" s="742"/>
      <c r="D25" s="742"/>
      <c r="E25" s="742"/>
      <c r="F25" s="742"/>
      <c r="G25" s="742"/>
    </row>
    <row r="26" spans="2:7" ht="15.5">
      <c r="B26" s="742"/>
      <c r="C26" s="742"/>
      <c r="D26" s="742"/>
      <c r="E26" s="742"/>
      <c r="F26" s="742"/>
      <c r="G26" s="742"/>
    </row>
    <row r="27" spans="2:7" ht="15.5">
      <c r="B27" s="742"/>
      <c r="C27" s="742"/>
      <c r="D27" s="742"/>
      <c r="E27" s="742"/>
      <c r="F27" s="742"/>
      <c r="G27" s="742"/>
    </row>
    <row r="28" spans="2:7" ht="15.5">
      <c r="B28" s="742"/>
      <c r="C28" s="742"/>
      <c r="D28" s="742"/>
      <c r="E28" s="742"/>
      <c r="F28" s="742"/>
      <c r="G28" s="742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O28"/>
  <sheetViews>
    <sheetView zoomScaleNormal="100" workbookViewId="0">
      <selection activeCell="B6" sqref="B6:I6"/>
    </sheetView>
  </sheetViews>
  <sheetFormatPr defaultColWidth="12" defaultRowHeight="14.5"/>
  <cols>
    <col min="1" max="1" width="7" style="47" customWidth="1"/>
    <col min="2" max="2" width="27" style="34" bestFit="1" customWidth="1"/>
    <col min="3" max="3" width="16.109375" style="34" customWidth="1"/>
    <col min="4" max="4" width="1.77734375" style="34" customWidth="1"/>
    <col min="5" max="5" width="19" style="34" bestFit="1" customWidth="1"/>
    <col min="6" max="6" width="1.77734375" style="34" customWidth="1"/>
    <col min="7" max="7" width="16.33203125" style="34" customWidth="1"/>
    <col min="8" max="8" width="1.77734375" style="34" customWidth="1"/>
    <col min="9" max="9" width="15.33203125" style="34" customWidth="1"/>
    <col min="10" max="10" width="1.77734375" style="40" customWidth="1"/>
    <col min="11" max="16384" width="12" style="34"/>
  </cols>
  <sheetData>
    <row r="1" spans="1:15" ht="15.5">
      <c r="A1" s="712"/>
      <c r="B1" s="713"/>
      <c r="C1" s="713"/>
      <c r="D1" s="713"/>
      <c r="E1" s="713"/>
      <c r="F1" s="713"/>
      <c r="G1" s="713"/>
      <c r="H1" s="713"/>
      <c r="I1" s="713"/>
      <c r="J1" s="714"/>
      <c r="K1" s="713"/>
      <c r="L1" s="713"/>
      <c r="M1" s="713"/>
    </row>
    <row r="2" spans="1:15" ht="15.5">
      <c r="A2" s="713"/>
      <c r="B2" s="732"/>
      <c r="C2" s="713"/>
      <c r="D2" s="713"/>
      <c r="E2" s="713"/>
      <c r="F2" s="713"/>
      <c r="G2" s="713"/>
      <c r="H2" s="713"/>
      <c r="I2" s="732"/>
      <c r="J2" s="714"/>
      <c r="K2" s="758" t="str">
        <f>+'TTA Cost by Class'!I1</f>
        <v>CNGC Advice W20-09-01</v>
      </c>
      <c r="L2" s="713"/>
      <c r="M2" s="713"/>
    </row>
    <row r="3" spans="1:15" ht="15.5">
      <c r="A3" s="713"/>
      <c r="B3" s="832" t="s">
        <v>52</v>
      </c>
      <c r="C3" s="832"/>
      <c r="D3" s="832"/>
      <c r="E3" s="832"/>
      <c r="F3" s="832"/>
      <c r="G3" s="832"/>
      <c r="H3" s="832"/>
      <c r="I3" s="832"/>
      <c r="J3" s="714"/>
      <c r="K3" s="759" t="s">
        <v>290</v>
      </c>
      <c r="L3" s="713"/>
      <c r="M3" s="713"/>
    </row>
    <row r="4" spans="1:15" ht="15.5">
      <c r="A4" s="713"/>
      <c r="B4" s="832" t="s">
        <v>306</v>
      </c>
      <c r="C4" s="832"/>
      <c r="D4" s="832"/>
      <c r="E4" s="832"/>
      <c r="F4" s="832"/>
      <c r="G4" s="832"/>
      <c r="H4" s="832"/>
      <c r="I4" s="832"/>
      <c r="J4" s="714"/>
      <c r="K4" s="759" t="s">
        <v>316</v>
      </c>
      <c r="L4" s="713"/>
      <c r="M4" s="713"/>
    </row>
    <row r="5" spans="1:15" ht="15.5">
      <c r="A5" s="713"/>
      <c r="B5" s="847" t="s">
        <v>339</v>
      </c>
      <c r="C5" s="847"/>
      <c r="D5" s="847"/>
      <c r="E5" s="847"/>
      <c r="F5" s="847"/>
      <c r="G5" s="847"/>
      <c r="H5" s="847"/>
      <c r="I5" s="847"/>
      <c r="J5" s="733"/>
      <c r="K5" s="713"/>
      <c r="L5" s="713"/>
      <c r="M5" s="713"/>
    </row>
    <row r="6" spans="1:15" ht="15.5">
      <c r="A6" s="713"/>
      <c r="B6" s="832" t="s">
        <v>53</v>
      </c>
      <c r="C6" s="832"/>
      <c r="D6" s="832"/>
      <c r="E6" s="832"/>
      <c r="F6" s="832"/>
      <c r="G6" s="832"/>
      <c r="H6" s="832"/>
      <c r="I6" s="832"/>
      <c r="J6" s="733"/>
      <c r="K6" s="713"/>
      <c r="L6" s="713"/>
      <c r="M6" s="713"/>
    </row>
    <row r="7" spans="1:15" ht="15.5">
      <c r="A7" s="712"/>
      <c r="B7" s="713"/>
      <c r="C7" s="732"/>
      <c r="D7" s="732"/>
      <c r="E7" s="732"/>
      <c r="F7" s="732"/>
      <c r="G7" s="732"/>
      <c r="H7" s="732"/>
      <c r="I7" s="732"/>
      <c r="J7" s="733"/>
      <c r="K7" s="713"/>
      <c r="L7" s="713"/>
      <c r="M7" s="713"/>
    </row>
    <row r="8" spans="1:15" s="47" customFormat="1" ht="15.5">
      <c r="A8" s="712"/>
      <c r="B8" s="712"/>
      <c r="C8" s="716" t="s">
        <v>90</v>
      </c>
      <c r="D8" s="712"/>
      <c r="E8" s="712"/>
      <c r="F8" s="712"/>
      <c r="G8" s="716" t="s">
        <v>91</v>
      </c>
      <c r="H8" s="712"/>
      <c r="I8" s="712"/>
      <c r="J8" s="719"/>
      <c r="K8" s="712"/>
      <c r="L8" s="712"/>
      <c r="M8" s="712"/>
    </row>
    <row r="9" spans="1:15" s="47" customFormat="1" ht="15.5">
      <c r="A9" s="716" t="s">
        <v>7</v>
      </c>
      <c r="B9" s="712"/>
      <c r="C9" s="716" t="s">
        <v>92</v>
      </c>
      <c r="D9" s="712"/>
      <c r="E9" s="716" t="s">
        <v>93</v>
      </c>
      <c r="F9" s="712"/>
      <c r="G9" s="716" t="s">
        <v>94</v>
      </c>
      <c r="H9" s="712"/>
      <c r="I9" s="716" t="s">
        <v>6</v>
      </c>
      <c r="J9" s="719"/>
      <c r="K9" s="716" t="s">
        <v>60</v>
      </c>
      <c r="L9" s="712"/>
      <c r="M9" s="712"/>
    </row>
    <row r="10" spans="1:15" s="47" customFormat="1" ht="15.5">
      <c r="A10" s="716" t="s">
        <v>9</v>
      </c>
      <c r="B10" s="716" t="s">
        <v>0</v>
      </c>
      <c r="C10" s="716" t="s">
        <v>95</v>
      </c>
      <c r="D10" s="712"/>
      <c r="E10" s="718" t="s">
        <v>345</v>
      </c>
      <c r="F10" s="712"/>
      <c r="G10" s="716" t="s">
        <v>96</v>
      </c>
      <c r="H10" s="712"/>
      <c r="I10" s="716" t="s">
        <v>97</v>
      </c>
      <c r="J10" s="719"/>
      <c r="K10" s="716" t="s">
        <v>65</v>
      </c>
      <c r="L10" s="712"/>
      <c r="M10" s="712"/>
    </row>
    <row r="11" spans="1:15" s="47" customFormat="1" ht="15.5">
      <c r="A11" s="720"/>
      <c r="B11" s="721" t="s">
        <v>14</v>
      </c>
      <c r="C11" s="721" t="s">
        <v>15</v>
      </c>
      <c r="D11" s="720"/>
      <c r="E11" s="721" t="s">
        <v>16</v>
      </c>
      <c r="F11" s="720"/>
      <c r="G11" s="721" t="s">
        <v>17</v>
      </c>
      <c r="H11" s="720"/>
      <c r="I11" s="721" t="s">
        <v>18</v>
      </c>
      <c r="J11" s="720"/>
      <c r="K11" s="721" t="s">
        <v>99</v>
      </c>
      <c r="L11" s="712"/>
      <c r="M11" s="712"/>
    </row>
    <row r="12" spans="1:15" ht="9" customHeight="1">
      <c r="A12" s="712"/>
      <c r="B12" s="713"/>
      <c r="C12" s="713"/>
      <c r="D12" s="713"/>
      <c r="E12" s="713"/>
      <c r="F12" s="713"/>
      <c r="G12" s="713"/>
      <c r="H12" s="713"/>
      <c r="I12" s="713"/>
      <c r="J12" s="714"/>
      <c r="K12" s="713"/>
      <c r="L12" s="713"/>
      <c r="M12" s="713"/>
    </row>
    <row r="13" spans="1:15" ht="15.5">
      <c r="A13" s="716">
        <v>1</v>
      </c>
      <c r="B13" s="722" t="s">
        <v>102</v>
      </c>
      <c r="C13" s="734">
        <v>56</v>
      </c>
      <c r="D13" s="713"/>
      <c r="E13" s="735">
        <f>'TTA Amount of Change'!H12/'TTA Amount of Change'!E12/12</f>
        <v>55.848106015618676</v>
      </c>
      <c r="F13" s="713"/>
      <c r="G13" s="735">
        <f>+C13*'TTA Amount of Change'!K12</f>
        <v>0.78456000000000015</v>
      </c>
      <c r="H13" s="713"/>
      <c r="I13" s="735">
        <f>E13+G13</f>
        <v>56.632666015618675</v>
      </c>
      <c r="J13" s="714"/>
      <c r="K13" s="736">
        <f>G13/E13</f>
        <v>1.404810397295456E-2</v>
      </c>
      <c r="L13" s="713"/>
      <c r="M13" s="713"/>
      <c r="O13" s="168"/>
    </row>
    <row r="14" spans="1:15" ht="15.5">
      <c r="A14" s="712"/>
      <c r="B14" s="713"/>
      <c r="C14" s="724"/>
      <c r="D14" s="713"/>
      <c r="E14" s="735"/>
      <c r="F14" s="713"/>
      <c r="G14" s="737"/>
      <c r="H14" s="713"/>
      <c r="I14" s="737"/>
      <c r="J14" s="714"/>
      <c r="K14" s="713"/>
      <c r="L14" s="713"/>
      <c r="M14" s="713"/>
      <c r="O14" s="168"/>
    </row>
    <row r="15" spans="1:15" ht="15.5">
      <c r="A15" s="716">
        <v>2</v>
      </c>
      <c r="B15" s="722" t="s">
        <v>103</v>
      </c>
      <c r="C15" s="724">
        <v>290</v>
      </c>
      <c r="D15" s="713"/>
      <c r="E15" s="735">
        <f>+'TTA Amount of Change'!H13/'TTA Amount of Change'!E13/12</f>
        <v>247.77542666991772</v>
      </c>
      <c r="F15" s="713"/>
      <c r="G15" s="735">
        <f>+C15*'TTA Amount of Change'!K13</f>
        <v>4.0629000000000008</v>
      </c>
      <c r="H15" s="713"/>
      <c r="I15" s="735">
        <f>E15+G15</f>
        <v>251.83832666991773</v>
      </c>
      <c r="J15" s="714"/>
      <c r="K15" s="736">
        <f>G15/E15</f>
        <v>1.6397509852389552E-2</v>
      </c>
      <c r="L15" s="713"/>
      <c r="M15" s="713"/>
      <c r="O15" s="168"/>
    </row>
    <row r="16" spans="1:15" ht="15.5">
      <c r="A16" s="712"/>
      <c r="B16" s="713"/>
      <c r="C16" s="724"/>
      <c r="D16" s="713"/>
      <c r="E16" s="738"/>
      <c r="F16" s="713"/>
      <c r="G16" s="739"/>
      <c r="H16" s="713"/>
      <c r="I16" s="737"/>
      <c r="J16" s="714"/>
      <c r="K16" s="713"/>
      <c r="L16" s="713"/>
      <c r="M16" s="713"/>
      <c r="N16" s="47"/>
      <c r="O16" s="168"/>
    </row>
    <row r="17" spans="1:15" ht="15.5">
      <c r="A17" s="716">
        <v>3</v>
      </c>
      <c r="B17" s="722" t="s">
        <v>104</v>
      </c>
      <c r="C17" s="740" t="s">
        <v>98</v>
      </c>
      <c r="D17" s="713"/>
      <c r="E17" s="723">
        <f>+'TTA Amount of Change'!H14/'TTA Amount of Change'!F14</f>
        <v>0.66298992392633138</v>
      </c>
      <c r="F17" s="713"/>
      <c r="G17" s="723">
        <f>+'TTA Amount of Change'!K14</f>
        <v>1.4010000000000002E-2</v>
      </c>
      <c r="H17" s="713"/>
      <c r="I17" s="723">
        <f>E17+G17</f>
        <v>0.67699992392633135</v>
      </c>
      <c r="J17" s="714"/>
      <c r="K17" s="736">
        <f>G17/E17</f>
        <v>2.1131542870260474E-2</v>
      </c>
      <c r="L17" s="713"/>
      <c r="M17" s="713"/>
      <c r="O17" s="168"/>
    </row>
    <row r="18" spans="1:15" ht="15.5">
      <c r="A18" s="712"/>
      <c r="B18" s="713"/>
      <c r="C18" s="724"/>
      <c r="D18" s="713"/>
      <c r="E18" s="723"/>
      <c r="F18" s="713"/>
      <c r="G18" s="723"/>
      <c r="H18" s="713"/>
      <c r="I18" s="723"/>
      <c r="J18" s="714"/>
      <c r="K18" s="736"/>
      <c r="L18" s="713"/>
      <c r="M18" s="713"/>
      <c r="O18" s="168"/>
    </row>
    <row r="19" spans="1:15" ht="15.5">
      <c r="A19" s="712">
        <v>4</v>
      </c>
      <c r="B19" s="722" t="s">
        <v>105</v>
      </c>
      <c r="C19" s="740" t="s">
        <v>98</v>
      </c>
      <c r="D19" s="713"/>
      <c r="E19" s="723">
        <f>'TTA Amount of Change'!H15/'TTA Amount of Change'!F15</f>
        <v>0.67471937672267113</v>
      </c>
      <c r="F19" s="713"/>
      <c r="G19" s="723">
        <f>+'TTA Amount of Change'!K15</f>
        <v>1.4010000000000002E-2</v>
      </c>
      <c r="H19" s="713"/>
      <c r="I19" s="723">
        <f>E19+G19</f>
        <v>0.68872937672267109</v>
      </c>
      <c r="J19" s="714"/>
      <c r="K19" s="736">
        <f>G19/E19</f>
        <v>2.0764188021472087E-2</v>
      </c>
      <c r="L19" s="713"/>
      <c r="M19" s="713"/>
      <c r="O19" s="168"/>
    </row>
    <row r="20" spans="1:15" ht="15.5">
      <c r="A20" s="712"/>
      <c r="B20" s="713"/>
      <c r="C20" s="724"/>
      <c r="D20" s="713"/>
      <c r="E20" s="723"/>
      <c r="F20" s="713"/>
      <c r="G20" s="723"/>
      <c r="H20" s="713"/>
      <c r="I20" s="723"/>
      <c r="J20" s="714"/>
      <c r="K20" s="713"/>
      <c r="L20" s="713"/>
      <c r="M20" s="713"/>
      <c r="O20" s="168"/>
    </row>
    <row r="21" spans="1:15" ht="15.5">
      <c r="A21" s="716">
        <v>5</v>
      </c>
      <c r="B21" s="722" t="str">
        <f>+'TTA Cost by Class'!B21</f>
        <v>Interruptible (570)</v>
      </c>
      <c r="C21" s="740" t="s">
        <v>98</v>
      </c>
      <c r="D21" s="713"/>
      <c r="E21" s="723">
        <f>'TTA Amount of Change'!H16/'TTA Amount of Change'!F16</f>
        <v>0.62041738330371443</v>
      </c>
      <c r="F21" s="713"/>
      <c r="G21" s="723">
        <f>+'TTA Amount of Change'!K16</f>
        <v>1.4010000000000002E-2</v>
      </c>
      <c r="H21" s="713"/>
      <c r="I21" s="723">
        <f>E21+G21</f>
        <v>0.6344273833037144</v>
      </c>
      <c r="J21" s="714"/>
      <c r="K21" s="736">
        <f>G21/E21</f>
        <v>2.2581572304433081E-2</v>
      </c>
      <c r="L21" s="713"/>
      <c r="M21" s="713"/>
      <c r="O21" s="168"/>
    </row>
    <row r="22" spans="1:15" ht="15.5">
      <c r="A22" s="712"/>
      <c r="B22" s="713"/>
      <c r="C22" s="713"/>
      <c r="D22" s="713"/>
      <c r="E22" s="611"/>
      <c r="F22" s="713"/>
      <c r="G22" s="611"/>
      <c r="H22" s="713"/>
      <c r="I22" s="723"/>
      <c r="J22" s="714"/>
      <c r="K22" s="736"/>
      <c r="L22" s="713"/>
      <c r="M22" s="713"/>
    </row>
    <row r="23" spans="1:15" ht="15.5">
      <c r="A23" s="712">
        <v>6</v>
      </c>
      <c r="B23" s="713" t="s">
        <v>200</v>
      </c>
      <c r="C23" s="740" t="s">
        <v>98</v>
      </c>
      <c r="D23" s="713"/>
      <c r="E23" s="723">
        <f>'TTA Amount of Change'!H20/'TTA Amount of Change'!F20</f>
        <v>3.2022264141024388E-2</v>
      </c>
      <c r="F23" s="713"/>
      <c r="G23" s="723">
        <f>+'TTA Amount of Change'!K20</f>
        <v>0</v>
      </c>
      <c r="H23" s="713"/>
      <c r="I23" s="723">
        <f>E23+G23</f>
        <v>3.2022264141024388E-2</v>
      </c>
      <c r="J23" s="714"/>
      <c r="K23" s="736">
        <f>G23/E23</f>
        <v>0</v>
      </c>
      <c r="L23" s="713"/>
      <c r="M23" s="713"/>
    </row>
    <row r="24" spans="1:15" ht="15.5">
      <c r="A24" s="712"/>
      <c r="B24" s="713"/>
      <c r="C24" s="713"/>
      <c r="D24" s="713"/>
      <c r="E24" s="713"/>
      <c r="F24" s="713"/>
      <c r="G24" s="611"/>
      <c r="H24" s="713"/>
      <c r="I24" s="737"/>
      <c r="J24" s="714"/>
      <c r="K24" s="713"/>
      <c r="L24" s="713"/>
      <c r="M24" s="713"/>
    </row>
    <row r="25" spans="1:15" ht="22.5" customHeight="1">
      <c r="A25" s="712"/>
      <c r="B25" s="713"/>
      <c r="C25" s="713"/>
      <c r="D25" s="713"/>
      <c r="E25" s="713"/>
      <c r="F25" s="713"/>
      <c r="G25" s="713"/>
      <c r="H25" s="713"/>
      <c r="I25" s="713"/>
      <c r="J25" s="714"/>
      <c r="K25" s="713"/>
      <c r="L25" s="713"/>
      <c r="M25" s="713"/>
    </row>
    <row r="26" spans="1:15" ht="29.25" customHeight="1">
      <c r="A26" s="712"/>
      <c r="B26" s="846" t="s">
        <v>203</v>
      </c>
      <c r="C26" s="846"/>
      <c r="D26" s="846"/>
      <c r="E26" s="846"/>
      <c r="F26" s="846"/>
      <c r="G26" s="846"/>
      <c r="H26" s="846"/>
      <c r="I26" s="846"/>
      <c r="J26" s="846"/>
      <c r="K26" s="846"/>
      <c r="L26" s="713"/>
      <c r="M26" s="713"/>
    </row>
    <row r="27" spans="1:15">
      <c r="B27" s="42"/>
    </row>
    <row r="28" spans="1:15">
      <c r="B28" s="42"/>
    </row>
  </sheetData>
  <mergeCells count="5">
    <mergeCell ref="B26:K26"/>
    <mergeCell ref="B3:I3"/>
    <mergeCell ref="B4:I4"/>
    <mergeCell ref="B5:I5"/>
    <mergeCell ref="B6:I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P13" sqref="P13"/>
    </sheetView>
  </sheetViews>
  <sheetFormatPr defaultRowHeight="10.5"/>
  <cols>
    <col min="10" max="10" width="9.33203125" style="295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4DA7-00EC-45FE-9847-FE5421AACDC0}">
  <dimension ref="A1:S26"/>
  <sheetViews>
    <sheetView workbookViewId="0">
      <selection activeCell="S13" sqref="S13"/>
    </sheetView>
  </sheetViews>
  <sheetFormatPr defaultRowHeight="14.5" outlineLevelCol="1"/>
  <cols>
    <col min="1" max="1" width="5.44140625" style="52" bestFit="1" customWidth="1"/>
    <col min="2" max="2" width="9.33203125" style="168"/>
    <col min="3" max="3" width="19.44140625" style="168" customWidth="1"/>
    <col min="4" max="4" width="19.77734375" style="168" customWidth="1"/>
    <col min="5" max="5" width="11.44140625" style="168" bestFit="1" customWidth="1"/>
    <col min="6" max="6" width="18.4414062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44140625" style="168" customWidth="1"/>
    <col min="13" max="13" width="11.33203125" style="168" hidden="1" customWidth="1" outlineLevel="1"/>
    <col min="14" max="14" width="12.6640625" style="168" customWidth="1" collapsed="1"/>
    <col min="15" max="18" width="9.33203125" style="168"/>
    <col min="19" max="19" width="11.33203125" style="168" bestFit="1" customWidth="1"/>
    <col min="20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44140625" style="168" customWidth="1"/>
    <col min="256" max="256" width="10.44140625" style="168" customWidth="1"/>
    <col min="257" max="257" width="15.109375" style="168" customWidth="1"/>
    <col min="258" max="258" width="3.6640625" style="168" customWidth="1"/>
    <col min="259" max="259" width="13.109375" style="168" customWidth="1"/>
    <col min="260" max="260" width="3.7773437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7773437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44140625" style="168" customWidth="1"/>
    <col min="512" max="512" width="10.44140625" style="168" customWidth="1"/>
    <col min="513" max="513" width="15.109375" style="168" customWidth="1"/>
    <col min="514" max="514" width="3.6640625" style="168" customWidth="1"/>
    <col min="515" max="515" width="13.109375" style="168" customWidth="1"/>
    <col min="516" max="516" width="3.7773437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7773437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44140625" style="168" customWidth="1"/>
    <col min="768" max="768" width="10.44140625" style="168" customWidth="1"/>
    <col min="769" max="769" width="15.109375" style="168" customWidth="1"/>
    <col min="770" max="770" width="3.6640625" style="168" customWidth="1"/>
    <col min="771" max="771" width="13.109375" style="168" customWidth="1"/>
    <col min="772" max="772" width="3.7773437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7773437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44140625" style="168" customWidth="1"/>
    <col min="1024" max="1024" width="10.44140625" style="168" customWidth="1"/>
    <col min="1025" max="1025" width="15.109375" style="168" customWidth="1"/>
    <col min="1026" max="1026" width="3.6640625" style="168" customWidth="1"/>
    <col min="1027" max="1027" width="13.109375" style="168" customWidth="1"/>
    <col min="1028" max="1028" width="3.7773437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7773437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44140625" style="168" customWidth="1"/>
    <col min="1280" max="1280" width="10.44140625" style="168" customWidth="1"/>
    <col min="1281" max="1281" width="15.109375" style="168" customWidth="1"/>
    <col min="1282" max="1282" width="3.6640625" style="168" customWidth="1"/>
    <col min="1283" max="1283" width="13.109375" style="168" customWidth="1"/>
    <col min="1284" max="1284" width="3.7773437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7773437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44140625" style="168" customWidth="1"/>
    <col min="1536" max="1536" width="10.44140625" style="168" customWidth="1"/>
    <col min="1537" max="1537" width="15.109375" style="168" customWidth="1"/>
    <col min="1538" max="1538" width="3.6640625" style="168" customWidth="1"/>
    <col min="1539" max="1539" width="13.109375" style="168" customWidth="1"/>
    <col min="1540" max="1540" width="3.7773437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7773437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44140625" style="168" customWidth="1"/>
    <col min="1792" max="1792" width="10.44140625" style="168" customWidth="1"/>
    <col min="1793" max="1793" width="15.109375" style="168" customWidth="1"/>
    <col min="1794" max="1794" width="3.6640625" style="168" customWidth="1"/>
    <col min="1795" max="1795" width="13.109375" style="168" customWidth="1"/>
    <col min="1796" max="1796" width="3.7773437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7773437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44140625" style="168" customWidth="1"/>
    <col min="2048" max="2048" width="10.44140625" style="168" customWidth="1"/>
    <col min="2049" max="2049" width="15.109375" style="168" customWidth="1"/>
    <col min="2050" max="2050" width="3.6640625" style="168" customWidth="1"/>
    <col min="2051" max="2051" width="13.109375" style="168" customWidth="1"/>
    <col min="2052" max="2052" width="3.7773437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7773437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44140625" style="168" customWidth="1"/>
    <col min="2304" max="2304" width="10.44140625" style="168" customWidth="1"/>
    <col min="2305" max="2305" width="15.109375" style="168" customWidth="1"/>
    <col min="2306" max="2306" width="3.6640625" style="168" customWidth="1"/>
    <col min="2307" max="2307" width="13.109375" style="168" customWidth="1"/>
    <col min="2308" max="2308" width="3.7773437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7773437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44140625" style="168" customWidth="1"/>
    <col min="2560" max="2560" width="10.44140625" style="168" customWidth="1"/>
    <col min="2561" max="2561" width="15.109375" style="168" customWidth="1"/>
    <col min="2562" max="2562" width="3.6640625" style="168" customWidth="1"/>
    <col min="2563" max="2563" width="13.109375" style="168" customWidth="1"/>
    <col min="2564" max="2564" width="3.7773437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7773437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44140625" style="168" customWidth="1"/>
    <col min="2816" max="2816" width="10.44140625" style="168" customWidth="1"/>
    <col min="2817" max="2817" width="15.109375" style="168" customWidth="1"/>
    <col min="2818" max="2818" width="3.6640625" style="168" customWidth="1"/>
    <col min="2819" max="2819" width="13.109375" style="168" customWidth="1"/>
    <col min="2820" max="2820" width="3.7773437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7773437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44140625" style="168" customWidth="1"/>
    <col min="3072" max="3072" width="10.44140625" style="168" customWidth="1"/>
    <col min="3073" max="3073" width="15.109375" style="168" customWidth="1"/>
    <col min="3074" max="3074" width="3.6640625" style="168" customWidth="1"/>
    <col min="3075" max="3075" width="13.109375" style="168" customWidth="1"/>
    <col min="3076" max="3076" width="3.7773437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7773437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44140625" style="168" customWidth="1"/>
    <col min="3328" max="3328" width="10.44140625" style="168" customWidth="1"/>
    <col min="3329" max="3329" width="15.109375" style="168" customWidth="1"/>
    <col min="3330" max="3330" width="3.6640625" style="168" customWidth="1"/>
    <col min="3331" max="3331" width="13.109375" style="168" customWidth="1"/>
    <col min="3332" max="3332" width="3.7773437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7773437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44140625" style="168" customWidth="1"/>
    <col min="3584" max="3584" width="10.44140625" style="168" customWidth="1"/>
    <col min="3585" max="3585" width="15.109375" style="168" customWidth="1"/>
    <col min="3586" max="3586" width="3.6640625" style="168" customWidth="1"/>
    <col min="3587" max="3587" width="13.109375" style="168" customWidth="1"/>
    <col min="3588" max="3588" width="3.7773437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7773437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44140625" style="168" customWidth="1"/>
    <col min="3840" max="3840" width="10.44140625" style="168" customWidth="1"/>
    <col min="3841" max="3841" width="15.109375" style="168" customWidth="1"/>
    <col min="3842" max="3842" width="3.6640625" style="168" customWidth="1"/>
    <col min="3843" max="3843" width="13.109375" style="168" customWidth="1"/>
    <col min="3844" max="3844" width="3.7773437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7773437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44140625" style="168" customWidth="1"/>
    <col min="4096" max="4096" width="10.44140625" style="168" customWidth="1"/>
    <col min="4097" max="4097" width="15.109375" style="168" customWidth="1"/>
    <col min="4098" max="4098" width="3.6640625" style="168" customWidth="1"/>
    <col min="4099" max="4099" width="13.109375" style="168" customWidth="1"/>
    <col min="4100" max="4100" width="3.7773437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7773437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44140625" style="168" customWidth="1"/>
    <col min="4352" max="4352" width="10.44140625" style="168" customWidth="1"/>
    <col min="4353" max="4353" width="15.109375" style="168" customWidth="1"/>
    <col min="4354" max="4354" width="3.6640625" style="168" customWidth="1"/>
    <col min="4355" max="4355" width="13.109375" style="168" customWidth="1"/>
    <col min="4356" max="4356" width="3.7773437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7773437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44140625" style="168" customWidth="1"/>
    <col min="4608" max="4608" width="10.44140625" style="168" customWidth="1"/>
    <col min="4609" max="4609" width="15.109375" style="168" customWidth="1"/>
    <col min="4610" max="4610" width="3.6640625" style="168" customWidth="1"/>
    <col min="4611" max="4611" width="13.109375" style="168" customWidth="1"/>
    <col min="4612" max="4612" width="3.7773437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7773437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44140625" style="168" customWidth="1"/>
    <col min="4864" max="4864" width="10.44140625" style="168" customWidth="1"/>
    <col min="4865" max="4865" width="15.109375" style="168" customWidth="1"/>
    <col min="4866" max="4866" width="3.6640625" style="168" customWidth="1"/>
    <col min="4867" max="4867" width="13.109375" style="168" customWidth="1"/>
    <col min="4868" max="4868" width="3.7773437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7773437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44140625" style="168" customWidth="1"/>
    <col min="5120" max="5120" width="10.44140625" style="168" customWidth="1"/>
    <col min="5121" max="5121" width="15.109375" style="168" customWidth="1"/>
    <col min="5122" max="5122" width="3.6640625" style="168" customWidth="1"/>
    <col min="5123" max="5123" width="13.109375" style="168" customWidth="1"/>
    <col min="5124" max="5124" width="3.7773437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7773437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44140625" style="168" customWidth="1"/>
    <col min="5376" max="5376" width="10.44140625" style="168" customWidth="1"/>
    <col min="5377" max="5377" width="15.109375" style="168" customWidth="1"/>
    <col min="5378" max="5378" width="3.6640625" style="168" customWidth="1"/>
    <col min="5379" max="5379" width="13.109375" style="168" customWidth="1"/>
    <col min="5380" max="5380" width="3.7773437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7773437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44140625" style="168" customWidth="1"/>
    <col min="5632" max="5632" width="10.44140625" style="168" customWidth="1"/>
    <col min="5633" max="5633" width="15.109375" style="168" customWidth="1"/>
    <col min="5634" max="5634" width="3.6640625" style="168" customWidth="1"/>
    <col min="5635" max="5635" width="13.109375" style="168" customWidth="1"/>
    <col min="5636" max="5636" width="3.7773437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7773437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44140625" style="168" customWidth="1"/>
    <col min="5888" max="5888" width="10.44140625" style="168" customWidth="1"/>
    <col min="5889" max="5889" width="15.109375" style="168" customWidth="1"/>
    <col min="5890" max="5890" width="3.6640625" style="168" customWidth="1"/>
    <col min="5891" max="5891" width="13.109375" style="168" customWidth="1"/>
    <col min="5892" max="5892" width="3.7773437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7773437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44140625" style="168" customWidth="1"/>
    <col min="6144" max="6144" width="10.44140625" style="168" customWidth="1"/>
    <col min="6145" max="6145" width="15.109375" style="168" customWidth="1"/>
    <col min="6146" max="6146" width="3.6640625" style="168" customWidth="1"/>
    <col min="6147" max="6147" width="13.109375" style="168" customWidth="1"/>
    <col min="6148" max="6148" width="3.7773437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7773437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44140625" style="168" customWidth="1"/>
    <col min="6400" max="6400" width="10.44140625" style="168" customWidth="1"/>
    <col min="6401" max="6401" width="15.109375" style="168" customWidth="1"/>
    <col min="6402" max="6402" width="3.6640625" style="168" customWidth="1"/>
    <col min="6403" max="6403" width="13.109375" style="168" customWidth="1"/>
    <col min="6404" max="6404" width="3.7773437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7773437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44140625" style="168" customWidth="1"/>
    <col min="6656" max="6656" width="10.44140625" style="168" customWidth="1"/>
    <col min="6657" max="6657" width="15.109375" style="168" customWidth="1"/>
    <col min="6658" max="6658" width="3.6640625" style="168" customWidth="1"/>
    <col min="6659" max="6659" width="13.109375" style="168" customWidth="1"/>
    <col min="6660" max="6660" width="3.7773437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7773437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44140625" style="168" customWidth="1"/>
    <col min="6912" max="6912" width="10.44140625" style="168" customWidth="1"/>
    <col min="6913" max="6913" width="15.109375" style="168" customWidth="1"/>
    <col min="6914" max="6914" width="3.6640625" style="168" customWidth="1"/>
    <col min="6915" max="6915" width="13.109375" style="168" customWidth="1"/>
    <col min="6916" max="6916" width="3.7773437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7773437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44140625" style="168" customWidth="1"/>
    <col min="7168" max="7168" width="10.44140625" style="168" customWidth="1"/>
    <col min="7169" max="7169" width="15.109375" style="168" customWidth="1"/>
    <col min="7170" max="7170" width="3.6640625" style="168" customWidth="1"/>
    <col min="7171" max="7171" width="13.109375" style="168" customWidth="1"/>
    <col min="7172" max="7172" width="3.7773437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7773437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44140625" style="168" customWidth="1"/>
    <col min="7424" max="7424" width="10.44140625" style="168" customWidth="1"/>
    <col min="7425" max="7425" width="15.109375" style="168" customWidth="1"/>
    <col min="7426" max="7426" width="3.6640625" style="168" customWidth="1"/>
    <col min="7427" max="7427" width="13.109375" style="168" customWidth="1"/>
    <col min="7428" max="7428" width="3.7773437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7773437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44140625" style="168" customWidth="1"/>
    <col min="7680" max="7680" width="10.44140625" style="168" customWidth="1"/>
    <col min="7681" max="7681" width="15.109375" style="168" customWidth="1"/>
    <col min="7682" max="7682" width="3.6640625" style="168" customWidth="1"/>
    <col min="7683" max="7683" width="13.109375" style="168" customWidth="1"/>
    <col min="7684" max="7684" width="3.7773437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7773437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44140625" style="168" customWidth="1"/>
    <col min="7936" max="7936" width="10.44140625" style="168" customWidth="1"/>
    <col min="7937" max="7937" width="15.109375" style="168" customWidth="1"/>
    <col min="7938" max="7938" width="3.6640625" style="168" customWidth="1"/>
    <col min="7939" max="7939" width="13.109375" style="168" customWidth="1"/>
    <col min="7940" max="7940" width="3.7773437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7773437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44140625" style="168" customWidth="1"/>
    <col min="8192" max="8192" width="10.44140625" style="168" customWidth="1"/>
    <col min="8193" max="8193" width="15.109375" style="168" customWidth="1"/>
    <col min="8194" max="8194" width="3.6640625" style="168" customWidth="1"/>
    <col min="8195" max="8195" width="13.109375" style="168" customWidth="1"/>
    <col min="8196" max="8196" width="3.7773437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7773437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44140625" style="168" customWidth="1"/>
    <col min="8448" max="8448" width="10.44140625" style="168" customWidth="1"/>
    <col min="8449" max="8449" width="15.109375" style="168" customWidth="1"/>
    <col min="8450" max="8450" width="3.6640625" style="168" customWidth="1"/>
    <col min="8451" max="8451" width="13.109375" style="168" customWidth="1"/>
    <col min="8452" max="8452" width="3.7773437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7773437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44140625" style="168" customWidth="1"/>
    <col min="8704" max="8704" width="10.44140625" style="168" customWidth="1"/>
    <col min="8705" max="8705" width="15.109375" style="168" customWidth="1"/>
    <col min="8706" max="8706" width="3.6640625" style="168" customWidth="1"/>
    <col min="8707" max="8707" width="13.109375" style="168" customWidth="1"/>
    <col min="8708" max="8708" width="3.7773437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7773437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44140625" style="168" customWidth="1"/>
    <col min="8960" max="8960" width="10.44140625" style="168" customWidth="1"/>
    <col min="8961" max="8961" width="15.109375" style="168" customWidth="1"/>
    <col min="8962" max="8962" width="3.6640625" style="168" customWidth="1"/>
    <col min="8963" max="8963" width="13.109375" style="168" customWidth="1"/>
    <col min="8964" max="8964" width="3.7773437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7773437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44140625" style="168" customWidth="1"/>
    <col min="9216" max="9216" width="10.44140625" style="168" customWidth="1"/>
    <col min="9217" max="9217" width="15.109375" style="168" customWidth="1"/>
    <col min="9218" max="9218" width="3.6640625" style="168" customWidth="1"/>
    <col min="9219" max="9219" width="13.109375" style="168" customWidth="1"/>
    <col min="9220" max="9220" width="3.7773437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7773437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44140625" style="168" customWidth="1"/>
    <col min="9472" max="9472" width="10.44140625" style="168" customWidth="1"/>
    <col min="9473" max="9473" width="15.109375" style="168" customWidth="1"/>
    <col min="9474" max="9474" width="3.6640625" style="168" customWidth="1"/>
    <col min="9475" max="9475" width="13.109375" style="168" customWidth="1"/>
    <col min="9476" max="9476" width="3.7773437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7773437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44140625" style="168" customWidth="1"/>
    <col min="9728" max="9728" width="10.44140625" style="168" customWidth="1"/>
    <col min="9729" max="9729" width="15.109375" style="168" customWidth="1"/>
    <col min="9730" max="9730" width="3.6640625" style="168" customWidth="1"/>
    <col min="9731" max="9731" width="13.109375" style="168" customWidth="1"/>
    <col min="9732" max="9732" width="3.7773437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7773437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44140625" style="168" customWidth="1"/>
    <col min="9984" max="9984" width="10.44140625" style="168" customWidth="1"/>
    <col min="9985" max="9985" width="15.109375" style="168" customWidth="1"/>
    <col min="9986" max="9986" width="3.6640625" style="168" customWidth="1"/>
    <col min="9987" max="9987" width="13.109375" style="168" customWidth="1"/>
    <col min="9988" max="9988" width="3.7773437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7773437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44140625" style="168" customWidth="1"/>
    <col min="10240" max="10240" width="10.44140625" style="168" customWidth="1"/>
    <col min="10241" max="10241" width="15.109375" style="168" customWidth="1"/>
    <col min="10242" max="10242" width="3.6640625" style="168" customWidth="1"/>
    <col min="10243" max="10243" width="13.109375" style="168" customWidth="1"/>
    <col min="10244" max="10244" width="3.7773437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7773437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44140625" style="168" customWidth="1"/>
    <col min="10496" max="10496" width="10.44140625" style="168" customWidth="1"/>
    <col min="10497" max="10497" width="15.109375" style="168" customWidth="1"/>
    <col min="10498" max="10498" width="3.6640625" style="168" customWidth="1"/>
    <col min="10499" max="10499" width="13.109375" style="168" customWidth="1"/>
    <col min="10500" max="10500" width="3.7773437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7773437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44140625" style="168" customWidth="1"/>
    <col min="10752" max="10752" width="10.44140625" style="168" customWidth="1"/>
    <col min="10753" max="10753" width="15.109375" style="168" customWidth="1"/>
    <col min="10754" max="10754" width="3.6640625" style="168" customWidth="1"/>
    <col min="10755" max="10755" width="13.109375" style="168" customWidth="1"/>
    <col min="10756" max="10756" width="3.7773437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7773437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44140625" style="168" customWidth="1"/>
    <col min="11008" max="11008" width="10.44140625" style="168" customWidth="1"/>
    <col min="11009" max="11009" width="15.109375" style="168" customWidth="1"/>
    <col min="11010" max="11010" width="3.6640625" style="168" customWidth="1"/>
    <col min="11011" max="11011" width="13.109375" style="168" customWidth="1"/>
    <col min="11012" max="11012" width="3.7773437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7773437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44140625" style="168" customWidth="1"/>
    <col min="11264" max="11264" width="10.44140625" style="168" customWidth="1"/>
    <col min="11265" max="11265" width="15.109375" style="168" customWidth="1"/>
    <col min="11266" max="11266" width="3.6640625" style="168" customWidth="1"/>
    <col min="11267" max="11267" width="13.109375" style="168" customWidth="1"/>
    <col min="11268" max="11268" width="3.7773437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7773437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44140625" style="168" customWidth="1"/>
    <col min="11520" max="11520" width="10.44140625" style="168" customWidth="1"/>
    <col min="11521" max="11521" width="15.109375" style="168" customWidth="1"/>
    <col min="11522" max="11522" width="3.6640625" style="168" customWidth="1"/>
    <col min="11523" max="11523" width="13.109375" style="168" customWidth="1"/>
    <col min="11524" max="11524" width="3.7773437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7773437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44140625" style="168" customWidth="1"/>
    <col min="11776" max="11776" width="10.44140625" style="168" customWidth="1"/>
    <col min="11777" max="11777" width="15.109375" style="168" customWidth="1"/>
    <col min="11778" max="11778" width="3.6640625" style="168" customWidth="1"/>
    <col min="11779" max="11779" width="13.109375" style="168" customWidth="1"/>
    <col min="11780" max="11780" width="3.7773437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7773437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44140625" style="168" customWidth="1"/>
    <col min="12032" max="12032" width="10.44140625" style="168" customWidth="1"/>
    <col min="12033" max="12033" width="15.109375" style="168" customWidth="1"/>
    <col min="12034" max="12034" width="3.6640625" style="168" customWidth="1"/>
    <col min="12035" max="12035" width="13.109375" style="168" customWidth="1"/>
    <col min="12036" max="12036" width="3.7773437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7773437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44140625" style="168" customWidth="1"/>
    <col min="12288" max="12288" width="10.44140625" style="168" customWidth="1"/>
    <col min="12289" max="12289" width="15.109375" style="168" customWidth="1"/>
    <col min="12290" max="12290" width="3.6640625" style="168" customWidth="1"/>
    <col min="12291" max="12291" width="13.109375" style="168" customWidth="1"/>
    <col min="12292" max="12292" width="3.7773437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7773437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44140625" style="168" customWidth="1"/>
    <col min="12544" max="12544" width="10.44140625" style="168" customWidth="1"/>
    <col min="12545" max="12545" width="15.109375" style="168" customWidth="1"/>
    <col min="12546" max="12546" width="3.6640625" style="168" customWidth="1"/>
    <col min="12547" max="12547" width="13.109375" style="168" customWidth="1"/>
    <col min="12548" max="12548" width="3.7773437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7773437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44140625" style="168" customWidth="1"/>
    <col min="12800" max="12800" width="10.44140625" style="168" customWidth="1"/>
    <col min="12801" max="12801" width="15.109375" style="168" customWidth="1"/>
    <col min="12802" max="12802" width="3.6640625" style="168" customWidth="1"/>
    <col min="12803" max="12803" width="13.109375" style="168" customWidth="1"/>
    <col min="12804" max="12804" width="3.7773437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7773437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44140625" style="168" customWidth="1"/>
    <col min="13056" max="13056" width="10.44140625" style="168" customWidth="1"/>
    <col min="13057" max="13057" width="15.109375" style="168" customWidth="1"/>
    <col min="13058" max="13058" width="3.6640625" style="168" customWidth="1"/>
    <col min="13059" max="13059" width="13.109375" style="168" customWidth="1"/>
    <col min="13060" max="13060" width="3.7773437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7773437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44140625" style="168" customWidth="1"/>
    <col min="13312" max="13312" width="10.44140625" style="168" customWidth="1"/>
    <col min="13313" max="13313" width="15.109375" style="168" customWidth="1"/>
    <col min="13314" max="13314" width="3.6640625" style="168" customWidth="1"/>
    <col min="13315" max="13315" width="13.109375" style="168" customWidth="1"/>
    <col min="13316" max="13316" width="3.7773437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7773437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44140625" style="168" customWidth="1"/>
    <col min="13568" max="13568" width="10.44140625" style="168" customWidth="1"/>
    <col min="13569" max="13569" width="15.109375" style="168" customWidth="1"/>
    <col min="13570" max="13570" width="3.6640625" style="168" customWidth="1"/>
    <col min="13571" max="13571" width="13.109375" style="168" customWidth="1"/>
    <col min="13572" max="13572" width="3.7773437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7773437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44140625" style="168" customWidth="1"/>
    <col min="13824" max="13824" width="10.44140625" style="168" customWidth="1"/>
    <col min="13825" max="13825" width="15.109375" style="168" customWidth="1"/>
    <col min="13826" max="13826" width="3.6640625" style="168" customWidth="1"/>
    <col min="13827" max="13827" width="13.109375" style="168" customWidth="1"/>
    <col min="13828" max="13828" width="3.7773437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7773437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44140625" style="168" customWidth="1"/>
    <col min="14080" max="14080" width="10.44140625" style="168" customWidth="1"/>
    <col min="14081" max="14081" width="15.109375" style="168" customWidth="1"/>
    <col min="14082" max="14082" width="3.6640625" style="168" customWidth="1"/>
    <col min="14083" max="14083" width="13.109375" style="168" customWidth="1"/>
    <col min="14084" max="14084" width="3.7773437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7773437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44140625" style="168" customWidth="1"/>
    <col min="14336" max="14336" width="10.44140625" style="168" customWidth="1"/>
    <col min="14337" max="14337" width="15.109375" style="168" customWidth="1"/>
    <col min="14338" max="14338" width="3.6640625" style="168" customWidth="1"/>
    <col min="14339" max="14339" width="13.109375" style="168" customWidth="1"/>
    <col min="14340" max="14340" width="3.7773437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7773437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44140625" style="168" customWidth="1"/>
    <col min="14592" max="14592" width="10.44140625" style="168" customWidth="1"/>
    <col min="14593" max="14593" width="15.109375" style="168" customWidth="1"/>
    <col min="14594" max="14594" width="3.6640625" style="168" customWidth="1"/>
    <col min="14595" max="14595" width="13.109375" style="168" customWidth="1"/>
    <col min="14596" max="14596" width="3.7773437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7773437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44140625" style="168" customWidth="1"/>
    <col min="14848" max="14848" width="10.44140625" style="168" customWidth="1"/>
    <col min="14849" max="14849" width="15.109375" style="168" customWidth="1"/>
    <col min="14850" max="14850" width="3.6640625" style="168" customWidth="1"/>
    <col min="14851" max="14851" width="13.109375" style="168" customWidth="1"/>
    <col min="14852" max="14852" width="3.7773437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7773437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44140625" style="168" customWidth="1"/>
    <col min="15104" max="15104" width="10.44140625" style="168" customWidth="1"/>
    <col min="15105" max="15105" width="15.109375" style="168" customWidth="1"/>
    <col min="15106" max="15106" width="3.6640625" style="168" customWidth="1"/>
    <col min="15107" max="15107" width="13.109375" style="168" customWidth="1"/>
    <col min="15108" max="15108" width="3.7773437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7773437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44140625" style="168" customWidth="1"/>
    <col min="15360" max="15360" width="10.44140625" style="168" customWidth="1"/>
    <col min="15361" max="15361" width="15.109375" style="168" customWidth="1"/>
    <col min="15362" max="15362" width="3.6640625" style="168" customWidth="1"/>
    <col min="15363" max="15363" width="13.109375" style="168" customWidth="1"/>
    <col min="15364" max="15364" width="3.7773437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7773437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44140625" style="168" customWidth="1"/>
    <col min="15616" max="15616" width="10.44140625" style="168" customWidth="1"/>
    <col min="15617" max="15617" width="15.109375" style="168" customWidth="1"/>
    <col min="15618" max="15618" width="3.6640625" style="168" customWidth="1"/>
    <col min="15619" max="15619" width="13.109375" style="168" customWidth="1"/>
    <col min="15620" max="15620" width="3.7773437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7773437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44140625" style="168" customWidth="1"/>
    <col min="15872" max="15872" width="10.44140625" style="168" customWidth="1"/>
    <col min="15873" max="15873" width="15.109375" style="168" customWidth="1"/>
    <col min="15874" max="15874" width="3.6640625" style="168" customWidth="1"/>
    <col min="15875" max="15875" width="13.109375" style="168" customWidth="1"/>
    <col min="15876" max="15876" width="3.7773437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7773437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44140625" style="168" customWidth="1"/>
    <col min="16128" max="16128" width="10.44140625" style="168" customWidth="1"/>
    <col min="16129" max="16129" width="15.109375" style="168" customWidth="1"/>
    <col min="16130" max="16130" width="3.6640625" style="168" customWidth="1"/>
    <col min="16131" max="16131" width="13.109375" style="168" customWidth="1"/>
    <col min="16132" max="16132" width="3.7773437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77734375" style="168" customWidth="1"/>
    <col min="16141" max="16384" width="9.33203125" style="168"/>
  </cols>
  <sheetData>
    <row r="1" spans="1:19" ht="15.5">
      <c r="A1" s="626"/>
      <c r="B1" s="627"/>
      <c r="C1" s="627"/>
      <c r="D1" s="627"/>
      <c r="E1" s="627"/>
      <c r="F1" s="627"/>
      <c r="G1" s="628"/>
      <c r="H1" s="627"/>
      <c r="I1" s="628"/>
      <c r="J1" s="628"/>
      <c r="K1" s="629"/>
      <c r="L1" s="758" t="str">
        <f>+'TTA Proposed Rate 590'!G1</f>
        <v>CNGC Advice W20-09-01</v>
      </c>
      <c r="M1" s="627"/>
      <c r="N1" s="627"/>
    </row>
    <row r="2" spans="1:19" ht="15.5">
      <c r="A2" s="627"/>
      <c r="B2" s="630"/>
      <c r="C2" s="630"/>
      <c r="D2" s="841" t="s">
        <v>52</v>
      </c>
      <c r="E2" s="841"/>
      <c r="F2" s="841"/>
      <c r="G2" s="841"/>
      <c r="H2" s="841"/>
      <c r="I2" s="841"/>
      <c r="J2" s="841"/>
      <c r="K2" s="631"/>
      <c r="L2" s="759" t="s">
        <v>290</v>
      </c>
      <c r="M2" s="627"/>
      <c r="N2" s="627"/>
    </row>
    <row r="3" spans="1:19" ht="15.5">
      <c r="A3" s="627"/>
      <c r="B3" s="630"/>
      <c r="C3" s="630"/>
      <c r="D3" s="842" t="s">
        <v>304</v>
      </c>
      <c r="E3" s="841"/>
      <c r="F3" s="841"/>
      <c r="G3" s="841"/>
      <c r="H3" s="841"/>
      <c r="I3" s="841"/>
      <c r="J3" s="841"/>
      <c r="K3" s="631"/>
      <c r="L3" s="759" t="s">
        <v>314</v>
      </c>
      <c r="M3" s="627"/>
      <c r="N3" s="627"/>
    </row>
    <row r="4" spans="1:19" ht="15.5">
      <c r="A4" s="627"/>
      <c r="B4" s="630"/>
      <c r="C4" s="630"/>
      <c r="D4" s="842" t="s">
        <v>346</v>
      </c>
      <c r="E4" s="841"/>
      <c r="F4" s="841"/>
      <c r="G4" s="841"/>
      <c r="H4" s="841"/>
      <c r="I4" s="841"/>
      <c r="J4" s="841"/>
      <c r="K4" s="632"/>
      <c r="L4" s="627"/>
      <c r="M4" s="633" t="s">
        <v>54</v>
      </c>
      <c r="N4" s="627"/>
    </row>
    <row r="5" spans="1:19" ht="15.5">
      <c r="A5" s="627"/>
      <c r="B5" s="630"/>
      <c r="C5" s="630"/>
      <c r="D5" s="841" t="s">
        <v>53</v>
      </c>
      <c r="E5" s="841"/>
      <c r="F5" s="841"/>
      <c r="G5" s="841"/>
      <c r="H5" s="841"/>
      <c r="I5" s="841"/>
      <c r="J5" s="841"/>
      <c r="K5" s="631"/>
      <c r="L5" s="630" t="s">
        <v>173</v>
      </c>
      <c r="M5" s="633" t="s">
        <v>54</v>
      </c>
      <c r="N5" s="627"/>
    </row>
    <row r="6" spans="1:19" ht="15.5">
      <c r="A6" s="626"/>
      <c r="B6" s="627"/>
      <c r="C6" s="627"/>
      <c r="D6" s="627"/>
      <c r="E6" s="627"/>
      <c r="F6" s="627"/>
      <c r="G6" s="628"/>
      <c r="H6" s="627"/>
      <c r="I6" s="628"/>
      <c r="J6" s="628"/>
      <c r="K6" s="629"/>
      <c r="L6" s="627"/>
      <c r="M6" s="627"/>
      <c r="N6" s="627"/>
    </row>
    <row r="7" spans="1:19" ht="15.5">
      <c r="A7" s="634"/>
      <c r="B7" s="635"/>
      <c r="C7" s="636"/>
      <c r="D7" s="636"/>
      <c r="E7" s="783"/>
      <c r="F7" s="637"/>
      <c r="G7" s="638"/>
      <c r="H7" s="637"/>
      <c r="I7" s="638"/>
      <c r="J7" s="628"/>
      <c r="K7" s="639" t="s">
        <v>55</v>
      </c>
      <c r="L7" s="636"/>
      <c r="M7" s="636"/>
      <c r="N7" s="640"/>
    </row>
    <row r="8" spans="1:19" ht="15.5">
      <c r="A8" s="641" t="s">
        <v>7</v>
      </c>
      <c r="B8" s="628"/>
      <c r="C8" s="642"/>
      <c r="D8" s="643" t="s">
        <v>51</v>
      </c>
      <c r="E8" s="784" t="s">
        <v>56</v>
      </c>
      <c r="F8" s="641" t="s">
        <v>319</v>
      </c>
      <c r="G8" s="638"/>
      <c r="H8" s="641" t="s">
        <v>58</v>
      </c>
      <c r="I8" s="638"/>
      <c r="J8" s="628"/>
      <c r="K8" s="644" t="s">
        <v>361</v>
      </c>
      <c r="L8" s="645" t="s">
        <v>59</v>
      </c>
      <c r="M8" s="643" t="s">
        <v>60</v>
      </c>
      <c r="N8" s="646" t="s">
        <v>214</v>
      </c>
    </row>
    <row r="9" spans="1:19" ht="15.5">
      <c r="A9" s="641" t="s">
        <v>9</v>
      </c>
      <c r="B9" s="647" t="s">
        <v>0</v>
      </c>
      <c r="C9" s="645"/>
      <c r="D9" s="643" t="s">
        <v>61</v>
      </c>
      <c r="E9" s="784" t="s">
        <v>62</v>
      </c>
      <c r="F9" s="641" t="s">
        <v>63</v>
      </c>
      <c r="G9" s="638"/>
      <c r="H9" s="641" t="s">
        <v>64</v>
      </c>
      <c r="I9" s="638"/>
      <c r="J9" s="628"/>
      <c r="K9" s="644" t="s">
        <v>65</v>
      </c>
      <c r="L9" s="645" t="s">
        <v>65</v>
      </c>
      <c r="M9" s="645" t="s">
        <v>65</v>
      </c>
      <c r="N9" s="646" t="s">
        <v>65</v>
      </c>
    </row>
    <row r="10" spans="1:19" s="52" customFormat="1" ht="15.5">
      <c r="A10" s="646"/>
      <c r="B10" s="843" t="s">
        <v>14</v>
      </c>
      <c r="C10" s="844"/>
      <c r="D10" s="643" t="s">
        <v>15</v>
      </c>
      <c r="E10" s="784" t="s">
        <v>16</v>
      </c>
      <c r="F10" s="648" t="s">
        <v>17</v>
      </c>
      <c r="G10" s="649"/>
      <c r="H10" s="648" t="s">
        <v>66</v>
      </c>
      <c r="I10" s="649"/>
      <c r="J10" s="650"/>
      <c r="K10" s="651" t="s">
        <v>99</v>
      </c>
      <c r="L10" s="643" t="s">
        <v>67</v>
      </c>
      <c r="M10" s="643" t="s">
        <v>69</v>
      </c>
      <c r="N10" s="652" t="s">
        <v>68</v>
      </c>
    </row>
    <row r="11" spans="1:19" ht="15.5">
      <c r="A11" s="653"/>
      <c r="B11" s="654" t="s">
        <v>70</v>
      </c>
      <c r="C11" s="655"/>
      <c r="D11" s="655"/>
      <c r="E11" s="655"/>
      <c r="F11" s="655"/>
      <c r="G11" s="628"/>
      <c r="H11" s="656"/>
      <c r="I11" s="628"/>
      <c r="J11" s="628"/>
      <c r="K11" s="657"/>
      <c r="L11" s="655"/>
      <c r="M11" s="658"/>
      <c r="N11" s="627"/>
    </row>
    <row r="12" spans="1:19" ht="15.5">
      <c r="A12" s="641">
        <v>1</v>
      </c>
      <c r="B12" s="659" t="s">
        <v>121</v>
      </c>
      <c r="C12" s="666"/>
      <c r="D12" s="643" t="s">
        <v>72</v>
      </c>
      <c r="E12" s="564">
        <f>+'Bills-Therms-Revs'!F12</f>
        <v>193657</v>
      </c>
      <c r="F12" s="660">
        <f>+'Test Period Volumes'!C48</f>
        <v>127118966.08439983</v>
      </c>
      <c r="G12" s="667"/>
      <c r="H12" s="660">
        <f>+'Bills-Therms-Revs'!I16</f>
        <v>129784520</v>
      </c>
      <c r="I12" s="638"/>
      <c r="J12" s="668"/>
      <c r="K12" s="662">
        <f>+'TTA Proposed Rate 590'!F13+'PGA Proposed Rate Adj.'!G16</f>
        <v>1.0337294499999964E-2</v>
      </c>
      <c r="L12" s="663">
        <f>F12*K12</f>
        <v>1314066.1889499484</v>
      </c>
      <c r="M12" s="664" t="e">
        <f>L12/#REF!</f>
        <v>#REF!</v>
      </c>
      <c r="N12" s="669">
        <f>+L12/H12</f>
        <v>1.0124984003870017E-2</v>
      </c>
      <c r="P12" s="810">
        <f>+'TTA Proposed Typical Bill'!G13+'PGA Proposed Typical Bill'!K15</f>
        <v>0.57888849199999803</v>
      </c>
      <c r="R12" s="15"/>
    </row>
    <row r="13" spans="1:19" ht="15.5">
      <c r="A13" s="641">
        <v>2</v>
      </c>
      <c r="B13" s="659" t="s">
        <v>122</v>
      </c>
      <c r="C13" s="638"/>
      <c r="D13" s="643" t="s">
        <v>74</v>
      </c>
      <c r="E13" s="564">
        <f>+'Bills-Therms-Revs'!F18</f>
        <v>26658</v>
      </c>
      <c r="F13" s="660">
        <f>+'Test Period Volumes'!D48</f>
        <v>88299944.040802553</v>
      </c>
      <c r="G13" s="638"/>
      <c r="H13" s="660">
        <f>+'Bills-Therms-Revs'!I18+'Bills-Therms-Revs'!I21+'Bills-Therms-Revs'!I22</f>
        <v>79262367.890000001</v>
      </c>
      <c r="I13" s="638"/>
      <c r="J13" s="628"/>
      <c r="K13" s="662">
        <f>+'TTA Proposed Rate 590'!F14+'PGA Proposed Rate Adj.'!H18</f>
        <v>1.0470913858662785E-2</v>
      </c>
      <c r="L13" s="663">
        <f>ROUND(F13*K13,0)</f>
        <v>924581</v>
      </c>
      <c r="M13" s="664" t="e">
        <f>ROUND(L13/#REF!,4)</f>
        <v>#REF!</v>
      </c>
      <c r="N13" s="669">
        <f t="shared" ref="N13:N16" si="0">+L13/H13</f>
        <v>1.1664816792795414E-2</v>
      </c>
      <c r="R13" s="15"/>
      <c r="S13" s="219"/>
    </row>
    <row r="14" spans="1:19" ht="15.5">
      <c r="A14" s="641">
        <v>3</v>
      </c>
      <c r="B14" s="659" t="s">
        <v>123</v>
      </c>
      <c r="C14" s="666"/>
      <c r="D14" s="643" t="s">
        <v>78</v>
      </c>
      <c r="E14" s="564">
        <f>+'Bills-Therms-Revs'!F28</f>
        <v>480</v>
      </c>
      <c r="F14" s="660">
        <f>+'Test Period Volumes'!E48</f>
        <v>14482049.656409066</v>
      </c>
      <c r="G14" s="638"/>
      <c r="H14" s="660">
        <f>+'Bills-Therms-Revs'!I28</f>
        <v>9601453</v>
      </c>
      <c r="I14" s="638"/>
      <c r="J14" s="628"/>
      <c r="K14" s="662">
        <f>+'TTA Proposed Rate 590'!F16+'PGA Proposed Rate Adj.'!I20</f>
        <v>1.1157294499999963E-2</v>
      </c>
      <c r="L14" s="663">
        <f>F14*K14</f>
        <v>161580.49298017923</v>
      </c>
      <c r="M14" s="664" t="e">
        <f>L14/#REF!</f>
        <v>#REF!</v>
      </c>
      <c r="N14" s="669">
        <f t="shared" si="0"/>
        <v>1.6828754250026452E-2</v>
      </c>
      <c r="R14" s="15"/>
    </row>
    <row r="15" spans="1:19" ht="15.5">
      <c r="A15" s="641">
        <v>4</v>
      </c>
      <c r="B15" s="659" t="s">
        <v>75</v>
      </c>
      <c r="C15" s="638"/>
      <c r="D15" s="643" t="s">
        <v>76</v>
      </c>
      <c r="E15" s="564">
        <f>+'Bills-Therms-Revs'!F19+'Bills-Therms-Revs'!F29</f>
        <v>98</v>
      </c>
      <c r="F15" s="660">
        <f>+'Test Period Volumes'!F48</f>
        <v>27088723.120386221</v>
      </c>
      <c r="G15" s="667"/>
      <c r="H15" s="660">
        <f>+'Bills-Therms-Revs'!I19+'Bills-Therms-Revs'!I23+'Bills-Therms-Revs'!I24+'Bills-Therms-Revs'!I29</f>
        <v>18277286.380000003</v>
      </c>
      <c r="I15" s="667"/>
      <c r="J15" s="668"/>
      <c r="K15" s="662">
        <f>+K14</f>
        <v>1.1157294499999963E-2</v>
      </c>
      <c r="L15" s="663">
        <f>F15*K15</f>
        <v>302236.86148310703</v>
      </c>
      <c r="M15" s="664" t="e">
        <f>L15/#REF!</f>
        <v>#REF!</v>
      </c>
      <c r="N15" s="669">
        <f t="shared" si="0"/>
        <v>1.6536199914984697E-2</v>
      </c>
    </row>
    <row r="16" spans="1:19" ht="15.5">
      <c r="A16" s="641">
        <v>5</v>
      </c>
      <c r="B16" s="659" t="s">
        <v>124</v>
      </c>
      <c r="C16" s="638"/>
      <c r="D16" s="643" t="s">
        <v>79</v>
      </c>
      <c r="E16" s="564">
        <f>+'Bills-Therms-Revs'!F34</f>
        <v>8</v>
      </c>
      <c r="F16" s="660">
        <f>+'Test Period Volumes'!G48</f>
        <v>2291417.0980023355</v>
      </c>
      <c r="G16" s="667"/>
      <c r="H16" s="660">
        <f>+'Bills-Therms-Revs'!I39</f>
        <v>1421635</v>
      </c>
      <c r="I16" s="638"/>
      <c r="J16" s="668"/>
      <c r="K16" s="662">
        <f>+'TTA Proposed Rate 590'!F17+'PGA Proposed Rate Adj.'!K22</f>
        <v>1.1846495719745383E-2</v>
      </c>
      <c r="L16" s="663">
        <f>F16*K16</f>
        <v>27145.262843636054</v>
      </c>
      <c r="M16" s="664" t="e">
        <f>L16/#REF!</f>
        <v>#REF!</v>
      </c>
      <c r="N16" s="669">
        <f t="shared" si="0"/>
        <v>1.9094396834374545E-2</v>
      </c>
      <c r="R16" s="15"/>
    </row>
    <row r="17" spans="1:14" s="50" customFormat="1" ht="15.5">
      <c r="A17" s="648">
        <v>6</v>
      </c>
      <c r="B17" s="654" t="s">
        <v>318</v>
      </c>
      <c r="C17" s="670"/>
      <c r="D17" s="671"/>
      <c r="E17" s="785">
        <f>SUM(E12:E16)</f>
        <v>220901</v>
      </c>
      <c r="F17" s="672">
        <f>SUM(F12:F16)</f>
        <v>259281100</v>
      </c>
      <c r="G17" s="673"/>
      <c r="H17" s="672">
        <f>SUM(H12:H16)</f>
        <v>238347262.26999998</v>
      </c>
      <c r="I17" s="673"/>
      <c r="J17" s="674"/>
      <c r="K17" s="675"/>
      <c r="L17" s="676">
        <f>SUM(L12:L16)</f>
        <v>2729609.8062568703</v>
      </c>
      <c r="M17" s="677" t="e">
        <f>L17/#REF!</f>
        <v>#REF!</v>
      </c>
      <c r="N17" s="678"/>
    </row>
    <row r="18" spans="1:14" s="17" customFormat="1" ht="15.5">
      <c r="A18" s="679"/>
      <c r="B18" s="680" t="s">
        <v>81</v>
      </c>
      <c r="C18" s="681"/>
      <c r="D18" s="681"/>
      <c r="E18" s="682"/>
      <c r="F18" s="682"/>
      <c r="G18" s="668"/>
      <c r="H18" s="786"/>
      <c r="I18" s="628"/>
      <c r="J18" s="668"/>
      <c r="K18" s="683"/>
      <c r="L18" s="684"/>
      <c r="M18" s="685"/>
      <c r="N18" s="686"/>
    </row>
    <row r="19" spans="1:14" ht="15.5">
      <c r="A19" s="687">
        <v>7</v>
      </c>
      <c r="B19" s="688" t="s">
        <v>195</v>
      </c>
      <c r="C19" s="635"/>
      <c r="D19" s="637" t="s">
        <v>46</v>
      </c>
      <c r="E19" s="787"/>
      <c r="F19" s="661">
        <f>'Bills-Therms-Revs'!G42</f>
        <v>0</v>
      </c>
      <c r="G19" s="628"/>
      <c r="H19" s="787">
        <f>'Bills-Therms-Revs'!I42</f>
        <v>0</v>
      </c>
      <c r="I19" s="628"/>
      <c r="J19" s="628"/>
      <c r="K19" s="689">
        <f>'TTA Proposed Rate 590'!F21</f>
        <v>0</v>
      </c>
      <c r="L19" s="690">
        <f>+F19*K19</f>
        <v>0</v>
      </c>
      <c r="M19" s="691"/>
      <c r="N19" s="665"/>
    </row>
    <row r="20" spans="1:14" ht="15.5">
      <c r="A20" s="687">
        <v>8</v>
      </c>
      <c r="B20" s="692" t="s">
        <v>196</v>
      </c>
      <c r="C20" s="628"/>
      <c r="D20" s="641" t="s">
        <v>82</v>
      </c>
      <c r="E20" s="660">
        <f>+'Bills-Therms-Revs'!F44</f>
        <v>188</v>
      </c>
      <c r="F20" s="660">
        <f>+'Bills-Therms-Revs'!G44</f>
        <v>629818145</v>
      </c>
      <c r="G20" s="668"/>
      <c r="H20" s="660">
        <f>+'Bills-Therms-Revs'!I44</f>
        <v>20168203</v>
      </c>
      <c r="I20" s="659"/>
      <c r="J20" s="668"/>
      <c r="K20" s="693">
        <f>+'TTA Proposed Rate 590'!F20</f>
        <v>0</v>
      </c>
      <c r="L20" s="694">
        <f>F20*K20</f>
        <v>0</v>
      </c>
      <c r="M20" s="691"/>
      <c r="N20" s="669">
        <f>+L20/H20</f>
        <v>0</v>
      </c>
    </row>
    <row r="21" spans="1:14" ht="15.5">
      <c r="A21" s="687">
        <v>9</v>
      </c>
      <c r="B21" s="692" t="s">
        <v>197</v>
      </c>
      <c r="C21" s="628"/>
      <c r="D21" s="648" t="s">
        <v>193</v>
      </c>
      <c r="E21" s="695">
        <f>+'Bills-Therms-Revs'!F45</f>
        <v>7</v>
      </c>
      <c r="F21" s="695">
        <f>+'Bills-Therms-Revs'!G45</f>
        <v>216766399</v>
      </c>
      <c r="G21" s="628"/>
      <c r="H21" s="660">
        <f>+'Bills-Therms-Revs'!I45</f>
        <v>4441400</v>
      </c>
      <c r="I21" s="628"/>
      <c r="J21" s="628"/>
      <c r="K21" s="693"/>
      <c r="L21" s="694"/>
      <c r="M21" s="685"/>
      <c r="N21" s="696"/>
    </row>
    <row r="22" spans="1:14" s="50" customFormat="1" ht="15.5">
      <c r="A22" s="697">
        <v>10</v>
      </c>
      <c r="B22" s="698" t="s">
        <v>198</v>
      </c>
      <c r="C22" s="670"/>
      <c r="D22" s="671"/>
      <c r="E22" s="699">
        <f>SUM(E19:E21)</f>
        <v>195</v>
      </c>
      <c r="F22" s="699">
        <f>SUM(F19:F21)</f>
        <v>846584544</v>
      </c>
      <c r="G22" s="700"/>
      <c r="H22" s="699">
        <f>SUM(H19:H21)</f>
        <v>24609603</v>
      </c>
      <c r="I22" s="700"/>
      <c r="J22" s="700"/>
      <c r="K22" s="701"/>
      <c r="L22" s="702">
        <f>+L20+L19</f>
        <v>0</v>
      </c>
      <c r="M22" s="703"/>
      <c r="N22" s="704"/>
    </row>
    <row r="23" spans="1:14" s="195" customFormat="1" ht="15.5">
      <c r="A23" s="650"/>
      <c r="B23" s="705"/>
      <c r="C23" s="700"/>
      <c r="D23" s="700"/>
      <c r="E23" s="788"/>
      <c r="F23" s="706"/>
      <c r="G23" s="700"/>
      <c r="H23" s="788"/>
      <c r="I23" s="700"/>
      <c r="J23" s="700"/>
      <c r="K23" s="707"/>
      <c r="L23" s="708"/>
      <c r="M23" s="709"/>
      <c r="N23" s="700"/>
    </row>
    <row r="24" spans="1:14" s="50" customFormat="1" ht="15.5">
      <c r="A24" s="653">
        <v>11</v>
      </c>
      <c r="B24" s="698" t="s">
        <v>199</v>
      </c>
      <c r="C24" s="670"/>
      <c r="D24" s="670"/>
      <c r="E24" s="699">
        <f>+E22+E17</f>
        <v>221096</v>
      </c>
      <c r="F24" s="699">
        <f>+F22+F17</f>
        <v>1105865644</v>
      </c>
      <c r="G24" s="706"/>
      <c r="H24" s="699">
        <f>+H22+H17</f>
        <v>262956865.26999998</v>
      </c>
      <c r="I24" s="706"/>
      <c r="J24" s="700"/>
      <c r="K24" s="701"/>
      <c r="L24" s="702">
        <f>+L20+L17</f>
        <v>2729609.8062568703</v>
      </c>
      <c r="M24" s="710"/>
      <c r="N24" s="711">
        <f>+L24/H24</f>
        <v>1.0380447011543699E-2</v>
      </c>
    </row>
    <row r="26" spans="1:14">
      <c r="B26" s="77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P12" sqref="P12"/>
      <selection pane="topRight" activeCell="P12" sqref="P12"/>
    </sheetView>
  </sheetViews>
  <sheetFormatPr defaultColWidth="9.33203125" defaultRowHeight="14.5"/>
  <cols>
    <col min="1" max="1" width="24.33203125" style="165" bestFit="1" customWidth="1"/>
    <col min="2" max="2" width="16" style="165" bestFit="1" customWidth="1"/>
    <col min="3" max="3" width="66.109375" style="165" bestFit="1" customWidth="1"/>
    <col min="4" max="4" width="24.33203125" style="165" bestFit="1" customWidth="1"/>
    <col min="5" max="5" width="11.109375" style="165" bestFit="1" customWidth="1"/>
    <col min="6" max="6" width="8.6640625" style="165" bestFit="1" customWidth="1"/>
    <col min="7" max="9" width="10.6640625" style="165" customWidth="1"/>
    <col min="10" max="10" width="9.33203125" style="12"/>
    <col min="11" max="16384" width="9.33203125" style="165"/>
  </cols>
  <sheetData>
    <row r="1" spans="1:19">
      <c r="C1" s="849" t="s">
        <v>52</v>
      </c>
      <c r="D1" s="849"/>
      <c r="E1" s="849"/>
      <c r="F1" s="849"/>
      <c r="G1" s="849"/>
      <c r="H1" s="849"/>
    </row>
    <row r="2" spans="1:19">
      <c r="C2" s="849" t="s">
        <v>342</v>
      </c>
      <c r="D2" s="849"/>
      <c r="E2" s="849"/>
      <c r="F2" s="849"/>
      <c r="G2" s="849"/>
      <c r="H2" s="849"/>
    </row>
    <row r="3" spans="1:19">
      <c r="C3" s="850" t="s">
        <v>339</v>
      </c>
      <c r="D3" s="849"/>
      <c r="E3" s="849"/>
      <c r="F3" s="849"/>
      <c r="G3" s="849"/>
      <c r="H3" s="849"/>
    </row>
    <row r="4" spans="1:19">
      <c r="C4" s="849" t="s">
        <v>53</v>
      </c>
      <c r="D4" s="849"/>
      <c r="E4" s="849"/>
      <c r="F4" s="849"/>
      <c r="G4" s="849"/>
      <c r="H4" s="849"/>
    </row>
    <row r="5" spans="1:19">
      <c r="A5" s="282"/>
      <c r="B5" s="3"/>
      <c r="C5" s="57"/>
    </row>
    <row r="6" spans="1:19">
      <c r="A6" s="848" t="s">
        <v>343</v>
      </c>
      <c r="B6" s="848"/>
      <c r="C6" s="848"/>
    </row>
    <row r="7" spans="1:19" ht="29">
      <c r="A7" s="172" t="s">
        <v>39</v>
      </c>
      <c r="B7" s="172" t="s">
        <v>107</v>
      </c>
      <c r="C7" s="172" t="s">
        <v>38</v>
      </c>
      <c r="D7" s="204" t="s">
        <v>344</v>
      </c>
      <c r="E7" s="172" t="s">
        <v>114</v>
      </c>
      <c r="F7" s="172" t="s">
        <v>37</v>
      </c>
      <c r="G7" s="172" t="s">
        <v>5</v>
      </c>
      <c r="H7" s="172" t="s">
        <v>8</v>
      </c>
      <c r="I7" s="172" t="s">
        <v>43</v>
      </c>
    </row>
    <row r="8" spans="1:19">
      <c r="D8" s="170"/>
      <c r="G8" s="812"/>
      <c r="H8" s="812"/>
      <c r="I8" s="812"/>
    </row>
    <row r="9" spans="1:19">
      <c r="A9" s="165" t="s">
        <v>204</v>
      </c>
      <c r="B9" s="165" t="s">
        <v>205</v>
      </c>
      <c r="C9" s="165" t="s">
        <v>206</v>
      </c>
      <c r="D9" s="170">
        <v>12051645.93</v>
      </c>
      <c r="E9" s="165" t="s">
        <v>36</v>
      </c>
      <c r="G9" s="812" t="s">
        <v>174</v>
      </c>
      <c r="H9" s="812" t="s">
        <v>174</v>
      </c>
      <c r="I9" s="812" t="s">
        <v>175</v>
      </c>
      <c r="S9" s="168"/>
    </row>
    <row r="10" spans="1:19">
      <c r="A10" s="165" t="s">
        <v>207</v>
      </c>
      <c r="B10" s="165" t="s">
        <v>205</v>
      </c>
      <c r="C10" s="165" t="s">
        <v>208</v>
      </c>
      <c r="D10" s="170">
        <v>-2616110.3199999998</v>
      </c>
      <c r="E10" s="165" t="s">
        <v>36</v>
      </c>
      <c r="G10" s="812" t="s">
        <v>174</v>
      </c>
      <c r="H10" s="812" t="s">
        <v>174</v>
      </c>
      <c r="I10" s="812" t="s">
        <v>175</v>
      </c>
      <c r="S10" s="168"/>
    </row>
    <row r="11" spans="1:19">
      <c r="A11" s="165" t="s">
        <v>350</v>
      </c>
      <c r="B11" s="165" t="s">
        <v>205</v>
      </c>
      <c r="C11" s="165" t="s">
        <v>351</v>
      </c>
      <c r="D11" s="170">
        <v>27772781.960000001</v>
      </c>
      <c r="E11" s="165" t="s">
        <v>36</v>
      </c>
      <c r="G11" s="812" t="s">
        <v>174</v>
      </c>
      <c r="H11" s="812" t="s">
        <v>175</v>
      </c>
      <c r="I11" s="812" t="s">
        <v>174</v>
      </c>
      <c r="S11" s="168"/>
    </row>
    <row r="12" spans="1:19">
      <c r="D12" s="170"/>
      <c r="G12" s="812"/>
      <c r="H12" s="812"/>
      <c r="I12" s="812"/>
      <c r="S12" s="168"/>
    </row>
    <row r="13" spans="1:19">
      <c r="D13" s="170"/>
      <c r="G13" s="812"/>
      <c r="H13" s="812"/>
      <c r="I13" s="812"/>
    </row>
    <row r="14" spans="1:19">
      <c r="A14" s="169"/>
      <c r="B14" s="169"/>
      <c r="D14" s="170"/>
      <c r="G14" s="812"/>
      <c r="H14" s="812"/>
      <c r="I14" s="812"/>
    </row>
    <row r="15" spans="1:19">
      <c r="D15" s="170"/>
    </row>
    <row r="16" spans="1:19">
      <c r="A16" s="172" t="s">
        <v>108</v>
      </c>
      <c r="B16" s="172"/>
      <c r="C16" s="172"/>
      <c r="D16" s="204"/>
      <c r="E16" s="172"/>
    </row>
    <row r="17" spans="1:9">
      <c r="A17" s="165" t="s">
        <v>205</v>
      </c>
      <c r="C17" s="165" t="s">
        <v>209</v>
      </c>
      <c r="D17" s="170">
        <f>+D9+D10+D11+D12</f>
        <v>37208317.57</v>
      </c>
      <c r="E17" s="165" t="s">
        <v>36</v>
      </c>
      <c r="G17" s="812"/>
      <c r="H17" s="812"/>
      <c r="I17" s="812"/>
    </row>
    <row r="18" spans="1:9">
      <c r="D18" s="170"/>
      <c r="G18" s="812"/>
      <c r="H18" s="812"/>
      <c r="I18" s="812"/>
    </row>
    <row r="19" spans="1:9">
      <c r="D19" s="170"/>
      <c r="G19" s="812"/>
      <c r="H19" s="812"/>
      <c r="I19" s="812"/>
    </row>
    <row r="20" spans="1:9">
      <c r="D20" s="170">
        <f>+SUM(D17:D19)</f>
        <v>37208317.57</v>
      </c>
      <c r="G20" s="812"/>
      <c r="H20" s="812"/>
      <c r="I20" s="812"/>
    </row>
    <row r="21" spans="1:9">
      <c r="D21" s="170"/>
      <c r="G21" s="812"/>
      <c r="H21" s="812"/>
      <c r="I21" s="812"/>
    </row>
    <row r="22" spans="1:9" ht="15" thickBot="1">
      <c r="D22" s="205">
        <f>+D21-D20</f>
        <v>-37208317.57</v>
      </c>
      <c r="G22" s="812"/>
      <c r="H22" s="812"/>
      <c r="I22" s="812"/>
    </row>
    <row r="23" spans="1:9" ht="15" thickTop="1">
      <c r="D23" s="170"/>
      <c r="G23" s="812"/>
      <c r="H23" s="812"/>
      <c r="I23" s="812"/>
    </row>
  </sheetData>
  <mergeCells count="5">
    <mergeCell ref="A6:C6"/>
    <mergeCell ref="C1:H1"/>
    <mergeCell ref="C2:H2"/>
    <mergeCell ref="C3:H3"/>
    <mergeCell ref="C4:H4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36"/>
  <sheetViews>
    <sheetView zoomScaleNormal="100" workbookViewId="0">
      <selection activeCell="C11" sqref="C11"/>
    </sheetView>
  </sheetViews>
  <sheetFormatPr defaultColWidth="9.33203125" defaultRowHeight="14.5"/>
  <cols>
    <col min="1" max="1" width="28.6640625" style="165" bestFit="1" customWidth="1"/>
    <col min="2" max="2" width="66.109375" style="165" bestFit="1" customWidth="1"/>
    <col min="3" max="3" width="18.109375" style="165" customWidth="1"/>
    <col min="4" max="5" width="15.77734375" style="165" bestFit="1" customWidth="1"/>
    <col min="6" max="6" width="1.6640625" style="165" customWidth="1"/>
    <col min="7" max="7" width="16.77734375" style="165" customWidth="1"/>
    <col min="8" max="8" width="9.33203125" style="165"/>
    <col min="9" max="9" width="17.6640625" style="165" bestFit="1" customWidth="1"/>
    <col min="10" max="10" width="9.33203125" style="12"/>
    <col min="11" max="16384" width="9.33203125" style="165"/>
  </cols>
  <sheetData>
    <row r="1" spans="1:10">
      <c r="B1" s="849" t="s">
        <v>52</v>
      </c>
      <c r="C1" s="849"/>
      <c r="D1" s="849"/>
      <c r="E1" s="849"/>
      <c r="F1" s="95"/>
      <c r="G1" s="95"/>
    </row>
    <row r="2" spans="1:10">
      <c r="B2" s="849" t="s">
        <v>215</v>
      </c>
      <c r="C2" s="849"/>
      <c r="D2" s="849"/>
      <c r="E2" s="849"/>
      <c r="F2" s="95"/>
      <c r="G2" s="95"/>
    </row>
    <row r="3" spans="1:10">
      <c r="B3" s="850" t="s">
        <v>339</v>
      </c>
      <c r="C3" s="850"/>
      <c r="D3" s="850"/>
      <c r="E3" s="850"/>
      <c r="F3" s="95"/>
      <c r="G3" s="95"/>
    </row>
    <row r="4" spans="1:10">
      <c r="B4" s="849" t="s">
        <v>53</v>
      </c>
      <c r="C4" s="849"/>
      <c r="D4" s="849"/>
      <c r="E4" s="849"/>
      <c r="F4" s="95"/>
      <c r="G4" s="95"/>
    </row>
    <row r="7" spans="1:10" s="166" customFormat="1">
      <c r="A7" s="3" t="s">
        <v>31</v>
      </c>
      <c r="C7" s="209">
        <v>44074</v>
      </c>
      <c r="D7" s="209">
        <v>44104</v>
      </c>
      <c r="E7" s="209">
        <v>44135</v>
      </c>
      <c r="F7" s="209"/>
      <c r="G7" s="298" t="s">
        <v>42</v>
      </c>
      <c r="J7" s="58"/>
    </row>
    <row r="8" spans="1:10">
      <c r="A8" s="55" t="s">
        <v>32</v>
      </c>
      <c r="B8" s="56"/>
      <c r="C8" s="283">
        <v>3.4299999999999997E-2</v>
      </c>
      <c r="D8" s="283">
        <f>+C8</f>
        <v>3.4299999999999997E-2</v>
      </c>
      <c r="E8" s="283">
        <f>+C8</f>
        <v>3.4299999999999997E-2</v>
      </c>
      <c r="F8" s="210"/>
      <c r="G8" s="57" t="s">
        <v>44</v>
      </c>
    </row>
    <row r="9" spans="1:10">
      <c r="A9" s="55" t="s">
        <v>33</v>
      </c>
      <c r="B9" s="57" t="s">
        <v>118</v>
      </c>
      <c r="C9" s="211">
        <f>ROUND(C8/365*31,6)</f>
        <v>2.9129999999999998E-3</v>
      </c>
      <c r="D9" s="211">
        <f>ROUND(D8/365*30,6)</f>
        <v>2.8189999999999999E-3</v>
      </c>
      <c r="E9" s="211">
        <f>ROUND(E8/365*31,6)</f>
        <v>2.9129999999999998E-3</v>
      </c>
      <c r="F9" s="211"/>
      <c r="G9" s="818">
        <v>44135</v>
      </c>
    </row>
    <row r="10" spans="1:10">
      <c r="A10" s="18" t="s">
        <v>45</v>
      </c>
      <c r="B10" s="19" t="s">
        <v>0</v>
      </c>
      <c r="C10" s="45"/>
      <c r="D10" s="14"/>
      <c r="E10" s="14"/>
    </row>
    <row r="11" spans="1:10">
      <c r="A11" s="167" t="str">
        <f>+'Balances at TTA 7-31-2020'!A9</f>
        <v>47WA.2530.01253</v>
      </c>
      <c r="B11" s="167" t="str">
        <f>+'Balances at TTA 7-31-2020'!C9</f>
        <v>Core Market Commodity Changes</v>
      </c>
      <c r="C11" s="69">
        <f>ROUND('Balances at TTA 7-31-2020'!D9*C$9,2)</f>
        <v>35106.44</v>
      </c>
      <c r="D11" s="69">
        <f>ROUND('TTA EstimatedBalances'!D11*D$9,2)</f>
        <v>34072.550000000003</v>
      </c>
      <c r="E11" s="69">
        <f>ROUND('TTA EstimatedBalances'!E11*E$9,2)</f>
        <v>35307.96</v>
      </c>
      <c r="F11" s="69"/>
      <c r="G11" s="69">
        <f>SUM(C11:E11)</f>
        <v>104486.95000000001</v>
      </c>
      <c r="I11" s="88"/>
    </row>
    <row r="12" spans="1:10">
      <c r="A12" s="167" t="str">
        <f>+'Balances at TTA 7-31-2020'!A10</f>
        <v>47WA.2530.01254</v>
      </c>
      <c r="B12" s="167" t="str">
        <f>+'Balances at TTA 7-31-2020'!C10</f>
        <v>Core Market Demand Cost Changes</v>
      </c>
      <c r="C12" s="69">
        <f>ROUND('Balances at TTA 7-31-2020'!D10*C$9,2)</f>
        <v>-7620.73</v>
      </c>
      <c r="D12" s="69">
        <f>ROUND('TTA EstimatedBalances'!D12*D$9,2)</f>
        <v>-7396.3</v>
      </c>
      <c r="E12" s="69">
        <f>ROUND('TTA EstimatedBalances'!E12*E$9,2)</f>
        <v>-7664.47</v>
      </c>
      <c r="F12" s="69"/>
      <c r="G12" s="69">
        <f t="shared" ref="G12:G14" si="0">SUM(C12:E12)</f>
        <v>-22681.5</v>
      </c>
      <c r="I12" s="88"/>
    </row>
    <row r="13" spans="1:10">
      <c r="A13" s="167" t="str">
        <f>+'Balances at TTA 7-31-2020'!A11</f>
        <v>47WA.2530.01289</v>
      </c>
      <c r="B13" s="167" t="str">
        <f>+'Balances at TTA 7-31-2020'!C11</f>
        <v>11/01/2019 WA Temporary Gas Cost Amortization</v>
      </c>
      <c r="C13" s="69">
        <f>ROUND('Balances at TTA 7-31-2020'!D11*C$9,2)</f>
        <v>80902.11</v>
      </c>
      <c r="D13" s="69">
        <f>ROUND('TTA EstimatedBalances'!D13*D$9,2)</f>
        <v>77153.81</v>
      </c>
      <c r="E13" s="69">
        <f>ROUND('TTA EstimatedBalances'!E13*E$9,2)</f>
        <v>78061.17</v>
      </c>
      <c r="F13" s="69"/>
      <c r="G13" s="69">
        <f t="shared" si="0"/>
        <v>236117.08999999997</v>
      </c>
      <c r="I13" s="88"/>
    </row>
    <row r="14" spans="1:10">
      <c r="A14" s="167">
        <f>+'Balances at TTA 7-31-2020'!A12</f>
        <v>0</v>
      </c>
      <c r="B14" s="167">
        <f>+'Balances at TTA 7-31-2020'!C12</f>
        <v>0</v>
      </c>
      <c r="C14" s="69">
        <f>ROUND('Balances at TTA 7-31-2020'!D12*C$9,2)</f>
        <v>0</v>
      </c>
      <c r="D14" s="69">
        <f>ROUND('TTA EstimatedBalances'!D14*D$9,2)</f>
        <v>0</v>
      </c>
      <c r="E14" s="69">
        <f>ROUND('TTA EstimatedBalances'!E14*E$9,2)</f>
        <v>0</v>
      </c>
      <c r="F14" s="69"/>
      <c r="G14" s="69">
        <f t="shared" si="0"/>
        <v>0</v>
      </c>
      <c r="I14" s="88"/>
    </row>
    <row r="15" spans="1:10">
      <c r="A15" s="167"/>
      <c r="B15" s="167"/>
      <c r="C15" s="69"/>
      <c r="D15" s="69"/>
      <c r="E15" s="69"/>
      <c r="F15" s="69"/>
      <c r="G15" s="69"/>
      <c r="I15" s="88"/>
    </row>
    <row r="16" spans="1:10">
      <c r="A16" s="167"/>
      <c r="B16" s="167"/>
      <c r="C16" s="69"/>
      <c r="D16" s="69"/>
      <c r="E16" s="69"/>
      <c r="F16" s="20"/>
      <c r="G16" s="69">
        <f t="shared" ref="G16" si="1">SUM(C16:D16)</f>
        <v>0</v>
      </c>
    </row>
    <row r="17" spans="1:7" ht="15" thickBot="1">
      <c r="A17" s="166" t="s">
        <v>42</v>
      </c>
      <c r="C17" s="85">
        <f>SUM(C11:C16)</f>
        <v>108387.82</v>
      </c>
      <c r="D17" s="85">
        <f>SUM(D11:D16)</f>
        <v>103830.06</v>
      </c>
      <c r="E17" s="85">
        <f>SUM(E11:E16)</f>
        <v>105704.66</v>
      </c>
      <c r="F17" s="85"/>
      <c r="G17" s="85">
        <f>SUM(G11:G16)</f>
        <v>317922.53999999998</v>
      </c>
    </row>
    <row r="18" spans="1:7" ht="15" thickTop="1">
      <c r="A18" s="166"/>
      <c r="C18" s="86"/>
      <c r="D18" s="86"/>
      <c r="E18" s="86"/>
      <c r="F18" s="86"/>
      <c r="G18" s="86"/>
    </row>
    <row r="19" spans="1:7">
      <c r="A19" s="165" t="s">
        <v>205</v>
      </c>
      <c r="B19" s="165" t="s">
        <v>209</v>
      </c>
      <c r="C19" s="71">
        <f>+SUM(C11:C16)</f>
        <v>108387.82</v>
      </c>
      <c r="D19" s="71">
        <f t="shared" ref="D19:G19" si="2">+SUM(D11:D16)</f>
        <v>103830.06</v>
      </c>
      <c r="E19" s="71">
        <f t="shared" si="2"/>
        <v>105704.66</v>
      </c>
      <c r="F19" s="71">
        <f t="shared" si="2"/>
        <v>0</v>
      </c>
      <c r="G19" s="71">
        <f t="shared" si="2"/>
        <v>317922.53999999998</v>
      </c>
    </row>
    <row r="20" spans="1:7">
      <c r="C20" s="199"/>
      <c r="D20" s="199"/>
      <c r="E20" s="199"/>
      <c r="F20" s="199"/>
      <c r="G20" s="199"/>
    </row>
    <row r="21" spans="1:7">
      <c r="C21" s="199"/>
      <c r="D21" s="199"/>
      <c r="E21" s="199"/>
      <c r="F21" s="199"/>
      <c r="G21" s="199"/>
    </row>
    <row r="22" spans="1:7" ht="15" thickBot="1">
      <c r="C22" s="200">
        <f>SUM(C19:C21)</f>
        <v>108387.82</v>
      </c>
      <c r="D22" s="200">
        <f t="shared" ref="D22:G22" si="3">SUM(D19:D21)</f>
        <v>103830.06</v>
      </c>
      <c r="E22" s="200">
        <f t="shared" si="3"/>
        <v>105704.66</v>
      </c>
      <c r="F22" s="200">
        <f t="shared" si="3"/>
        <v>0</v>
      </c>
      <c r="G22" s="200">
        <f t="shared" si="3"/>
        <v>317922.53999999998</v>
      </c>
    </row>
    <row r="23" spans="1:7" ht="15" thickTop="1"/>
    <row r="24" spans="1:7" s="12" customFormat="1">
      <c r="A24" s="254"/>
      <c r="B24" s="255"/>
      <c r="C24" s="256"/>
      <c r="D24" s="256"/>
      <c r="E24" s="256"/>
      <c r="F24" s="256"/>
      <c r="G24" s="64"/>
    </row>
    <row r="25" spans="1:7" s="12" customFormat="1">
      <c r="A25" s="254"/>
      <c r="C25" s="257"/>
      <c r="D25" s="257"/>
      <c r="E25" s="257"/>
      <c r="F25" s="258"/>
      <c r="G25" s="255"/>
    </row>
    <row r="26" spans="1:7" s="12" customFormat="1">
      <c r="A26" s="259"/>
      <c r="B26" s="260"/>
      <c r="C26" s="261"/>
      <c r="D26" s="261"/>
      <c r="E26" s="261"/>
      <c r="F26" s="261"/>
      <c r="G26" s="262"/>
    </row>
    <row r="27" spans="1:7" s="12" customFormat="1"/>
    <row r="28" spans="1:7" s="12" customFormat="1"/>
    <row r="29" spans="1:7" s="12" customFormat="1"/>
    <row r="30" spans="1:7" s="12" customFormat="1"/>
    <row r="31" spans="1:7" s="12" customFormat="1">
      <c r="C31" s="241"/>
      <c r="D31" s="241"/>
      <c r="E31" s="241"/>
      <c r="G31" s="263"/>
    </row>
    <row r="32" spans="1:7" s="12" customFormat="1"/>
    <row r="33" spans="1:7" s="12" customFormat="1">
      <c r="A33" s="58"/>
      <c r="C33" s="264"/>
      <c r="D33" s="264"/>
      <c r="E33" s="264"/>
      <c r="F33" s="264"/>
      <c r="G33" s="264"/>
    </row>
    <row r="34" spans="1:7" s="12" customFormat="1"/>
    <row r="35" spans="1:7" s="12" customFormat="1">
      <c r="C35" s="264"/>
      <c r="D35" s="264"/>
      <c r="E35" s="264"/>
      <c r="F35" s="264"/>
      <c r="G35" s="264"/>
    </row>
    <row r="36" spans="1:7" s="12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AF58"/>
  <sheetViews>
    <sheetView view="pageBreakPreview" topLeftCell="J1" zoomScale="80" zoomScaleNormal="90" zoomScaleSheetLayoutView="80" workbookViewId="0">
      <pane ySplit="7" topLeftCell="A8" activePane="bottomLeft" state="frozen"/>
      <selection activeCell="J28" sqref="J28"/>
      <selection pane="bottomLeft" activeCell="AD28" sqref="AD28:AE39"/>
    </sheetView>
  </sheetViews>
  <sheetFormatPr defaultColWidth="9.33203125" defaultRowHeight="14.5"/>
  <cols>
    <col min="1" max="1" width="20.6640625" style="165" bestFit="1" customWidth="1"/>
    <col min="2" max="2" width="74.77734375" style="165" bestFit="1" customWidth="1"/>
    <col min="3" max="3" width="9.33203125" style="165" bestFit="1" customWidth="1"/>
    <col min="4" max="4" width="3.44140625" style="812" bestFit="1" customWidth="1"/>
    <col min="5" max="5" width="16.109375" style="165" bestFit="1" customWidth="1"/>
    <col min="6" max="6" width="15.77734375" style="165" bestFit="1" customWidth="1"/>
    <col min="7" max="7" width="22" style="165" customWidth="1"/>
    <col min="8" max="8" width="15.77734375" style="12" bestFit="1" customWidth="1"/>
    <col min="9" max="12" width="15.77734375" style="165" bestFit="1" customWidth="1"/>
    <col min="13" max="18" width="15.33203125" style="165" bestFit="1" customWidth="1"/>
    <col min="19" max="19" width="16.6640625" style="165" bestFit="1" customWidth="1"/>
    <col min="20" max="27" width="15.33203125" style="165" customWidth="1"/>
    <col min="28" max="30" width="16.6640625" style="165" bestFit="1" customWidth="1"/>
    <col min="31" max="31" width="17" style="165" bestFit="1" customWidth="1"/>
    <col min="32" max="32" width="16.6640625" style="165" bestFit="1" customWidth="1"/>
    <col min="33" max="16384" width="9.33203125" style="165"/>
  </cols>
  <sheetData>
    <row r="1" spans="1:32">
      <c r="G1" s="849" t="s">
        <v>52</v>
      </c>
      <c r="H1" s="849"/>
      <c r="I1" s="849"/>
      <c r="J1" s="849"/>
      <c r="K1" s="849"/>
    </row>
    <row r="2" spans="1:32">
      <c r="G2" s="789" t="s">
        <v>338</v>
      </c>
      <c r="H2" s="789"/>
      <c r="I2" s="789"/>
      <c r="J2" s="789"/>
      <c r="K2" s="789"/>
      <c r="L2" s="789"/>
    </row>
    <row r="3" spans="1:32">
      <c r="G3" s="850" t="s">
        <v>339</v>
      </c>
      <c r="H3" s="850"/>
      <c r="I3" s="850"/>
      <c r="J3" s="850"/>
      <c r="K3" s="850"/>
    </row>
    <row r="4" spans="1:32">
      <c r="G4" s="849" t="s">
        <v>53</v>
      </c>
      <c r="H4" s="849"/>
      <c r="I4" s="849"/>
      <c r="J4" s="849"/>
      <c r="K4" s="849"/>
    </row>
    <row r="8" spans="1:32">
      <c r="B8" s="166"/>
    </row>
    <row r="9" spans="1:32">
      <c r="B9" s="166" t="s">
        <v>112</v>
      </c>
      <c r="G9" s="851" t="s">
        <v>117</v>
      </c>
      <c r="H9" s="851"/>
      <c r="I9" s="851"/>
    </row>
    <row r="10" spans="1:32" s="812" customFormat="1" ht="43.5">
      <c r="B10" s="57" t="s">
        <v>118</v>
      </c>
      <c r="C10" s="171" t="s">
        <v>47</v>
      </c>
      <c r="D10" s="171"/>
      <c r="E10" s="91" t="s">
        <v>109</v>
      </c>
      <c r="F10" s="92" t="s">
        <v>337</v>
      </c>
      <c r="G10" s="198">
        <v>44136</v>
      </c>
      <c r="H10" s="198">
        <v>44166</v>
      </c>
      <c r="I10" s="198">
        <v>44197</v>
      </c>
      <c r="J10" s="198">
        <v>44228</v>
      </c>
      <c r="K10" s="198">
        <v>44256</v>
      </c>
      <c r="L10" s="198">
        <v>44287</v>
      </c>
      <c r="M10" s="198">
        <v>44317</v>
      </c>
      <c r="N10" s="198">
        <v>44348</v>
      </c>
      <c r="O10" s="198">
        <v>44378</v>
      </c>
      <c r="P10" s="198">
        <v>44409</v>
      </c>
      <c r="Q10" s="198">
        <v>44440</v>
      </c>
      <c r="R10" s="198">
        <v>44470</v>
      </c>
      <c r="S10" s="198">
        <v>44501</v>
      </c>
      <c r="T10" s="198">
        <v>44531</v>
      </c>
      <c r="U10" s="198">
        <v>44562</v>
      </c>
      <c r="V10" s="198">
        <v>44593</v>
      </c>
      <c r="W10" s="198">
        <v>44621</v>
      </c>
      <c r="X10" s="198">
        <v>44652</v>
      </c>
      <c r="Y10" s="198">
        <v>44682</v>
      </c>
      <c r="Z10" s="198">
        <v>44713</v>
      </c>
      <c r="AA10" s="198">
        <v>44743</v>
      </c>
      <c r="AB10" s="198">
        <v>44774</v>
      </c>
      <c r="AC10" s="198">
        <v>44805</v>
      </c>
      <c r="AD10" s="198">
        <v>44835</v>
      </c>
      <c r="AE10" s="92" t="s">
        <v>183</v>
      </c>
      <c r="AF10" s="93" t="s">
        <v>110</v>
      </c>
    </row>
    <row r="11" spans="1:32">
      <c r="A11" s="167" t="str">
        <f>+'Balances at TTA 7-31-2020'!A9</f>
        <v>47WA.2530.01253</v>
      </c>
      <c r="B11" s="167" t="str">
        <f>+'Balances at TTA 7-31-2020'!C9</f>
        <v>Core Market Commodity Changes</v>
      </c>
      <c r="C11" s="167" t="str">
        <f>+'Balances at TTA 7-31-2020'!E9</f>
        <v>Core</v>
      </c>
      <c r="D11" s="4">
        <f>+'Test Period Volumes'!I49</f>
        <v>7</v>
      </c>
      <c r="E11" s="32">
        <v>-2.3347827343236746E-2</v>
      </c>
      <c r="F11" s="67">
        <f>+'TTA EstimatedBalances'!F11</f>
        <v>12156132.880000001</v>
      </c>
      <c r="G11" s="67">
        <f>+$E11*'Test Period Volumes'!$I23</f>
        <v>-716995.52762296959</v>
      </c>
      <c r="H11" s="67">
        <f>+E11*'Test Period Volumes'!I24</f>
        <v>-991550.19404814974</v>
      </c>
      <c r="I11" s="67">
        <f>+E11*'Test Period Volumes'!I25</f>
        <v>-951179.65257157781</v>
      </c>
      <c r="J11" s="67">
        <f>+E11*'Test Period Volumes'!I26</f>
        <v>-785258.36425252049</v>
      </c>
      <c r="K11" s="67">
        <f>+E11*'Test Period Volumes'!I27</f>
        <v>-604371.11860644852</v>
      </c>
      <c r="L11" s="67">
        <f>+E11*'Test Period Volumes'!I28</f>
        <v>-394468.73409480654</v>
      </c>
      <c r="M11" s="67">
        <f>+E11*'Test Period Volumes'!I29</f>
        <v>-292251.24555129575</v>
      </c>
      <c r="N11" s="67">
        <f>+E11*'Test Period Volumes'!I30</f>
        <v>-216374.72912077</v>
      </c>
      <c r="O11" s="67">
        <f>+E11*'Test Period Volumes'!I31</f>
        <v>-202540.72115901005</v>
      </c>
      <c r="P11" s="67">
        <f>+E11*'Test Period Volumes'!I32</f>
        <v>-202909.17322231369</v>
      </c>
      <c r="Q11" s="67">
        <f>+E11*'Test Period Volumes'!I33</f>
        <v>-270263.87275952211</v>
      </c>
      <c r="R11" s="67">
        <f>+$E$11*'Test Period Volumes'!I34</f>
        <v>-425487.02315511688</v>
      </c>
      <c r="S11" s="67">
        <f>+$E$11*'Test Period Volumes'!I35</f>
        <v>-727441.36892416107</v>
      </c>
      <c r="T11" s="67">
        <f>+$E$11*'Test Period Volumes'!I36</f>
        <v>-974448.21404098428</v>
      </c>
      <c r="U11" s="67">
        <f>+$E$11*'Test Period Volumes'!I37</f>
        <v>-964140.82535593817</v>
      </c>
      <c r="V11" s="67">
        <f>+$E$11*'Test Period Volumes'!I38</f>
        <v>-795790.10221050773</v>
      </c>
      <c r="W11" s="67">
        <f>+$E$11*'Test Period Volumes'!I39</f>
        <v>-612155.89128619456</v>
      </c>
      <c r="X11" s="67">
        <f>+$E$11*'Test Period Volumes'!I40</f>
        <v>-398269.90047324955</v>
      </c>
      <c r="Y11" s="67">
        <f>+$E$11*'Test Period Volumes'!I41</f>
        <v>-296890.10862698674</v>
      </c>
      <c r="Z11" s="67">
        <f>+$E$11*'Test Period Volumes'!I42</f>
        <v>-218934.30473675436</v>
      </c>
      <c r="AA11" s="67">
        <f>+$E$11*'Test Period Volumes'!I43</f>
        <v>-203899.93827562392</v>
      </c>
      <c r="AB11" s="67">
        <f>+$E$11*'Test Period Volumes'!I44</f>
        <v>-206382.51275703029</v>
      </c>
      <c r="AC11" s="67">
        <f>+$E$11*'Test Period Volumes'!I45</f>
        <v>-273392.06136262364</v>
      </c>
      <c r="AD11" s="67">
        <f>+$E$11*'Test Period Volumes'!I46</f>
        <v>-430737.2957854452</v>
      </c>
      <c r="AE11" s="67">
        <f>+SUM(G11:AD11)</f>
        <v>-12156132.880000001</v>
      </c>
      <c r="AF11" s="67">
        <f>+AE11+F11</f>
        <v>0</v>
      </c>
    </row>
    <row r="12" spans="1:32">
      <c r="A12" s="167" t="str">
        <f>+'Balances at TTA 7-31-2020'!A10</f>
        <v>47WA.2530.01254</v>
      </c>
      <c r="B12" s="167" t="str">
        <f>+'Balances at TTA 7-31-2020'!C10</f>
        <v>Core Market Demand Cost Changes</v>
      </c>
      <c r="C12" s="167" t="str">
        <f>+'Balances at TTA 7-31-2020'!E10</f>
        <v>Core</v>
      </c>
      <c r="D12" s="4">
        <f>+'Test Period Volumes'!I49</f>
        <v>7</v>
      </c>
      <c r="E12" s="32">
        <v>5.0682282281950038E-3</v>
      </c>
      <c r="F12" s="67">
        <f>+'TTA EstimatedBalances'!F12</f>
        <v>-2638791.8199999998</v>
      </c>
      <c r="G12" s="67">
        <f>+$E12*'Test Period Volumes'!$I23</f>
        <v>155641.76140102174</v>
      </c>
      <c r="H12" s="67">
        <f>+E12*'Test Period Volumes'!I24</f>
        <v>215240.69924231272</v>
      </c>
      <c r="I12" s="67">
        <f>+E12*'Test Period Volumes'!I25</f>
        <v>206477.26635876656</v>
      </c>
      <c r="J12" s="67">
        <f>+E12*'Test Period Volumes'!I26</f>
        <v>170459.91259155524</v>
      </c>
      <c r="K12" s="67">
        <f>+E12*'Test Period Volumes'!I27</f>
        <v>131193.82453007091</v>
      </c>
      <c r="L12" s="67">
        <f>+E12*'Test Period Volumes'!I28</f>
        <v>85629.27692964887</v>
      </c>
      <c r="M12" s="67">
        <f>+E12*'Test Period Volumes'!I29</f>
        <v>63440.421699764302</v>
      </c>
      <c r="N12" s="67">
        <f>+E12*'Test Period Volumes'!I30</f>
        <v>46969.531420472878</v>
      </c>
      <c r="O12" s="67">
        <f>+E12*'Test Period Volumes'!I31</f>
        <v>43966.51496715923</v>
      </c>
      <c r="P12" s="67">
        <f>+E12*'Test Period Volumes'!I32</f>
        <v>44046.49667682837</v>
      </c>
      <c r="Q12" s="67">
        <f>+E12*'Test Period Volumes'!I33</f>
        <v>58667.514062197995</v>
      </c>
      <c r="R12" s="67">
        <f>+E12*'Test Period Volumes'!I34</f>
        <v>92362.570177652786</v>
      </c>
      <c r="S12" s="67">
        <f>+$E$12*'Test Period Volumes'!I35</f>
        <v>157909.29177854443</v>
      </c>
      <c r="T12" s="67">
        <f>+$E$12*'Test Period Volumes'!I36</f>
        <v>211528.28795212685</v>
      </c>
      <c r="U12" s="67">
        <f>+$E$12*'Test Period Volumes'!I37</f>
        <v>209290.81216799738</v>
      </c>
      <c r="V12" s="67">
        <f>+$E$12*'Test Period Volumes'!I38</f>
        <v>172746.08898072943</v>
      </c>
      <c r="W12" s="67">
        <f>+$E$12*'Test Period Volumes'!I39</f>
        <v>132883.70359528504</v>
      </c>
      <c r="X12" s="67">
        <f>+$E$12*'Test Period Volumes'!I40</f>
        <v>86454.414894568385</v>
      </c>
      <c r="Y12" s="67">
        <f>+$E$12*'Test Period Volumes'!I41</f>
        <v>64447.402625283226</v>
      </c>
      <c r="Z12" s="67">
        <f>+$E$12*'Test Period Volumes'!I42</f>
        <v>47525.151144673437</v>
      </c>
      <c r="AA12" s="67">
        <f>+$E$12*'Test Period Volumes'!I43</f>
        <v>44261.566941691832</v>
      </c>
      <c r="AB12" s="67">
        <f>+$E$12*'Test Period Volumes'!I44</f>
        <v>44800.471649195802</v>
      </c>
      <c r="AC12" s="67">
        <f>+$E$12*'Test Period Volumes'!I45</f>
        <v>59346.565416668018</v>
      </c>
      <c r="AD12" s="67">
        <f>+$E$12*'Test Period Volumes'!I46</f>
        <v>93502.272795783443</v>
      </c>
      <c r="AE12" s="67">
        <f t="shared" ref="AE12:AE13" si="0">+SUM(G12:AD12)</f>
        <v>2638791.8199999994</v>
      </c>
      <c r="AF12" s="67">
        <f>+AE12+F12</f>
        <v>0</v>
      </c>
    </row>
    <row r="13" spans="1:32">
      <c r="A13" s="167" t="str">
        <f>+'Balances at TTA 7-31-2020'!A11</f>
        <v>47WA.2530.01289</v>
      </c>
      <c r="B13" s="167" t="str">
        <f>+'Balances at TTA 7-31-2020'!C11</f>
        <v>11/01/2019 WA Temporary Gas Cost Amortization</v>
      </c>
      <c r="C13" s="167" t="str">
        <f>+'Balances at TTA 7-31-2020'!E11</f>
        <v>Core</v>
      </c>
      <c r="D13" s="4">
        <f>+'Test Period Volumes'!I49</f>
        <v>7</v>
      </c>
      <c r="E13" s="32">
        <v>-4.9653613809142398E-2</v>
      </c>
      <c r="F13" s="67">
        <f>+'TTA EstimatedBalances'!F13</f>
        <v>25852338.145330001</v>
      </c>
      <c r="G13" s="67">
        <f>+$E13*'Test Period Volumes'!$I23</f>
        <v>-1524827.921163552</v>
      </c>
      <c r="H13" s="67">
        <f>+E13*'Test Period Volumes'!I24</f>
        <v>-2108720.8537161313</v>
      </c>
      <c r="I13" s="67">
        <f>+E13*'Test Period Volumes'!I25</f>
        <v>-2022865.1873076539</v>
      </c>
      <c r="J13" s="67">
        <f>+E13*'Test Period Volumes'!I26</f>
        <v>-1670001.880080211</v>
      </c>
      <c r="K13" s="67">
        <f>+E13*'Test Period Volumes'!I27</f>
        <v>-1285310.606401108</v>
      </c>
      <c r="L13" s="67">
        <f>+E13*'Test Period Volumes'!I28</f>
        <v>-838913.09861851402</v>
      </c>
      <c r="M13" s="67">
        <f>+E13*'Test Period Volumes'!I29</f>
        <v>-621528.08775367436</v>
      </c>
      <c r="N13" s="67">
        <f>+E13*'Test Period Volumes'!I30</f>
        <v>-460162.1846810815</v>
      </c>
      <c r="O13" s="67">
        <f>+E13*'Test Period Volumes'!I31</f>
        <v>-430741.52473411604</v>
      </c>
      <c r="P13" s="67">
        <f>+E13*'Test Period Volumes'!I32</f>
        <v>-431525.10841363814</v>
      </c>
      <c r="Q13" s="67">
        <f>+E13*'Test Period Volumes'!I33</f>
        <v>-574767.74036757683</v>
      </c>
      <c r="R13" s="67">
        <f>+E13*'Test Period Volumes'!I34</f>
        <v>-904879.41417237394</v>
      </c>
      <c r="S13" s="67">
        <f>+$E$13*'Test Period Volumes'!I35</f>
        <v>-1547042.9976353759</v>
      </c>
      <c r="T13" s="67">
        <f>+$E$13*'Test Period Volumes'!I36</f>
        <v>-2072350.2270979143</v>
      </c>
      <c r="U13" s="67">
        <f>+$E$13*'Test Period Volumes'!I37</f>
        <v>-2050429.5965559783</v>
      </c>
      <c r="V13" s="67">
        <f>+$E$13*'Test Period Volumes'!I38</f>
        <v>-1692399.632197239</v>
      </c>
      <c r="W13" s="67">
        <f>+$E$13*'Test Period Volumes'!I39</f>
        <v>-1301866.4122390351</v>
      </c>
      <c r="X13" s="67">
        <f>+$E$13*'Test Period Volumes'!I40</f>
        <v>-846997.00486832531</v>
      </c>
      <c r="Y13" s="67">
        <f>+$E$13*'Test Period Volumes'!I41</f>
        <v>-631393.51601334382</v>
      </c>
      <c r="Z13" s="67">
        <f>+$E$13*'Test Period Volumes'!I42</f>
        <v>-465605.61105575017</v>
      </c>
      <c r="AA13" s="67">
        <f>+$E$13*'Test Period Volumes'!I43</f>
        <v>-433632.15951562906</v>
      </c>
      <c r="AB13" s="67">
        <f>+$E$13*'Test Period Volumes'!I44</f>
        <v>-438911.82827195519</v>
      </c>
      <c r="AC13" s="67">
        <f>+$E$13*'Test Period Volumes'!I45</f>
        <v>-581420.43085295334</v>
      </c>
      <c r="AD13" s="67">
        <f>+$E$13*'Test Period Volumes'!I46</f>
        <v>-916045.12161686341</v>
      </c>
      <c r="AE13" s="67">
        <f t="shared" si="0"/>
        <v>-25852338.145329989</v>
      </c>
      <c r="AF13" s="67">
        <f>+AE13+F13</f>
        <v>0</v>
      </c>
    </row>
    <row r="14" spans="1:32">
      <c r="A14" s="167"/>
      <c r="B14" s="167"/>
      <c r="C14" s="167"/>
      <c r="D14" s="4"/>
      <c r="E14" s="32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>
      <c r="A15" s="167"/>
      <c r="B15" s="167"/>
      <c r="C15" s="167"/>
      <c r="D15" s="4"/>
      <c r="E15" s="32"/>
      <c r="F15" s="67"/>
      <c r="G15" s="67">
        <f>+SUM(G11:G14)+F16</f>
        <v>33283497.5179445</v>
      </c>
      <c r="H15" s="67">
        <f>+SUM(H11:H14)+G15</f>
        <v>30398467.16942253</v>
      </c>
      <c r="I15" s="67">
        <f t="shared" ref="I15:R15" si="1">+SUM(I11:I14)+H15</f>
        <v>27630899.595902063</v>
      </c>
      <c r="J15" s="67">
        <f>+SUM(J11:J14)+I15</f>
        <v>25346099.264160886</v>
      </c>
      <c r="K15" s="67">
        <f t="shared" si="1"/>
        <v>23587611.363683403</v>
      </c>
      <c r="L15" s="67">
        <f t="shared" si="1"/>
        <v>22439858.807899732</v>
      </c>
      <c r="M15" s="67">
        <f t="shared" si="1"/>
        <v>21589519.896294527</v>
      </c>
      <c r="N15" s="67">
        <f t="shared" si="1"/>
        <v>20959952.513913147</v>
      </c>
      <c r="O15" s="67">
        <f t="shared" si="1"/>
        <v>20370636.782987181</v>
      </c>
      <c r="P15" s="67">
        <f t="shared" si="1"/>
        <v>19780248.998028059</v>
      </c>
      <c r="Q15" s="67">
        <f t="shared" si="1"/>
        <v>18993884.898963157</v>
      </c>
      <c r="R15" s="67">
        <f t="shared" si="1"/>
        <v>17755881.03181332</v>
      </c>
      <c r="S15" s="67">
        <f t="shared" ref="S15" si="2">+SUM(S11:S14)+R15</f>
        <v>15639305.957032327</v>
      </c>
      <c r="T15" s="67">
        <f t="shared" ref="T15" si="3">+SUM(T11:T14)+S15</f>
        <v>12804035.803845555</v>
      </c>
      <c r="U15" s="67">
        <f t="shared" ref="U15" si="4">+SUM(U11:U14)+T15</f>
        <v>9998756.1941016354</v>
      </c>
      <c r="V15" s="67">
        <f t="shared" ref="V15" si="5">+SUM(V11:V14)+U15</f>
        <v>7683312.5486746179</v>
      </c>
      <c r="W15" s="67">
        <f t="shared" ref="W15" si="6">+SUM(W11:W14)+V15</f>
        <v>5902173.9487446733</v>
      </c>
      <c r="X15" s="67">
        <f t="shared" ref="X15" si="7">+SUM(X11:X14)+W15</f>
        <v>4743361.4582976671</v>
      </c>
      <c r="Y15" s="67">
        <f t="shared" ref="Y15" si="8">+SUM(Y11:Y14)+X15</f>
        <v>3879525.2362826196</v>
      </c>
      <c r="Z15" s="67">
        <f t="shared" ref="Z15" si="9">+SUM(Z11:Z14)+Y15</f>
        <v>3242510.4716347884</v>
      </c>
      <c r="AA15" s="67">
        <f t="shared" ref="AA15" si="10">+SUM(AA11:AA14)+Z15</f>
        <v>2649239.9407852273</v>
      </c>
      <c r="AB15" s="67">
        <f t="shared" ref="AB15" si="11">+SUM(AB11:AB14)+AA15</f>
        <v>2048746.0714054378</v>
      </c>
      <c r="AC15" s="67">
        <f t="shared" ref="AC15" si="12">+SUM(AC11:AC14)+AB15</f>
        <v>1253280.1446065288</v>
      </c>
      <c r="AD15" s="67">
        <f t="shared" ref="AD15" si="13">+SUM(AD11:AD14)+AC15</f>
        <v>3.7252902984619141E-9</v>
      </c>
      <c r="AE15" s="67">
        <f>SUM(AE11:AE14)</f>
        <v>-35369679.205329992</v>
      </c>
      <c r="AF15" s="67"/>
    </row>
    <row r="16" spans="1:32" s="166" customFormat="1">
      <c r="D16" s="298"/>
      <c r="E16" s="217">
        <f t="shared" ref="E16:AD16" si="14">+SUM(E11:E14)</f>
        <v>-6.7933212924184139E-2</v>
      </c>
      <c r="F16" s="218">
        <f t="shared" si="14"/>
        <v>35369679.205329999</v>
      </c>
      <c r="G16" s="218">
        <f t="shared" si="14"/>
        <v>-2086181.6873854999</v>
      </c>
      <c r="H16" s="196">
        <f t="shared" si="14"/>
        <v>-2885030.3485219683</v>
      </c>
      <c r="I16" s="218">
        <f t="shared" si="14"/>
        <v>-2767567.5735204653</v>
      </c>
      <c r="J16" s="218">
        <f t="shared" si="14"/>
        <v>-2284800.3317411761</v>
      </c>
      <c r="K16" s="218">
        <f t="shared" si="14"/>
        <v>-1758487.9004774857</v>
      </c>
      <c r="L16" s="218">
        <f t="shared" si="14"/>
        <v>-1147752.5557836718</v>
      </c>
      <c r="M16" s="218">
        <f t="shared" si="14"/>
        <v>-850338.91160520585</v>
      </c>
      <c r="N16" s="218">
        <f t="shared" si="14"/>
        <v>-629567.38238137867</v>
      </c>
      <c r="O16" s="218">
        <f t="shared" si="14"/>
        <v>-589315.73092596687</v>
      </c>
      <c r="P16" s="218">
        <f t="shared" si="14"/>
        <v>-590387.78495912347</v>
      </c>
      <c r="Q16" s="218">
        <f t="shared" si="14"/>
        <v>-786364.09906490101</v>
      </c>
      <c r="R16" s="218">
        <f t="shared" si="14"/>
        <v>-1238003.867149838</v>
      </c>
      <c r="S16" s="218">
        <f t="shared" si="14"/>
        <v>-2116575.0747809927</v>
      </c>
      <c r="T16" s="218">
        <f t="shared" si="14"/>
        <v>-2835270.153186772</v>
      </c>
      <c r="U16" s="218">
        <f t="shared" si="14"/>
        <v>-2805279.6097439192</v>
      </c>
      <c r="V16" s="218">
        <f t="shared" si="14"/>
        <v>-2315443.6454270175</v>
      </c>
      <c r="W16" s="218">
        <f t="shared" si="14"/>
        <v>-1781138.5999299446</v>
      </c>
      <c r="X16" s="218">
        <f t="shared" si="14"/>
        <v>-1158812.4904470064</v>
      </c>
      <c r="Y16" s="218">
        <f t="shared" si="14"/>
        <v>-863836.22201504733</v>
      </c>
      <c r="Z16" s="218">
        <f t="shared" si="14"/>
        <v>-637014.76464783109</v>
      </c>
      <c r="AA16" s="218">
        <f t="shared" si="14"/>
        <v>-593270.5308495611</v>
      </c>
      <c r="AB16" s="218">
        <f t="shared" si="14"/>
        <v>-600493.86937978968</v>
      </c>
      <c r="AC16" s="218">
        <f t="shared" si="14"/>
        <v>-795465.92679890897</v>
      </c>
      <c r="AD16" s="218">
        <f t="shared" si="14"/>
        <v>-1253280.1446065251</v>
      </c>
      <c r="AE16" s="819">
        <f t="shared" ref="AE16" si="15">SUM(G16:AD16)</f>
        <v>-35369679.205329992</v>
      </c>
      <c r="AF16" s="218">
        <f>+SUM(AF11:AF13)</f>
        <v>0</v>
      </c>
    </row>
    <row r="17" spans="1:32" s="166" customFormat="1">
      <c r="D17" s="298"/>
      <c r="E17" s="217"/>
      <c r="F17" s="218"/>
      <c r="G17" s="218"/>
      <c r="H17" s="19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20"/>
      <c r="AF17" s="218"/>
    </row>
    <row r="18" spans="1:32">
      <c r="C18" s="219"/>
      <c r="AE18" s="220"/>
    </row>
    <row r="19" spans="1:32">
      <c r="A19" s="167" t="str">
        <f>+'Balances at TTA 7-31-2020'!A17</f>
        <v>CORE Gas Cost</v>
      </c>
      <c r="B19" s="167" t="str">
        <f>+'Balances at TTA 7-31-2020'!C17</f>
        <v>Consolidation of accounts related to core gas costs.</v>
      </c>
      <c r="D19" s="756"/>
      <c r="E19" s="32">
        <f t="shared" ref="E19:AD19" si="16">SUM(E11:E13)+E14</f>
        <v>-6.7933212924184139E-2</v>
      </c>
      <c r="F19" s="220">
        <f t="shared" si="16"/>
        <v>35369679.205329999</v>
      </c>
      <c r="G19" s="220">
        <f t="shared" si="16"/>
        <v>-2086181.6873854999</v>
      </c>
      <c r="H19" s="289">
        <f t="shared" si="16"/>
        <v>-2885030.3485219683</v>
      </c>
      <c r="I19" s="220">
        <f t="shared" si="16"/>
        <v>-2767567.5735204653</v>
      </c>
      <c r="J19" s="220">
        <f t="shared" si="16"/>
        <v>-2284800.3317411761</v>
      </c>
      <c r="K19" s="220">
        <f t="shared" si="16"/>
        <v>-1758487.9004774857</v>
      </c>
      <c r="L19" s="220">
        <f t="shared" si="16"/>
        <v>-1147752.5557836718</v>
      </c>
      <c r="M19" s="220">
        <f t="shared" si="16"/>
        <v>-850338.91160520585</v>
      </c>
      <c r="N19" s="220">
        <f t="shared" si="16"/>
        <v>-629567.38238137867</v>
      </c>
      <c r="O19" s="220">
        <f t="shared" si="16"/>
        <v>-589315.73092596687</v>
      </c>
      <c r="P19" s="220">
        <f t="shared" si="16"/>
        <v>-590387.78495912347</v>
      </c>
      <c r="Q19" s="220">
        <f t="shared" si="16"/>
        <v>-786364.09906490101</v>
      </c>
      <c r="R19" s="220">
        <f t="shared" si="16"/>
        <v>-1238003.867149838</v>
      </c>
      <c r="S19" s="220">
        <f t="shared" si="16"/>
        <v>-2116575.0747809927</v>
      </c>
      <c r="T19" s="220">
        <f t="shared" si="16"/>
        <v>-2835270.153186772</v>
      </c>
      <c r="U19" s="220">
        <f t="shared" si="16"/>
        <v>-2805279.6097439192</v>
      </c>
      <c r="V19" s="220">
        <f t="shared" si="16"/>
        <v>-2315443.6454270175</v>
      </c>
      <c r="W19" s="220">
        <f t="shared" si="16"/>
        <v>-1781138.5999299446</v>
      </c>
      <c r="X19" s="220">
        <f t="shared" si="16"/>
        <v>-1158812.4904470064</v>
      </c>
      <c r="Y19" s="220">
        <f t="shared" si="16"/>
        <v>-863836.22201504733</v>
      </c>
      <c r="Z19" s="220">
        <f t="shared" si="16"/>
        <v>-637014.76464783109</v>
      </c>
      <c r="AA19" s="220">
        <f t="shared" si="16"/>
        <v>-593270.5308495611</v>
      </c>
      <c r="AB19" s="220">
        <f t="shared" si="16"/>
        <v>-600493.86937978968</v>
      </c>
      <c r="AC19" s="220">
        <f t="shared" si="16"/>
        <v>-795465.92679890897</v>
      </c>
      <c r="AD19" s="220">
        <f t="shared" si="16"/>
        <v>-1253280.1446065251</v>
      </c>
      <c r="AE19" s="220">
        <f>SUM(G19:AD19)</f>
        <v>-35369679.205329992</v>
      </c>
      <c r="AF19" s="220">
        <f>SUM(AF11:AF13)</f>
        <v>0</v>
      </c>
    </row>
    <row r="20" spans="1:32">
      <c r="A20" s="167"/>
      <c r="B20" s="167"/>
      <c r="D20" s="756"/>
      <c r="E20" s="32"/>
      <c r="F20" s="220"/>
      <c r="G20" s="220"/>
      <c r="H20" s="289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</row>
    <row r="21" spans="1:32">
      <c r="A21" s="167"/>
      <c r="B21" s="167"/>
      <c r="D21" s="756"/>
      <c r="E21" s="32"/>
      <c r="F21" s="220"/>
      <c r="G21" s="220"/>
      <c r="H21" s="289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</row>
    <row r="22" spans="1:32" s="166" customFormat="1">
      <c r="B22" s="166" t="s">
        <v>210</v>
      </c>
      <c r="D22" s="757"/>
      <c r="E22" s="217">
        <f>+SUM(E19:E21)</f>
        <v>-6.7933212924184139E-2</v>
      </c>
      <c r="F22" s="54">
        <f>+SUM(F19:F21)</f>
        <v>35369679.205329999</v>
      </c>
      <c r="G22" s="54">
        <f t="shared" ref="G22:AF22" si="17">+SUM(G19:G21)</f>
        <v>-2086181.6873854999</v>
      </c>
      <c r="H22" s="51">
        <f t="shared" si="17"/>
        <v>-2885030.3485219683</v>
      </c>
      <c r="I22" s="54">
        <f t="shared" si="17"/>
        <v>-2767567.5735204653</v>
      </c>
      <c r="J22" s="54">
        <f t="shared" si="17"/>
        <v>-2284800.3317411761</v>
      </c>
      <c r="K22" s="54">
        <f t="shared" si="17"/>
        <v>-1758487.9004774857</v>
      </c>
      <c r="L22" s="54">
        <f t="shared" si="17"/>
        <v>-1147752.5557836718</v>
      </c>
      <c r="M22" s="54">
        <f t="shared" si="17"/>
        <v>-850338.91160520585</v>
      </c>
      <c r="N22" s="54">
        <f t="shared" si="17"/>
        <v>-629567.38238137867</v>
      </c>
      <c r="O22" s="54">
        <f t="shared" si="17"/>
        <v>-589315.73092596687</v>
      </c>
      <c r="P22" s="54">
        <f t="shared" si="17"/>
        <v>-590387.78495912347</v>
      </c>
      <c r="Q22" s="54">
        <f t="shared" si="17"/>
        <v>-786364.09906490101</v>
      </c>
      <c r="R22" s="54">
        <f t="shared" si="17"/>
        <v>-1238003.867149838</v>
      </c>
      <c r="S22" s="54">
        <f t="shared" si="17"/>
        <v>-2116575.0747809927</v>
      </c>
      <c r="T22" s="54">
        <f t="shared" si="17"/>
        <v>-2835270.153186772</v>
      </c>
      <c r="U22" s="54">
        <f t="shared" si="17"/>
        <v>-2805279.6097439192</v>
      </c>
      <c r="V22" s="54">
        <f t="shared" si="17"/>
        <v>-2315443.6454270175</v>
      </c>
      <c r="W22" s="54">
        <f t="shared" si="17"/>
        <v>-1781138.5999299446</v>
      </c>
      <c r="X22" s="54">
        <f t="shared" si="17"/>
        <v>-1158812.4904470064</v>
      </c>
      <c r="Y22" s="54">
        <f t="shared" si="17"/>
        <v>-863836.22201504733</v>
      </c>
      <c r="Z22" s="54">
        <f t="shared" si="17"/>
        <v>-637014.76464783109</v>
      </c>
      <c r="AA22" s="54">
        <f t="shared" si="17"/>
        <v>-593270.5308495611</v>
      </c>
      <c r="AB22" s="54">
        <f t="shared" si="17"/>
        <v>-600493.86937978968</v>
      </c>
      <c r="AC22" s="54">
        <f t="shared" si="17"/>
        <v>-795465.92679890897</v>
      </c>
      <c r="AD22" s="54">
        <f t="shared" si="17"/>
        <v>-1253280.1446065251</v>
      </c>
      <c r="AE22" s="220">
        <f t="shared" ref="AE22" si="18">SUM(G22:AD22)</f>
        <v>-35369679.205329992</v>
      </c>
      <c r="AF22" s="54">
        <f t="shared" si="17"/>
        <v>0</v>
      </c>
    </row>
    <row r="23" spans="1:32">
      <c r="F23" s="14"/>
      <c r="G23" s="14"/>
      <c r="H23" s="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>
      <c r="F24" s="14"/>
      <c r="G24" s="14"/>
      <c r="H24" s="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>
      <c r="B25" s="166" t="s">
        <v>111</v>
      </c>
      <c r="F25" s="14"/>
      <c r="G25" s="14"/>
      <c r="H25" s="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66" customFormat="1">
      <c r="B26" s="94" t="s">
        <v>113</v>
      </c>
      <c r="C26" s="53">
        <f>+'TTA Int calc thru 10-31-2020'!D8</f>
        <v>3.4299999999999997E-2</v>
      </c>
      <c r="D26" s="298"/>
      <c r="E26" s="221"/>
      <c r="F26" s="221"/>
      <c r="G26" s="221">
        <f t="shared" ref="G26:AD26" si="19">$C26*DAY(DATE(YEAR(G10),MONTH(G10)+1,DAY(1))-1)/365</f>
        <v>2.8191780821917806E-3</v>
      </c>
      <c r="H26" s="290">
        <f t="shared" si="19"/>
        <v>2.9131506849315067E-3</v>
      </c>
      <c r="I26" s="221">
        <f t="shared" si="19"/>
        <v>2.9131506849315067E-3</v>
      </c>
      <c r="J26" s="221">
        <f t="shared" si="19"/>
        <v>2.6312328767123284E-3</v>
      </c>
      <c r="K26" s="221">
        <f t="shared" si="19"/>
        <v>2.9131506849315067E-3</v>
      </c>
      <c r="L26" s="221">
        <f t="shared" si="19"/>
        <v>2.8191780821917806E-3</v>
      </c>
      <c r="M26" s="221">
        <f t="shared" si="19"/>
        <v>2.9131506849315067E-3</v>
      </c>
      <c r="N26" s="221">
        <f t="shared" si="19"/>
        <v>2.8191780821917806E-3</v>
      </c>
      <c r="O26" s="221">
        <f t="shared" si="19"/>
        <v>2.9131506849315067E-3</v>
      </c>
      <c r="P26" s="221">
        <f t="shared" si="19"/>
        <v>2.9131506849315067E-3</v>
      </c>
      <c r="Q26" s="221">
        <f t="shared" si="19"/>
        <v>2.8191780821917806E-3</v>
      </c>
      <c r="R26" s="221">
        <f t="shared" si="19"/>
        <v>2.9131506849315067E-3</v>
      </c>
      <c r="S26" s="221">
        <f t="shared" si="19"/>
        <v>2.8191780821917806E-3</v>
      </c>
      <c r="T26" s="221">
        <f t="shared" si="19"/>
        <v>2.9131506849315067E-3</v>
      </c>
      <c r="U26" s="221">
        <f t="shared" si="19"/>
        <v>2.9131506849315067E-3</v>
      </c>
      <c r="V26" s="221">
        <f t="shared" si="19"/>
        <v>2.6312328767123284E-3</v>
      </c>
      <c r="W26" s="221">
        <f t="shared" si="19"/>
        <v>2.9131506849315067E-3</v>
      </c>
      <c r="X26" s="221">
        <f t="shared" si="19"/>
        <v>2.8191780821917806E-3</v>
      </c>
      <c r="Y26" s="221">
        <f t="shared" si="19"/>
        <v>2.9131506849315067E-3</v>
      </c>
      <c r="Z26" s="221">
        <f t="shared" si="19"/>
        <v>2.8191780821917806E-3</v>
      </c>
      <c r="AA26" s="221">
        <f t="shared" si="19"/>
        <v>2.9131506849315067E-3</v>
      </c>
      <c r="AB26" s="221">
        <f t="shared" si="19"/>
        <v>2.9131506849315067E-3</v>
      </c>
      <c r="AC26" s="221">
        <f t="shared" si="19"/>
        <v>2.8191780821917806E-3</v>
      </c>
      <c r="AD26" s="221">
        <f t="shared" si="19"/>
        <v>2.9131506849315067E-3</v>
      </c>
      <c r="AE26" s="222" t="s">
        <v>42</v>
      </c>
      <c r="AF26" s="54"/>
    </row>
    <row r="27" spans="1:32">
      <c r="B27" s="166"/>
      <c r="F27" s="14"/>
      <c r="G27" s="14"/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>
      <c r="A28" s="165" t="str">
        <f t="shared" ref="A28:D30" si="20">+A11</f>
        <v>47WA.2530.01253</v>
      </c>
      <c r="B28" s="165" t="str">
        <f t="shared" si="20"/>
        <v>Core Market Commodity Changes</v>
      </c>
      <c r="C28" s="167" t="str">
        <f t="shared" si="20"/>
        <v>Core</v>
      </c>
      <c r="D28" s="812">
        <f t="shared" si="20"/>
        <v>7</v>
      </c>
      <c r="F28" s="14"/>
      <c r="G28" s="14">
        <f>+G$26*F11</f>
        <v>34270.303379506848</v>
      </c>
      <c r="H28" s="1">
        <f>+H$26*(G11+F11)</f>
        <v>33323.930813102728</v>
      </c>
      <c r="I28" s="1">
        <f>+I$26*(H11+G11+F11)</f>
        <v>30435.395686167394</v>
      </c>
      <c r="J28" s="1">
        <f>+J$26*(I11+H11+G11+F11)</f>
        <v>24987.25963980634</v>
      </c>
      <c r="K28" s="1">
        <f>+K$26*(J11+I11+H11+G11+F11)</f>
        <v>25376.890088115164</v>
      </c>
      <c r="L28" s="1">
        <f>+L$26*(K11+J11+I11+H11+G11+F11)</f>
        <v>22854.450919349001</v>
      </c>
      <c r="M28" s="1">
        <f>+M$26*(L11+K11+J11+I11+F11+G11+H11)</f>
        <v>22467.119087081621</v>
      </c>
      <c r="N28" s="1">
        <f>+N$26*(M11+L11+K11+J11+I11+H11+G11+F11)</f>
        <v>20918.465004127524</v>
      </c>
      <c r="O28" s="1">
        <f>+O$26*(N11+M11+L11+K11+J11+I11+H11+G11+F11)</f>
        <v>20985.414980591737</v>
      </c>
      <c r="P28" s="1">
        <f>+P$26*(O11+N11+M11+L11+K11+J11+I11+H11+G11+F11)</f>
        <v>20395.383340020846</v>
      </c>
      <c r="Q28" s="1">
        <f>+Q$26*(P11+O11+N11+M11+L11+K11+J11+I11+H11+G11+F11)</f>
        <v>19165.430654583266</v>
      </c>
      <c r="R28" s="1">
        <f>+R$26*(Q11+P11+O11+N11+M11+L11+K11+J11+I11+H11+G11+F11)</f>
        <v>19016.958957027735</v>
      </c>
      <c r="S28" s="1">
        <f>+S$26*(R11+Q11+P11+O11+N11+M11+L11+K11+J11+I11+H11+G11+F11)</f>
        <v>17203.984978155422</v>
      </c>
      <c r="T28" s="1">
        <f>+T$26*(S11+R11+Q11+P11+O11+N11+M11+L11+K11+J11+I11+H11+G11+F11)</f>
        <v>15658.304821965005</v>
      </c>
      <c r="U28" s="1">
        <f>+U$26*(T11+S11+R11+Q11+P11+O11+N11+M11+L11+K11+J11+I11+H11+G11+F11)</f>
        <v>12819.590339801227</v>
      </c>
      <c r="V28" s="1">
        <f>+V$26*(U11+T11+S11+R11+Q11+P11+O11+N11+M11+L11+K11+J11+G11+H11+I11+F11)</f>
        <v>9042.105785589165</v>
      </c>
      <c r="W28" s="1">
        <f>+W$26*(V11+U11+T11+S11+R11+Q11+P11+O11+N11+M11+L11+K11+G11+H11+I11+J11+F11)</f>
        <v>7692.6463527288897</v>
      </c>
      <c r="X28" s="1">
        <f>+X$26*(W11+V11+U11+T11+S11+R11+Q11+P11+O11+N11+M11+L11+H11+I11+J11+K11+G11+F11)</f>
        <v>5718.7199987841886</v>
      </c>
      <c r="Y28" s="1">
        <f>+Y$26*(X11+W11+V11+U11+T11+S11+R11+Q11+P11+O11+N11+M11+I11+J11+K11+L11+H11+G11+F11)</f>
        <v>4749.12376539241</v>
      </c>
      <c r="Z28" s="1">
        <f>+Z$26*(Y11+X11+W11+V11+U11+T11+S11+R11+Q11+P11+O11+N11+J11+K11+L11+M11+I11+G11+H11+F11)</f>
        <v>3758.940137512559</v>
      </c>
      <c r="AA28" s="1">
        <f>+AA$26*(Z11+Y11+X11+W11+V11+U11+T11+S11+R11+Q11+P11+O11+K11+L11+M11+N11+J11+G11+H11+I11+F11)</f>
        <v>3246.4495222974328</v>
      </c>
      <c r="AB28" s="1">
        <f>+AB$26*(AA11+Z11+Y11+X11+W11+V11+U11+T11+S11+R11+Q11+P11+L11+M11+N11+O11+K11+G11+H11+I11+J11+F11)</f>
        <v>2652.4582774523124</v>
      </c>
      <c r="AC28" s="1">
        <f>+AC$26*(AB11+AA11+Z11+Y11+X11+W11+V11+U11+T11+S11+R11+Q11+M11+N11+O11+P11+L11+G11+H11+I11+J11+K11+F11)</f>
        <v>1985.0660506996217</v>
      </c>
      <c r="AD28" s="1">
        <f>+AD$26*(AC11+AB11+AA11+Z11+Y11+X11+W11+V11+U11+T11+S11+R11+G11+H11+I11+J11+K11+L11+M11+N11+O11+P11+Q11+F11)</f>
        <v>1254.8026482429161</v>
      </c>
      <c r="AE28" s="14">
        <f>+SUM(G28:AD28)</f>
        <v>379979.19522810134</v>
      </c>
      <c r="AF28" s="14"/>
    </row>
    <row r="29" spans="1:32">
      <c r="A29" s="165" t="str">
        <f t="shared" si="20"/>
        <v>47WA.2530.01254</v>
      </c>
      <c r="B29" s="165" t="str">
        <f t="shared" si="20"/>
        <v>Core Market Demand Cost Changes</v>
      </c>
      <c r="C29" s="167" t="str">
        <f t="shared" si="20"/>
        <v>Core</v>
      </c>
      <c r="D29" s="812">
        <f t="shared" si="20"/>
        <v>7</v>
      </c>
      <c r="F29" s="14"/>
      <c r="G29" s="14">
        <f>+G$26*F12</f>
        <v>-7439.2240624109581</v>
      </c>
      <c r="H29" s="1">
        <f t="shared" ref="H29:H30" si="21">+H$26*(G12+F12)</f>
        <v>-7233.7902939953237</v>
      </c>
      <c r="I29" s="1">
        <f t="shared" ref="I29:I30" si="22">+I$26*(H12+G12+F12)</f>
        <v>-6606.7617035724443</v>
      </c>
      <c r="J29" s="1">
        <f t="shared" ref="J29:J30" si="23">+J$26*(I12+H12+G12+F12)</f>
        <v>-5424.1078962059773</v>
      </c>
      <c r="K29" s="1">
        <f t="shared" ref="K29:K30" si="24">+K$26*(J12+I12+H12+G12+F12)</f>
        <v>-5508.6869025371643</v>
      </c>
      <c r="L29" s="1">
        <f t="shared" ref="L29:L30" si="25">+L$26*(K12+J12+I12+H12+G12+F12)</f>
        <v>-4961.1285704018746</v>
      </c>
      <c r="M29" s="1">
        <f t="shared" ref="M29:M30" si="26">+M$26*(L12+K12+J12+I12+F12+G12+H12)</f>
        <v>-4877.0485360108078</v>
      </c>
      <c r="N29" s="1">
        <f t="shared" ref="N29:N30" si="27">+N$26*(M12+L12+K12+J12+I12+H12+G12+F12)</f>
        <v>-4540.8745433068998</v>
      </c>
      <c r="O29" s="1">
        <f t="shared" ref="O29:O30" si="28">+O$26*(N12+M12+L12+K12+J12+I12+H12+G12+F12)</f>
        <v>-4555.4077054553336</v>
      </c>
      <c r="P29" s="1">
        <f t="shared" ref="P29:P30" si="29">+P$26*(O12+N12+M12+L12+K12+J12+I12+H12+G12+F12)</f>
        <v>-4427.3266222647026</v>
      </c>
      <c r="Q29" s="1">
        <f t="shared" ref="Q29:Q30" si="30">+Q$26*(P12+O12+N12+M12+L12+K12+J12+I12+H12+G12+F12)</f>
        <v>-4160.3347164210645</v>
      </c>
      <c r="R29" s="1">
        <f t="shared" ref="R29:R30" si="31">+R$26*(Q12+P12+O12+N12+M12+L12+K12+J12+I12+H12+G12+F12)</f>
        <v>-4128.105231528245</v>
      </c>
      <c r="S29" s="1">
        <f>+SUM(F12:R12)*S26</f>
        <v>-3734.5540131804992</v>
      </c>
      <c r="T29" s="1">
        <f>+T$26*(S12+R12+Q12+P12+O12+N12+M12+L12+K12+J12+I12+H12+G12+F12)</f>
        <v>-3399.0255854514667</v>
      </c>
      <c r="U29" s="1">
        <f>+U$26*(T12+S12+R12+Q12+P12+O12+N12+M12+L12+K12+J12+I12+H12+G12+F12)</f>
        <v>-2782.8118085213391</v>
      </c>
      <c r="V29" s="1">
        <f>+V$26*(U12+T12+S12+R12+Q12+P12+O12+N12+M12+L12+K12+J12+G12+H12+I12+F12)</f>
        <v>-1962.8145741844994</v>
      </c>
      <c r="W29" s="1">
        <f>+W$26*(V12+U12+T12+S12+R12+Q12+P12+O12+N12+M12+L12+K12+G12+H12+I12+J12+F12)</f>
        <v>-1669.8807482708155</v>
      </c>
      <c r="X29" s="1">
        <f>+X$26*(W12+V12+U12+T12+S12+R12+Q12+P12+O12+N12+M12+L12+H12+I12+J12+K12+G12+F12)</f>
        <v>-1241.3908027025577</v>
      </c>
      <c r="Y29" s="1">
        <f>+Y$26*(X12+W12+V12+U12+T12+S12+R12+Q12+P12+O12+N12+M12+I12+J12+K12+L12+H12+G12+F12)</f>
        <v>-1030.9157581605107</v>
      </c>
      <c r="Z29" s="1">
        <f>+Z$26*(Y12+X12+W12+V12+U12+T12+S12+R12+Q12+P12+O12+N12+J12+K12+L12+M12+I12+G12+H12+F12)</f>
        <v>-815.97170618768735</v>
      </c>
      <c r="AA29" s="1">
        <f>+AA$26*(Z12+Y12+X12+W12+V12+U12+T12+S12+R12+Q12+P12+O12+K12+L12+M12+N12+J12+G12+H12+I12+F12)</f>
        <v>-704.72283645203242</v>
      </c>
      <c r="AB29" s="1">
        <f>+AB$26*(AA12+Z12+Y12+X12+W12+V12+U12+T12+S12+R12+Q12+P12+L12+M12+N12+O12+K12+G12+H12+I12+J12+F12)</f>
        <v>-575.78222239970194</v>
      </c>
      <c r="AC29" s="1">
        <f>+AC$26*(AB12+AA12+Z12+Y12+X12+W12+V12+U12+T12+S12+R12+Q12+M12+N12+O12+P12+L12+G12+H12+I12+J12+K12+F12)</f>
        <v>-430.90809457702318</v>
      </c>
      <c r="AD29" s="1">
        <f>+AD$26*(AC12+AB12+AA12+Z12+Y12+X12+W12+V12+U12+T12+S12+R12+G12+H12+I12+J12+K12+L12+M12+N12+O12+P12+Q12+F12)</f>
        <v>-272.38621003769157</v>
      </c>
      <c r="AE29" s="14">
        <f t="shared" ref="AE29:AE30" si="32">+SUM(G29:AD29)</f>
        <v>-82483.961144236615</v>
      </c>
      <c r="AF29" s="14"/>
    </row>
    <row r="30" spans="1:32">
      <c r="A30" s="165" t="str">
        <f t="shared" si="20"/>
        <v>47WA.2530.01289</v>
      </c>
      <c r="B30" s="165" t="str">
        <f t="shared" si="20"/>
        <v>11/01/2019 WA Temporary Gas Cost Amortization</v>
      </c>
      <c r="C30" s="167" t="str">
        <f t="shared" si="20"/>
        <v>Core</v>
      </c>
      <c r="D30" s="812">
        <f t="shared" si="20"/>
        <v>7</v>
      </c>
      <c r="F30" s="14"/>
      <c r="G30" s="14">
        <f>+G$26*F13</f>
        <v>72882.345072724842</v>
      </c>
      <c r="H30" s="1">
        <f t="shared" si="21"/>
        <v>70869.703072208722</v>
      </c>
      <c r="I30" s="1">
        <f t="shared" si="22"/>
        <v>64726.681472876226</v>
      </c>
      <c r="J30" s="1">
        <f t="shared" si="23"/>
        <v>53140.179686274547</v>
      </c>
      <c r="K30" s="1">
        <f t="shared" si="24"/>
        <v>53968.803246154261</v>
      </c>
      <c r="L30" s="1">
        <f t="shared" si="25"/>
        <v>48604.354618806916</v>
      </c>
      <c r="M30" s="1">
        <f t="shared" si="26"/>
        <v>47780.619504928603</v>
      </c>
      <c r="N30" s="1">
        <f t="shared" si="27"/>
        <v>44487.110835856278</v>
      </c>
      <c r="O30" s="1">
        <f t="shared" si="28"/>
        <v>44629.492746901546</v>
      </c>
      <c r="P30" s="1">
        <f t="shared" si="29"/>
        <v>43374.677779093916</v>
      </c>
      <c r="Q30" s="1">
        <f t="shared" si="30"/>
        <v>40758.948497374433</v>
      </c>
      <c r="R30" s="1">
        <f t="shared" si="31"/>
        <v>40443.195077425247</v>
      </c>
      <c r="S30" s="1">
        <f>+SUM(F13:R13)*S26</f>
        <v>36587.559669917966</v>
      </c>
      <c r="T30" s="1">
        <f>+T$26*(S13+R13+Q13+P13+O13+N13+M13+L13+K13+J13+I13+H13+G13+F13)</f>
        <v>33300.375624068583</v>
      </c>
      <c r="U30" s="1">
        <f>+U$26*(T13+S13+R13+Q13+P13+O13+N13+M13+L13+K13+J13+I13+H13+G13+F13)</f>
        <v>27263.307140580331</v>
      </c>
      <c r="V30" s="1">
        <f>+V$26*(U13+T13+S13+R13+Q13+P13+O13+N13+M13+L13+K13+J13+G13+H13+I13+F13)</f>
        <v>19229.764812746605</v>
      </c>
      <c r="W30" s="1">
        <f>+W$26*(V13+U13+T13+S13+R13+Q13+P13+O13+N13+M13+L13+K13+G13+H13+I13+J13+F13)</f>
        <v>16359.88160925623</v>
      </c>
      <c r="X30" s="1">
        <f>+X$26*(W13+V13+U13+T13+S13+R13+Q13+P13+O13+N13+M13+L13+H13+I13+J13+K13+G13+F13)</f>
        <v>12161.950237502666</v>
      </c>
      <c r="Y30" s="1">
        <f>+Y$26*(X13+W13+V13+U13+T13+S13+R13+Q13+P13+O13+N13+M13+I13+J13+K13+L13+H13+G13+F13)</f>
        <v>10099.918673885672</v>
      </c>
      <c r="Z30" s="1">
        <f>+Z$26*(Y13+X13+W13+V13+U13+T13+S13+R13+Q13+P13+O13+N13+J13+K13+L13+M13+I13+G13+H13+F13)</f>
        <v>7994.1040841129789</v>
      </c>
      <c r="AA30" s="1">
        <f>+AA$26*(Z13+Y13+X13+W13+V13+U13+T13+S13+R13+Q13+P13+O13+K13+L13+M13+N13+J13+G13+H13+I13+F13)</f>
        <v>6904.1949154950662</v>
      </c>
      <c r="AB30" s="1">
        <f>+AB$26*(AA13+Z13+Y13+X13+W13+V13+U13+T13+S13+R13+Q13+P13+L13+M13+N13+O13+K13+G13+H13+I13+J13+F13)</f>
        <v>5640.9590929937785</v>
      </c>
      <c r="AC30" s="1">
        <f>+AC$26*(AB13+AA13+Z13+Y13+X13+W13+V13+U13+T13+S13+R13+Q13+M13+N13+O13+P13+L13+G13+H13+I13+J13+K13+F13)</f>
        <v>4221.6220643601218</v>
      </c>
      <c r="AD30" s="1">
        <f>+AD$26*(AC13+AB13+AA13+Z13+Y13+X13+W13+V13+U13+T13+S13+R13+G13+H13+I13+J13+K13+L13+M13+N13+O13+P13+Q13+F13)</f>
        <v>2668.5774734663505</v>
      </c>
      <c r="AE30" s="14">
        <f t="shared" si="32"/>
        <v>808098.32700901187</v>
      </c>
      <c r="AF30" s="14"/>
    </row>
    <row r="31" spans="1:32">
      <c r="C31" s="167"/>
      <c r="F31" s="14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4"/>
      <c r="AF31" s="14"/>
    </row>
    <row r="32" spans="1:32" s="166" customFormat="1">
      <c r="D32" s="298"/>
      <c r="F32" s="54"/>
      <c r="G32" s="51">
        <f t="shared" ref="G32:AE32" si="33">+SUM(G28:G31)</f>
        <v>99713.424389820735</v>
      </c>
      <c r="H32" s="51">
        <f t="shared" si="33"/>
        <v>96959.843591316123</v>
      </c>
      <c r="I32" s="51">
        <f t="shared" si="33"/>
        <v>88555.31545547118</v>
      </c>
      <c r="J32" s="51">
        <f t="shared" si="33"/>
        <v>72703.331429874903</v>
      </c>
      <c r="K32" s="51">
        <f t="shared" si="33"/>
        <v>73837.006431732269</v>
      </c>
      <c r="L32" s="51">
        <f t="shared" si="33"/>
        <v>66497.676967754043</v>
      </c>
      <c r="M32" s="51">
        <f t="shared" si="33"/>
        <v>65370.690055999417</v>
      </c>
      <c r="N32" s="51">
        <f t="shared" si="33"/>
        <v>60864.701296676903</v>
      </c>
      <c r="O32" s="51">
        <f t="shared" si="33"/>
        <v>61059.500022037944</v>
      </c>
      <c r="P32" s="51">
        <f t="shared" si="33"/>
        <v>59342.734496850055</v>
      </c>
      <c r="Q32" s="51">
        <f t="shared" si="33"/>
        <v>55764.044435536634</v>
      </c>
      <c r="R32" s="51">
        <f t="shared" si="33"/>
        <v>55332.048802924735</v>
      </c>
      <c r="S32" s="51">
        <f>+SUM(S28:S30)</f>
        <v>50056.990634892893</v>
      </c>
      <c r="T32" s="51">
        <f t="shared" ref="T32:AD32" si="34">+SUM(T28:T30)</f>
        <v>45559.654860582123</v>
      </c>
      <c r="U32" s="51">
        <f t="shared" si="34"/>
        <v>37300.085671860215</v>
      </c>
      <c r="V32" s="51">
        <f t="shared" si="34"/>
        <v>26309.056024151272</v>
      </c>
      <c r="W32" s="51">
        <f t="shared" si="34"/>
        <v>22382.647213714306</v>
      </c>
      <c r="X32" s="51">
        <f t="shared" si="34"/>
        <v>16639.279433584299</v>
      </c>
      <c r="Y32" s="51">
        <f t="shared" si="34"/>
        <v>13818.12668111757</v>
      </c>
      <c r="Z32" s="51">
        <f t="shared" si="34"/>
        <v>10937.072515437851</v>
      </c>
      <c r="AA32" s="51">
        <f t="shared" si="34"/>
        <v>9445.9216013404657</v>
      </c>
      <c r="AB32" s="51">
        <f t="shared" si="34"/>
        <v>7717.6351480463891</v>
      </c>
      <c r="AC32" s="51">
        <f t="shared" si="34"/>
        <v>5775.7800204827199</v>
      </c>
      <c r="AD32" s="51">
        <f t="shared" si="34"/>
        <v>3650.993911671575</v>
      </c>
      <c r="AE32" s="51">
        <f t="shared" si="33"/>
        <v>1105593.5610928766</v>
      </c>
      <c r="AF32" s="54"/>
    </row>
    <row r="33" spans="1:32"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4"/>
    </row>
    <row r="34" spans="1:32">
      <c r="F34" s="14"/>
      <c r="G34" s="14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>
      <c r="A35" s="165" t="str">
        <f>+A19</f>
        <v>CORE Gas Cost</v>
      </c>
      <c r="B35" s="165" t="str">
        <f>+B19</f>
        <v>Consolidation of accounts related to core gas costs.</v>
      </c>
      <c r="F35" s="14"/>
      <c r="G35" s="14">
        <f>+G26*F16</f>
        <v>99713.424389820735</v>
      </c>
      <c r="H35" s="1">
        <f>+G15*H26</f>
        <v>96959.843591316123</v>
      </c>
      <c r="I35" s="1">
        <f t="shared" ref="I35:R35" si="35">+H15*I26</f>
        <v>88555.315455471165</v>
      </c>
      <c r="J35" s="1">
        <f t="shared" si="35"/>
        <v>72703.331429874903</v>
      </c>
      <c r="K35" s="1">
        <f t="shared" si="35"/>
        <v>73837.006431732239</v>
      </c>
      <c r="L35" s="1">
        <f t="shared" si="35"/>
        <v>66497.676967754029</v>
      </c>
      <c r="M35" s="1">
        <f t="shared" si="35"/>
        <v>65370.69005599941</v>
      </c>
      <c r="N35" s="1">
        <f t="shared" si="35"/>
        <v>60864.701296676896</v>
      </c>
      <c r="O35" s="1">
        <f t="shared" si="35"/>
        <v>61059.500022037937</v>
      </c>
      <c r="P35" s="1">
        <f t="shared" si="35"/>
        <v>59342.734496850047</v>
      </c>
      <c r="Q35" s="1">
        <f t="shared" si="35"/>
        <v>55764.044435536634</v>
      </c>
      <c r="R35" s="1">
        <f t="shared" si="35"/>
        <v>55332.048802924721</v>
      </c>
      <c r="S35" s="1">
        <f>+R15*S26</f>
        <v>50056.990634892893</v>
      </c>
      <c r="T35" s="1">
        <f t="shared" ref="T35" si="36">+S15*T26</f>
        <v>45559.654860582115</v>
      </c>
      <c r="U35" s="1">
        <f t="shared" ref="U35" si="37">+T15*U26</f>
        <v>37300.085671860215</v>
      </c>
      <c r="V35" s="1">
        <f t="shared" ref="V35" si="38">+U15*V26</f>
        <v>26309.056024151258</v>
      </c>
      <c r="W35" s="1">
        <f t="shared" ref="W35" si="39">+V15*W26</f>
        <v>22382.647213714303</v>
      </c>
      <c r="X35" s="1">
        <f t="shared" ref="X35" si="40">+W15*X26</f>
        <v>16639.279433584295</v>
      </c>
      <c r="Y35" s="1">
        <f t="shared" ref="Y35" si="41">+X15*Y26</f>
        <v>13818.126681117559</v>
      </c>
      <c r="Z35" s="1">
        <f t="shared" ref="Z35" si="42">+Y15*Z26</f>
        <v>10937.072515437851</v>
      </c>
      <c r="AA35" s="1">
        <f t="shared" ref="AA35" si="43">+Z15*AA26</f>
        <v>9445.9216013404675</v>
      </c>
      <c r="AB35" s="1">
        <f t="shared" ref="AB35" si="44">+AA15*AB26</f>
        <v>7717.6351480463891</v>
      </c>
      <c r="AC35" s="1">
        <f t="shared" ref="AC35" si="45">+AB15*AC26</f>
        <v>5775.7800204827272</v>
      </c>
      <c r="AD35" s="1">
        <f>+AC15*AD26</f>
        <v>3650.9939116715673</v>
      </c>
      <c r="AE35" s="14">
        <f>+AE28+AE29+AE30+AE31</f>
        <v>1105593.5610928766</v>
      </c>
      <c r="AF35" s="14"/>
    </row>
    <row r="36" spans="1:32" s="166" customFormat="1">
      <c r="B36" s="166" t="s">
        <v>210</v>
      </c>
      <c r="D36" s="298"/>
      <c r="F36" s="54"/>
      <c r="G36" s="54">
        <f t="shared" ref="G36:R36" si="46">SUM(G35:G35)</f>
        <v>99713.424389820735</v>
      </c>
      <c r="H36" s="51">
        <f t="shared" si="46"/>
        <v>96959.843591316123</v>
      </c>
      <c r="I36" s="54">
        <f t="shared" si="46"/>
        <v>88555.315455471165</v>
      </c>
      <c r="J36" s="54">
        <f t="shared" si="46"/>
        <v>72703.331429874903</v>
      </c>
      <c r="K36" s="54">
        <f t="shared" si="46"/>
        <v>73837.006431732239</v>
      </c>
      <c r="L36" s="54">
        <f t="shared" si="46"/>
        <v>66497.676967754029</v>
      </c>
      <c r="M36" s="54">
        <f t="shared" si="46"/>
        <v>65370.69005599941</v>
      </c>
      <c r="N36" s="54">
        <f t="shared" si="46"/>
        <v>60864.701296676896</v>
      </c>
      <c r="O36" s="54">
        <f t="shared" si="46"/>
        <v>61059.500022037937</v>
      </c>
      <c r="P36" s="54">
        <f t="shared" si="46"/>
        <v>59342.734496850047</v>
      </c>
      <c r="Q36" s="54">
        <f t="shared" si="46"/>
        <v>55764.044435536634</v>
      </c>
      <c r="R36" s="54">
        <f t="shared" si="46"/>
        <v>55332.048802924721</v>
      </c>
      <c r="S36" s="54">
        <f t="shared" ref="S36:AD36" si="47">SUM(S35:S35)</f>
        <v>50056.990634892893</v>
      </c>
      <c r="T36" s="54">
        <f t="shared" si="47"/>
        <v>45559.654860582115</v>
      </c>
      <c r="U36" s="54">
        <f t="shared" si="47"/>
        <v>37300.085671860215</v>
      </c>
      <c r="V36" s="54">
        <f t="shared" si="47"/>
        <v>26309.056024151258</v>
      </c>
      <c r="W36" s="54">
        <f t="shared" si="47"/>
        <v>22382.647213714303</v>
      </c>
      <c r="X36" s="54">
        <f t="shared" si="47"/>
        <v>16639.279433584295</v>
      </c>
      <c r="Y36" s="54">
        <f t="shared" si="47"/>
        <v>13818.126681117559</v>
      </c>
      <c r="Z36" s="54">
        <f t="shared" si="47"/>
        <v>10937.072515437851</v>
      </c>
      <c r="AA36" s="54">
        <f t="shared" si="47"/>
        <v>9445.9216013404675</v>
      </c>
      <c r="AB36" s="54">
        <f t="shared" si="47"/>
        <v>7717.6351480463891</v>
      </c>
      <c r="AC36" s="54">
        <f t="shared" si="47"/>
        <v>5775.7800204827272</v>
      </c>
      <c r="AD36" s="54">
        <f t="shared" si="47"/>
        <v>3650.9939116715673</v>
      </c>
      <c r="AE36" s="54">
        <f>+SUM(G36:AD36)</f>
        <v>1105593.5610928761</v>
      </c>
      <c r="AF36" s="54"/>
    </row>
    <row r="38" spans="1:32">
      <c r="B38" s="166" t="s">
        <v>112</v>
      </c>
      <c r="G38" s="851" t="s">
        <v>117</v>
      </c>
      <c r="H38" s="851"/>
      <c r="I38" s="851"/>
    </row>
    <row r="39" spans="1:32">
      <c r="A39" s="812"/>
      <c r="B39" s="57"/>
      <c r="C39" s="171"/>
      <c r="D39" s="171"/>
      <c r="E39" s="91"/>
      <c r="F39" s="92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92"/>
      <c r="AF39" s="93"/>
    </row>
    <row r="40" spans="1:32">
      <c r="E40" s="212"/>
      <c r="F40" s="213"/>
      <c r="G40" s="213"/>
      <c r="H40" s="291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</row>
    <row r="41" spans="1:32">
      <c r="E41" s="212"/>
      <c r="F41" s="213"/>
      <c r="G41" s="213"/>
      <c r="H41" s="291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</row>
    <row r="42" spans="1:32">
      <c r="E42" s="212"/>
      <c r="F42" s="213"/>
      <c r="G42" s="213"/>
      <c r="H42" s="291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</row>
    <row r="43" spans="1:32">
      <c r="E43" s="212"/>
      <c r="F43" s="213"/>
      <c r="G43" s="213"/>
      <c r="H43" s="291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>
      <c r="E44" s="212"/>
      <c r="F44" s="213"/>
      <c r="G44" s="213"/>
      <c r="H44" s="291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</row>
    <row r="45" spans="1:32" s="166" customFormat="1">
      <c r="D45" s="298"/>
      <c r="E45" s="214"/>
      <c r="F45" s="215"/>
      <c r="G45" s="215"/>
      <c r="H45" s="292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</row>
    <row r="47" spans="1:32">
      <c r="E47" s="216"/>
      <c r="F47" s="213"/>
      <c r="G47" s="213"/>
      <c r="H47" s="291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</row>
    <row r="49" spans="2:31">
      <c r="B49" s="166"/>
    </row>
    <row r="50" spans="2:31">
      <c r="B50" s="94"/>
      <c r="C50" s="202"/>
      <c r="G50" s="203"/>
      <c r="H50" s="29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98"/>
    </row>
    <row r="51" spans="2:31">
      <c r="G51" s="194"/>
      <c r="H51" s="2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213"/>
    </row>
    <row r="52" spans="2:31">
      <c r="G52" s="194"/>
      <c r="H52" s="2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213"/>
    </row>
    <row r="53" spans="2:31">
      <c r="G53" s="194"/>
      <c r="H53" s="2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213"/>
    </row>
    <row r="54" spans="2:31">
      <c r="G54" s="194"/>
      <c r="H54" s="2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213"/>
    </row>
    <row r="55" spans="2:31">
      <c r="G55" s="194"/>
      <c r="H55" s="2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213"/>
    </row>
    <row r="56" spans="2:31">
      <c r="G56" s="213"/>
      <c r="H56" s="291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</row>
    <row r="58" spans="2:31">
      <c r="G58" s="194"/>
      <c r="H58" s="2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</row>
  </sheetData>
  <mergeCells count="5">
    <mergeCell ref="G9:I9"/>
    <mergeCell ref="G38:I38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2"/>
  <sheetViews>
    <sheetView workbookViewId="0">
      <selection activeCell="D33" sqref="D33"/>
    </sheetView>
  </sheetViews>
  <sheetFormatPr defaultColWidth="9.33203125" defaultRowHeight="14.5"/>
  <cols>
    <col min="1" max="1" width="22.109375" style="165" customWidth="1"/>
    <col min="2" max="2" width="11.109375" style="165" bestFit="1" customWidth="1"/>
    <col min="3" max="3" width="10.44140625" style="165" bestFit="1" customWidth="1"/>
    <col min="4" max="6" width="17.6640625" style="165" bestFit="1" customWidth="1"/>
    <col min="7" max="7" width="2.77734375" style="165" customWidth="1"/>
    <col min="8" max="8" width="20" style="165" customWidth="1"/>
    <col min="9" max="9" width="12.6640625" style="165" customWidth="1"/>
    <col min="10" max="10" width="9.33203125" style="165"/>
    <col min="11" max="11" width="9.33203125" style="12"/>
    <col min="12" max="16384" width="9.33203125" style="165"/>
  </cols>
  <sheetData>
    <row r="1" spans="1:9">
      <c r="B1" s="849" t="s">
        <v>52</v>
      </c>
      <c r="C1" s="849"/>
      <c r="D1" s="849"/>
      <c r="E1" s="849"/>
      <c r="G1" s="21"/>
      <c r="H1" s="22"/>
      <c r="I1" s="22"/>
    </row>
    <row r="2" spans="1:9">
      <c r="A2" s="852" t="s">
        <v>340</v>
      </c>
      <c r="B2" s="852"/>
      <c r="C2" s="852"/>
      <c r="D2" s="852"/>
      <c r="E2" s="852"/>
      <c r="F2" s="852"/>
      <c r="G2" s="23"/>
      <c r="H2" s="13"/>
      <c r="I2" s="24"/>
    </row>
    <row r="3" spans="1:9">
      <c r="A3" s="3"/>
      <c r="B3" s="850" t="s">
        <v>339</v>
      </c>
      <c r="C3" s="850"/>
      <c r="D3" s="850"/>
      <c r="E3" s="850"/>
      <c r="G3" s="23"/>
      <c r="H3" s="13"/>
      <c r="I3" s="24"/>
    </row>
    <row r="4" spans="1:9">
      <c r="B4" s="849" t="s">
        <v>53</v>
      </c>
      <c r="C4" s="849"/>
      <c r="D4" s="849"/>
      <c r="E4" s="849"/>
      <c r="G4" s="23"/>
      <c r="I4" s="24"/>
    </row>
    <row r="5" spans="1:9">
      <c r="D5" s="298" t="s">
        <v>41</v>
      </c>
      <c r="E5" s="298" t="s">
        <v>41</v>
      </c>
      <c r="F5" s="298" t="s">
        <v>41</v>
      </c>
      <c r="G5" s="25"/>
      <c r="I5" s="24"/>
    </row>
    <row r="6" spans="1:9">
      <c r="D6" s="790">
        <v>44074</v>
      </c>
      <c r="E6" s="790">
        <v>44104</v>
      </c>
      <c r="F6" s="790">
        <v>44135</v>
      </c>
      <c r="G6" s="25"/>
      <c r="H6" s="13"/>
      <c r="I6" s="24"/>
    </row>
    <row r="7" spans="1:9">
      <c r="A7" s="167" t="s">
        <v>1</v>
      </c>
      <c r="D7" s="9">
        <f>+'Test Period Volumes'!C20+'Test Period Volumes'!D20+'Test Period Volumes'!E20+'Test Period Volumes'!F20</f>
        <v>8428302.4896618407</v>
      </c>
      <c r="E7" s="9">
        <f>+'Test Period Volumes'!C21+'Test Period Volumes'!D21+'Test Period Volumes'!E21+'Test Period Volumes'!F21</f>
        <v>11252985.075626817</v>
      </c>
      <c r="F7" s="9">
        <f>+'Test Period Volumes'!C22+'Test Period Volumes'!D22+'Test Period Volumes'!E22+'Test Period Volumes'!F22</f>
        <v>17766097.097100325</v>
      </c>
      <c r="G7" s="13"/>
      <c r="H7" s="13"/>
      <c r="I7" s="23"/>
    </row>
    <row r="8" spans="1:9">
      <c r="A8" s="167" t="s">
        <v>2</v>
      </c>
      <c r="D8" s="9">
        <f>+'Test Period Volumes'!I20</f>
        <v>8542946</v>
      </c>
      <c r="E8" s="9">
        <f>+'Test Period Volumes'!I21</f>
        <v>11441563</v>
      </c>
      <c r="F8" s="9">
        <f>+'Test Period Volumes'!I22</f>
        <v>18043368</v>
      </c>
      <c r="G8" s="13"/>
      <c r="H8" s="13"/>
      <c r="I8" s="23"/>
    </row>
    <row r="9" spans="1:9">
      <c r="A9" s="167" t="s">
        <v>3</v>
      </c>
      <c r="D9" s="9">
        <f>+'Test Period Volumes'!H20+'Test Period Volumes'!I20</f>
        <v>78005009</v>
      </c>
      <c r="E9" s="9">
        <f>+'Test Period Volumes'!H21+'Test Period Volumes'!I21</f>
        <v>77873595</v>
      </c>
      <c r="F9" s="9">
        <f>+'Test Period Volumes'!H22+'Test Period Volumes'!I22</f>
        <v>65083823</v>
      </c>
      <c r="G9" s="13"/>
      <c r="H9" s="13"/>
      <c r="I9" s="26"/>
    </row>
    <row r="10" spans="1:9">
      <c r="C10" s="4"/>
    </row>
    <row r="11" spans="1:9">
      <c r="C11" s="815">
        <v>43770</v>
      </c>
      <c r="D11" s="298" t="s">
        <v>41</v>
      </c>
      <c r="E11" s="298" t="s">
        <v>41</v>
      </c>
      <c r="F11" s="298" t="s">
        <v>41</v>
      </c>
      <c r="G11" s="166"/>
      <c r="H11" s="70" t="s">
        <v>41</v>
      </c>
    </row>
    <row r="12" spans="1:9">
      <c r="C12" s="299" t="s">
        <v>25</v>
      </c>
      <c r="D12" s="790">
        <v>44074</v>
      </c>
      <c r="E12" s="790">
        <v>44104</v>
      </c>
      <c r="F12" s="790">
        <v>44135</v>
      </c>
      <c r="G12" s="166"/>
      <c r="H12" s="70" t="s">
        <v>40</v>
      </c>
    </row>
    <row r="13" spans="1:9">
      <c r="A13" s="10" t="s">
        <v>27</v>
      </c>
      <c r="B13" s="5" t="s">
        <v>47</v>
      </c>
      <c r="C13" s="288" t="s">
        <v>30</v>
      </c>
      <c r="D13" s="65" t="s">
        <v>10</v>
      </c>
      <c r="E13" s="65" t="s">
        <v>10</v>
      </c>
      <c r="F13" s="65" t="s">
        <v>10</v>
      </c>
      <c r="G13" s="59"/>
      <c r="H13" s="816">
        <v>44135</v>
      </c>
    </row>
    <row r="14" spans="1:9">
      <c r="A14" s="167" t="str">
        <f>+'Balances at TTA 7-31-2020'!A9</f>
        <v>47WA.2530.01253</v>
      </c>
      <c r="B14" s="27" t="str">
        <f>+'Balances at TTA 7-31-2020'!E9</f>
        <v>Core</v>
      </c>
      <c r="C14" s="78"/>
      <c r="D14" s="69">
        <f t="shared" ref="D14:E14" si="0">+$C14*D$8</f>
        <v>0</v>
      </c>
      <c r="E14" s="69">
        <f t="shared" si="0"/>
        <v>0</v>
      </c>
      <c r="F14" s="69"/>
      <c r="G14" s="69"/>
      <c r="H14" s="69">
        <f>SUM(D14:G14)</f>
        <v>0</v>
      </c>
    </row>
    <row r="15" spans="1:9">
      <c r="A15" s="167" t="str">
        <f>+'Balances at TTA 7-31-2020'!A10</f>
        <v>47WA.2530.01254</v>
      </c>
      <c r="B15" s="27" t="str">
        <f>+'Balances at TTA 7-31-2020'!E10</f>
        <v>Core</v>
      </c>
      <c r="C15" s="78"/>
      <c r="D15" s="69">
        <f t="shared" ref="D15:F16" si="1">+$C15*D$8</f>
        <v>0</v>
      </c>
      <c r="E15" s="69">
        <f t="shared" si="1"/>
        <v>0</v>
      </c>
      <c r="F15" s="69"/>
      <c r="G15" s="69"/>
      <c r="H15" s="69">
        <f>SUM(D15:G15)</f>
        <v>0</v>
      </c>
      <c r="I15" s="771"/>
    </row>
    <row r="16" spans="1:9">
      <c r="A16" s="167" t="str">
        <f>+'Balances at TTA 7-31-2020'!A11</f>
        <v>47WA.2530.01289</v>
      </c>
      <c r="B16" s="27" t="str">
        <f>+'Balances at TTA 7-31-2020'!E11</f>
        <v>Core</v>
      </c>
      <c r="C16" s="78">
        <v>-5.6710000000000003E-2</v>
      </c>
      <c r="D16" s="69">
        <f>+$C16*D$8</f>
        <v>-484470.46766000002</v>
      </c>
      <c r="E16" s="69">
        <f t="shared" si="1"/>
        <v>-648851.03772999998</v>
      </c>
      <c r="F16" s="69">
        <f t="shared" si="1"/>
        <v>-1023239.39928</v>
      </c>
      <c r="G16" s="69"/>
      <c r="H16" s="69">
        <f>SUM(D16:G16)</f>
        <v>-2156560.9046700001</v>
      </c>
    </row>
    <row r="17" spans="1:11">
      <c r="A17" s="167">
        <f>+'Balances at TTA 7-31-2020'!A12</f>
        <v>0</v>
      </c>
      <c r="B17" s="27">
        <f>+'Balances at TTA 7-31-2020'!E12</f>
        <v>0</v>
      </c>
      <c r="C17" s="78"/>
      <c r="D17" s="69">
        <f>+$C17*D$9</f>
        <v>0</v>
      </c>
      <c r="E17" s="69">
        <f>+$C17*E$9</f>
        <v>0</v>
      </c>
      <c r="F17" s="69"/>
      <c r="G17" s="69"/>
      <c r="H17" s="69">
        <f>SUM(D17:G17)</f>
        <v>0</v>
      </c>
    </row>
    <row r="18" spans="1:11">
      <c r="A18" s="167"/>
      <c r="B18" s="27"/>
      <c r="C18" s="78"/>
      <c r="D18" s="69"/>
      <c r="E18" s="69"/>
      <c r="F18" s="69"/>
      <c r="G18" s="69"/>
      <c r="H18" s="69">
        <f>SUM(D18:G18)</f>
        <v>0</v>
      </c>
    </row>
    <row r="19" spans="1:11">
      <c r="A19" s="167"/>
      <c r="B19" s="27"/>
      <c r="C19" s="78"/>
      <c r="D19" s="69"/>
      <c r="E19" s="69"/>
      <c r="F19" s="69"/>
      <c r="G19" s="69"/>
      <c r="H19" s="69"/>
    </row>
    <row r="20" spans="1:11" s="166" customFormat="1" ht="15" thickBot="1">
      <c r="A20" s="166" t="s">
        <v>48</v>
      </c>
      <c r="D20" s="87">
        <f>SUM(D14:D19)</f>
        <v>-484470.46766000002</v>
      </c>
      <c r="E20" s="87">
        <f>SUM(E14:E19)</f>
        <v>-648851.03772999998</v>
      </c>
      <c r="F20" s="87">
        <f>SUM(F14:F19)</f>
        <v>-1023239.39928</v>
      </c>
      <c r="G20" s="87"/>
      <c r="H20" s="87">
        <f>SUM(H14:H19)</f>
        <v>-2156560.9046700001</v>
      </c>
      <c r="K20" s="58"/>
    </row>
    <row r="21" spans="1:11" ht="15" thickTop="1"/>
    <row r="22" spans="1:11">
      <c r="A22" s="165" t="s">
        <v>205</v>
      </c>
      <c r="D22" s="71">
        <f>+D14+D15+D16+D17+D18</f>
        <v>-484470.46766000002</v>
      </c>
      <c r="E22" s="71">
        <f>+E14+E15+E16+E17+E18</f>
        <v>-648851.03772999998</v>
      </c>
      <c r="F22" s="71">
        <f>+F14+F15+F16+F17+F18</f>
        <v>-1023239.39928</v>
      </c>
      <c r="G22" s="71"/>
      <c r="H22" s="71">
        <f>+H14+H15+H16+H17+H18</f>
        <v>-2156560.9046700001</v>
      </c>
    </row>
    <row r="23" spans="1:11">
      <c r="D23" s="71"/>
      <c r="E23" s="71"/>
      <c r="F23" s="71"/>
      <c r="G23" s="71"/>
      <c r="H23" s="71"/>
    </row>
    <row r="24" spans="1:11">
      <c r="D24" s="201"/>
      <c r="E24" s="201"/>
      <c r="F24" s="201"/>
      <c r="G24" s="201"/>
      <c r="H24" s="201"/>
    </row>
    <row r="25" spans="1:11">
      <c r="A25" s="166"/>
      <c r="D25" s="71">
        <f>+D22+D23+D24</f>
        <v>-484470.46766000002</v>
      </c>
      <c r="E25" s="71">
        <f>+E22+E23+E24</f>
        <v>-648851.03772999998</v>
      </c>
      <c r="F25" s="71">
        <f>+F22+F23+F24</f>
        <v>-1023239.39928</v>
      </c>
      <c r="G25" s="71"/>
      <c r="H25" s="71">
        <f t="shared" ref="H25" si="2">+H22+H23+H24</f>
        <v>-2156560.9046700001</v>
      </c>
    </row>
    <row r="28" spans="1:11">
      <c r="A28" s="12"/>
      <c r="B28" s="12"/>
      <c r="C28" s="237"/>
      <c r="D28" s="64"/>
      <c r="E28" s="64"/>
      <c r="F28" s="64"/>
      <c r="G28" s="58"/>
      <c r="H28" s="70"/>
    </row>
    <row r="29" spans="1:11">
      <c r="A29" s="12"/>
      <c r="B29" s="12"/>
      <c r="C29" s="813"/>
      <c r="D29" s="238"/>
      <c r="E29" s="238"/>
      <c r="F29" s="238"/>
      <c r="G29" s="58"/>
      <c r="H29" s="70"/>
    </row>
    <row r="30" spans="1:11">
      <c r="A30" s="12"/>
      <c r="B30" s="12"/>
      <c r="C30" s="813"/>
      <c r="D30" s="64"/>
      <c r="E30" s="64"/>
      <c r="F30" s="64"/>
      <c r="G30" s="58"/>
      <c r="H30" s="239"/>
    </row>
    <row r="31" spans="1:11">
      <c r="A31" s="12"/>
      <c r="B31" s="282"/>
      <c r="C31" s="240"/>
      <c r="D31" s="241"/>
      <c r="E31" s="241"/>
      <c r="F31" s="241"/>
      <c r="G31" s="241"/>
      <c r="H31" s="241"/>
    </row>
    <row r="32" spans="1:11">
      <c r="A32" s="12"/>
      <c r="B32" s="12"/>
      <c r="C32" s="240"/>
      <c r="D32" s="241"/>
      <c r="E32" s="241"/>
      <c r="F32" s="241"/>
      <c r="G32" s="241"/>
      <c r="H32" s="241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38"/>
  <sheetViews>
    <sheetView zoomScaleNormal="100" workbookViewId="0">
      <selection activeCell="D33" sqref="D33"/>
    </sheetView>
  </sheetViews>
  <sheetFormatPr defaultColWidth="9.33203125" defaultRowHeight="14.5"/>
  <cols>
    <col min="1" max="1" width="23.33203125" style="165" customWidth="1"/>
    <col min="2" max="2" width="66.109375" style="165" bestFit="1" customWidth="1"/>
    <col min="3" max="6" width="20.6640625" style="165" bestFit="1" customWidth="1"/>
    <col min="7" max="7" width="2.6640625" style="165" customWidth="1"/>
    <col min="8" max="8" width="18.6640625" style="165" customWidth="1"/>
    <col min="9" max="10" width="9.33203125" style="165"/>
    <col min="11" max="11" width="9.33203125" style="12"/>
    <col min="12" max="16384" width="9.33203125" style="165"/>
  </cols>
  <sheetData>
    <row r="1" spans="1:8">
      <c r="B1" s="849" t="s">
        <v>52</v>
      </c>
      <c r="C1" s="849"/>
      <c r="D1" s="849"/>
      <c r="E1" s="849"/>
      <c r="F1" s="849"/>
    </row>
    <row r="2" spans="1:8">
      <c r="B2" s="853" t="s">
        <v>341</v>
      </c>
      <c r="C2" s="853"/>
      <c r="D2" s="853"/>
      <c r="E2" s="853"/>
      <c r="F2" s="853"/>
    </row>
    <row r="3" spans="1:8">
      <c r="B3" s="850" t="s">
        <v>339</v>
      </c>
      <c r="C3" s="850"/>
      <c r="D3" s="850"/>
      <c r="E3" s="850"/>
      <c r="F3" s="850"/>
    </row>
    <row r="4" spans="1:8">
      <c r="B4" s="849" t="s">
        <v>53</v>
      </c>
      <c r="C4" s="849"/>
      <c r="D4" s="849"/>
      <c r="E4" s="849"/>
      <c r="F4" s="849"/>
    </row>
    <row r="6" spans="1:8">
      <c r="C6" s="817">
        <v>44043</v>
      </c>
      <c r="D6" s="817">
        <v>44074</v>
      </c>
      <c r="E6" s="817">
        <v>44104</v>
      </c>
      <c r="F6" s="817">
        <v>44135</v>
      </c>
      <c r="G6" s="790"/>
      <c r="H6" s="791" t="s">
        <v>115</v>
      </c>
    </row>
    <row r="7" spans="1:8">
      <c r="C7" s="299" t="s">
        <v>26</v>
      </c>
      <c r="D7" s="299" t="s">
        <v>26</v>
      </c>
      <c r="E7" s="299" t="s">
        <v>26</v>
      </c>
      <c r="F7" s="299" t="s">
        <v>26</v>
      </c>
      <c r="G7" s="299"/>
      <c r="H7" s="299" t="s">
        <v>116</v>
      </c>
    </row>
    <row r="8" spans="1:8">
      <c r="A8" s="3" t="s">
        <v>27</v>
      </c>
      <c r="B8" s="57" t="s">
        <v>118</v>
      </c>
      <c r="C8" s="299" t="s">
        <v>28</v>
      </c>
      <c r="D8" s="299" t="s">
        <v>28</v>
      </c>
      <c r="E8" s="299" t="s">
        <v>28</v>
      </c>
      <c r="F8" s="299" t="s">
        <v>28</v>
      </c>
      <c r="G8" s="299"/>
      <c r="H8" s="817">
        <v>44135</v>
      </c>
    </row>
    <row r="9" spans="1:8">
      <c r="A9" s="28" t="s">
        <v>29</v>
      </c>
      <c r="C9" s="28" t="s">
        <v>29</v>
      </c>
      <c r="D9" s="28" t="s">
        <v>29</v>
      </c>
      <c r="E9" s="28" t="s">
        <v>29</v>
      </c>
      <c r="F9" s="28"/>
      <c r="G9" s="28"/>
      <c r="H9" s="28"/>
    </row>
    <row r="10" spans="1:8">
      <c r="A10" s="167"/>
      <c r="C10" s="29"/>
      <c r="D10" s="20"/>
      <c r="E10" s="20"/>
      <c r="F10" s="20"/>
      <c r="G10" s="30"/>
      <c r="H10" s="20"/>
    </row>
    <row r="11" spans="1:8">
      <c r="A11" s="167" t="str">
        <f>+'TTA Amort Calc thru 10-31-2020'!A14</f>
        <v>47WA.2530.01253</v>
      </c>
      <c r="B11" s="167" t="str">
        <f>+'Balances at TTA 7-31-2020'!C9</f>
        <v>Core Market Commodity Changes</v>
      </c>
      <c r="C11" s="69">
        <f>+'Balances at TTA 7-31-2020'!D9</f>
        <v>12051645.93</v>
      </c>
      <c r="D11" s="69">
        <f>+C11+'TTA Int calc thru 10-31-2020'!C11+'TTA Amort Calc thru 10-31-2020'!D14</f>
        <v>12086752.369999999</v>
      </c>
      <c r="E11" s="69">
        <f>+D11+'TTA Int calc thru 10-31-2020'!D11+'TTA Amort Calc thru 10-31-2020'!E14</f>
        <v>12120824.92</v>
      </c>
      <c r="F11" s="69">
        <f>+E11+'TTA Int calc thru 10-31-2020'!E11+'TTA Amort Calc thru 10-31-2020'!F14</f>
        <v>12156132.880000001</v>
      </c>
      <c r="G11" s="71"/>
      <c r="H11" s="69">
        <f>+F11-C11</f>
        <v>104486.95000000112</v>
      </c>
    </row>
    <row r="12" spans="1:8">
      <c r="A12" s="167" t="str">
        <f>+'TTA Amort Calc thru 10-31-2020'!A15</f>
        <v>47WA.2530.01254</v>
      </c>
      <c r="B12" s="167" t="str">
        <f>+'Balances at TTA 7-31-2020'!C10</f>
        <v>Core Market Demand Cost Changes</v>
      </c>
      <c r="C12" s="69">
        <f>+'Balances at TTA 7-31-2020'!D10</f>
        <v>-2616110.3199999998</v>
      </c>
      <c r="D12" s="69">
        <f>+C12+'TTA Int calc thru 10-31-2020'!C12+'TTA Amort Calc thru 10-31-2020'!D15</f>
        <v>-2623731.0499999998</v>
      </c>
      <c r="E12" s="69">
        <f>+D12+'TTA Int calc thru 10-31-2020'!D12+'TTA Amort Calc thru 10-31-2020'!E15</f>
        <v>-2631127.3499999996</v>
      </c>
      <c r="F12" s="69">
        <f>+E12+'TTA Int calc thru 10-31-2020'!E12+'TTA Amort Calc thru 10-31-2020'!F15</f>
        <v>-2638791.8199999998</v>
      </c>
      <c r="G12" s="71"/>
      <c r="H12" s="69">
        <f t="shared" ref="H12:H14" si="0">+F12-C12</f>
        <v>-22681.5</v>
      </c>
    </row>
    <row r="13" spans="1:8">
      <c r="A13" s="167" t="str">
        <f>+'TTA Amort Calc thru 10-31-2020'!A16</f>
        <v>47WA.2530.01289</v>
      </c>
      <c r="B13" s="167" t="str">
        <f>+'Balances at TTA 7-31-2020'!C11</f>
        <v>11/01/2019 WA Temporary Gas Cost Amortization</v>
      </c>
      <c r="C13" s="69">
        <f>+'Balances at TTA 7-31-2020'!D11</f>
        <v>27772781.960000001</v>
      </c>
      <c r="D13" s="69">
        <f>+C13+'TTA Int calc thru 10-31-2020'!C13+'TTA Amort Calc thru 10-31-2020'!D16</f>
        <v>27369213.602340002</v>
      </c>
      <c r="E13" s="69">
        <f>+D13+'TTA Int calc thru 10-31-2020'!D13+'TTA Amort Calc thru 10-31-2020'!E16</f>
        <v>26797516.374609999</v>
      </c>
      <c r="F13" s="69">
        <f>+E13+'TTA Int calc thru 10-31-2020'!E13+'TTA Amort Calc thru 10-31-2020'!F16</f>
        <v>25852338.145330001</v>
      </c>
      <c r="G13" s="207"/>
      <c r="H13" s="69">
        <f t="shared" si="0"/>
        <v>-1920443.8146700002</v>
      </c>
    </row>
    <row r="14" spans="1:8">
      <c r="A14" s="167">
        <f>+'TTA Amort Calc thru 10-31-2020'!A17</f>
        <v>0</v>
      </c>
      <c r="B14" s="167">
        <f>+'Balances at TTA 7-31-2020'!C12</f>
        <v>0</v>
      </c>
      <c r="C14" s="69">
        <f>+'Balances at TTA 7-31-2020'!D12</f>
        <v>0</v>
      </c>
      <c r="D14" s="69">
        <f>+C14+'TTA Int calc thru 10-31-2020'!C14+'TTA Amort Calc thru 10-31-2020'!D17</f>
        <v>0</v>
      </c>
      <c r="E14" s="69">
        <f>+D14+'TTA Int calc thru 10-31-2020'!D14+'TTA Amort Calc thru 10-31-2020'!E17</f>
        <v>0</v>
      </c>
      <c r="F14" s="69">
        <f>+E14+'TTA Int calc thru 10-31-2020'!E14+'TTA Amort Calc thru 10-31-2020'!F17</f>
        <v>0</v>
      </c>
      <c r="G14" s="71"/>
      <c r="H14" s="69">
        <f t="shared" si="0"/>
        <v>0</v>
      </c>
    </row>
    <row r="15" spans="1:8">
      <c r="A15" s="167"/>
      <c r="B15" s="167"/>
      <c r="C15" s="69"/>
      <c r="D15" s="69"/>
      <c r="E15" s="69"/>
      <c r="F15" s="69"/>
      <c r="G15" s="208"/>
      <c r="H15" s="69"/>
    </row>
    <row r="16" spans="1:8">
      <c r="A16" s="167"/>
      <c r="B16" s="167"/>
      <c r="C16" s="69"/>
      <c r="D16" s="69"/>
      <c r="E16" s="69"/>
      <c r="F16" s="69"/>
      <c r="G16" s="208"/>
      <c r="H16" s="69"/>
    </row>
    <row r="17" spans="1:11" s="166" customFormat="1" ht="15" thickBot="1">
      <c r="A17" s="299" t="s">
        <v>24</v>
      </c>
      <c r="B17" s="3"/>
      <c r="C17" s="72">
        <f>SUM(C11:C16)</f>
        <v>37208317.57</v>
      </c>
      <c r="D17" s="72">
        <f>SUM(D11:D16)</f>
        <v>36832234.922340006</v>
      </c>
      <c r="E17" s="72">
        <f>SUM(E11:E16)</f>
        <v>36287213.94461</v>
      </c>
      <c r="F17" s="72">
        <f>SUM(F11:F16)</f>
        <v>35369679.205329999</v>
      </c>
      <c r="G17" s="72">
        <f t="shared" ref="G17" si="1">SUM(G11:G15)</f>
        <v>0</v>
      </c>
      <c r="H17" s="72">
        <f>SUM(H11:H16)</f>
        <v>-1838638.3646699991</v>
      </c>
      <c r="K17" s="58"/>
    </row>
    <row r="18" spans="1:11" ht="15" thickTop="1">
      <c r="A18" s="4"/>
      <c r="B18" s="167"/>
      <c r="C18" s="206"/>
      <c r="D18" s="31"/>
      <c r="E18" s="31"/>
      <c r="F18" s="31"/>
      <c r="G18" s="31"/>
      <c r="H18" s="31"/>
    </row>
    <row r="19" spans="1:11">
      <c r="A19" s="4"/>
      <c r="B19" s="167"/>
      <c r="C19" s="31"/>
      <c r="D19" s="31"/>
      <c r="E19" s="31"/>
      <c r="F19" s="31"/>
      <c r="G19" s="31"/>
      <c r="H19" s="31"/>
    </row>
    <row r="20" spans="1:11">
      <c r="A20" s="167"/>
      <c r="B20" s="167"/>
      <c r="C20" s="20"/>
      <c r="D20" s="31"/>
      <c r="E20" s="31"/>
      <c r="F20" s="31"/>
    </row>
    <row r="21" spans="1:11">
      <c r="A21" s="165" t="s">
        <v>205</v>
      </c>
      <c r="B21" s="167"/>
      <c r="C21" s="71">
        <f>SUM(C11:C13)+C16+C14+C15</f>
        <v>37208317.57</v>
      </c>
      <c r="D21" s="71">
        <f t="shared" ref="D21:F21" si="2">SUM(D11:D13)+D16+D14+D15</f>
        <v>36832234.922340006</v>
      </c>
      <c r="E21" s="71">
        <f t="shared" si="2"/>
        <v>36287213.94461</v>
      </c>
      <c r="F21" s="71">
        <f t="shared" si="2"/>
        <v>35369679.205329999</v>
      </c>
      <c r="G21" s="71">
        <f>SUM(G11:G13)</f>
        <v>0</v>
      </c>
      <c r="H21" s="71">
        <f>SUM(H11:H13)+H16+H14+H15</f>
        <v>-1838638.3646699991</v>
      </c>
    </row>
    <row r="22" spans="1:11">
      <c r="B22" s="167"/>
      <c r="C22" s="71"/>
      <c r="D22" s="71"/>
      <c r="E22" s="71"/>
      <c r="F22" s="71"/>
      <c r="G22" s="71"/>
      <c r="H22" s="71"/>
    </row>
    <row r="23" spans="1:11">
      <c r="B23" s="167"/>
      <c r="C23" s="71"/>
      <c r="D23" s="71"/>
      <c r="E23" s="71"/>
      <c r="F23" s="71"/>
      <c r="G23" s="71"/>
      <c r="H23" s="71"/>
    </row>
    <row r="24" spans="1:11" s="166" customFormat="1">
      <c r="B24" s="3"/>
      <c r="C24" s="197">
        <f>+SUM(C21:C23)</f>
        <v>37208317.57</v>
      </c>
      <c r="D24" s="197">
        <f>+SUM(D21:D23)</f>
        <v>36832234.922340006</v>
      </c>
      <c r="E24" s="197">
        <f>+SUM(E21:E23)</f>
        <v>36287213.94461</v>
      </c>
      <c r="F24" s="197">
        <f>+SUM(F21:F23)</f>
        <v>35369679.205329999</v>
      </c>
      <c r="G24" s="197"/>
      <c r="H24" s="197">
        <f>+SUM(H21:H23)</f>
        <v>-1838638.3646699991</v>
      </c>
      <c r="K24" s="58"/>
    </row>
    <row r="26" spans="1:11" s="12" customFormat="1">
      <c r="C26" s="265"/>
      <c r="D26" s="265"/>
      <c r="E26" s="265"/>
      <c r="F26" s="265"/>
      <c r="G26" s="238"/>
      <c r="H26" s="266"/>
    </row>
    <row r="27" spans="1:11" s="12" customFormat="1">
      <c r="A27" s="267"/>
      <c r="B27" s="165"/>
      <c r="C27" s="849"/>
      <c r="D27" s="849"/>
      <c r="E27" s="849"/>
      <c r="F27" s="849"/>
      <c r="G27" s="165"/>
      <c r="H27" s="813"/>
    </row>
    <row r="28" spans="1:11" s="12" customFormat="1">
      <c r="A28" s="268"/>
      <c r="C28" s="853"/>
      <c r="D28" s="853"/>
      <c r="E28" s="853"/>
      <c r="F28" s="853"/>
      <c r="G28" s="304"/>
      <c r="H28" s="265"/>
    </row>
    <row r="29" spans="1:11" s="12" customFormat="1">
      <c r="B29" s="3"/>
      <c r="C29" s="850"/>
      <c r="D29" s="850"/>
      <c r="E29" s="850"/>
      <c r="F29" s="850"/>
      <c r="G29" s="165"/>
      <c r="H29" s="268"/>
    </row>
    <row r="30" spans="1:11" s="12" customFormat="1">
      <c r="B30" s="165"/>
      <c r="C30" s="849"/>
      <c r="D30" s="849"/>
      <c r="E30" s="849"/>
      <c r="F30" s="849"/>
      <c r="G30" s="165"/>
      <c r="H30" s="269"/>
    </row>
    <row r="31" spans="1:11" s="12" customFormat="1">
      <c r="C31" s="263"/>
      <c r="D31" s="269"/>
      <c r="E31" s="269"/>
      <c r="F31" s="269"/>
      <c r="H31" s="269"/>
    </row>
    <row r="32" spans="1:11" s="12" customFormat="1">
      <c r="C32" s="263"/>
      <c r="D32" s="269"/>
      <c r="E32" s="269"/>
      <c r="F32" s="269"/>
      <c r="H32" s="269"/>
    </row>
    <row r="33" spans="1:8" s="12" customFormat="1">
      <c r="C33" s="263"/>
      <c r="D33" s="269"/>
      <c r="E33" s="269"/>
      <c r="F33" s="269"/>
      <c r="H33" s="269"/>
    </row>
    <row r="34" spans="1:8" s="12" customFormat="1">
      <c r="C34" s="263"/>
      <c r="F34" s="269"/>
      <c r="H34" s="269"/>
    </row>
    <row r="35" spans="1:8" s="12" customFormat="1">
      <c r="A35" s="813"/>
      <c r="C35" s="270"/>
      <c r="D35" s="270"/>
      <c r="E35" s="270"/>
      <c r="F35" s="270"/>
      <c r="G35" s="270"/>
      <c r="H35" s="270"/>
    </row>
    <row r="36" spans="1:8" s="12" customFormat="1"/>
    <row r="37" spans="1:8" s="12" customFormat="1">
      <c r="C37" s="263"/>
      <c r="D37" s="263"/>
      <c r="E37" s="263"/>
      <c r="F37" s="263"/>
      <c r="G37" s="263"/>
      <c r="H37" s="269"/>
    </row>
    <row r="38" spans="1:8" s="12" customFormat="1"/>
  </sheetData>
  <mergeCells count="8">
    <mergeCell ref="C29:F29"/>
    <mergeCell ref="C30:F30"/>
    <mergeCell ref="C28:F28"/>
    <mergeCell ref="B1:F1"/>
    <mergeCell ref="B2:F2"/>
    <mergeCell ref="B3:F3"/>
    <mergeCell ref="B4:F4"/>
    <mergeCell ref="C27:F27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58"/>
  <sheetViews>
    <sheetView topLeftCell="A22" workbookViewId="0">
      <selection activeCell="C7" sqref="C7:H18"/>
    </sheetView>
  </sheetViews>
  <sheetFormatPr defaultColWidth="9.33203125" defaultRowHeight="14.5"/>
  <cols>
    <col min="1" max="1" width="12.44140625" style="165" bestFit="1" customWidth="1"/>
    <col min="2" max="2" width="9.33203125" style="2"/>
    <col min="3" max="3" width="18.44140625" style="2" bestFit="1" customWidth="1"/>
    <col min="4" max="4" width="17" style="12" customWidth="1"/>
    <col min="5" max="5" width="19" style="2" customWidth="1"/>
    <col min="6" max="6" width="14.6640625" style="2" customWidth="1"/>
    <col min="7" max="7" width="12.33203125" style="2" bestFit="1" customWidth="1"/>
    <col min="8" max="8" width="17.109375" style="2" customWidth="1"/>
    <col min="9" max="9" width="16.6640625" style="2" customWidth="1"/>
    <col min="10" max="10" width="11" style="2" bestFit="1" customWidth="1"/>
    <col min="11" max="16384" width="9.33203125" style="2"/>
  </cols>
  <sheetData>
    <row r="1" spans="1:9" s="165" customFormat="1">
      <c r="B1" s="849" t="s">
        <v>52</v>
      </c>
      <c r="C1" s="849"/>
      <c r="D1" s="849"/>
      <c r="E1" s="849"/>
      <c r="F1" s="849"/>
      <c r="G1" s="849"/>
      <c r="H1" s="849"/>
      <c r="I1" s="849"/>
    </row>
    <row r="2" spans="1:9" s="165" customFormat="1">
      <c r="B2" s="854" t="s">
        <v>34</v>
      </c>
      <c r="C2" s="854"/>
      <c r="D2" s="854"/>
      <c r="E2" s="854"/>
      <c r="F2" s="854"/>
      <c r="G2" s="854"/>
      <c r="H2" s="854"/>
      <c r="I2" s="854"/>
    </row>
    <row r="3" spans="1:9" s="165" customFormat="1">
      <c r="B3" s="850" t="s">
        <v>339</v>
      </c>
      <c r="C3" s="850"/>
      <c r="D3" s="850"/>
      <c r="E3" s="850"/>
      <c r="F3" s="850"/>
      <c r="G3" s="850"/>
      <c r="H3" s="850"/>
      <c r="I3" s="850"/>
    </row>
    <row r="4" spans="1:9" s="165" customFormat="1">
      <c r="B4" s="849" t="s">
        <v>53</v>
      </c>
      <c r="C4" s="849"/>
      <c r="D4" s="849"/>
      <c r="E4" s="849"/>
      <c r="F4" s="849"/>
      <c r="G4" s="849"/>
      <c r="H4" s="849"/>
      <c r="I4" s="849"/>
    </row>
    <row r="6" spans="1:9">
      <c r="B6" s="288"/>
      <c r="C6" s="748">
        <v>503</v>
      </c>
      <c r="D6" s="748">
        <v>504</v>
      </c>
      <c r="E6" s="64">
        <v>505</v>
      </c>
      <c r="F6" s="64">
        <v>511</v>
      </c>
      <c r="G6" s="64">
        <v>570</v>
      </c>
      <c r="H6" s="65">
        <v>663</v>
      </c>
      <c r="I6" s="65" t="s">
        <v>185</v>
      </c>
    </row>
    <row r="7" spans="1:9">
      <c r="A7" s="768" t="s">
        <v>326</v>
      </c>
      <c r="B7" s="750">
        <v>43678</v>
      </c>
      <c r="C7" s="773">
        <v>2775098</v>
      </c>
      <c r="D7" s="773">
        <v>2791925</v>
      </c>
      <c r="E7" s="773">
        <v>564404</v>
      </c>
      <c r="F7" s="773">
        <v>751721</v>
      </c>
      <c r="G7" s="773">
        <v>93626</v>
      </c>
      <c r="H7" s="774">
        <v>69462063</v>
      </c>
      <c r="I7" s="271">
        <f t="shared" ref="I7:I18" si="0">+C7+D7+E7+F7+G7</f>
        <v>6976774</v>
      </c>
    </row>
    <row r="8" spans="1:9">
      <c r="A8" s="768" t="s">
        <v>326</v>
      </c>
      <c r="B8" s="751">
        <v>43709</v>
      </c>
      <c r="C8" s="775">
        <v>2691847</v>
      </c>
      <c r="D8" s="775">
        <v>2672827</v>
      </c>
      <c r="E8" s="775">
        <v>651984</v>
      </c>
      <c r="F8" s="775">
        <f>657450+481</f>
        <v>657931</v>
      </c>
      <c r="G8" s="775">
        <v>111853</v>
      </c>
      <c r="H8" s="774">
        <v>66432032</v>
      </c>
      <c r="I8" s="271">
        <f t="shared" si="0"/>
        <v>6786442</v>
      </c>
    </row>
    <row r="9" spans="1:9">
      <c r="A9" s="768" t="s">
        <v>326</v>
      </c>
      <c r="B9" s="750">
        <v>43739</v>
      </c>
      <c r="C9" s="773">
        <v>6366467</v>
      </c>
      <c r="D9" s="773">
        <v>4854071</v>
      </c>
      <c r="E9" s="773">
        <f>1274354+1349697</f>
        <v>2624051</v>
      </c>
      <c r="F9" s="773">
        <v>1093634</v>
      </c>
      <c r="G9" s="773">
        <v>233137</v>
      </c>
      <c r="H9" s="774">
        <v>47040455</v>
      </c>
      <c r="I9" s="271">
        <f t="shared" si="0"/>
        <v>15171360</v>
      </c>
    </row>
    <row r="10" spans="1:9">
      <c r="A10" s="768" t="s">
        <v>326</v>
      </c>
      <c r="B10" s="751">
        <v>43770</v>
      </c>
      <c r="C10" s="775">
        <v>11628968</v>
      </c>
      <c r="D10" s="775">
        <v>7911625</v>
      </c>
      <c r="E10" s="775">
        <v>1158623</v>
      </c>
      <c r="F10" s="775">
        <f>2869305+152385</f>
        <v>3021690</v>
      </c>
      <c r="G10" s="775">
        <v>230724</v>
      </c>
      <c r="H10" s="774">
        <v>48656976</v>
      </c>
      <c r="I10" s="271">
        <f t="shared" si="0"/>
        <v>23951630</v>
      </c>
    </row>
    <row r="11" spans="1:9">
      <c r="A11" s="768" t="s">
        <v>326</v>
      </c>
      <c r="B11" s="750">
        <v>43800</v>
      </c>
      <c r="C11" s="776">
        <v>17650518</v>
      </c>
      <c r="D11" s="776">
        <v>11980664</v>
      </c>
      <c r="E11" s="776">
        <v>1422636</v>
      </c>
      <c r="F11" s="776">
        <f>3137557+190850</f>
        <v>3328407</v>
      </c>
      <c r="G11" s="776">
        <v>254276</v>
      </c>
      <c r="H11" s="774">
        <v>60975891</v>
      </c>
      <c r="I11" s="271">
        <f t="shared" si="0"/>
        <v>34636501</v>
      </c>
    </row>
    <row r="12" spans="1:9">
      <c r="A12" s="768" t="s">
        <v>326</v>
      </c>
      <c r="B12" s="751">
        <v>43831</v>
      </c>
      <c r="C12" s="777">
        <v>21443608</v>
      </c>
      <c r="D12" s="777">
        <v>14483260</v>
      </c>
      <c r="E12" s="777">
        <v>1522757</v>
      </c>
      <c r="F12" s="778">
        <f>3646616+94482</f>
        <v>3741098</v>
      </c>
      <c r="G12" s="778">
        <v>256288</v>
      </c>
      <c r="H12" s="774">
        <v>54743777</v>
      </c>
      <c r="I12" s="271">
        <f t="shared" si="0"/>
        <v>41447011</v>
      </c>
    </row>
    <row r="13" spans="1:9">
      <c r="A13" s="768" t="s">
        <v>326</v>
      </c>
      <c r="B13" s="750">
        <v>43862</v>
      </c>
      <c r="C13" s="779">
        <v>17506775</v>
      </c>
      <c r="D13" s="779">
        <v>11975788</v>
      </c>
      <c r="E13" s="779">
        <v>1322495</v>
      </c>
      <c r="F13" s="776">
        <v>3282608</v>
      </c>
      <c r="G13" s="776">
        <v>229332</v>
      </c>
      <c r="H13" s="774">
        <v>50453480</v>
      </c>
      <c r="I13" s="271">
        <f t="shared" si="0"/>
        <v>34316998</v>
      </c>
    </row>
    <row r="14" spans="1:9">
      <c r="A14" s="768" t="s">
        <v>326</v>
      </c>
      <c r="B14" s="751">
        <v>43891</v>
      </c>
      <c r="C14" s="778">
        <v>17635811</v>
      </c>
      <c r="D14" s="778">
        <v>11817611</v>
      </c>
      <c r="E14" s="778">
        <v>1356275</v>
      </c>
      <c r="F14" s="778">
        <v>3331521</v>
      </c>
      <c r="G14" s="778">
        <v>229447</v>
      </c>
      <c r="H14" s="774">
        <v>65511452</v>
      </c>
      <c r="I14" s="271">
        <f t="shared" si="0"/>
        <v>34370665</v>
      </c>
    </row>
    <row r="15" spans="1:9">
      <c r="A15" s="768" t="s">
        <v>326</v>
      </c>
      <c r="B15" s="750">
        <v>43922</v>
      </c>
      <c r="C15" s="776">
        <v>13930299</v>
      </c>
      <c r="D15" s="776">
        <v>8559467</v>
      </c>
      <c r="E15" s="776">
        <v>1128418</v>
      </c>
      <c r="F15" s="776">
        <v>2914723</v>
      </c>
      <c r="G15" s="776">
        <v>189714</v>
      </c>
      <c r="H15" s="774">
        <v>55156149</v>
      </c>
      <c r="I15" s="271">
        <f t="shared" si="0"/>
        <v>26722621</v>
      </c>
    </row>
    <row r="16" spans="1:9">
      <c r="A16" s="768" t="s">
        <v>326</v>
      </c>
      <c r="B16" s="751">
        <v>43952</v>
      </c>
      <c r="C16" s="778">
        <v>6809502</v>
      </c>
      <c r="D16" s="778">
        <v>4131807</v>
      </c>
      <c r="E16" s="778">
        <v>713209</v>
      </c>
      <c r="F16" s="778">
        <v>1710957</v>
      </c>
      <c r="G16" s="778">
        <v>139474</v>
      </c>
      <c r="H16" s="774">
        <v>32659120</v>
      </c>
      <c r="I16" s="271">
        <f t="shared" si="0"/>
        <v>13504949</v>
      </c>
    </row>
    <row r="17" spans="1:9">
      <c r="A17" s="768" t="s">
        <v>326</v>
      </c>
      <c r="B17" s="750">
        <v>43983</v>
      </c>
      <c r="C17" s="776">
        <v>5005480</v>
      </c>
      <c r="D17" s="776">
        <v>3161104</v>
      </c>
      <c r="E17" s="776">
        <v>637229</v>
      </c>
      <c r="F17" s="776">
        <v>1649675</v>
      </c>
      <c r="G17" s="776">
        <v>109505</v>
      </c>
      <c r="H17" s="774">
        <v>32721220</v>
      </c>
      <c r="I17" s="271">
        <f t="shared" si="0"/>
        <v>10562993</v>
      </c>
    </row>
    <row r="18" spans="1:9">
      <c r="A18" s="768" t="s">
        <v>326</v>
      </c>
      <c r="B18" s="751">
        <v>44013</v>
      </c>
      <c r="C18" s="780">
        <v>4024864</v>
      </c>
      <c r="D18" s="781">
        <v>2838573</v>
      </c>
      <c r="E18" s="781">
        <v>562464</v>
      </c>
      <c r="F18" s="780">
        <v>1551524</v>
      </c>
      <c r="G18" s="780">
        <v>106383</v>
      </c>
      <c r="H18" s="774">
        <v>46005530</v>
      </c>
      <c r="I18" s="271">
        <f t="shared" si="0"/>
        <v>9083808</v>
      </c>
    </row>
    <row r="19" spans="1:9">
      <c r="A19" s="768"/>
      <c r="B19" s="300"/>
      <c r="C19" s="301"/>
      <c r="D19" s="302"/>
      <c r="E19" s="302"/>
      <c r="F19" s="302"/>
      <c r="G19" s="302"/>
      <c r="H19" s="302"/>
      <c r="I19" s="303"/>
    </row>
    <row r="20" spans="1:9">
      <c r="A20" s="769" t="s">
        <v>319</v>
      </c>
      <c r="B20" s="770">
        <v>44044</v>
      </c>
      <c r="C20" s="14">
        <f t="shared" ref="C20:C31" si="1">(+C7/I7)*I20</f>
        <v>3398062.2503621303</v>
      </c>
      <c r="D20" s="14">
        <f t="shared" ref="D20:D31" si="2">(+D7/I7)*I20</f>
        <v>3418666.637481736</v>
      </c>
      <c r="E20" s="14">
        <f t="shared" ref="E20:E31" si="3">(+E7/I7)*I20</f>
        <v>691103.49485077197</v>
      </c>
      <c r="F20" s="14">
        <f t="shared" ref="F20:F31" si="4">(+F7/I7)*I20</f>
        <v>920470.10696720297</v>
      </c>
      <c r="G20" s="14">
        <f t="shared" ref="G20:G31" si="5">(+G7/I7)*I20</f>
        <v>114643.51033815916</v>
      </c>
      <c r="H20" s="14">
        <f t="shared" ref="H20:H31" si="6">+H7</f>
        <v>69462063</v>
      </c>
      <c r="I20" s="772">
        <v>8542946</v>
      </c>
    </row>
    <row r="21" spans="1:9" s="165" customFormat="1">
      <c r="A21" s="769" t="s">
        <v>319</v>
      </c>
      <c r="B21" s="770">
        <v>44075</v>
      </c>
      <c r="C21" s="14">
        <f t="shared" si="1"/>
        <v>4538304.0239437688</v>
      </c>
      <c r="D21" s="14">
        <f t="shared" si="2"/>
        <v>4506237.3639384229</v>
      </c>
      <c r="E21" s="14">
        <f t="shared" si="3"/>
        <v>1099208.6885870388</v>
      </c>
      <c r="F21" s="14">
        <f t="shared" si="4"/>
        <v>1109234.999157585</v>
      </c>
      <c r="G21" s="14">
        <f t="shared" si="5"/>
        <v>188577.92437318404</v>
      </c>
      <c r="H21" s="14">
        <f t="shared" si="6"/>
        <v>66432032</v>
      </c>
      <c r="I21" s="772">
        <v>11441563</v>
      </c>
    </row>
    <row r="22" spans="1:9">
      <c r="A22" s="769" t="s">
        <v>319</v>
      </c>
      <c r="B22" s="770">
        <v>44105</v>
      </c>
      <c r="C22" s="14">
        <f t="shared" si="1"/>
        <v>7571668.3897063937</v>
      </c>
      <c r="D22" s="14">
        <f t="shared" si="2"/>
        <v>5772968.89343658</v>
      </c>
      <c r="E22" s="14">
        <f t="shared" si="3"/>
        <v>3120795.8840715662</v>
      </c>
      <c r="F22" s="14">
        <f t="shared" si="4"/>
        <v>1300663.9298857849</v>
      </c>
      <c r="G22" s="14">
        <f t="shared" si="5"/>
        <v>277270.90289967414</v>
      </c>
      <c r="H22" s="14">
        <f t="shared" si="6"/>
        <v>47040455</v>
      </c>
      <c r="I22" s="772">
        <v>18043368</v>
      </c>
    </row>
    <row r="23" spans="1:9">
      <c r="A23" s="769" t="s">
        <v>319</v>
      </c>
      <c r="B23" s="770">
        <v>44136</v>
      </c>
      <c r="C23" s="14">
        <f t="shared" si="1"/>
        <v>14909946.150565619</v>
      </c>
      <c r="D23" s="14">
        <f t="shared" si="2"/>
        <v>10143798.03207548</v>
      </c>
      <c r="E23" s="14">
        <f t="shared" si="3"/>
        <v>1485515.0120635631</v>
      </c>
      <c r="F23" s="14">
        <f t="shared" si="4"/>
        <v>3874224.7105420381</v>
      </c>
      <c r="G23" s="14">
        <f t="shared" si="5"/>
        <v>295820.09475330071</v>
      </c>
      <c r="H23" s="14">
        <f t="shared" si="6"/>
        <v>48656976</v>
      </c>
      <c r="I23" s="772">
        <v>30709304</v>
      </c>
    </row>
    <row r="24" spans="1:9">
      <c r="A24" s="769" t="s">
        <v>319</v>
      </c>
      <c r="B24" s="770">
        <v>44166</v>
      </c>
      <c r="C24" s="14">
        <f t="shared" si="1"/>
        <v>21641714.991629899</v>
      </c>
      <c r="D24" s="14">
        <f t="shared" si="2"/>
        <v>14689773.733466668</v>
      </c>
      <c r="E24" s="14">
        <f t="shared" si="3"/>
        <v>1744327.4383693666</v>
      </c>
      <c r="F24" s="14">
        <f t="shared" si="4"/>
        <v>4081038.0562284854</v>
      </c>
      <c r="G24" s="14">
        <f t="shared" si="5"/>
        <v>311773.78030557994</v>
      </c>
      <c r="H24" s="14">
        <f t="shared" si="6"/>
        <v>60975891</v>
      </c>
      <c r="I24" s="772">
        <v>42468628</v>
      </c>
    </row>
    <row r="25" spans="1:9">
      <c r="A25" s="769" t="s">
        <v>319</v>
      </c>
      <c r="B25" s="770">
        <v>44197</v>
      </c>
      <c r="C25" s="14">
        <f t="shared" si="1"/>
        <v>21077578.792977087</v>
      </c>
      <c r="D25" s="14">
        <f t="shared" si="2"/>
        <v>14236039.654762076</v>
      </c>
      <c r="E25" s="14">
        <f t="shared" si="3"/>
        <v>1496764.4740594684</v>
      </c>
      <c r="F25" s="14">
        <f t="shared" si="4"/>
        <v>3677239.7568193274</v>
      </c>
      <c r="G25" s="14">
        <f t="shared" si="5"/>
        <v>251913.32138204126</v>
      </c>
      <c r="H25" s="14">
        <f t="shared" si="6"/>
        <v>54743777</v>
      </c>
      <c r="I25" s="772">
        <v>40739536</v>
      </c>
    </row>
    <row r="26" spans="1:9">
      <c r="A26" s="769" t="s">
        <v>319</v>
      </c>
      <c r="B26" s="770">
        <v>44228</v>
      </c>
      <c r="C26" s="14">
        <f t="shared" si="1"/>
        <v>17157853.633713827</v>
      </c>
      <c r="D26" s="14">
        <f t="shared" si="2"/>
        <v>11737102.78748578</v>
      </c>
      <c r="E26" s="14">
        <f t="shared" si="3"/>
        <v>1296136.8179643804</v>
      </c>
      <c r="F26" s="14">
        <f t="shared" si="4"/>
        <v>3217183.4961526645</v>
      </c>
      <c r="G26" s="14">
        <f t="shared" si="5"/>
        <v>224761.26468335022</v>
      </c>
      <c r="H26" s="14">
        <f t="shared" si="6"/>
        <v>50453480</v>
      </c>
      <c r="I26" s="772">
        <v>33633038</v>
      </c>
    </row>
    <row r="27" spans="1:9">
      <c r="A27" s="769" t="s">
        <v>319</v>
      </c>
      <c r="B27" s="770">
        <v>44256</v>
      </c>
      <c r="C27" s="14">
        <f t="shared" si="1"/>
        <v>13282038.362450654</v>
      </c>
      <c r="D27" s="14">
        <f t="shared" si="2"/>
        <v>8900183.9866915569</v>
      </c>
      <c r="E27" s="14">
        <f t="shared" si="3"/>
        <v>1021449.8545052882</v>
      </c>
      <c r="F27" s="14">
        <f t="shared" si="4"/>
        <v>2509064.6371357664</v>
      </c>
      <c r="G27" s="14">
        <f t="shared" si="5"/>
        <v>172803.15921673324</v>
      </c>
      <c r="H27" s="14">
        <f t="shared" si="6"/>
        <v>65511452</v>
      </c>
      <c r="I27" s="772">
        <v>25885540</v>
      </c>
    </row>
    <row r="28" spans="1:9">
      <c r="A28" s="769" t="s">
        <v>319</v>
      </c>
      <c r="B28" s="770">
        <v>44287</v>
      </c>
      <c r="C28" s="14">
        <f t="shared" si="1"/>
        <v>8807395.5072405506</v>
      </c>
      <c r="D28" s="14">
        <f t="shared" si="2"/>
        <v>5411700.8687447244</v>
      </c>
      <c r="E28" s="14">
        <f t="shared" si="3"/>
        <v>713439.36145874311</v>
      </c>
      <c r="F28" s="14">
        <f t="shared" si="4"/>
        <v>1842826.076816492</v>
      </c>
      <c r="G28" s="14">
        <f t="shared" si="5"/>
        <v>119946.18573949015</v>
      </c>
      <c r="H28" s="14">
        <f t="shared" si="6"/>
        <v>55156149</v>
      </c>
      <c r="I28" s="772">
        <v>16895308</v>
      </c>
    </row>
    <row r="29" spans="1:9">
      <c r="A29" s="769" t="s">
        <v>319</v>
      </c>
      <c r="B29" s="770">
        <v>44317</v>
      </c>
      <c r="C29" s="14">
        <f t="shared" si="1"/>
        <v>6311495.8505623378</v>
      </c>
      <c r="D29" s="14">
        <f t="shared" si="2"/>
        <v>3829631.4085559305</v>
      </c>
      <c r="E29" s="14">
        <f t="shared" si="3"/>
        <v>661049.16983411042</v>
      </c>
      <c r="F29" s="14">
        <f t="shared" si="4"/>
        <v>1585827.863181564</v>
      </c>
      <c r="G29" s="14">
        <f t="shared" si="5"/>
        <v>129273.7078660571</v>
      </c>
      <c r="H29" s="14">
        <f t="shared" si="6"/>
        <v>32659120</v>
      </c>
      <c r="I29" s="772">
        <v>12517278</v>
      </c>
    </row>
    <row r="30" spans="1:9">
      <c r="A30" s="769" t="s">
        <v>319</v>
      </c>
      <c r="B30" s="770">
        <v>44348</v>
      </c>
      <c r="C30" s="14">
        <f t="shared" si="1"/>
        <v>4391559.8168132836</v>
      </c>
      <c r="D30" s="14">
        <f t="shared" si="2"/>
        <v>2773395.8188161249</v>
      </c>
      <c r="E30" s="14">
        <f t="shared" si="3"/>
        <v>559073.10997309186</v>
      </c>
      <c r="F30" s="14">
        <f t="shared" si="4"/>
        <v>1447343.0002320365</v>
      </c>
      <c r="G30" s="14">
        <f t="shared" si="5"/>
        <v>96074.254165462378</v>
      </c>
      <c r="H30" s="14">
        <f t="shared" si="6"/>
        <v>32721220</v>
      </c>
      <c r="I30" s="772">
        <v>9267446</v>
      </c>
    </row>
    <row r="31" spans="1:9">
      <c r="A31" s="769" t="s">
        <v>319</v>
      </c>
      <c r="B31" s="770">
        <v>44378</v>
      </c>
      <c r="C31" s="14">
        <f t="shared" si="1"/>
        <v>3843696.9836650006</v>
      </c>
      <c r="D31" s="14">
        <f t="shared" si="2"/>
        <v>2710803.2663992899</v>
      </c>
      <c r="E31" s="14">
        <f t="shared" si="3"/>
        <v>537146.39307567931</v>
      </c>
      <c r="F31" s="14">
        <f t="shared" si="4"/>
        <v>1481686.8641732628</v>
      </c>
      <c r="G31" s="14">
        <f t="shared" si="5"/>
        <v>101594.49268676749</v>
      </c>
      <c r="H31" s="14">
        <f t="shared" si="6"/>
        <v>46005530</v>
      </c>
      <c r="I31" s="772">
        <v>8674928</v>
      </c>
    </row>
    <row r="32" spans="1:9">
      <c r="A32" s="769" t="s">
        <v>319</v>
      </c>
      <c r="B32" s="770">
        <v>44409</v>
      </c>
      <c r="C32" s="14">
        <f>(+C20/I20)*I32</f>
        <v>3456836.8080264605</v>
      </c>
      <c r="D32" s="14">
        <f>(+D20/I20)*I32</f>
        <v>3477797.5787699302</v>
      </c>
      <c r="E32" s="14">
        <f>(+E20/I20)*I32</f>
        <v>703057.16115155804</v>
      </c>
      <c r="F32" s="14">
        <f>(+F20/I20)*I32</f>
        <v>936391.01111616916</v>
      </c>
      <c r="G32" s="14">
        <f>(+G20/I20)*I32</f>
        <v>116626.44093588241</v>
      </c>
      <c r="H32" s="14">
        <f>+H20</f>
        <v>69462063</v>
      </c>
      <c r="I32" s="772">
        <v>8690709</v>
      </c>
    </row>
    <row r="33" spans="1:9">
      <c r="A33" s="769" t="s">
        <v>319</v>
      </c>
      <c r="B33" s="770">
        <v>44440</v>
      </c>
      <c r="C33" s="14">
        <f>(+C21/I21)*I33</f>
        <v>4591448.8719286192</v>
      </c>
      <c r="D33" s="14">
        <f>(+D21/I21)*I33</f>
        <v>4559006.7020935267</v>
      </c>
      <c r="E33" s="14">
        <f>(+E21/I21)*I33</f>
        <v>1112080.7391042318</v>
      </c>
      <c r="F33" s="14">
        <f>(+F21/I21)*I33</f>
        <v>1122224.4606609766</v>
      </c>
      <c r="G33" s="14">
        <f>(+G21/I21)*I33</f>
        <v>190786.22621264574</v>
      </c>
      <c r="H33" s="14">
        <f>+H21</f>
        <v>66432032</v>
      </c>
      <c r="I33" s="772">
        <v>11575547</v>
      </c>
    </row>
    <row r="34" spans="1:9">
      <c r="A34" s="769" t="s">
        <v>319</v>
      </c>
      <c r="B34" s="770">
        <v>44470</v>
      </c>
      <c r="C34" s="14">
        <f>(+C22/I22)*I34</f>
        <v>7647400.3148264885</v>
      </c>
      <c r="D34" s="14">
        <f>(+D22/I22)*I34</f>
        <v>5830710.2029414633</v>
      </c>
      <c r="E34" s="14">
        <f>(+E22/I22)*I34</f>
        <v>3152010.1248495849</v>
      </c>
      <c r="F34" s="14">
        <f>(+F22/I22)*I34</f>
        <v>1313673.187327438</v>
      </c>
      <c r="G34" s="14">
        <f>(+G22/I22)*I34</f>
        <v>280044.17005502473</v>
      </c>
      <c r="H34" s="14">
        <f>+H22</f>
        <v>47040455</v>
      </c>
      <c r="I34" s="772">
        <v>18223838</v>
      </c>
    </row>
    <row r="35" spans="1:9" s="165" customFormat="1">
      <c r="A35" s="769" t="s">
        <v>319</v>
      </c>
      <c r="B35" s="770">
        <v>44501</v>
      </c>
      <c r="C35" s="14">
        <f t="shared" ref="C35:C46" si="7">(+C23/I23)*I35</f>
        <v>15127167.772316122</v>
      </c>
      <c r="D35" s="14">
        <f t="shared" ref="D35:D46" si="8">(+D23/I23)*I35</f>
        <v>10291582.084209926</v>
      </c>
      <c r="E35" s="14">
        <f t="shared" ref="E35:E46" si="9">(+E23/I23)*I35</f>
        <v>1507157.3424111428</v>
      </c>
      <c r="F35" s="14">
        <f t="shared" ref="F35:F46" si="10">(+F23/I23)*I35</f>
        <v>3930667.9308026214</v>
      </c>
      <c r="G35" s="14">
        <f t="shared" ref="G35:G46" si="11">(+G23/I23)*I35</f>
        <v>300129.87026018684</v>
      </c>
      <c r="H35" s="14">
        <f t="shared" ref="H35:H46" si="12">+H23</f>
        <v>48656976</v>
      </c>
      <c r="I35" s="772">
        <v>31156705</v>
      </c>
    </row>
    <row r="36" spans="1:9" s="165" customFormat="1">
      <c r="A36" s="769" t="s">
        <v>319</v>
      </c>
      <c r="B36" s="770">
        <v>44531</v>
      </c>
      <c r="C36" s="14">
        <f t="shared" si="7"/>
        <v>21268444.753441982</v>
      </c>
      <c r="D36" s="14">
        <f t="shared" si="8"/>
        <v>14436408.630814759</v>
      </c>
      <c r="E36" s="14">
        <f t="shared" si="9"/>
        <v>1714241.767310041</v>
      </c>
      <c r="F36" s="14">
        <f t="shared" si="10"/>
        <v>4010649.4549604473</v>
      </c>
      <c r="G36" s="14">
        <f t="shared" si="11"/>
        <v>306396.39347277023</v>
      </c>
      <c r="H36" s="14">
        <f t="shared" si="12"/>
        <v>60975891</v>
      </c>
      <c r="I36" s="772">
        <v>41736141</v>
      </c>
    </row>
    <row r="37" spans="1:9" s="165" customFormat="1">
      <c r="A37" s="769" t="s">
        <v>319</v>
      </c>
      <c r="B37" s="770">
        <v>44562</v>
      </c>
      <c r="C37" s="14">
        <f t="shared" si="7"/>
        <v>21364790.719633799</v>
      </c>
      <c r="D37" s="14">
        <f t="shared" si="8"/>
        <v>14430025.900400875</v>
      </c>
      <c r="E37" s="14">
        <f t="shared" si="9"/>
        <v>1517160.0143901813</v>
      </c>
      <c r="F37" s="14">
        <f t="shared" si="10"/>
        <v>3727347.3676463664</v>
      </c>
      <c r="G37" s="14">
        <f t="shared" si="11"/>
        <v>255345.99792877704</v>
      </c>
      <c r="H37" s="14">
        <f t="shared" si="12"/>
        <v>54743777</v>
      </c>
      <c r="I37" s="772">
        <v>41294670</v>
      </c>
    </row>
    <row r="38" spans="1:9" s="165" customFormat="1">
      <c r="A38" s="769" t="s">
        <v>319</v>
      </c>
      <c r="B38" s="770">
        <v>44593</v>
      </c>
      <c r="C38" s="14">
        <f t="shared" si="7"/>
        <v>17387971.549826417</v>
      </c>
      <c r="D38" s="14">
        <f t="shared" si="8"/>
        <v>11894518.609552734</v>
      </c>
      <c r="E38" s="14">
        <f t="shared" si="9"/>
        <v>1313520.3619620225</v>
      </c>
      <c r="F38" s="14">
        <f t="shared" si="10"/>
        <v>3260331.758032681</v>
      </c>
      <c r="G38" s="14">
        <f t="shared" si="11"/>
        <v>227775.72062614566</v>
      </c>
      <c r="H38" s="14">
        <f t="shared" si="12"/>
        <v>50453480</v>
      </c>
      <c r="I38" s="772">
        <v>34084118</v>
      </c>
    </row>
    <row r="39" spans="1:9" s="165" customFormat="1">
      <c r="A39" s="769" t="s">
        <v>319</v>
      </c>
      <c r="B39" s="770">
        <v>44621</v>
      </c>
      <c r="C39" s="14">
        <f t="shared" si="7"/>
        <v>13453121.404297125</v>
      </c>
      <c r="D39" s="14">
        <f t="shared" si="8"/>
        <v>9014825.3171774819</v>
      </c>
      <c r="E39" s="14">
        <f t="shared" si="9"/>
        <v>1034606.9274961657</v>
      </c>
      <c r="F39" s="14">
        <f t="shared" si="10"/>
        <v>2541383.3519743071</v>
      </c>
      <c r="G39" s="14">
        <f t="shared" si="11"/>
        <v>175028.99905492086</v>
      </c>
      <c r="H39" s="14">
        <f t="shared" si="12"/>
        <v>65511452</v>
      </c>
      <c r="I39" s="772">
        <v>26218966</v>
      </c>
    </row>
    <row r="40" spans="1:9" s="165" customFormat="1">
      <c r="A40" s="769" t="s">
        <v>319</v>
      </c>
      <c r="B40" s="770">
        <v>44652</v>
      </c>
      <c r="C40" s="14">
        <f t="shared" si="7"/>
        <v>8892265.0362809096</v>
      </c>
      <c r="D40" s="14">
        <f t="shared" si="8"/>
        <v>5463848.9190576784</v>
      </c>
      <c r="E40" s="14">
        <f t="shared" si="9"/>
        <v>720314.18189301121</v>
      </c>
      <c r="F40" s="14">
        <f t="shared" si="10"/>
        <v>1860583.8556188783</v>
      </c>
      <c r="G40" s="14">
        <f t="shared" si="11"/>
        <v>121102.00714952324</v>
      </c>
      <c r="H40" s="14">
        <f t="shared" si="12"/>
        <v>55156149</v>
      </c>
      <c r="I40" s="772">
        <v>17058114</v>
      </c>
    </row>
    <row r="41" spans="1:9" s="165" customFormat="1">
      <c r="A41" s="769" t="s">
        <v>319</v>
      </c>
      <c r="B41" s="770">
        <v>44682</v>
      </c>
      <c r="C41" s="14">
        <f t="shared" si="7"/>
        <v>6411677.3399459701</v>
      </c>
      <c r="D41" s="14">
        <f t="shared" si="8"/>
        <v>3890418.6113654338</v>
      </c>
      <c r="E41" s="14">
        <f t="shared" si="9"/>
        <v>671541.91069266526</v>
      </c>
      <c r="F41" s="14">
        <f t="shared" si="10"/>
        <v>1610999.4866764029</v>
      </c>
      <c r="G41" s="14">
        <f t="shared" si="11"/>
        <v>131325.65131952739</v>
      </c>
      <c r="H41" s="14">
        <f t="shared" si="12"/>
        <v>32659120</v>
      </c>
      <c r="I41" s="772">
        <v>12715963</v>
      </c>
    </row>
    <row r="42" spans="1:9" s="165" customFormat="1">
      <c r="A42" s="769" t="s">
        <v>319</v>
      </c>
      <c r="B42" s="770">
        <v>44713</v>
      </c>
      <c r="C42" s="14">
        <f t="shared" si="7"/>
        <v>4443509.1801651288</v>
      </c>
      <c r="D42" s="14">
        <f t="shared" si="8"/>
        <v>2806203.3298418354</v>
      </c>
      <c r="E42" s="14">
        <f t="shared" si="9"/>
        <v>565686.58977109985</v>
      </c>
      <c r="F42" s="14">
        <f t="shared" si="10"/>
        <v>1464464.1486508604</v>
      </c>
      <c r="G42" s="14">
        <f t="shared" si="11"/>
        <v>97210.751571074594</v>
      </c>
      <c r="H42" s="14">
        <f t="shared" si="12"/>
        <v>32721220</v>
      </c>
      <c r="I42" s="772">
        <v>9377074</v>
      </c>
    </row>
    <row r="43" spans="1:9" s="165" customFormat="1">
      <c r="A43" s="769" t="s">
        <v>319</v>
      </c>
      <c r="B43" s="770">
        <v>44743</v>
      </c>
      <c r="C43" s="14">
        <f t="shared" si="7"/>
        <v>3869491.3952844446</v>
      </c>
      <c r="D43" s="14">
        <f t="shared" si="8"/>
        <v>2728995.0165736661</v>
      </c>
      <c r="E43" s="14">
        <f t="shared" si="9"/>
        <v>540751.09324371454</v>
      </c>
      <c r="F43" s="14">
        <f t="shared" si="10"/>
        <v>1491630.2184564006</v>
      </c>
      <c r="G43" s="14">
        <f t="shared" si="11"/>
        <v>102276.2764417742</v>
      </c>
      <c r="H43" s="14">
        <f t="shared" si="12"/>
        <v>46005530</v>
      </c>
      <c r="I43" s="772">
        <v>8733144</v>
      </c>
    </row>
    <row r="44" spans="1:9" s="165" customFormat="1">
      <c r="A44" s="769" t="s">
        <v>319</v>
      </c>
      <c r="B44" s="770">
        <v>44774</v>
      </c>
      <c r="C44" s="14">
        <f t="shared" si="7"/>
        <v>3516009.92356238</v>
      </c>
      <c r="D44" s="14">
        <f t="shared" si="8"/>
        <v>3537329.4946131264</v>
      </c>
      <c r="E44" s="14">
        <f t="shared" si="9"/>
        <v>715091.88680843043</v>
      </c>
      <c r="F44" s="14">
        <f t="shared" si="10"/>
        <v>952419.87697379908</v>
      </c>
      <c r="G44" s="14">
        <f t="shared" si="11"/>
        <v>118622.81804226423</v>
      </c>
      <c r="H44" s="14">
        <f t="shared" si="12"/>
        <v>69462063</v>
      </c>
      <c r="I44" s="772">
        <v>8839474</v>
      </c>
    </row>
    <row r="45" spans="1:9" s="165" customFormat="1">
      <c r="A45" s="769" t="s">
        <v>319</v>
      </c>
      <c r="B45" s="770">
        <v>44805</v>
      </c>
      <c r="C45" s="14">
        <f t="shared" si="7"/>
        <v>4644592.9266120605</v>
      </c>
      <c r="D45" s="14">
        <f t="shared" si="8"/>
        <v>4611775.2525525158</v>
      </c>
      <c r="E45" s="14">
        <f t="shared" si="9"/>
        <v>1124952.5974783252</v>
      </c>
      <c r="F45" s="14">
        <f t="shared" si="10"/>
        <v>1135213.7282686569</v>
      </c>
      <c r="G45" s="14">
        <f t="shared" si="11"/>
        <v>192994.49508844249</v>
      </c>
      <c r="H45" s="14">
        <f t="shared" si="12"/>
        <v>66432032</v>
      </c>
      <c r="I45" s="772">
        <v>11709529</v>
      </c>
    </row>
    <row r="46" spans="1:9" s="165" customFormat="1">
      <c r="A46" s="769" t="s">
        <v>319</v>
      </c>
      <c r="B46" s="770">
        <v>44835</v>
      </c>
      <c r="C46" s="14">
        <f t="shared" si="7"/>
        <v>7741764.9708114499</v>
      </c>
      <c r="D46" s="14">
        <f t="shared" si="8"/>
        <v>5902657.9158631787</v>
      </c>
      <c r="E46" s="14">
        <f t="shared" si="9"/>
        <v>3190904.1723490842</v>
      </c>
      <c r="F46" s="14">
        <f t="shared" si="10"/>
        <v>1329883.1820047775</v>
      </c>
      <c r="G46" s="14">
        <f t="shared" si="11"/>
        <v>283499.75897150947</v>
      </c>
      <c r="H46" s="14">
        <f t="shared" si="12"/>
        <v>47040455</v>
      </c>
      <c r="I46" s="772">
        <v>18448710</v>
      </c>
    </row>
    <row r="47" spans="1:9" s="165" customFormat="1">
      <c r="A47" s="769" t="s">
        <v>210</v>
      </c>
      <c r="B47" s="770"/>
      <c r="C47" s="14">
        <f>SUM(C23:C46)</f>
        <v>255239773.05657759</v>
      </c>
      <c r="D47" s="14">
        <f t="shared" ref="D47:H47" si="13">SUM(D23:D46)</f>
        <v>177308533.12282577</v>
      </c>
      <c r="E47" s="14">
        <f t="shared" si="13"/>
        <v>29097978.50221495</v>
      </c>
      <c r="F47" s="14">
        <f t="shared" si="13"/>
        <v>54404297.480452433</v>
      </c>
      <c r="G47" s="14">
        <f t="shared" si="13"/>
        <v>4603125.8379292525</v>
      </c>
      <c r="H47" s="14">
        <f t="shared" si="13"/>
        <v>1259636290</v>
      </c>
      <c r="I47" s="14">
        <f>SUM(I23:I46)</f>
        <v>520653708</v>
      </c>
    </row>
    <row r="48" spans="1:9" s="165" customFormat="1">
      <c r="A48" s="165" t="s">
        <v>331</v>
      </c>
      <c r="B48" s="165" t="s">
        <v>210</v>
      </c>
      <c r="C48" s="14">
        <f>SUM(C23:C34)</f>
        <v>127118966.08439983</v>
      </c>
      <c r="D48" s="14">
        <f t="shared" ref="D48:H48" si="14">SUM(D23:D34)</f>
        <v>88299944.040802553</v>
      </c>
      <c r="E48" s="14">
        <f t="shared" si="14"/>
        <v>14482049.656409066</v>
      </c>
      <c r="F48" s="14">
        <f>SUM(F23:F34)</f>
        <v>27088723.120386221</v>
      </c>
      <c r="G48" s="14">
        <f t="shared" si="14"/>
        <v>2291417.0980023355</v>
      </c>
      <c r="H48" s="14">
        <f t="shared" si="14"/>
        <v>629818145</v>
      </c>
      <c r="I48" s="14">
        <f>SUM(I23:I34)</f>
        <v>259281100</v>
      </c>
    </row>
    <row r="49" spans="2:9">
      <c r="B49"/>
      <c r="C49" s="752">
        <v>1</v>
      </c>
      <c r="D49" s="752">
        <v>2</v>
      </c>
      <c r="E49" s="752">
        <v>3</v>
      </c>
      <c r="F49" s="752">
        <v>4</v>
      </c>
      <c r="G49" s="752">
        <v>5</v>
      </c>
      <c r="H49" s="752">
        <v>6</v>
      </c>
      <c r="I49" s="753">
        <v>7</v>
      </c>
    </row>
    <row r="50" spans="2:9" hidden="1">
      <c r="D50" s="1"/>
      <c r="E50" s="1"/>
      <c r="F50" s="1"/>
      <c r="G50" s="13"/>
      <c r="H50" s="14"/>
      <c r="I50" s="14"/>
    </row>
    <row r="51" spans="2:9" hidden="1">
      <c r="D51" s="1"/>
      <c r="E51" s="1"/>
      <c r="F51" s="1"/>
      <c r="G51" s="33"/>
      <c r="H51" s="14"/>
      <c r="I51" s="14"/>
    </row>
    <row r="52" spans="2:9" hidden="1">
      <c r="D52" s="1"/>
      <c r="E52" s="1"/>
      <c r="F52" s="1"/>
      <c r="G52" s="33"/>
      <c r="H52" s="14"/>
      <c r="I52" s="14"/>
    </row>
    <row r="53" spans="2:9" hidden="1">
      <c r="D53" s="1"/>
      <c r="E53" s="1"/>
      <c r="F53" s="1"/>
      <c r="G53" s="13"/>
      <c r="H53" s="14"/>
      <c r="I53" s="14"/>
    </row>
    <row r="54" spans="2:9" hidden="1">
      <c r="D54" s="1"/>
      <c r="E54" s="1"/>
      <c r="F54" s="1"/>
      <c r="G54" s="13"/>
      <c r="H54" s="14"/>
      <c r="I54" s="14"/>
    </row>
    <row r="55" spans="2:9" hidden="1">
      <c r="D55" s="1"/>
      <c r="E55" s="1"/>
      <c r="F55" s="1"/>
      <c r="G55" s="13"/>
      <c r="H55" s="14"/>
      <c r="I55" s="14"/>
    </row>
    <row r="56" spans="2:9" hidden="1">
      <c r="D56" s="1"/>
      <c r="E56" s="1"/>
      <c r="F56" s="1"/>
      <c r="G56" s="13"/>
      <c r="H56" s="14"/>
      <c r="I56" s="14"/>
    </row>
    <row r="57" spans="2:9">
      <c r="D57" s="1"/>
      <c r="E57" s="1"/>
      <c r="F57" s="1"/>
      <c r="G57" s="13"/>
      <c r="H57" s="14"/>
      <c r="I57" s="14">
        <f>+I47-I48</f>
        <v>261372608</v>
      </c>
    </row>
    <row r="58" spans="2:9">
      <c r="D58" s="1"/>
      <c r="E58" s="1"/>
      <c r="F58" s="1"/>
      <c r="G58" s="13"/>
      <c r="H58" s="14"/>
      <c r="I58" s="14"/>
    </row>
  </sheetData>
  <mergeCells count="4">
    <mergeCell ref="B1:I1"/>
    <mergeCell ref="B2:I2"/>
    <mergeCell ref="B3:I3"/>
    <mergeCell ref="B4:I4"/>
  </mergeCells>
  <phoneticPr fontId="22" type="noConversion"/>
  <printOptions horizontalCentered="1"/>
  <pageMargins left="0.25" right="0.25" top="1" bottom="1" header="0.5" footer="0.5"/>
  <pageSetup scale="53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8"/>
  <sheetViews>
    <sheetView view="pageBreakPreview" zoomScale="80" zoomScaleNormal="100" zoomScaleSheetLayoutView="80" workbookViewId="0">
      <pane xSplit="5" ySplit="4" topLeftCell="F5" activePane="bottomRight" state="frozen"/>
      <selection activeCell="D33" sqref="D33"/>
      <selection pane="topRight" activeCell="D33" sqref="D33"/>
      <selection pane="bottomLeft" activeCell="D33" sqref="D33"/>
      <selection pane="bottomRight" activeCell="G19" sqref="G19"/>
    </sheetView>
  </sheetViews>
  <sheetFormatPr defaultColWidth="12" defaultRowHeight="14.5" outlineLevelRow="1"/>
  <cols>
    <col min="1" max="1" width="1.6640625" style="34" customWidth="1"/>
    <col min="2" max="2" width="5.77734375" style="47" customWidth="1"/>
    <col min="3" max="3" width="15.44140625" style="34" customWidth="1"/>
    <col min="4" max="4" width="20" style="34" customWidth="1"/>
    <col min="5" max="5" width="10.6640625" style="47" bestFit="1" customWidth="1"/>
    <col min="6" max="6" width="16" style="34" bestFit="1" customWidth="1"/>
    <col min="7" max="7" width="16.44140625" style="34" customWidth="1"/>
    <col min="8" max="8" width="2.33203125" style="40" customWidth="1"/>
    <col min="9" max="9" width="18.109375" style="34" customWidth="1"/>
    <col min="10" max="11" width="2.33203125" style="40" customWidth="1"/>
    <col min="12" max="12" width="4" style="34" customWidth="1"/>
    <col min="13" max="13" width="3.44140625" style="34" customWidth="1"/>
    <col min="14" max="14" width="16.6640625" style="40" bestFit="1" customWidth="1"/>
    <col min="15" max="16" width="15" style="40" bestFit="1" customWidth="1"/>
    <col min="17" max="17" width="5.6640625" style="40" customWidth="1"/>
    <col min="18" max="16384" width="12" style="34"/>
  </cols>
  <sheetData>
    <row r="1" spans="1:17" ht="18" customHeight="1">
      <c r="A1" s="43"/>
      <c r="C1" s="849" t="s">
        <v>52</v>
      </c>
      <c r="D1" s="849"/>
      <c r="E1" s="849"/>
      <c r="F1" s="849"/>
      <c r="G1" s="849"/>
      <c r="H1" s="849"/>
      <c r="I1" s="849"/>
      <c r="J1" s="849"/>
      <c r="K1" s="849"/>
    </row>
    <row r="2" spans="1:17">
      <c r="C2" s="850" t="s">
        <v>216</v>
      </c>
      <c r="D2" s="855"/>
      <c r="E2" s="855"/>
      <c r="F2" s="855"/>
      <c r="G2" s="855"/>
      <c r="H2" s="855"/>
      <c r="I2" s="855"/>
      <c r="J2" s="855"/>
      <c r="K2" s="855"/>
    </row>
    <row r="3" spans="1:17">
      <c r="C3" s="850" t="s">
        <v>325</v>
      </c>
      <c r="D3" s="855"/>
      <c r="E3" s="855"/>
      <c r="F3" s="855"/>
      <c r="G3" s="855"/>
      <c r="H3" s="855"/>
      <c r="I3" s="855"/>
      <c r="J3" s="855"/>
      <c r="K3" s="855"/>
    </row>
    <row r="4" spans="1:17">
      <c r="C4" s="849" t="s">
        <v>53</v>
      </c>
      <c r="D4" s="855"/>
      <c r="E4" s="855"/>
      <c r="F4" s="855"/>
      <c r="G4" s="855"/>
      <c r="H4" s="855"/>
      <c r="I4" s="855"/>
      <c r="J4" s="855"/>
      <c r="K4" s="855"/>
    </row>
    <row r="5" spans="1:17" ht="6" customHeight="1"/>
    <row r="6" spans="1:17">
      <c r="B6" s="100"/>
      <c r="C6" s="101"/>
      <c r="D6" s="101"/>
      <c r="E6" s="100"/>
      <c r="F6" s="102"/>
      <c r="G6" s="102"/>
      <c r="I6" s="102"/>
      <c r="N6" s="242"/>
    </row>
    <row r="7" spans="1:17">
      <c r="B7" s="35" t="s">
        <v>7</v>
      </c>
      <c r="C7" s="36"/>
      <c r="D7" s="36"/>
      <c r="E7" s="35" t="s">
        <v>51</v>
      </c>
      <c r="F7" s="35" t="s">
        <v>56</v>
      </c>
      <c r="G7" s="35" t="s">
        <v>57</v>
      </c>
      <c r="H7" s="36"/>
      <c r="I7" s="35" t="s">
        <v>58</v>
      </c>
      <c r="J7" s="36"/>
      <c r="K7" s="36"/>
      <c r="N7" s="243"/>
      <c r="O7" s="36"/>
      <c r="P7" s="36"/>
    </row>
    <row r="8" spans="1:17">
      <c r="B8" s="35" t="s">
        <v>9</v>
      </c>
      <c r="C8" s="97"/>
      <c r="D8" s="36" t="s">
        <v>0</v>
      </c>
      <c r="E8" s="35" t="s">
        <v>61</v>
      </c>
      <c r="F8" s="35" t="s">
        <v>62</v>
      </c>
      <c r="G8" s="35" t="s">
        <v>63</v>
      </c>
      <c r="H8" s="36"/>
      <c r="I8" s="35" t="s">
        <v>64</v>
      </c>
      <c r="J8" s="36"/>
      <c r="K8" s="36"/>
      <c r="N8" s="243"/>
      <c r="O8" s="36"/>
      <c r="P8" s="36"/>
    </row>
    <row r="9" spans="1:17">
      <c r="B9" s="104"/>
      <c r="C9" s="97"/>
      <c r="D9" s="36" t="s">
        <v>14</v>
      </c>
      <c r="E9" s="105" t="s">
        <v>15</v>
      </c>
      <c r="F9" s="105" t="s">
        <v>16</v>
      </c>
      <c r="G9" s="105" t="s">
        <v>17</v>
      </c>
      <c r="H9" s="36"/>
      <c r="I9" s="105" t="s">
        <v>66</v>
      </c>
      <c r="J9" s="36"/>
      <c r="K9" s="36"/>
      <c r="N9" s="243"/>
      <c r="O9" s="36"/>
      <c r="P9" s="36"/>
    </row>
    <row r="10" spans="1:17" s="40" customFormat="1">
      <c r="B10" s="106"/>
      <c r="C10" s="107" t="s">
        <v>70</v>
      </c>
      <c r="D10" s="108"/>
      <c r="E10" s="106"/>
      <c r="F10" s="108"/>
      <c r="G10" s="108"/>
      <c r="I10" s="223"/>
      <c r="N10" s="244"/>
    </row>
    <row r="11" spans="1:17">
      <c r="B11" s="100"/>
      <c r="C11" s="89" t="s">
        <v>71</v>
      </c>
      <c r="D11" s="109"/>
      <c r="E11" s="110"/>
      <c r="F11" s="101"/>
      <c r="G11" s="103"/>
      <c r="I11" s="103"/>
      <c r="K11" s="37"/>
      <c r="N11" s="244"/>
    </row>
    <row r="12" spans="1:17">
      <c r="B12" s="35">
        <v>1</v>
      </c>
      <c r="C12" s="111" t="s">
        <v>161</v>
      </c>
      <c r="D12" s="37"/>
      <c r="E12" s="38">
        <v>503</v>
      </c>
      <c r="F12" s="272">
        <v>193657</v>
      </c>
      <c r="G12" s="112">
        <v>127469237</v>
      </c>
      <c r="I12" s="98">
        <v>130754890</v>
      </c>
      <c r="K12" s="37"/>
      <c r="N12" s="245"/>
      <c r="O12" s="113"/>
      <c r="P12" s="246"/>
    </row>
    <row r="13" spans="1:17">
      <c r="B13" s="35">
        <v>2</v>
      </c>
      <c r="C13" s="111"/>
      <c r="D13" s="37"/>
      <c r="E13" s="38"/>
      <c r="F13" s="272"/>
      <c r="G13" s="112"/>
      <c r="I13" s="98"/>
      <c r="K13" s="37"/>
      <c r="N13" s="245"/>
      <c r="O13" s="113"/>
      <c r="P13" s="246"/>
    </row>
    <row r="14" spans="1:17">
      <c r="B14" s="35">
        <v>3</v>
      </c>
      <c r="C14" s="305" t="s">
        <v>212</v>
      </c>
      <c r="D14" s="40"/>
      <c r="E14" s="104">
        <v>503</v>
      </c>
      <c r="F14" s="272"/>
      <c r="G14" s="112">
        <v>786164</v>
      </c>
      <c r="H14" s="113"/>
      <c r="I14" s="98">
        <v>710075</v>
      </c>
      <c r="J14" s="113"/>
      <c r="K14" s="39"/>
      <c r="N14" s="245"/>
      <c r="O14" s="113"/>
      <c r="P14" s="246"/>
    </row>
    <row r="15" spans="1:17">
      <c r="B15" s="35">
        <v>4</v>
      </c>
      <c r="C15" s="306" t="s">
        <v>213</v>
      </c>
      <c r="D15" s="132"/>
      <c r="E15" s="307">
        <v>503</v>
      </c>
      <c r="F15" s="273"/>
      <c r="G15" s="114">
        <v>-2058587</v>
      </c>
      <c r="H15" s="113"/>
      <c r="I15" s="114">
        <v>-1680445</v>
      </c>
      <c r="J15" s="113"/>
      <c r="K15" s="39"/>
      <c r="N15" s="245"/>
      <c r="O15" s="113"/>
      <c r="P15" s="246"/>
    </row>
    <row r="16" spans="1:17" s="120" customFormat="1">
      <c r="B16" s="35">
        <v>5</v>
      </c>
      <c r="C16" s="115" t="s">
        <v>172</v>
      </c>
      <c r="D16" s="130"/>
      <c r="E16" s="117"/>
      <c r="F16" s="274">
        <f>SUM(F12:F15)</f>
        <v>193657</v>
      </c>
      <c r="G16" s="118">
        <f>SUM(G12:G15)</f>
        <v>126196814</v>
      </c>
      <c r="H16" s="119"/>
      <c r="I16" s="275">
        <f>SUM(I12:I15)</f>
        <v>129784520</v>
      </c>
      <c r="J16" s="119"/>
      <c r="K16" s="79"/>
      <c r="N16" s="247"/>
      <c r="O16" s="119"/>
      <c r="P16" s="248"/>
      <c r="Q16" s="48"/>
    </row>
    <row r="17" spans="2:17">
      <c r="B17" s="104">
        <v>6</v>
      </c>
      <c r="C17" s="89" t="s">
        <v>73</v>
      </c>
      <c r="D17" s="37"/>
      <c r="E17" s="90"/>
      <c r="F17" s="113"/>
      <c r="G17" s="112"/>
      <c r="H17" s="113"/>
      <c r="I17" s="276"/>
      <c r="K17" s="39"/>
      <c r="N17" s="249"/>
      <c r="O17" s="113"/>
      <c r="P17" s="250"/>
    </row>
    <row r="18" spans="2:17">
      <c r="B18" s="35">
        <v>7</v>
      </c>
      <c r="C18" s="49" t="s">
        <v>161</v>
      </c>
      <c r="D18" s="37"/>
      <c r="E18" s="38" t="s">
        <v>74</v>
      </c>
      <c r="F18" s="113">
        <v>26658</v>
      </c>
      <c r="G18" s="112">
        <v>87178722</v>
      </c>
      <c r="H18" s="113"/>
      <c r="I18" s="98">
        <v>80247678.329999998</v>
      </c>
      <c r="K18" s="39"/>
      <c r="N18" s="245"/>
      <c r="O18" s="113"/>
      <c r="P18" s="246"/>
    </row>
    <row r="19" spans="2:17">
      <c r="B19" s="35">
        <v>8</v>
      </c>
      <c r="C19" s="49" t="s">
        <v>162</v>
      </c>
      <c r="D19" s="37"/>
      <c r="E19" s="38" t="s">
        <v>76</v>
      </c>
      <c r="F19" s="113">
        <v>82</v>
      </c>
      <c r="G19" s="112">
        <v>23135272</v>
      </c>
      <c r="I19" s="98">
        <v>15658886.130000001</v>
      </c>
      <c r="K19" s="37"/>
      <c r="N19" s="245"/>
      <c r="O19" s="113"/>
      <c r="P19" s="246"/>
    </row>
    <row r="20" spans="2:17">
      <c r="B20" s="35">
        <v>9</v>
      </c>
      <c r="C20" s="49"/>
      <c r="D20" s="37"/>
      <c r="E20" s="38"/>
      <c r="F20" s="113"/>
      <c r="G20" s="112"/>
      <c r="I20" s="98"/>
      <c r="K20" s="37"/>
      <c r="N20" s="245"/>
      <c r="O20" s="113"/>
      <c r="P20" s="246"/>
    </row>
    <row r="21" spans="2:17">
      <c r="B21" s="35">
        <v>10</v>
      </c>
      <c r="C21" s="121" t="str">
        <f>C14</f>
        <v>EOM</v>
      </c>
      <c r="D21" s="37"/>
      <c r="E21" s="90">
        <v>504</v>
      </c>
      <c r="F21" s="40"/>
      <c r="G21" s="112">
        <v>802150</v>
      </c>
      <c r="H21" s="113"/>
      <c r="I21" s="112">
        <v>662383.47</v>
      </c>
      <c r="J21" s="113"/>
      <c r="K21" s="39"/>
      <c r="N21" s="245"/>
      <c r="O21" s="113"/>
      <c r="P21" s="246"/>
    </row>
    <row r="22" spans="2:17">
      <c r="B22" s="35">
        <v>11</v>
      </c>
      <c r="C22" s="121" t="str">
        <f>C15</f>
        <v>LM</v>
      </c>
      <c r="D22" s="37"/>
      <c r="E22" s="90">
        <v>504</v>
      </c>
      <c r="F22" s="40"/>
      <c r="G22" s="112">
        <v>-2184086</v>
      </c>
      <c r="H22" s="113"/>
      <c r="I22" s="112">
        <v>-1647693.91</v>
      </c>
      <c r="J22" s="113"/>
      <c r="K22" s="39"/>
      <c r="N22" s="245"/>
      <c r="O22" s="113"/>
      <c r="P22" s="246"/>
    </row>
    <row r="23" spans="2:17">
      <c r="B23" s="35"/>
      <c r="C23" s="121" t="s">
        <v>212</v>
      </c>
      <c r="D23" s="37"/>
      <c r="E23" s="90">
        <v>511</v>
      </c>
      <c r="F23" s="40"/>
      <c r="G23" s="112">
        <v>669108</v>
      </c>
      <c r="H23" s="113"/>
      <c r="I23" s="112">
        <v>448033.25</v>
      </c>
      <c r="J23" s="113"/>
      <c r="K23" s="39"/>
      <c r="N23" s="245"/>
      <c r="O23" s="113"/>
      <c r="P23" s="246"/>
    </row>
    <row r="24" spans="2:17">
      <c r="B24" s="35"/>
      <c r="C24" s="121" t="s">
        <v>213</v>
      </c>
      <c r="D24" s="37"/>
      <c r="E24" s="90">
        <v>511</v>
      </c>
      <c r="F24" s="40"/>
      <c r="G24" s="112">
        <v>-1688999</v>
      </c>
      <c r="H24" s="113"/>
      <c r="I24" s="112">
        <v>-971048</v>
      </c>
      <c r="J24" s="113"/>
      <c r="K24" s="39"/>
      <c r="N24" s="245"/>
      <c r="O24" s="113"/>
      <c r="P24" s="246"/>
    </row>
    <row r="25" spans="2:17">
      <c r="B25" s="35">
        <v>12</v>
      </c>
      <c r="C25" s="49" t="s">
        <v>163</v>
      </c>
      <c r="D25" s="37"/>
      <c r="E25" s="90"/>
      <c r="F25" s="113"/>
      <c r="G25" s="112">
        <v>0</v>
      </c>
      <c r="H25" s="113"/>
      <c r="I25" s="114"/>
      <c r="K25" s="39"/>
      <c r="N25" s="245"/>
      <c r="O25" s="113"/>
      <c r="P25" s="251"/>
    </row>
    <row r="26" spans="2:17" s="120" customFormat="1">
      <c r="B26" s="35">
        <v>13</v>
      </c>
      <c r="C26" s="115" t="s">
        <v>171</v>
      </c>
      <c r="D26" s="116"/>
      <c r="E26" s="117"/>
      <c r="F26" s="274">
        <f>SUM(F18:F25)</f>
        <v>26740</v>
      </c>
      <c r="G26" s="118">
        <f>SUM(G18:G25)</f>
        <v>107912167</v>
      </c>
      <c r="H26" s="119"/>
      <c r="I26" s="275">
        <f>SUM(I18:I25)</f>
        <v>94398239.269999996</v>
      </c>
      <c r="J26" s="119"/>
      <c r="K26" s="79"/>
      <c r="N26" s="252"/>
      <c r="O26" s="119"/>
      <c r="P26" s="248"/>
      <c r="Q26" s="48"/>
    </row>
    <row r="27" spans="2:17">
      <c r="B27" s="104">
        <v>14</v>
      </c>
      <c r="C27" s="89" t="s">
        <v>77</v>
      </c>
      <c r="D27" s="37"/>
      <c r="E27" s="90"/>
      <c r="F27" s="113"/>
      <c r="G27" s="112"/>
      <c r="H27" s="113"/>
      <c r="I27" s="276"/>
      <c r="K27" s="39"/>
      <c r="N27" s="245"/>
      <c r="O27" s="113"/>
      <c r="P27" s="251"/>
    </row>
    <row r="28" spans="2:17">
      <c r="B28" s="35">
        <v>15</v>
      </c>
      <c r="C28" s="49" t="s">
        <v>161</v>
      </c>
      <c r="D28" s="37"/>
      <c r="E28" s="38" t="s">
        <v>78</v>
      </c>
      <c r="F28" s="113">
        <v>480</v>
      </c>
      <c r="G28" s="112">
        <v>12314848</v>
      </c>
      <c r="H28" s="113"/>
      <c r="I28" s="276">
        <v>9601453</v>
      </c>
      <c r="K28" s="39"/>
      <c r="N28" s="245"/>
      <c r="O28" s="113"/>
      <c r="P28" s="251"/>
    </row>
    <row r="29" spans="2:17">
      <c r="B29" s="35">
        <v>16</v>
      </c>
      <c r="C29" s="49" t="s">
        <v>162</v>
      </c>
      <c r="D29" s="37"/>
      <c r="E29" s="38" t="s">
        <v>76</v>
      </c>
      <c r="F29" s="113">
        <v>16</v>
      </c>
      <c r="G29" s="112">
        <v>4580018</v>
      </c>
      <c r="I29" s="276">
        <v>3141415</v>
      </c>
      <c r="K29" s="37"/>
      <c r="N29" s="245"/>
      <c r="O29" s="113"/>
      <c r="P29" s="251"/>
    </row>
    <row r="30" spans="2:17">
      <c r="B30" s="35">
        <v>17</v>
      </c>
      <c r="C30" s="123" t="str">
        <f>+C21</f>
        <v>EOM</v>
      </c>
      <c r="D30" s="37"/>
      <c r="E30" s="38">
        <v>511</v>
      </c>
      <c r="F30" s="113"/>
      <c r="G30" s="112"/>
      <c r="I30" s="276">
        <v>0</v>
      </c>
      <c r="K30" s="37"/>
      <c r="N30" s="245"/>
      <c r="O30" s="113"/>
      <c r="P30" s="251"/>
    </row>
    <row r="31" spans="2:17">
      <c r="B31" s="35">
        <v>18</v>
      </c>
      <c r="C31" s="124" t="str">
        <f>+C22</f>
        <v>LM</v>
      </c>
      <c r="D31" s="37"/>
      <c r="E31" s="38">
        <v>511</v>
      </c>
      <c r="F31" s="113"/>
      <c r="G31" s="277">
        <v>0</v>
      </c>
      <c r="I31" s="276">
        <v>0</v>
      </c>
      <c r="K31" s="37"/>
      <c r="N31" s="245"/>
      <c r="O31" s="113"/>
      <c r="P31" s="251"/>
    </row>
    <row r="32" spans="2:17" s="120" customFormat="1">
      <c r="B32" s="35">
        <v>19</v>
      </c>
      <c r="C32" s="115" t="s">
        <v>170</v>
      </c>
      <c r="D32" s="116"/>
      <c r="E32" s="117"/>
      <c r="F32" s="118">
        <f>SUM(F28:F31)</f>
        <v>496</v>
      </c>
      <c r="G32" s="118">
        <f>SUM(G28:G31)</f>
        <v>16894866</v>
      </c>
      <c r="H32" s="119"/>
      <c r="I32" s="118">
        <f>SUM(I28:I31)</f>
        <v>12742868</v>
      </c>
      <c r="J32" s="119"/>
      <c r="K32" s="79"/>
      <c r="N32" s="252"/>
      <c r="O32" s="119"/>
      <c r="P32" s="248"/>
      <c r="Q32" s="48"/>
    </row>
    <row r="33" spans="2:17">
      <c r="B33" s="35">
        <v>20</v>
      </c>
      <c r="C33" s="89" t="s">
        <v>12</v>
      </c>
      <c r="D33" s="37"/>
      <c r="E33" s="90"/>
      <c r="F33" s="113"/>
      <c r="G33" s="112"/>
      <c r="H33" s="113"/>
      <c r="I33" s="276"/>
      <c r="K33" s="39"/>
      <c r="N33" s="245"/>
      <c r="O33" s="113"/>
      <c r="P33" s="251"/>
    </row>
    <row r="34" spans="2:17">
      <c r="B34" s="35">
        <v>21</v>
      </c>
      <c r="C34" s="49" t="s">
        <v>158</v>
      </c>
      <c r="D34" s="37"/>
      <c r="E34" s="38" t="s">
        <v>79</v>
      </c>
      <c r="F34" s="113">
        <v>8</v>
      </c>
      <c r="G34" s="112">
        <v>2197567</v>
      </c>
      <c r="H34" s="113"/>
      <c r="I34" s="276">
        <v>1422997</v>
      </c>
      <c r="K34" s="39"/>
      <c r="N34" s="245"/>
      <c r="O34" s="113"/>
      <c r="P34" s="251"/>
    </row>
    <row r="35" spans="2:17">
      <c r="B35" s="35">
        <v>22</v>
      </c>
      <c r="C35" s="49" t="str">
        <f>+C30</f>
        <v>EOM</v>
      </c>
      <c r="D35" s="37"/>
      <c r="E35" s="38"/>
      <c r="F35" s="113"/>
      <c r="G35" s="112">
        <v>106383</v>
      </c>
      <c r="I35" s="276">
        <v>72788</v>
      </c>
      <c r="K35" s="37"/>
      <c r="N35" s="245"/>
      <c r="O35" s="113"/>
      <c r="P35" s="251"/>
    </row>
    <row r="36" spans="2:17">
      <c r="B36" s="35">
        <v>23</v>
      </c>
      <c r="C36" s="49" t="str">
        <f>+C31</f>
        <v>LM</v>
      </c>
      <c r="D36" s="37"/>
      <c r="E36" s="38"/>
      <c r="F36" s="113"/>
      <c r="G36" s="112">
        <v>-120191</v>
      </c>
      <c r="I36" s="276">
        <v>-74150</v>
      </c>
      <c r="K36" s="37"/>
      <c r="N36" s="245"/>
      <c r="O36" s="113"/>
      <c r="P36" s="251"/>
    </row>
    <row r="37" spans="2:17">
      <c r="B37" s="35">
        <v>24</v>
      </c>
      <c r="C37" s="49"/>
      <c r="D37" s="37"/>
      <c r="E37" s="38"/>
      <c r="F37" s="113"/>
      <c r="G37" s="112"/>
      <c r="I37" s="276"/>
      <c r="K37" s="37"/>
      <c r="N37" s="245"/>
      <c r="O37" s="113"/>
      <c r="P37" s="251"/>
    </row>
    <row r="38" spans="2:17">
      <c r="B38" s="35">
        <v>25</v>
      </c>
      <c r="C38" s="49"/>
      <c r="D38" s="37"/>
      <c r="E38" s="38"/>
      <c r="F38" s="113"/>
      <c r="G38" s="112"/>
      <c r="I38" s="276"/>
      <c r="K38" s="37"/>
      <c r="N38" s="245"/>
      <c r="O38" s="113"/>
      <c r="P38" s="251"/>
    </row>
    <row r="39" spans="2:17" s="120" customFormat="1">
      <c r="B39" s="35">
        <v>26</v>
      </c>
      <c r="C39" s="107" t="s">
        <v>166</v>
      </c>
      <c r="D39" s="116"/>
      <c r="E39" s="117"/>
      <c r="F39" s="274">
        <f>SUM(F34:F34)</f>
        <v>8</v>
      </c>
      <c r="G39" s="118">
        <f>SUM(G34:G36)</f>
        <v>2183759</v>
      </c>
      <c r="H39" s="119"/>
      <c r="I39" s="275">
        <f>+I34+I35+I36</f>
        <v>1421635</v>
      </c>
      <c r="J39" s="119"/>
      <c r="K39" s="79"/>
      <c r="N39" s="253"/>
      <c r="O39" s="119"/>
      <c r="P39" s="248"/>
      <c r="Q39" s="48"/>
    </row>
    <row r="40" spans="2:17" s="120" customFormat="1">
      <c r="B40" s="35">
        <v>27</v>
      </c>
      <c r="C40" s="125" t="s">
        <v>167</v>
      </c>
      <c r="D40" s="48"/>
      <c r="E40" s="126"/>
      <c r="F40" s="119">
        <f>+F39+F32+F26+F16</f>
        <v>220901</v>
      </c>
      <c r="G40" s="118">
        <f>G16+G26+G32+G39</f>
        <v>253187606</v>
      </c>
      <c r="H40" s="119"/>
      <c r="I40" s="275">
        <f>I16+I26+I32+I39</f>
        <v>238347262.26999998</v>
      </c>
      <c r="J40" s="119"/>
      <c r="K40" s="79"/>
      <c r="N40" s="119"/>
      <c r="O40" s="119"/>
      <c r="P40" s="248"/>
      <c r="Q40" s="48"/>
    </row>
    <row r="41" spans="2:17" s="40" customFormat="1">
      <c r="B41" s="106"/>
      <c r="C41" s="107" t="s">
        <v>81</v>
      </c>
      <c r="D41" s="108"/>
      <c r="E41" s="106"/>
      <c r="F41" s="223"/>
      <c r="G41" s="223"/>
      <c r="H41" s="113"/>
      <c r="I41" s="127"/>
      <c r="K41" s="113"/>
      <c r="N41" s="127"/>
      <c r="O41" s="127"/>
      <c r="P41" s="251"/>
    </row>
    <row r="42" spans="2:17">
      <c r="B42" s="102">
        <v>28</v>
      </c>
      <c r="C42" s="124"/>
      <c r="D42" s="37"/>
      <c r="E42" s="38"/>
      <c r="F42" s="113"/>
      <c r="G42" s="112"/>
      <c r="H42" s="128"/>
      <c r="I42" s="278"/>
      <c r="J42" s="124"/>
      <c r="K42" s="81"/>
      <c r="N42" s="245"/>
      <c r="O42" s="113"/>
      <c r="P42" s="251"/>
    </row>
    <row r="43" spans="2:17">
      <c r="B43" s="35">
        <v>29</v>
      </c>
      <c r="C43" s="122" t="s">
        <v>160</v>
      </c>
      <c r="D43" s="37"/>
      <c r="E43" s="90"/>
      <c r="F43" s="113"/>
      <c r="G43" s="112"/>
      <c r="H43" s="128"/>
      <c r="I43" s="276"/>
      <c r="K43" s="39"/>
      <c r="N43" s="249"/>
      <c r="O43" s="113"/>
      <c r="P43" s="251"/>
    </row>
    <row r="44" spans="2:17">
      <c r="B44" s="35">
        <v>30</v>
      </c>
      <c r="C44" s="49" t="s">
        <v>158</v>
      </c>
      <c r="D44" s="37"/>
      <c r="E44" s="38" t="s">
        <v>82</v>
      </c>
      <c r="F44" s="113">
        <v>188</v>
      </c>
      <c r="G44" s="112">
        <v>629818145</v>
      </c>
      <c r="H44" s="113"/>
      <c r="I44" s="276">
        <v>20168203</v>
      </c>
      <c r="J44" s="124"/>
      <c r="K44" s="39"/>
      <c r="N44" s="245"/>
      <c r="O44" s="113"/>
      <c r="P44" s="251"/>
    </row>
    <row r="45" spans="2:17">
      <c r="B45" s="35">
        <v>31</v>
      </c>
      <c r="C45" s="49" t="s">
        <v>159</v>
      </c>
      <c r="D45" s="37"/>
      <c r="E45" s="38" t="s">
        <v>193</v>
      </c>
      <c r="F45" s="279">
        <v>7</v>
      </c>
      <c r="G45" s="114">
        <v>216766399</v>
      </c>
      <c r="I45" s="114">
        <v>4441400</v>
      </c>
      <c r="K45" s="37"/>
      <c r="N45" s="249"/>
      <c r="O45" s="113"/>
      <c r="P45" s="251"/>
    </row>
    <row r="46" spans="2:17" s="120" customFormat="1">
      <c r="B46" s="35">
        <v>32</v>
      </c>
      <c r="C46" s="129" t="s">
        <v>168</v>
      </c>
      <c r="D46" s="116"/>
      <c r="E46" s="126"/>
      <c r="F46" s="280">
        <f>SUM(F42:F45)</f>
        <v>195</v>
      </c>
      <c r="G46" s="80">
        <f>SUM(G42:G45)</f>
        <v>846584544</v>
      </c>
      <c r="H46" s="48"/>
      <c r="I46" s="281">
        <f>SUM(I42:I45)</f>
        <v>24609603</v>
      </c>
      <c r="J46" s="48"/>
      <c r="K46" s="82"/>
      <c r="N46" s="48"/>
      <c r="O46" s="48"/>
      <c r="P46" s="248"/>
      <c r="Q46" s="48"/>
    </row>
    <row r="47" spans="2:17" s="120" customFormat="1">
      <c r="B47" s="105">
        <v>33</v>
      </c>
      <c r="C47" s="129" t="s">
        <v>83</v>
      </c>
      <c r="D47" s="131"/>
      <c r="E47" s="126"/>
      <c r="F47" s="280">
        <f>+F46+F40</f>
        <v>221096</v>
      </c>
      <c r="G47" s="80">
        <f>G40+G46</f>
        <v>1099772150</v>
      </c>
      <c r="H47" s="119"/>
      <c r="I47" s="275">
        <f>I40+I46</f>
        <v>262956865.26999998</v>
      </c>
      <c r="J47" s="119"/>
      <c r="K47" s="79"/>
      <c r="N47" s="247"/>
      <c r="O47" s="119"/>
      <c r="P47" s="248"/>
      <c r="Q47" s="48"/>
    </row>
    <row r="48" spans="2:17" s="40" customFormat="1" hidden="1" outlineLevel="1">
      <c r="B48" s="106"/>
      <c r="C48" s="107" t="s">
        <v>84</v>
      </c>
      <c r="D48" s="132"/>
      <c r="E48" s="96"/>
      <c r="F48" s="133"/>
      <c r="G48" s="133"/>
      <c r="H48" s="113"/>
      <c r="I48" s="127"/>
      <c r="K48" s="113"/>
      <c r="N48" s="83"/>
    </row>
    <row r="49" spans="2:17" s="141" customFormat="1" hidden="1" outlineLevel="1">
      <c r="B49" s="134">
        <v>36</v>
      </c>
      <c r="C49" s="135" t="s">
        <v>164</v>
      </c>
      <c r="D49" s="136"/>
      <c r="E49" s="137"/>
      <c r="F49" s="138"/>
      <c r="G49" s="224"/>
      <c r="H49" s="138"/>
      <c r="I49" s="225">
        <v>10912874.920000002</v>
      </c>
      <c r="J49" s="136"/>
      <c r="K49" s="140"/>
      <c r="N49" s="142"/>
      <c r="O49" s="136"/>
      <c r="P49" s="136"/>
      <c r="Q49" s="136"/>
    </row>
    <row r="50" spans="2:17" s="141" customFormat="1" hidden="1" outlineLevel="1">
      <c r="B50" s="134">
        <v>37</v>
      </c>
      <c r="C50" s="135" t="s">
        <v>165</v>
      </c>
      <c r="D50" s="136"/>
      <c r="E50" s="137"/>
      <c r="F50" s="138"/>
      <c r="G50" s="224"/>
      <c r="H50" s="138"/>
      <c r="I50" s="226">
        <v>5563415</v>
      </c>
      <c r="J50" s="138"/>
      <c r="K50" s="140"/>
      <c r="N50" s="138"/>
      <c r="O50" s="136"/>
      <c r="P50" s="136"/>
      <c r="Q50" s="136"/>
    </row>
    <row r="51" spans="2:17" s="141" customFormat="1" hidden="1" outlineLevel="1">
      <c r="B51" s="134">
        <v>38</v>
      </c>
      <c r="C51" s="135" t="s">
        <v>157</v>
      </c>
      <c r="D51" s="136"/>
      <c r="E51" s="137"/>
      <c r="F51" s="136"/>
      <c r="G51" s="224"/>
      <c r="H51" s="138"/>
      <c r="I51" s="227">
        <v>1889056.99</v>
      </c>
      <c r="J51" s="138"/>
      <c r="K51" s="140"/>
      <c r="N51" s="136"/>
      <c r="O51" s="136"/>
      <c r="P51" s="136"/>
      <c r="Q51" s="136"/>
    </row>
    <row r="52" spans="2:17" s="150" customFormat="1" hidden="1" outlineLevel="1">
      <c r="B52" s="143">
        <v>38</v>
      </c>
      <c r="C52" s="144" t="s">
        <v>169</v>
      </c>
      <c r="D52" s="145"/>
      <c r="E52" s="146"/>
      <c r="F52" s="228"/>
      <c r="G52" s="229"/>
      <c r="H52" s="147"/>
      <c r="I52" s="230">
        <f>SUM(I49:I51)</f>
        <v>18365346.91</v>
      </c>
      <c r="J52" s="147"/>
      <c r="K52" s="148"/>
      <c r="N52" s="151"/>
      <c r="O52" s="151"/>
      <c r="P52" s="151"/>
      <c r="Q52" s="151"/>
    </row>
    <row r="53" spans="2:17" s="150" customFormat="1" hidden="1" outlineLevel="1">
      <c r="B53" s="152">
        <v>39</v>
      </c>
      <c r="C53" s="153" t="s">
        <v>85</v>
      </c>
      <c r="D53" s="151"/>
      <c r="E53" s="154"/>
      <c r="F53" s="151"/>
      <c r="G53" s="231"/>
      <c r="H53" s="147"/>
      <c r="I53" s="230">
        <f>I47+I52</f>
        <v>281322212.18000001</v>
      </c>
      <c r="J53" s="147"/>
      <c r="K53" s="148"/>
      <c r="N53" s="151"/>
      <c r="O53" s="151"/>
      <c r="P53" s="151"/>
      <c r="Q53" s="151"/>
    </row>
    <row r="54" spans="2:17" s="141" customFormat="1" hidden="1" outlineLevel="1">
      <c r="B54" s="134">
        <v>40</v>
      </c>
      <c r="C54" s="155" t="s">
        <v>86</v>
      </c>
      <c r="D54" s="156"/>
      <c r="E54" s="157"/>
      <c r="F54" s="156"/>
      <c r="G54" s="232"/>
      <c r="H54" s="136"/>
      <c r="I54" s="233"/>
      <c r="J54" s="136"/>
      <c r="K54" s="139"/>
      <c r="N54" s="136"/>
      <c r="O54" s="136"/>
      <c r="P54" s="136"/>
      <c r="Q54" s="136"/>
    </row>
    <row r="55" spans="2:17" s="150" customFormat="1" hidden="1" outlineLevel="1">
      <c r="B55" s="143">
        <v>41</v>
      </c>
      <c r="C55" s="158" t="s">
        <v>87</v>
      </c>
      <c r="D55" s="159"/>
      <c r="E55" s="160"/>
      <c r="F55" s="159"/>
      <c r="G55" s="234">
        <f>G47+G52</f>
        <v>1099772150</v>
      </c>
      <c r="H55" s="151"/>
      <c r="I55" s="235">
        <f>I47+I52+I54</f>
        <v>281322212.18000001</v>
      </c>
      <c r="J55" s="151"/>
      <c r="K55" s="149"/>
      <c r="N55" s="151"/>
      <c r="O55" s="151"/>
      <c r="P55" s="151"/>
      <c r="Q55" s="151"/>
    </row>
    <row r="56" spans="2:17" collapsed="1">
      <c r="I56" s="41"/>
      <c r="K56" s="113"/>
    </row>
    <row r="57" spans="2:17">
      <c r="B57" s="46"/>
      <c r="C57" s="44"/>
      <c r="D57" s="42"/>
      <c r="E57" s="66"/>
      <c r="F57" s="42"/>
      <c r="G57" s="42"/>
      <c r="H57" s="124"/>
      <c r="I57" s="42"/>
    </row>
    <row r="58" spans="2:17">
      <c r="B58" s="46"/>
      <c r="C58" s="44"/>
      <c r="D58" s="44"/>
      <c r="E58" s="46"/>
      <c r="F58" s="236"/>
      <c r="G58" s="236"/>
      <c r="H58" s="161"/>
      <c r="I58" s="236"/>
      <c r="J58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4"/>
  <sheetViews>
    <sheetView view="pageBreakPreview" topLeftCell="A7" zoomScale="90" zoomScaleNormal="100" zoomScaleSheetLayoutView="90" workbookViewId="0">
      <selection activeCell="H29" sqref="H29"/>
    </sheetView>
  </sheetViews>
  <sheetFormatPr defaultRowHeight="10.5"/>
  <cols>
    <col min="1" max="1" width="9.33203125" style="308"/>
    <col min="2" max="2" width="12.6640625" style="308" customWidth="1"/>
    <col min="3" max="3" width="22.44140625" style="308" customWidth="1"/>
    <col min="4" max="4" width="16.33203125" style="308" customWidth="1"/>
    <col min="5" max="5" width="3" style="308" customWidth="1"/>
    <col min="6" max="6" width="22" style="308" bestFit="1" customWidth="1"/>
    <col min="7" max="7" width="2.77734375" style="308" customWidth="1"/>
    <col min="8" max="8" width="15" style="308" customWidth="1"/>
    <col min="9" max="9" width="3.33203125" style="308" customWidth="1"/>
    <col min="10" max="10" width="17.109375" style="308" bestFit="1" customWidth="1"/>
    <col min="11" max="11" width="3" style="308" customWidth="1"/>
    <col min="12" max="12" width="16.33203125" style="308" bestFit="1" customWidth="1"/>
    <col min="13" max="13" width="2.77734375" style="308" customWidth="1"/>
    <col min="14" max="14" width="15.77734375" style="308" bestFit="1" customWidth="1"/>
    <col min="15" max="15" width="4.109375" style="308" customWidth="1"/>
    <col min="16" max="16" width="10.77734375" style="308" customWidth="1"/>
    <col min="17" max="17" width="3.109375" style="308" customWidth="1"/>
    <col min="18" max="18" width="11" style="308" customWidth="1"/>
    <col min="19" max="19" width="3" style="308" customWidth="1"/>
    <col min="20" max="20" width="11.109375" style="308" customWidth="1"/>
    <col min="21" max="21" width="3.44140625" style="308" customWidth="1"/>
    <col min="22" max="257" width="9.33203125" style="308"/>
    <col min="258" max="258" width="12.6640625" style="308" customWidth="1"/>
    <col min="259" max="259" width="20.6640625" style="308" customWidth="1"/>
    <col min="260" max="260" width="13" style="308" customWidth="1"/>
    <col min="261" max="261" width="3" style="308" customWidth="1"/>
    <col min="262" max="262" width="16.109375" style="308" customWidth="1"/>
    <col min="263" max="263" width="2.77734375" style="308" customWidth="1"/>
    <col min="264" max="264" width="13.33203125" style="308" customWidth="1"/>
    <col min="265" max="265" width="3.33203125" style="308" customWidth="1"/>
    <col min="266" max="266" width="11.77734375" style="308" customWidth="1"/>
    <col min="267" max="267" width="3" style="308" customWidth="1"/>
    <col min="268" max="268" width="16" style="308" customWidth="1"/>
    <col min="269" max="269" width="2.77734375" style="308" customWidth="1"/>
    <col min="270" max="270" width="10.44140625" style="308" customWidth="1"/>
    <col min="271" max="271" width="4.109375" style="308" customWidth="1"/>
    <col min="272" max="272" width="10.77734375" style="308" customWidth="1"/>
    <col min="273" max="273" width="3.109375" style="308" customWidth="1"/>
    <col min="274" max="274" width="11" style="308" customWidth="1"/>
    <col min="275" max="275" width="3" style="308" customWidth="1"/>
    <col min="276" max="276" width="11.109375" style="308" customWidth="1"/>
    <col min="277" max="277" width="3.44140625" style="308" customWidth="1"/>
    <col min="278" max="513" width="9.33203125" style="308"/>
    <col min="514" max="514" width="12.6640625" style="308" customWidth="1"/>
    <col min="515" max="515" width="20.6640625" style="308" customWidth="1"/>
    <col min="516" max="516" width="13" style="308" customWidth="1"/>
    <col min="517" max="517" width="3" style="308" customWidth="1"/>
    <col min="518" max="518" width="16.109375" style="308" customWidth="1"/>
    <col min="519" max="519" width="2.77734375" style="308" customWidth="1"/>
    <col min="520" max="520" width="13.33203125" style="308" customWidth="1"/>
    <col min="521" max="521" width="3.33203125" style="308" customWidth="1"/>
    <col min="522" max="522" width="11.77734375" style="308" customWidth="1"/>
    <col min="523" max="523" width="3" style="308" customWidth="1"/>
    <col min="524" max="524" width="16" style="308" customWidth="1"/>
    <col min="525" max="525" width="2.77734375" style="308" customWidth="1"/>
    <col min="526" max="526" width="10.44140625" style="308" customWidth="1"/>
    <col min="527" max="527" width="4.109375" style="308" customWidth="1"/>
    <col min="528" max="528" width="10.77734375" style="308" customWidth="1"/>
    <col min="529" max="529" width="3.109375" style="308" customWidth="1"/>
    <col min="530" max="530" width="11" style="308" customWidth="1"/>
    <col min="531" max="531" width="3" style="308" customWidth="1"/>
    <col min="532" max="532" width="11.109375" style="308" customWidth="1"/>
    <col min="533" max="533" width="3.44140625" style="308" customWidth="1"/>
    <col min="534" max="769" width="9.33203125" style="308"/>
    <col min="770" max="770" width="12.6640625" style="308" customWidth="1"/>
    <col min="771" max="771" width="20.6640625" style="308" customWidth="1"/>
    <col min="772" max="772" width="13" style="308" customWidth="1"/>
    <col min="773" max="773" width="3" style="308" customWidth="1"/>
    <col min="774" max="774" width="16.109375" style="308" customWidth="1"/>
    <col min="775" max="775" width="2.77734375" style="308" customWidth="1"/>
    <col min="776" max="776" width="13.33203125" style="308" customWidth="1"/>
    <col min="777" max="777" width="3.33203125" style="308" customWidth="1"/>
    <col min="778" max="778" width="11.77734375" style="308" customWidth="1"/>
    <col min="779" max="779" width="3" style="308" customWidth="1"/>
    <col min="780" max="780" width="16" style="308" customWidth="1"/>
    <col min="781" max="781" width="2.77734375" style="308" customWidth="1"/>
    <col min="782" max="782" width="10.44140625" style="308" customWidth="1"/>
    <col min="783" max="783" width="4.109375" style="308" customWidth="1"/>
    <col min="784" max="784" width="10.77734375" style="308" customWidth="1"/>
    <col min="785" max="785" width="3.109375" style="308" customWidth="1"/>
    <col min="786" max="786" width="11" style="308" customWidth="1"/>
    <col min="787" max="787" width="3" style="308" customWidth="1"/>
    <col min="788" max="788" width="11.109375" style="308" customWidth="1"/>
    <col min="789" max="789" width="3.44140625" style="308" customWidth="1"/>
    <col min="790" max="1025" width="9.33203125" style="308"/>
    <col min="1026" max="1026" width="12.6640625" style="308" customWidth="1"/>
    <col min="1027" max="1027" width="20.6640625" style="308" customWidth="1"/>
    <col min="1028" max="1028" width="13" style="308" customWidth="1"/>
    <col min="1029" max="1029" width="3" style="308" customWidth="1"/>
    <col min="1030" max="1030" width="16.109375" style="308" customWidth="1"/>
    <col min="1031" max="1031" width="2.77734375" style="308" customWidth="1"/>
    <col min="1032" max="1032" width="13.33203125" style="308" customWidth="1"/>
    <col min="1033" max="1033" width="3.33203125" style="308" customWidth="1"/>
    <col min="1034" max="1034" width="11.77734375" style="308" customWidth="1"/>
    <col min="1035" max="1035" width="3" style="308" customWidth="1"/>
    <col min="1036" max="1036" width="16" style="308" customWidth="1"/>
    <col min="1037" max="1037" width="2.77734375" style="308" customWidth="1"/>
    <col min="1038" max="1038" width="10.44140625" style="308" customWidth="1"/>
    <col min="1039" max="1039" width="4.109375" style="308" customWidth="1"/>
    <col min="1040" max="1040" width="10.77734375" style="308" customWidth="1"/>
    <col min="1041" max="1041" width="3.109375" style="308" customWidth="1"/>
    <col min="1042" max="1042" width="11" style="308" customWidth="1"/>
    <col min="1043" max="1043" width="3" style="308" customWidth="1"/>
    <col min="1044" max="1044" width="11.109375" style="308" customWidth="1"/>
    <col min="1045" max="1045" width="3.44140625" style="308" customWidth="1"/>
    <col min="1046" max="1281" width="9.33203125" style="308"/>
    <col min="1282" max="1282" width="12.6640625" style="308" customWidth="1"/>
    <col min="1283" max="1283" width="20.6640625" style="308" customWidth="1"/>
    <col min="1284" max="1284" width="13" style="308" customWidth="1"/>
    <col min="1285" max="1285" width="3" style="308" customWidth="1"/>
    <col min="1286" max="1286" width="16.109375" style="308" customWidth="1"/>
    <col min="1287" max="1287" width="2.77734375" style="308" customWidth="1"/>
    <col min="1288" max="1288" width="13.33203125" style="308" customWidth="1"/>
    <col min="1289" max="1289" width="3.33203125" style="308" customWidth="1"/>
    <col min="1290" max="1290" width="11.77734375" style="308" customWidth="1"/>
    <col min="1291" max="1291" width="3" style="308" customWidth="1"/>
    <col min="1292" max="1292" width="16" style="308" customWidth="1"/>
    <col min="1293" max="1293" width="2.77734375" style="308" customWidth="1"/>
    <col min="1294" max="1294" width="10.44140625" style="308" customWidth="1"/>
    <col min="1295" max="1295" width="4.109375" style="308" customWidth="1"/>
    <col min="1296" max="1296" width="10.77734375" style="308" customWidth="1"/>
    <col min="1297" max="1297" width="3.109375" style="308" customWidth="1"/>
    <col min="1298" max="1298" width="11" style="308" customWidth="1"/>
    <col min="1299" max="1299" width="3" style="308" customWidth="1"/>
    <col min="1300" max="1300" width="11.109375" style="308" customWidth="1"/>
    <col min="1301" max="1301" width="3.44140625" style="308" customWidth="1"/>
    <col min="1302" max="1537" width="9.33203125" style="308"/>
    <col min="1538" max="1538" width="12.6640625" style="308" customWidth="1"/>
    <col min="1539" max="1539" width="20.6640625" style="308" customWidth="1"/>
    <col min="1540" max="1540" width="13" style="308" customWidth="1"/>
    <col min="1541" max="1541" width="3" style="308" customWidth="1"/>
    <col min="1542" max="1542" width="16.109375" style="308" customWidth="1"/>
    <col min="1543" max="1543" width="2.77734375" style="308" customWidth="1"/>
    <col min="1544" max="1544" width="13.33203125" style="308" customWidth="1"/>
    <col min="1545" max="1545" width="3.33203125" style="308" customWidth="1"/>
    <col min="1546" max="1546" width="11.77734375" style="308" customWidth="1"/>
    <col min="1547" max="1547" width="3" style="308" customWidth="1"/>
    <col min="1548" max="1548" width="16" style="308" customWidth="1"/>
    <col min="1549" max="1549" width="2.77734375" style="308" customWidth="1"/>
    <col min="1550" max="1550" width="10.44140625" style="308" customWidth="1"/>
    <col min="1551" max="1551" width="4.109375" style="308" customWidth="1"/>
    <col min="1552" max="1552" width="10.77734375" style="308" customWidth="1"/>
    <col min="1553" max="1553" width="3.109375" style="308" customWidth="1"/>
    <col min="1554" max="1554" width="11" style="308" customWidth="1"/>
    <col min="1555" max="1555" width="3" style="308" customWidth="1"/>
    <col min="1556" max="1556" width="11.109375" style="308" customWidth="1"/>
    <col min="1557" max="1557" width="3.44140625" style="308" customWidth="1"/>
    <col min="1558" max="1793" width="9.33203125" style="308"/>
    <col min="1794" max="1794" width="12.6640625" style="308" customWidth="1"/>
    <col min="1795" max="1795" width="20.6640625" style="308" customWidth="1"/>
    <col min="1796" max="1796" width="13" style="308" customWidth="1"/>
    <col min="1797" max="1797" width="3" style="308" customWidth="1"/>
    <col min="1798" max="1798" width="16.109375" style="308" customWidth="1"/>
    <col min="1799" max="1799" width="2.77734375" style="308" customWidth="1"/>
    <col min="1800" max="1800" width="13.33203125" style="308" customWidth="1"/>
    <col min="1801" max="1801" width="3.33203125" style="308" customWidth="1"/>
    <col min="1802" max="1802" width="11.77734375" style="308" customWidth="1"/>
    <col min="1803" max="1803" width="3" style="308" customWidth="1"/>
    <col min="1804" max="1804" width="16" style="308" customWidth="1"/>
    <col min="1805" max="1805" width="2.77734375" style="308" customWidth="1"/>
    <col min="1806" max="1806" width="10.44140625" style="308" customWidth="1"/>
    <col min="1807" max="1807" width="4.109375" style="308" customWidth="1"/>
    <col min="1808" max="1808" width="10.77734375" style="308" customWidth="1"/>
    <col min="1809" max="1809" width="3.109375" style="308" customWidth="1"/>
    <col min="1810" max="1810" width="11" style="308" customWidth="1"/>
    <col min="1811" max="1811" width="3" style="308" customWidth="1"/>
    <col min="1812" max="1812" width="11.109375" style="308" customWidth="1"/>
    <col min="1813" max="1813" width="3.44140625" style="308" customWidth="1"/>
    <col min="1814" max="2049" width="9.33203125" style="308"/>
    <col min="2050" max="2050" width="12.6640625" style="308" customWidth="1"/>
    <col min="2051" max="2051" width="20.6640625" style="308" customWidth="1"/>
    <col min="2052" max="2052" width="13" style="308" customWidth="1"/>
    <col min="2053" max="2053" width="3" style="308" customWidth="1"/>
    <col min="2054" max="2054" width="16.109375" style="308" customWidth="1"/>
    <col min="2055" max="2055" width="2.77734375" style="308" customWidth="1"/>
    <col min="2056" max="2056" width="13.33203125" style="308" customWidth="1"/>
    <col min="2057" max="2057" width="3.33203125" style="308" customWidth="1"/>
    <col min="2058" max="2058" width="11.77734375" style="308" customWidth="1"/>
    <col min="2059" max="2059" width="3" style="308" customWidth="1"/>
    <col min="2060" max="2060" width="16" style="308" customWidth="1"/>
    <col min="2061" max="2061" width="2.77734375" style="308" customWidth="1"/>
    <col min="2062" max="2062" width="10.44140625" style="308" customWidth="1"/>
    <col min="2063" max="2063" width="4.109375" style="308" customWidth="1"/>
    <col min="2064" max="2064" width="10.77734375" style="308" customWidth="1"/>
    <col min="2065" max="2065" width="3.109375" style="308" customWidth="1"/>
    <col min="2066" max="2066" width="11" style="308" customWidth="1"/>
    <col min="2067" max="2067" width="3" style="308" customWidth="1"/>
    <col min="2068" max="2068" width="11.109375" style="308" customWidth="1"/>
    <col min="2069" max="2069" width="3.44140625" style="308" customWidth="1"/>
    <col min="2070" max="2305" width="9.33203125" style="308"/>
    <col min="2306" max="2306" width="12.6640625" style="308" customWidth="1"/>
    <col min="2307" max="2307" width="20.6640625" style="308" customWidth="1"/>
    <col min="2308" max="2308" width="13" style="308" customWidth="1"/>
    <col min="2309" max="2309" width="3" style="308" customWidth="1"/>
    <col min="2310" max="2310" width="16.109375" style="308" customWidth="1"/>
    <col min="2311" max="2311" width="2.77734375" style="308" customWidth="1"/>
    <col min="2312" max="2312" width="13.33203125" style="308" customWidth="1"/>
    <col min="2313" max="2313" width="3.33203125" style="308" customWidth="1"/>
    <col min="2314" max="2314" width="11.77734375" style="308" customWidth="1"/>
    <col min="2315" max="2315" width="3" style="308" customWidth="1"/>
    <col min="2316" max="2316" width="16" style="308" customWidth="1"/>
    <col min="2317" max="2317" width="2.77734375" style="308" customWidth="1"/>
    <col min="2318" max="2318" width="10.44140625" style="308" customWidth="1"/>
    <col min="2319" max="2319" width="4.109375" style="308" customWidth="1"/>
    <col min="2320" max="2320" width="10.77734375" style="308" customWidth="1"/>
    <col min="2321" max="2321" width="3.109375" style="308" customWidth="1"/>
    <col min="2322" max="2322" width="11" style="308" customWidth="1"/>
    <col min="2323" max="2323" width="3" style="308" customWidth="1"/>
    <col min="2324" max="2324" width="11.109375" style="308" customWidth="1"/>
    <col min="2325" max="2325" width="3.44140625" style="308" customWidth="1"/>
    <col min="2326" max="2561" width="9.33203125" style="308"/>
    <col min="2562" max="2562" width="12.6640625" style="308" customWidth="1"/>
    <col min="2563" max="2563" width="20.6640625" style="308" customWidth="1"/>
    <col min="2564" max="2564" width="13" style="308" customWidth="1"/>
    <col min="2565" max="2565" width="3" style="308" customWidth="1"/>
    <col min="2566" max="2566" width="16.109375" style="308" customWidth="1"/>
    <col min="2567" max="2567" width="2.77734375" style="308" customWidth="1"/>
    <col min="2568" max="2568" width="13.33203125" style="308" customWidth="1"/>
    <col min="2569" max="2569" width="3.33203125" style="308" customWidth="1"/>
    <col min="2570" max="2570" width="11.77734375" style="308" customWidth="1"/>
    <col min="2571" max="2571" width="3" style="308" customWidth="1"/>
    <col min="2572" max="2572" width="16" style="308" customWidth="1"/>
    <col min="2573" max="2573" width="2.77734375" style="308" customWidth="1"/>
    <col min="2574" max="2574" width="10.44140625" style="308" customWidth="1"/>
    <col min="2575" max="2575" width="4.109375" style="308" customWidth="1"/>
    <col min="2576" max="2576" width="10.77734375" style="308" customWidth="1"/>
    <col min="2577" max="2577" width="3.109375" style="308" customWidth="1"/>
    <col min="2578" max="2578" width="11" style="308" customWidth="1"/>
    <col min="2579" max="2579" width="3" style="308" customWidth="1"/>
    <col min="2580" max="2580" width="11.109375" style="308" customWidth="1"/>
    <col min="2581" max="2581" width="3.44140625" style="308" customWidth="1"/>
    <col min="2582" max="2817" width="9.33203125" style="308"/>
    <col min="2818" max="2818" width="12.6640625" style="308" customWidth="1"/>
    <col min="2819" max="2819" width="20.6640625" style="308" customWidth="1"/>
    <col min="2820" max="2820" width="13" style="308" customWidth="1"/>
    <col min="2821" max="2821" width="3" style="308" customWidth="1"/>
    <col min="2822" max="2822" width="16.109375" style="308" customWidth="1"/>
    <col min="2823" max="2823" width="2.77734375" style="308" customWidth="1"/>
    <col min="2824" max="2824" width="13.33203125" style="308" customWidth="1"/>
    <col min="2825" max="2825" width="3.33203125" style="308" customWidth="1"/>
    <col min="2826" max="2826" width="11.77734375" style="308" customWidth="1"/>
    <col min="2827" max="2827" width="3" style="308" customWidth="1"/>
    <col min="2828" max="2828" width="16" style="308" customWidth="1"/>
    <col min="2829" max="2829" width="2.77734375" style="308" customWidth="1"/>
    <col min="2830" max="2830" width="10.44140625" style="308" customWidth="1"/>
    <col min="2831" max="2831" width="4.109375" style="308" customWidth="1"/>
    <col min="2832" max="2832" width="10.77734375" style="308" customWidth="1"/>
    <col min="2833" max="2833" width="3.109375" style="308" customWidth="1"/>
    <col min="2834" max="2834" width="11" style="308" customWidth="1"/>
    <col min="2835" max="2835" width="3" style="308" customWidth="1"/>
    <col min="2836" max="2836" width="11.109375" style="308" customWidth="1"/>
    <col min="2837" max="2837" width="3.44140625" style="308" customWidth="1"/>
    <col min="2838" max="3073" width="9.33203125" style="308"/>
    <col min="3074" max="3074" width="12.6640625" style="308" customWidth="1"/>
    <col min="3075" max="3075" width="20.6640625" style="308" customWidth="1"/>
    <col min="3076" max="3076" width="13" style="308" customWidth="1"/>
    <col min="3077" max="3077" width="3" style="308" customWidth="1"/>
    <col min="3078" max="3078" width="16.109375" style="308" customWidth="1"/>
    <col min="3079" max="3079" width="2.77734375" style="308" customWidth="1"/>
    <col min="3080" max="3080" width="13.33203125" style="308" customWidth="1"/>
    <col min="3081" max="3081" width="3.33203125" style="308" customWidth="1"/>
    <col min="3082" max="3082" width="11.77734375" style="308" customWidth="1"/>
    <col min="3083" max="3083" width="3" style="308" customWidth="1"/>
    <col min="3084" max="3084" width="16" style="308" customWidth="1"/>
    <col min="3085" max="3085" width="2.77734375" style="308" customWidth="1"/>
    <col min="3086" max="3086" width="10.44140625" style="308" customWidth="1"/>
    <col min="3087" max="3087" width="4.109375" style="308" customWidth="1"/>
    <col min="3088" max="3088" width="10.77734375" style="308" customWidth="1"/>
    <col min="3089" max="3089" width="3.109375" style="308" customWidth="1"/>
    <col min="3090" max="3090" width="11" style="308" customWidth="1"/>
    <col min="3091" max="3091" width="3" style="308" customWidth="1"/>
    <col min="3092" max="3092" width="11.109375" style="308" customWidth="1"/>
    <col min="3093" max="3093" width="3.44140625" style="308" customWidth="1"/>
    <col min="3094" max="3329" width="9.33203125" style="308"/>
    <col min="3330" max="3330" width="12.6640625" style="308" customWidth="1"/>
    <col min="3331" max="3331" width="20.6640625" style="308" customWidth="1"/>
    <col min="3332" max="3332" width="13" style="308" customWidth="1"/>
    <col min="3333" max="3333" width="3" style="308" customWidth="1"/>
    <col min="3334" max="3334" width="16.109375" style="308" customWidth="1"/>
    <col min="3335" max="3335" width="2.77734375" style="308" customWidth="1"/>
    <col min="3336" max="3336" width="13.33203125" style="308" customWidth="1"/>
    <col min="3337" max="3337" width="3.33203125" style="308" customWidth="1"/>
    <col min="3338" max="3338" width="11.77734375" style="308" customWidth="1"/>
    <col min="3339" max="3339" width="3" style="308" customWidth="1"/>
    <col min="3340" max="3340" width="16" style="308" customWidth="1"/>
    <col min="3341" max="3341" width="2.77734375" style="308" customWidth="1"/>
    <col min="3342" max="3342" width="10.44140625" style="308" customWidth="1"/>
    <col min="3343" max="3343" width="4.109375" style="308" customWidth="1"/>
    <col min="3344" max="3344" width="10.77734375" style="308" customWidth="1"/>
    <col min="3345" max="3345" width="3.109375" style="308" customWidth="1"/>
    <col min="3346" max="3346" width="11" style="308" customWidth="1"/>
    <col min="3347" max="3347" width="3" style="308" customWidth="1"/>
    <col min="3348" max="3348" width="11.109375" style="308" customWidth="1"/>
    <col min="3349" max="3349" width="3.44140625" style="308" customWidth="1"/>
    <col min="3350" max="3585" width="9.33203125" style="308"/>
    <col min="3586" max="3586" width="12.6640625" style="308" customWidth="1"/>
    <col min="3587" max="3587" width="20.6640625" style="308" customWidth="1"/>
    <col min="3588" max="3588" width="13" style="308" customWidth="1"/>
    <col min="3589" max="3589" width="3" style="308" customWidth="1"/>
    <col min="3590" max="3590" width="16.109375" style="308" customWidth="1"/>
    <col min="3591" max="3591" width="2.77734375" style="308" customWidth="1"/>
    <col min="3592" max="3592" width="13.33203125" style="308" customWidth="1"/>
    <col min="3593" max="3593" width="3.33203125" style="308" customWidth="1"/>
    <col min="3594" max="3594" width="11.77734375" style="308" customWidth="1"/>
    <col min="3595" max="3595" width="3" style="308" customWidth="1"/>
    <col min="3596" max="3596" width="16" style="308" customWidth="1"/>
    <col min="3597" max="3597" width="2.77734375" style="308" customWidth="1"/>
    <col min="3598" max="3598" width="10.44140625" style="308" customWidth="1"/>
    <col min="3599" max="3599" width="4.109375" style="308" customWidth="1"/>
    <col min="3600" max="3600" width="10.77734375" style="308" customWidth="1"/>
    <col min="3601" max="3601" width="3.109375" style="308" customWidth="1"/>
    <col min="3602" max="3602" width="11" style="308" customWidth="1"/>
    <col min="3603" max="3603" width="3" style="308" customWidth="1"/>
    <col min="3604" max="3604" width="11.109375" style="308" customWidth="1"/>
    <col min="3605" max="3605" width="3.44140625" style="308" customWidth="1"/>
    <col min="3606" max="3841" width="9.33203125" style="308"/>
    <col min="3842" max="3842" width="12.6640625" style="308" customWidth="1"/>
    <col min="3843" max="3843" width="20.6640625" style="308" customWidth="1"/>
    <col min="3844" max="3844" width="13" style="308" customWidth="1"/>
    <col min="3845" max="3845" width="3" style="308" customWidth="1"/>
    <col min="3846" max="3846" width="16.109375" style="308" customWidth="1"/>
    <col min="3847" max="3847" width="2.77734375" style="308" customWidth="1"/>
    <col min="3848" max="3848" width="13.33203125" style="308" customWidth="1"/>
    <col min="3849" max="3849" width="3.33203125" style="308" customWidth="1"/>
    <col min="3850" max="3850" width="11.77734375" style="308" customWidth="1"/>
    <col min="3851" max="3851" width="3" style="308" customWidth="1"/>
    <col min="3852" max="3852" width="16" style="308" customWidth="1"/>
    <col min="3853" max="3853" width="2.77734375" style="308" customWidth="1"/>
    <col min="3854" max="3854" width="10.44140625" style="308" customWidth="1"/>
    <col min="3855" max="3855" width="4.109375" style="308" customWidth="1"/>
    <col min="3856" max="3856" width="10.77734375" style="308" customWidth="1"/>
    <col min="3857" max="3857" width="3.109375" style="308" customWidth="1"/>
    <col min="3858" max="3858" width="11" style="308" customWidth="1"/>
    <col min="3859" max="3859" width="3" style="308" customWidth="1"/>
    <col min="3860" max="3860" width="11.109375" style="308" customWidth="1"/>
    <col min="3861" max="3861" width="3.44140625" style="308" customWidth="1"/>
    <col min="3862" max="4097" width="9.33203125" style="308"/>
    <col min="4098" max="4098" width="12.6640625" style="308" customWidth="1"/>
    <col min="4099" max="4099" width="20.6640625" style="308" customWidth="1"/>
    <col min="4100" max="4100" width="13" style="308" customWidth="1"/>
    <col min="4101" max="4101" width="3" style="308" customWidth="1"/>
    <col min="4102" max="4102" width="16.109375" style="308" customWidth="1"/>
    <col min="4103" max="4103" width="2.77734375" style="308" customWidth="1"/>
    <col min="4104" max="4104" width="13.33203125" style="308" customWidth="1"/>
    <col min="4105" max="4105" width="3.33203125" style="308" customWidth="1"/>
    <col min="4106" max="4106" width="11.77734375" style="308" customWidth="1"/>
    <col min="4107" max="4107" width="3" style="308" customWidth="1"/>
    <col min="4108" max="4108" width="16" style="308" customWidth="1"/>
    <col min="4109" max="4109" width="2.77734375" style="308" customWidth="1"/>
    <col min="4110" max="4110" width="10.44140625" style="308" customWidth="1"/>
    <col min="4111" max="4111" width="4.109375" style="308" customWidth="1"/>
    <col min="4112" max="4112" width="10.77734375" style="308" customWidth="1"/>
    <col min="4113" max="4113" width="3.109375" style="308" customWidth="1"/>
    <col min="4114" max="4114" width="11" style="308" customWidth="1"/>
    <col min="4115" max="4115" width="3" style="308" customWidth="1"/>
    <col min="4116" max="4116" width="11.109375" style="308" customWidth="1"/>
    <col min="4117" max="4117" width="3.44140625" style="308" customWidth="1"/>
    <col min="4118" max="4353" width="9.33203125" style="308"/>
    <col min="4354" max="4354" width="12.6640625" style="308" customWidth="1"/>
    <col min="4355" max="4355" width="20.6640625" style="308" customWidth="1"/>
    <col min="4356" max="4356" width="13" style="308" customWidth="1"/>
    <col min="4357" max="4357" width="3" style="308" customWidth="1"/>
    <col min="4358" max="4358" width="16.109375" style="308" customWidth="1"/>
    <col min="4359" max="4359" width="2.77734375" style="308" customWidth="1"/>
    <col min="4360" max="4360" width="13.33203125" style="308" customWidth="1"/>
    <col min="4361" max="4361" width="3.33203125" style="308" customWidth="1"/>
    <col min="4362" max="4362" width="11.77734375" style="308" customWidth="1"/>
    <col min="4363" max="4363" width="3" style="308" customWidth="1"/>
    <col min="4364" max="4364" width="16" style="308" customWidth="1"/>
    <col min="4365" max="4365" width="2.77734375" style="308" customWidth="1"/>
    <col min="4366" max="4366" width="10.44140625" style="308" customWidth="1"/>
    <col min="4367" max="4367" width="4.109375" style="308" customWidth="1"/>
    <col min="4368" max="4368" width="10.77734375" style="308" customWidth="1"/>
    <col min="4369" max="4369" width="3.109375" style="308" customWidth="1"/>
    <col min="4370" max="4370" width="11" style="308" customWidth="1"/>
    <col min="4371" max="4371" width="3" style="308" customWidth="1"/>
    <col min="4372" max="4372" width="11.109375" style="308" customWidth="1"/>
    <col min="4373" max="4373" width="3.44140625" style="308" customWidth="1"/>
    <col min="4374" max="4609" width="9.33203125" style="308"/>
    <col min="4610" max="4610" width="12.6640625" style="308" customWidth="1"/>
    <col min="4611" max="4611" width="20.6640625" style="308" customWidth="1"/>
    <col min="4612" max="4612" width="13" style="308" customWidth="1"/>
    <col min="4613" max="4613" width="3" style="308" customWidth="1"/>
    <col min="4614" max="4614" width="16.109375" style="308" customWidth="1"/>
    <col min="4615" max="4615" width="2.77734375" style="308" customWidth="1"/>
    <col min="4616" max="4616" width="13.33203125" style="308" customWidth="1"/>
    <col min="4617" max="4617" width="3.33203125" style="308" customWidth="1"/>
    <col min="4618" max="4618" width="11.77734375" style="308" customWidth="1"/>
    <col min="4619" max="4619" width="3" style="308" customWidth="1"/>
    <col min="4620" max="4620" width="16" style="308" customWidth="1"/>
    <col min="4621" max="4621" width="2.77734375" style="308" customWidth="1"/>
    <col min="4622" max="4622" width="10.44140625" style="308" customWidth="1"/>
    <col min="4623" max="4623" width="4.109375" style="308" customWidth="1"/>
    <col min="4624" max="4624" width="10.77734375" style="308" customWidth="1"/>
    <col min="4625" max="4625" width="3.109375" style="308" customWidth="1"/>
    <col min="4626" max="4626" width="11" style="308" customWidth="1"/>
    <col min="4627" max="4627" width="3" style="308" customWidth="1"/>
    <col min="4628" max="4628" width="11.109375" style="308" customWidth="1"/>
    <col min="4629" max="4629" width="3.44140625" style="308" customWidth="1"/>
    <col min="4630" max="4865" width="9.33203125" style="308"/>
    <col min="4866" max="4866" width="12.6640625" style="308" customWidth="1"/>
    <col min="4867" max="4867" width="20.6640625" style="308" customWidth="1"/>
    <col min="4868" max="4868" width="13" style="308" customWidth="1"/>
    <col min="4869" max="4869" width="3" style="308" customWidth="1"/>
    <col min="4870" max="4870" width="16.109375" style="308" customWidth="1"/>
    <col min="4871" max="4871" width="2.77734375" style="308" customWidth="1"/>
    <col min="4872" max="4872" width="13.33203125" style="308" customWidth="1"/>
    <col min="4873" max="4873" width="3.33203125" style="308" customWidth="1"/>
    <col min="4874" max="4874" width="11.77734375" style="308" customWidth="1"/>
    <col min="4875" max="4875" width="3" style="308" customWidth="1"/>
    <col min="4876" max="4876" width="16" style="308" customWidth="1"/>
    <col min="4877" max="4877" width="2.77734375" style="308" customWidth="1"/>
    <col min="4878" max="4878" width="10.44140625" style="308" customWidth="1"/>
    <col min="4879" max="4879" width="4.109375" style="308" customWidth="1"/>
    <col min="4880" max="4880" width="10.77734375" style="308" customWidth="1"/>
    <col min="4881" max="4881" width="3.109375" style="308" customWidth="1"/>
    <col min="4882" max="4882" width="11" style="308" customWidth="1"/>
    <col min="4883" max="4883" width="3" style="308" customWidth="1"/>
    <col min="4884" max="4884" width="11.109375" style="308" customWidth="1"/>
    <col min="4885" max="4885" width="3.44140625" style="308" customWidth="1"/>
    <col min="4886" max="5121" width="9.33203125" style="308"/>
    <col min="5122" max="5122" width="12.6640625" style="308" customWidth="1"/>
    <col min="5123" max="5123" width="20.6640625" style="308" customWidth="1"/>
    <col min="5124" max="5124" width="13" style="308" customWidth="1"/>
    <col min="5125" max="5125" width="3" style="308" customWidth="1"/>
    <col min="5126" max="5126" width="16.109375" style="308" customWidth="1"/>
    <col min="5127" max="5127" width="2.77734375" style="308" customWidth="1"/>
    <col min="5128" max="5128" width="13.33203125" style="308" customWidth="1"/>
    <col min="5129" max="5129" width="3.33203125" style="308" customWidth="1"/>
    <col min="5130" max="5130" width="11.77734375" style="308" customWidth="1"/>
    <col min="5131" max="5131" width="3" style="308" customWidth="1"/>
    <col min="5132" max="5132" width="16" style="308" customWidth="1"/>
    <col min="5133" max="5133" width="2.77734375" style="308" customWidth="1"/>
    <col min="5134" max="5134" width="10.44140625" style="308" customWidth="1"/>
    <col min="5135" max="5135" width="4.109375" style="308" customWidth="1"/>
    <col min="5136" max="5136" width="10.77734375" style="308" customWidth="1"/>
    <col min="5137" max="5137" width="3.109375" style="308" customWidth="1"/>
    <col min="5138" max="5138" width="11" style="308" customWidth="1"/>
    <col min="5139" max="5139" width="3" style="308" customWidth="1"/>
    <col min="5140" max="5140" width="11.109375" style="308" customWidth="1"/>
    <col min="5141" max="5141" width="3.44140625" style="308" customWidth="1"/>
    <col min="5142" max="5377" width="9.33203125" style="308"/>
    <col min="5378" max="5378" width="12.6640625" style="308" customWidth="1"/>
    <col min="5379" max="5379" width="20.6640625" style="308" customWidth="1"/>
    <col min="5380" max="5380" width="13" style="308" customWidth="1"/>
    <col min="5381" max="5381" width="3" style="308" customWidth="1"/>
    <col min="5382" max="5382" width="16.109375" style="308" customWidth="1"/>
    <col min="5383" max="5383" width="2.77734375" style="308" customWidth="1"/>
    <col min="5384" max="5384" width="13.33203125" style="308" customWidth="1"/>
    <col min="5385" max="5385" width="3.33203125" style="308" customWidth="1"/>
    <col min="5386" max="5386" width="11.77734375" style="308" customWidth="1"/>
    <col min="5387" max="5387" width="3" style="308" customWidth="1"/>
    <col min="5388" max="5388" width="16" style="308" customWidth="1"/>
    <col min="5389" max="5389" width="2.77734375" style="308" customWidth="1"/>
    <col min="5390" max="5390" width="10.44140625" style="308" customWidth="1"/>
    <col min="5391" max="5391" width="4.109375" style="308" customWidth="1"/>
    <col min="5392" max="5392" width="10.77734375" style="308" customWidth="1"/>
    <col min="5393" max="5393" width="3.109375" style="308" customWidth="1"/>
    <col min="5394" max="5394" width="11" style="308" customWidth="1"/>
    <col min="5395" max="5395" width="3" style="308" customWidth="1"/>
    <col min="5396" max="5396" width="11.109375" style="308" customWidth="1"/>
    <col min="5397" max="5397" width="3.44140625" style="308" customWidth="1"/>
    <col min="5398" max="5633" width="9.33203125" style="308"/>
    <col min="5634" max="5634" width="12.6640625" style="308" customWidth="1"/>
    <col min="5635" max="5635" width="20.6640625" style="308" customWidth="1"/>
    <col min="5636" max="5636" width="13" style="308" customWidth="1"/>
    <col min="5637" max="5637" width="3" style="308" customWidth="1"/>
    <col min="5638" max="5638" width="16.109375" style="308" customWidth="1"/>
    <col min="5639" max="5639" width="2.77734375" style="308" customWidth="1"/>
    <col min="5640" max="5640" width="13.33203125" style="308" customWidth="1"/>
    <col min="5641" max="5641" width="3.33203125" style="308" customWidth="1"/>
    <col min="5642" max="5642" width="11.77734375" style="308" customWidth="1"/>
    <col min="5643" max="5643" width="3" style="308" customWidth="1"/>
    <col min="5644" max="5644" width="16" style="308" customWidth="1"/>
    <col min="5645" max="5645" width="2.77734375" style="308" customWidth="1"/>
    <col min="5646" max="5646" width="10.44140625" style="308" customWidth="1"/>
    <col min="5647" max="5647" width="4.109375" style="308" customWidth="1"/>
    <col min="5648" max="5648" width="10.77734375" style="308" customWidth="1"/>
    <col min="5649" max="5649" width="3.109375" style="308" customWidth="1"/>
    <col min="5650" max="5650" width="11" style="308" customWidth="1"/>
    <col min="5651" max="5651" width="3" style="308" customWidth="1"/>
    <col min="5652" max="5652" width="11.109375" style="308" customWidth="1"/>
    <col min="5653" max="5653" width="3.44140625" style="308" customWidth="1"/>
    <col min="5654" max="5889" width="9.33203125" style="308"/>
    <col min="5890" max="5890" width="12.6640625" style="308" customWidth="1"/>
    <col min="5891" max="5891" width="20.6640625" style="308" customWidth="1"/>
    <col min="5892" max="5892" width="13" style="308" customWidth="1"/>
    <col min="5893" max="5893" width="3" style="308" customWidth="1"/>
    <col min="5894" max="5894" width="16.109375" style="308" customWidth="1"/>
    <col min="5895" max="5895" width="2.77734375" style="308" customWidth="1"/>
    <col min="5896" max="5896" width="13.33203125" style="308" customWidth="1"/>
    <col min="5897" max="5897" width="3.33203125" style="308" customWidth="1"/>
    <col min="5898" max="5898" width="11.77734375" style="308" customWidth="1"/>
    <col min="5899" max="5899" width="3" style="308" customWidth="1"/>
    <col min="5900" max="5900" width="16" style="308" customWidth="1"/>
    <col min="5901" max="5901" width="2.77734375" style="308" customWidth="1"/>
    <col min="5902" max="5902" width="10.44140625" style="308" customWidth="1"/>
    <col min="5903" max="5903" width="4.109375" style="308" customWidth="1"/>
    <col min="5904" max="5904" width="10.77734375" style="308" customWidth="1"/>
    <col min="5905" max="5905" width="3.109375" style="308" customWidth="1"/>
    <col min="5906" max="5906" width="11" style="308" customWidth="1"/>
    <col min="5907" max="5907" width="3" style="308" customWidth="1"/>
    <col min="5908" max="5908" width="11.109375" style="308" customWidth="1"/>
    <col min="5909" max="5909" width="3.44140625" style="308" customWidth="1"/>
    <col min="5910" max="6145" width="9.33203125" style="308"/>
    <col min="6146" max="6146" width="12.6640625" style="308" customWidth="1"/>
    <col min="6147" max="6147" width="20.6640625" style="308" customWidth="1"/>
    <col min="6148" max="6148" width="13" style="308" customWidth="1"/>
    <col min="6149" max="6149" width="3" style="308" customWidth="1"/>
    <col min="6150" max="6150" width="16.109375" style="308" customWidth="1"/>
    <col min="6151" max="6151" width="2.77734375" style="308" customWidth="1"/>
    <col min="6152" max="6152" width="13.33203125" style="308" customWidth="1"/>
    <col min="6153" max="6153" width="3.33203125" style="308" customWidth="1"/>
    <col min="6154" max="6154" width="11.77734375" style="308" customWidth="1"/>
    <col min="6155" max="6155" width="3" style="308" customWidth="1"/>
    <col min="6156" max="6156" width="16" style="308" customWidth="1"/>
    <col min="6157" max="6157" width="2.77734375" style="308" customWidth="1"/>
    <col min="6158" max="6158" width="10.44140625" style="308" customWidth="1"/>
    <col min="6159" max="6159" width="4.109375" style="308" customWidth="1"/>
    <col min="6160" max="6160" width="10.77734375" style="308" customWidth="1"/>
    <col min="6161" max="6161" width="3.109375" style="308" customWidth="1"/>
    <col min="6162" max="6162" width="11" style="308" customWidth="1"/>
    <col min="6163" max="6163" width="3" style="308" customWidth="1"/>
    <col min="6164" max="6164" width="11.109375" style="308" customWidth="1"/>
    <col min="6165" max="6165" width="3.44140625" style="308" customWidth="1"/>
    <col min="6166" max="6401" width="9.33203125" style="308"/>
    <col min="6402" max="6402" width="12.6640625" style="308" customWidth="1"/>
    <col min="6403" max="6403" width="20.6640625" style="308" customWidth="1"/>
    <col min="6404" max="6404" width="13" style="308" customWidth="1"/>
    <col min="6405" max="6405" width="3" style="308" customWidth="1"/>
    <col min="6406" max="6406" width="16.109375" style="308" customWidth="1"/>
    <col min="6407" max="6407" width="2.77734375" style="308" customWidth="1"/>
    <col min="6408" max="6408" width="13.33203125" style="308" customWidth="1"/>
    <col min="6409" max="6409" width="3.33203125" style="308" customWidth="1"/>
    <col min="6410" max="6410" width="11.77734375" style="308" customWidth="1"/>
    <col min="6411" max="6411" width="3" style="308" customWidth="1"/>
    <col min="6412" max="6412" width="16" style="308" customWidth="1"/>
    <col min="6413" max="6413" width="2.77734375" style="308" customWidth="1"/>
    <col min="6414" max="6414" width="10.44140625" style="308" customWidth="1"/>
    <col min="6415" max="6415" width="4.109375" style="308" customWidth="1"/>
    <col min="6416" max="6416" width="10.77734375" style="308" customWidth="1"/>
    <col min="6417" max="6417" width="3.109375" style="308" customWidth="1"/>
    <col min="6418" max="6418" width="11" style="308" customWidth="1"/>
    <col min="6419" max="6419" width="3" style="308" customWidth="1"/>
    <col min="6420" max="6420" width="11.109375" style="308" customWidth="1"/>
    <col min="6421" max="6421" width="3.44140625" style="308" customWidth="1"/>
    <col min="6422" max="6657" width="9.33203125" style="308"/>
    <col min="6658" max="6658" width="12.6640625" style="308" customWidth="1"/>
    <col min="6659" max="6659" width="20.6640625" style="308" customWidth="1"/>
    <col min="6660" max="6660" width="13" style="308" customWidth="1"/>
    <col min="6661" max="6661" width="3" style="308" customWidth="1"/>
    <col min="6662" max="6662" width="16.109375" style="308" customWidth="1"/>
    <col min="6663" max="6663" width="2.77734375" style="308" customWidth="1"/>
    <col min="6664" max="6664" width="13.33203125" style="308" customWidth="1"/>
    <col min="6665" max="6665" width="3.33203125" style="308" customWidth="1"/>
    <col min="6666" max="6666" width="11.77734375" style="308" customWidth="1"/>
    <col min="6667" max="6667" width="3" style="308" customWidth="1"/>
    <col min="6668" max="6668" width="16" style="308" customWidth="1"/>
    <col min="6669" max="6669" width="2.77734375" style="308" customWidth="1"/>
    <col min="6670" max="6670" width="10.44140625" style="308" customWidth="1"/>
    <col min="6671" max="6671" width="4.109375" style="308" customWidth="1"/>
    <col min="6672" max="6672" width="10.77734375" style="308" customWidth="1"/>
    <col min="6673" max="6673" width="3.109375" style="308" customWidth="1"/>
    <col min="6674" max="6674" width="11" style="308" customWidth="1"/>
    <col min="6675" max="6675" width="3" style="308" customWidth="1"/>
    <col min="6676" max="6676" width="11.109375" style="308" customWidth="1"/>
    <col min="6677" max="6677" width="3.44140625" style="308" customWidth="1"/>
    <col min="6678" max="6913" width="9.33203125" style="308"/>
    <col min="6914" max="6914" width="12.6640625" style="308" customWidth="1"/>
    <col min="6915" max="6915" width="20.6640625" style="308" customWidth="1"/>
    <col min="6916" max="6916" width="13" style="308" customWidth="1"/>
    <col min="6917" max="6917" width="3" style="308" customWidth="1"/>
    <col min="6918" max="6918" width="16.109375" style="308" customWidth="1"/>
    <col min="6919" max="6919" width="2.77734375" style="308" customWidth="1"/>
    <col min="6920" max="6920" width="13.33203125" style="308" customWidth="1"/>
    <col min="6921" max="6921" width="3.33203125" style="308" customWidth="1"/>
    <col min="6922" max="6922" width="11.77734375" style="308" customWidth="1"/>
    <col min="6923" max="6923" width="3" style="308" customWidth="1"/>
    <col min="6924" max="6924" width="16" style="308" customWidth="1"/>
    <col min="6925" max="6925" width="2.77734375" style="308" customWidth="1"/>
    <col min="6926" max="6926" width="10.44140625" style="308" customWidth="1"/>
    <col min="6927" max="6927" width="4.109375" style="308" customWidth="1"/>
    <col min="6928" max="6928" width="10.77734375" style="308" customWidth="1"/>
    <col min="6929" max="6929" width="3.109375" style="308" customWidth="1"/>
    <col min="6930" max="6930" width="11" style="308" customWidth="1"/>
    <col min="6931" max="6931" width="3" style="308" customWidth="1"/>
    <col min="6932" max="6932" width="11.109375" style="308" customWidth="1"/>
    <col min="6933" max="6933" width="3.44140625" style="308" customWidth="1"/>
    <col min="6934" max="7169" width="9.33203125" style="308"/>
    <col min="7170" max="7170" width="12.6640625" style="308" customWidth="1"/>
    <col min="7171" max="7171" width="20.6640625" style="308" customWidth="1"/>
    <col min="7172" max="7172" width="13" style="308" customWidth="1"/>
    <col min="7173" max="7173" width="3" style="308" customWidth="1"/>
    <col min="7174" max="7174" width="16.109375" style="308" customWidth="1"/>
    <col min="7175" max="7175" width="2.77734375" style="308" customWidth="1"/>
    <col min="7176" max="7176" width="13.33203125" style="308" customWidth="1"/>
    <col min="7177" max="7177" width="3.33203125" style="308" customWidth="1"/>
    <col min="7178" max="7178" width="11.77734375" style="308" customWidth="1"/>
    <col min="7179" max="7179" width="3" style="308" customWidth="1"/>
    <col min="7180" max="7180" width="16" style="308" customWidth="1"/>
    <col min="7181" max="7181" width="2.77734375" style="308" customWidth="1"/>
    <col min="7182" max="7182" width="10.44140625" style="308" customWidth="1"/>
    <col min="7183" max="7183" width="4.109375" style="308" customWidth="1"/>
    <col min="7184" max="7184" width="10.77734375" style="308" customWidth="1"/>
    <col min="7185" max="7185" width="3.109375" style="308" customWidth="1"/>
    <col min="7186" max="7186" width="11" style="308" customWidth="1"/>
    <col min="7187" max="7187" width="3" style="308" customWidth="1"/>
    <col min="7188" max="7188" width="11.109375" style="308" customWidth="1"/>
    <col min="7189" max="7189" width="3.44140625" style="308" customWidth="1"/>
    <col min="7190" max="7425" width="9.33203125" style="308"/>
    <col min="7426" max="7426" width="12.6640625" style="308" customWidth="1"/>
    <col min="7427" max="7427" width="20.6640625" style="308" customWidth="1"/>
    <col min="7428" max="7428" width="13" style="308" customWidth="1"/>
    <col min="7429" max="7429" width="3" style="308" customWidth="1"/>
    <col min="7430" max="7430" width="16.109375" style="308" customWidth="1"/>
    <col min="7431" max="7431" width="2.77734375" style="308" customWidth="1"/>
    <col min="7432" max="7432" width="13.33203125" style="308" customWidth="1"/>
    <col min="7433" max="7433" width="3.33203125" style="308" customWidth="1"/>
    <col min="7434" max="7434" width="11.77734375" style="308" customWidth="1"/>
    <col min="7435" max="7435" width="3" style="308" customWidth="1"/>
    <col min="7436" max="7436" width="16" style="308" customWidth="1"/>
    <col min="7437" max="7437" width="2.77734375" style="308" customWidth="1"/>
    <col min="7438" max="7438" width="10.44140625" style="308" customWidth="1"/>
    <col min="7439" max="7439" width="4.109375" style="308" customWidth="1"/>
    <col min="7440" max="7440" width="10.77734375" style="308" customWidth="1"/>
    <col min="7441" max="7441" width="3.109375" style="308" customWidth="1"/>
    <col min="7442" max="7442" width="11" style="308" customWidth="1"/>
    <col min="7443" max="7443" width="3" style="308" customWidth="1"/>
    <col min="7444" max="7444" width="11.109375" style="308" customWidth="1"/>
    <col min="7445" max="7445" width="3.44140625" style="308" customWidth="1"/>
    <col min="7446" max="7681" width="9.33203125" style="308"/>
    <col min="7682" max="7682" width="12.6640625" style="308" customWidth="1"/>
    <col min="7683" max="7683" width="20.6640625" style="308" customWidth="1"/>
    <col min="7684" max="7684" width="13" style="308" customWidth="1"/>
    <col min="7685" max="7685" width="3" style="308" customWidth="1"/>
    <col min="7686" max="7686" width="16.109375" style="308" customWidth="1"/>
    <col min="7687" max="7687" width="2.77734375" style="308" customWidth="1"/>
    <col min="7688" max="7688" width="13.33203125" style="308" customWidth="1"/>
    <col min="7689" max="7689" width="3.33203125" style="308" customWidth="1"/>
    <col min="7690" max="7690" width="11.77734375" style="308" customWidth="1"/>
    <col min="7691" max="7691" width="3" style="308" customWidth="1"/>
    <col min="7692" max="7692" width="16" style="308" customWidth="1"/>
    <col min="7693" max="7693" width="2.77734375" style="308" customWidth="1"/>
    <col min="7694" max="7694" width="10.44140625" style="308" customWidth="1"/>
    <col min="7695" max="7695" width="4.109375" style="308" customWidth="1"/>
    <col min="7696" max="7696" width="10.77734375" style="308" customWidth="1"/>
    <col min="7697" max="7697" width="3.109375" style="308" customWidth="1"/>
    <col min="7698" max="7698" width="11" style="308" customWidth="1"/>
    <col min="7699" max="7699" width="3" style="308" customWidth="1"/>
    <col min="7700" max="7700" width="11.109375" style="308" customWidth="1"/>
    <col min="7701" max="7701" width="3.44140625" style="308" customWidth="1"/>
    <col min="7702" max="7937" width="9.33203125" style="308"/>
    <col min="7938" max="7938" width="12.6640625" style="308" customWidth="1"/>
    <col min="7939" max="7939" width="20.6640625" style="308" customWidth="1"/>
    <col min="7940" max="7940" width="13" style="308" customWidth="1"/>
    <col min="7941" max="7941" width="3" style="308" customWidth="1"/>
    <col min="7942" max="7942" width="16.109375" style="308" customWidth="1"/>
    <col min="7943" max="7943" width="2.77734375" style="308" customWidth="1"/>
    <col min="7944" max="7944" width="13.33203125" style="308" customWidth="1"/>
    <col min="7945" max="7945" width="3.33203125" style="308" customWidth="1"/>
    <col min="7946" max="7946" width="11.77734375" style="308" customWidth="1"/>
    <col min="7947" max="7947" width="3" style="308" customWidth="1"/>
    <col min="7948" max="7948" width="16" style="308" customWidth="1"/>
    <col min="7949" max="7949" width="2.77734375" style="308" customWidth="1"/>
    <col min="7950" max="7950" width="10.44140625" style="308" customWidth="1"/>
    <col min="7951" max="7951" width="4.109375" style="308" customWidth="1"/>
    <col min="7952" max="7952" width="10.77734375" style="308" customWidth="1"/>
    <col min="7953" max="7953" width="3.109375" style="308" customWidth="1"/>
    <col min="7954" max="7954" width="11" style="308" customWidth="1"/>
    <col min="7955" max="7955" width="3" style="308" customWidth="1"/>
    <col min="7956" max="7956" width="11.109375" style="308" customWidth="1"/>
    <col min="7957" max="7957" width="3.44140625" style="308" customWidth="1"/>
    <col min="7958" max="8193" width="9.33203125" style="308"/>
    <col min="8194" max="8194" width="12.6640625" style="308" customWidth="1"/>
    <col min="8195" max="8195" width="20.6640625" style="308" customWidth="1"/>
    <col min="8196" max="8196" width="13" style="308" customWidth="1"/>
    <col min="8197" max="8197" width="3" style="308" customWidth="1"/>
    <col min="8198" max="8198" width="16.109375" style="308" customWidth="1"/>
    <col min="8199" max="8199" width="2.77734375" style="308" customWidth="1"/>
    <col min="8200" max="8200" width="13.33203125" style="308" customWidth="1"/>
    <col min="8201" max="8201" width="3.33203125" style="308" customWidth="1"/>
    <col min="8202" max="8202" width="11.77734375" style="308" customWidth="1"/>
    <col min="8203" max="8203" width="3" style="308" customWidth="1"/>
    <col min="8204" max="8204" width="16" style="308" customWidth="1"/>
    <col min="8205" max="8205" width="2.77734375" style="308" customWidth="1"/>
    <col min="8206" max="8206" width="10.44140625" style="308" customWidth="1"/>
    <col min="8207" max="8207" width="4.109375" style="308" customWidth="1"/>
    <col min="8208" max="8208" width="10.77734375" style="308" customWidth="1"/>
    <col min="8209" max="8209" width="3.109375" style="308" customWidth="1"/>
    <col min="8210" max="8210" width="11" style="308" customWidth="1"/>
    <col min="8211" max="8211" width="3" style="308" customWidth="1"/>
    <col min="8212" max="8212" width="11.109375" style="308" customWidth="1"/>
    <col min="8213" max="8213" width="3.44140625" style="308" customWidth="1"/>
    <col min="8214" max="8449" width="9.33203125" style="308"/>
    <col min="8450" max="8450" width="12.6640625" style="308" customWidth="1"/>
    <col min="8451" max="8451" width="20.6640625" style="308" customWidth="1"/>
    <col min="8452" max="8452" width="13" style="308" customWidth="1"/>
    <col min="8453" max="8453" width="3" style="308" customWidth="1"/>
    <col min="8454" max="8454" width="16.109375" style="308" customWidth="1"/>
    <col min="8455" max="8455" width="2.77734375" style="308" customWidth="1"/>
    <col min="8456" max="8456" width="13.33203125" style="308" customWidth="1"/>
    <col min="8457" max="8457" width="3.33203125" style="308" customWidth="1"/>
    <col min="8458" max="8458" width="11.77734375" style="308" customWidth="1"/>
    <col min="8459" max="8459" width="3" style="308" customWidth="1"/>
    <col min="8460" max="8460" width="16" style="308" customWidth="1"/>
    <col min="8461" max="8461" width="2.77734375" style="308" customWidth="1"/>
    <col min="8462" max="8462" width="10.44140625" style="308" customWidth="1"/>
    <col min="8463" max="8463" width="4.109375" style="308" customWidth="1"/>
    <col min="8464" max="8464" width="10.77734375" style="308" customWidth="1"/>
    <col min="8465" max="8465" width="3.109375" style="308" customWidth="1"/>
    <col min="8466" max="8466" width="11" style="308" customWidth="1"/>
    <col min="8467" max="8467" width="3" style="308" customWidth="1"/>
    <col min="8468" max="8468" width="11.109375" style="308" customWidth="1"/>
    <col min="8469" max="8469" width="3.44140625" style="308" customWidth="1"/>
    <col min="8470" max="8705" width="9.33203125" style="308"/>
    <col min="8706" max="8706" width="12.6640625" style="308" customWidth="1"/>
    <col min="8707" max="8707" width="20.6640625" style="308" customWidth="1"/>
    <col min="8708" max="8708" width="13" style="308" customWidth="1"/>
    <col min="8709" max="8709" width="3" style="308" customWidth="1"/>
    <col min="8710" max="8710" width="16.109375" style="308" customWidth="1"/>
    <col min="8711" max="8711" width="2.77734375" style="308" customWidth="1"/>
    <col min="8712" max="8712" width="13.33203125" style="308" customWidth="1"/>
    <col min="8713" max="8713" width="3.33203125" style="308" customWidth="1"/>
    <col min="8714" max="8714" width="11.77734375" style="308" customWidth="1"/>
    <col min="8715" max="8715" width="3" style="308" customWidth="1"/>
    <col min="8716" max="8716" width="16" style="308" customWidth="1"/>
    <col min="8717" max="8717" width="2.77734375" style="308" customWidth="1"/>
    <col min="8718" max="8718" width="10.44140625" style="308" customWidth="1"/>
    <col min="8719" max="8719" width="4.109375" style="308" customWidth="1"/>
    <col min="8720" max="8720" width="10.77734375" style="308" customWidth="1"/>
    <col min="8721" max="8721" width="3.109375" style="308" customWidth="1"/>
    <col min="8722" max="8722" width="11" style="308" customWidth="1"/>
    <col min="8723" max="8723" width="3" style="308" customWidth="1"/>
    <col min="8724" max="8724" width="11.109375" style="308" customWidth="1"/>
    <col min="8725" max="8725" width="3.44140625" style="308" customWidth="1"/>
    <col min="8726" max="8961" width="9.33203125" style="308"/>
    <col min="8962" max="8962" width="12.6640625" style="308" customWidth="1"/>
    <col min="8963" max="8963" width="20.6640625" style="308" customWidth="1"/>
    <col min="8964" max="8964" width="13" style="308" customWidth="1"/>
    <col min="8965" max="8965" width="3" style="308" customWidth="1"/>
    <col min="8966" max="8966" width="16.109375" style="308" customWidth="1"/>
    <col min="8967" max="8967" width="2.77734375" style="308" customWidth="1"/>
    <col min="8968" max="8968" width="13.33203125" style="308" customWidth="1"/>
    <col min="8969" max="8969" width="3.33203125" style="308" customWidth="1"/>
    <col min="8970" max="8970" width="11.77734375" style="308" customWidth="1"/>
    <col min="8971" max="8971" width="3" style="308" customWidth="1"/>
    <col min="8972" max="8972" width="16" style="308" customWidth="1"/>
    <col min="8973" max="8973" width="2.77734375" style="308" customWidth="1"/>
    <col min="8974" max="8974" width="10.44140625" style="308" customWidth="1"/>
    <col min="8975" max="8975" width="4.109375" style="308" customWidth="1"/>
    <col min="8976" max="8976" width="10.77734375" style="308" customWidth="1"/>
    <col min="8977" max="8977" width="3.109375" style="308" customWidth="1"/>
    <col min="8978" max="8978" width="11" style="308" customWidth="1"/>
    <col min="8979" max="8979" width="3" style="308" customWidth="1"/>
    <col min="8980" max="8980" width="11.109375" style="308" customWidth="1"/>
    <col min="8981" max="8981" width="3.44140625" style="308" customWidth="1"/>
    <col min="8982" max="9217" width="9.33203125" style="308"/>
    <col min="9218" max="9218" width="12.6640625" style="308" customWidth="1"/>
    <col min="9219" max="9219" width="20.6640625" style="308" customWidth="1"/>
    <col min="9220" max="9220" width="13" style="308" customWidth="1"/>
    <col min="9221" max="9221" width="3" style="308" customWidth="1"/>
    <col min="9222" max="9222" width="16.109375" style="308" customWidth="1"/>
    <col min="9223" max="9223" width="2.77734375" style="308" customWidth="1"/>
    <col min="9224" max="9224" width="13.33203125" style="308" customWidth="1"/>
    <col min="9225" max="9225" width="3.33203125" style="308" customWidth="1"/>
    <col min="9226" max="9226" width="11.77734375" style="308" customWidth="1"/>
    <col min="9227" max="9227" width="3" style="308" customWidth="1"/>
    <col min="9228" max="9228" width="16" style="308" customWidth="1"/>
    <col min="9229" max="9229" width="2.77734375" style="308" customWidth="1"/>
    <col min="9230" max="9230" width="10.44140625" style="308" customWidth="1"/>
    <col min="9231" max="9231" width="4.109375" style="308" customWidth="1"/>
    <col min="9232" max="9232" width="10.77734375" style="308" customWidth="1"/>
    <col min="9233" max="9233" width="3.109375" style="308" customWidth="1"/>
    <col min="9234" max="9234" width="11" style="308" customWidth="1"/>
    <col min="9235" max="9235" width="3" style="308" customWidth="1"/>
    <col min="9236" max="9236" width="11.109375" style="308" customWidth="1"/>
    <col min="9237" max="9237" width="3.44140625" style="308" customWidth="1"/>
    <col min="9238" max="9473" width="9.33203125" style="308"/>
    <col min="9474" max="9474" width="12.6640625" style="308" customWidth="1"/>
    <col min="9475" max="9475" width="20.6640625" style="308" customWidth="1"/>
    <col min="9476" max="9476" width="13" style="308" customWidth="1"/>
    <col min="9477" max="9477" width="3" style="308" customWidth="1"/>
    <col min="9478" max="9478" width="16.109375" style="308" customWidth="1"/>
    <col min="9479" max="9479" width="2.77734375" style="308" customWidth="1"/>
    <col min="9480" max="9480" width="13.33203125" style="308" customWidth="1"/>
    <col min="9481" max="9481" width="3.33203125" style="308" customWidth="1"/>
    <col min="9482" max="9482" width="11.77734375" style="308" customWidth="1"/>
    <col min="9483" max="9483" width="3" style="308" customWidth="1"/>
    <col min="9484" max="9484" width="16" style="308" customWidth="1"/>
    <col min="9485" max="9485" width="2.77734375" style="308" customWidth="1"/>
    <col min="9486" max="9486" width="10.44140625" style="308" customWidth="1"/>
    <col min="9487" max="9487" width="4.109375" style="308" customWidth="1"/>
    <col min="9488" max="9488" width="10.77734375" style="308" customWidth="1"/>
    <col min="9489" max="9489" width="3.109375" style="308" customWidth="1"/>
    <col min="9490" max="9490" width="11" style="308" customWidth="1"/>
    <col min="9491" max="9491" width="3" style="308" customWidth="1"/>
    <col min="9492" max="9492" width="11.109375" style="308" customWidth="1"/>
    <col min="9493" max="9493" width="3.44140625" style="308" customWidth="1"/>
    <col min="9494" max="9729" width="9.33203125" style="308"/>
    <col min="9730" max="9730" width="12.6640625" style="308" customWidth="1"/>
    <col min="9731" max="9731" width="20.6640625" style="308" customWidth="1"/>
    <col min="9732" max="9732" width="13" style="308" customWidth="1"/>
    <col min="9733" max="9733" width="3" style="308" customWidth="1"/>
    <col min="9734" max="9734" width="16.109375" style="308" customWidth="1"/>
    <col min="9735" max="9735" width="2.77734375" style="308" customWidth="1"/>
    <col min="9736" max="9736" width="13.33203125" style="308" customWidth="1"/>
    <col min="9737" max="9737" width="3.33203125" style="308" customWidth="1"/>
    <col min="9738" max="9738" width="11.77734375" style="308" customWidth="1"/>
    <col min="9739" max="9739" width="3" style="308" customWidth="1"/>
    <col min="9740" max="9740" width="16" style="308" customWidth="1"/>
    <col min="9741" max="9741" width="2.77734375" style="308" customWidth="1"/>
    <col min="9742" max="9742" width="10.44140625" style="308" customWidth="1"/>
    <col min="9743" max="9743" width="4.109375" style="308" customWidth="1"/>
    <col min="9744" max="9744" width="10.77734375" style="308" customWidth="1"/>
    <col min="9745" max="9745" width="3.109375" style="308" customWidth="1"/>
    <col min="9746" max="9746" width="11" style="308" customWidth="1"/>
    <col min="9747" max="9747" width="3" style="308" customWidth="1"/>
    <col min="9748" max="9748" width="11.109375" style="308" customWidth="1"/>
    <col min="9749" max="9749" width="3.44140625" style="308" customWidth="1"/>
    <col min="9750" max="9985" width="9.33203125" style="308"/>
    <col min="9986" max="9986" width="12.6640625" style="308" customWidth="1"/>
    <col min="9987" max="9987" width="20.6640625" style="308" customWidth="1"/>
    <col min="9988" max="9988" width="13" style="308" customWidth="1"/>
    <col min="9989" max="9989" width="3" style="308" customWidth="1"/>
    <col min="9990" max="9990" width="16.109375" style="308" customWidth="1"/>
    <col min="9991" max="9991" width="2.77734375" style="308" customWidth="1"/>
    <col min="9992" max="9992" width="13.33203125" style="308" customWidth="1"/>
    <col min="9993" max="9993" width="3.33203125" style="308" customWidth="1"/>
    <col min="9994" max="9994" width="11.77734375" style="308" customWidth="1"/>
    <col min="9995" max="9995" width="3" style="308" customWidth="1"/>
    <col min="9996" max="9996" width="16" style="308" customWidth="1"/>
    <col min="9997" max="9997" width="2.77734375" style="308" customWidth="1"/>
    <col min="9998" max="9998" width="10.44140625" style="308" customWidth="1"/>
    <col min="9999" max="9999" width="4.109375" style="308" customWidth="1"/>
    <col min="10000" max="10000" width="10.77734375" style="308" customWidth="1"/>
    <col min="10001" max="10001" width="3.109375" style="308" customWidth="1"/>
    <col min="10002" max="10002" width="11" style="308" customWidth="1"/>
    <col min="10003" max="10003" width="3" style="308" customWidth="1"/>
    <col min="10004" max="10004" width="11.109375" style="308" customWidth="1"/>
    <col min="10005" max="10005" width="3.44140625" style="308" customWidth="1"/>
    <col min="10006" max="10241" width="9.33203125" style="308"/>
    <col min="10242" max="10242" width="12.6640625" style="308" customWidth="1"/>
    <col min="10243" max="10243" width="20.6640625" style="308" customWidth="1"/>
    <col min="10244" max="10244" width="13" style="308" customWidth="1"/>
    <col min="10245" max="10245" width="3" style="308" customWidth="1"/>
    <col min="10246" max="10246" width="16.109375" style="308" customWidth="1"/>
    <col min="10247" max="10247" width="2.77734375" style="308" customWidth="1"/>
    <col min="10248" max="10248" width="13.33203125" style="308" customWidth="1"/>
    <col min="10249" max="10249" width="3.33203125" style="308" customWidth="1"/>
    <col min="10250" max="10250" width="11.77734375" style="308" customWidth="1"/>
    <col min="10251" max="10251" width="3" style="308" customWidth="1"/>
    <col min="10252" max="10252" width="16" style="308" customWidth="1"/>
    <col min="10253" max="10253" width="2.77734375" style="308" customWidth="1"/>
    <col min="10254" max="10254" width="10.44140625" style="308" customWidth="1"/>
    <col min="10255" max="10255" width="4.109375" style="308" customWidth="1"/>
    <col min="10256" max="10256" width="10.77734375" style="308" customWidth="1"/>
    <col min="10257" max="10257" width="3.109375" style="308" customWidth="1"/>
    <col min="10258" max="10258" width="11" style="308" customWidth="1"/>
    <col min="10259" max="10259" width="3" style="308" customWidth="1"/>
    <col min="10260" max="10260" width="11.109375" style="308" customWidth="1"/>
    <col min="10261" max="10261" width="3.44140625" style="308" customWidth="1"/>
    <col min="10262" max="10497" width="9.33203125" style="308"/>
    <col min="10498" max="10498" width="12.6640625" style="308" customWidth="1"/>
    <col min="10499" max="10499" width="20.6640625" style="308" customWidth="1"/>
    <col min="10500" max="10500" width="13" style="308" customWidth="1"/>
    <col min="10501" max="10501" width="3" style="308" customWidth="1"/>
    <col min="10502" max="10502" width="16.109375" style="308" customWidth="1"/>
    <col min="10503" max="10503" width="2.77734375" style="308" customWidth="1"/>
    <col min="10504" max="10504" width="13.33203125" style="308" customWidth="1"/>
    <col min="10505" max="10505" width="3.33203125" style="308" customWidth="1"/>
    <col min="10506" max="10506" width="11.77734375" style="308" customWidth="1"/>
    <col min="10507" max="10507" width="3" style="308" customWidth="1"/>
    <col min="10508" max="10508" width="16" style="308" customWidth="1"/>
    <col min="10509" max="10509" width="2.77734375" style="308" customWidth="1"/>
    <col min="10510" max="10510" width="10.44140625" style="308" customWidth="1"/>
    <col min="10511" max="10511" width="4.109375" style="308" customWidth="1"/>
    <col min="10512" max="10512" width="10.77734375" style="308" customWidth="1"/>
    <col min="10513" max="10513" width="3.109375" style="308" customWidth="1"/>
    <col min="10514" max="10514" width="11" style="308" customWidth="1"/>
    <col min="10515" max="10515" width="3" style="308" customWidth="1"/>
    <col min="10516" max="10516" width="11.109375" style="308" customWidth="1"/>
    <col min="10517" max="10517" width="3.44140625" style="308" customWidth="1"/>
    <col min="10518" max="10753" width="9.33203125" style="308"/>
    <col min="10754" max="10754" width="12.6640625" style="308" customWidth="1"/>
    <col min="10755" max="10755" width="20.6640625" style="308" customWidth="1"/>
    <col min="10756" max="10756" width="13" style="308" customWidth="1"/>
    <col min="10757" max="10757" width="3" style="308" customWidth="1"/>
    <col min="10758" max="10758" width="16.109375" style="308" customWidth="1"/>
    <col min="10759" max="10759" width="2.77734375" style="308" customWidth="1"/>
    <col min="10760" max="10760" width="13.33203125" style="308" customWidth="1"/>
    <col min="10761" max="10761" width="3.33203125" style="308" customWidth="1"/>
    <col min="10762" max="10762" width="11.77734375" style="308" customWidth="1"/>
    <col min="10763" max="10763" width="3" style="308" customWidth="1"/>
    <col min="10764" max="10764" width="16" style="308" customWidth="1"/>
    <col min="10765" max="10765" width="2.77734375" style="308" customWidth="1"/>
    <col min="10766" max="10766" width="10.44140625" style="308" customWidth="1"/>
    <col min="10767" max="10767" width="4.109375" style="308" customWidth="1"/>
    <col min="10768" max="10768" width="10.77734375" style="308" customWidth="1"/>
    <col min="10769" max="10769" width="3.109375" style="308" customWidth="1"/>
    <col min="10770" max="10770" width="11" style="308" customWidth="1"/>
    <col min="10771" max="10771" width="3" style="308" customWidth="1"/>
    <col min="10772" max="10772" width="11.109375" style="308" customWidth="1"/>
    <col min="10773" max="10773" width="3.44140625" style="308" customWidth="1"/>
    <col min="10774" max="11009" width="9.33203125" style="308"/>
    <col min="11010" max="11010" width="12.6640625" style="308" customWidth="1"/>
    <col min="11011" max="11011" width="20.6640625" style="308" customWidth="1"/>
    <col min="11012" max="11012" width="13" style="308" customWidth="1"/>
    <col min="11013" max="11013" width="3" style="308" customWidth="1"/>
    <col min="11014" max="11014" width="16.109375" style="308" customWidth="1"/>
    <col min="11015" max="11015" width="2.77734375" style="308" customWidth="1"/>
    <col min="11016" max="11016" width="13.33203125" style="308" customWidth="1"/>
    <col min="11017" max="11017" width="3.33203125" style="308" customWidth="1"/>
    <col min="11018" max="11018" width="11.77734375" style="308" customWidth="1"/>
    <col min="11019" max="11019" width="3" style="308" customWidth="1"/>
    <col min="11020" max="11020" width="16" style="308" customWidth="1"/>
    <col min="11021" max="11021" width="2.77734375" style="308" customWidth="1"/>
    <col min="11022" max="11022" width="10.44140625" style="308" customWidth="1"/>
    <col min="11023" max="11023" width="4.109375" style="308" customWidth="1"/>
    <col min="11024" max="11024" width="10.77734375" style="308" customWidth="1"/>
    <col min="11025" max="11025" width="3.109375" style="308" customWidth="1"/>
    <col min="11026" max="11026" width="11" style="308" customWidth="1"/>
    <col min="11027" max="11027" width="3" style="308" customWidth="1"/>
    <col min="11028" max="11028" width="11.109375" style="308" customWidth="1"/>
    <col min="11029" max="11029" width="3.44140625" style="308" customWidth="1"/>
    <col min="11030" max="11265" width="9.33203125" style="308"/>
    <col min="11266" max="11266" width="12.6640625" style="308" customWidth="1"/>
    <col min="11267" max="11267" width="20.6640625" style="308" customWidth="1"/>
    <col min="11268" max="11268" width="13" style="308" customWidth="1"/>
    <col min="11269" max="11269" width="3" style="308" customWidth="1"/>
    <col min="11270" max="11270" width="16.109375" style="308" customWidth="1"/>
    <col min="11271" max="11271" width="2.77734375" style="308" customWidth="1"/>
    <col min="11272" max="11272" width="13.33203125" style="308" customWidth="1"/>
    <col min="11273" max="11273" width="3.33203125" style="308" customWidth="1"/>
    <col min="11274" max="11274" width="11.77734375" style="308" customWidth="1"/>
    <col min="11275" max="11275" width="3" style="308" customWidth="1"/>
    <col min="11276" max="11276" width="16" style="308" customWidth="1"/>
    <col min="11277" max="11277" width="2.77734375" style="308" customWidth="1"/>
    <col min="11278" max="11278" width="10.44140625" style="308" customWidth="1"/>
    <col min="11279" max="11279" width="4.109375" style="308" customWidth="1"/>
    <col min="11280" max="11280" width="10.77734375" style="308" customWidth="1"/>
    <col min="11281" max="11281" width="3.109375" style="308" customWidth="1"/>
    <col min="11282" max="11282" width="11" style="308" customWidth="1"/>
    <col min="11283" max="11283" width="3" style="308" customWidth="1"/>
    <col min="11284" max="11284" width="11.109375" style="308" customWidth="1"/>
    <col min="11285" max="11285" width="3.44140625" style="308" customWidth="1"/>
    <col min="11286" max="11521" width="9.33203125" style="308"/>
    <col min="11522" max="11522" width="12.6640625" style="308" customWidth="1"/>
    <col min="11523" max="11523" width="20.6640625" style="308" customWidth="1"/>
    <col min="11524" max="11524" width="13" style="308" customWidth="1"/>
    <col min="11525" max="11525" width="3" style="308" customWidth="1"/>
    <col min="11526" max="11526" width="16.109375" style="308" customWidth="1"/>
    <col min="11527" max="11527" width="2.77734375" style="308" customWidth="1"/>
    <col min="11528" max="11528" width="13.33203125" style="308" customWidth="1"/>
    <col min="11529" max="11529" width="3.33203125" style="308" customWidth="1"/>
    <col min="11530" max="11530" width="11.77734375" style="308" customWidth="1"/>
    <col min="11531" max="11531" width="3" style="308" customWidth="1"/>
    <col min="11532" max="11532" width="16" style="308" customWidth="1"/>
    <col min="11533" max="11533" width="2.77734375" style="308" customWidth="1"/>
    <col min="11534" max="11534" width="10.44140625" style="308" customWidth="1"/>
    <col min="11535" max="11535" width="4.109375" style="308" customWidth="1"/>
    <col min="11536" max="11536" width="10.77734375" style="308" customWidth="1"/>
    <col min="11537" max="11537" width="3.109375" style="308" customWidth="1"/>
    <col min="11538" max="11538" width="11" style="308" customWidth="1"/>
    <col min="11539" max="11539" width="3" style="308" customWidth="1"/>
    <col min="11540" max="11540" width="11.109375" style="308" customWidth="1"/>
    <col min="11541" max="11541" width="3.44140625" style="308" customWidth="1"/>
    <col min="11542" max="11777" width="9.33203125" style="308"/>
    <col min="11778" max="11778" width="12.6640625" style="308" customWidth="1"/>
    <col min="11779" max="11779" width="20.6640625" style="308" customWidth="1"/>
    <col min="11780" max="11780" width="13" style="308" customWidth="1"/>
    <col min="11781" max="11781" width="3" style="308" customWidth="1"/>
    <col min="11782" max="11782" width="16.109375" style="308" customWidth="1"/>
    <col min="11783" max="11783" width="2.77734375" style="308" customWidth="1"/>
    <col min="11784" max="11784" width="13.33203125" style="308" customWidth="1"/>
    <col min="11785" max="11785" width="3.33203125" style="308" customWidth="1"/>
    <col min="11786" max="11786" width="11.77734375" style="308" customWidth="1"/>
    <col min="11787" max="11787" width="3" style="308" customWidth="1"/>
    <col min="11788" max="11788" width="16" style="308" customWidth="1"/>
    <col min="11789" max="11789" width="2.77734375" style="308" customWidth="1"/>
    <col min="11790" max="11790" width="10.44140625" style="308" customWidth="1"/>
    <col min="11791" max="11791" width="4.109375" style="308" customWidth="1"/>
    <col min="11792" max="11792" width="10.77734375" style="308" customWidth="1"/>
    <col min="11793" max="11793" width="3.109375" style="308" customWidth="1"/>
    <col min="11794" max="11794" width="11" style="308" customWidth="1"/>
    <col min="11795" max="11795" width="3" style="308" customWidth="1"/>
    <col min="11796" max="11796" width="11.109375" style="308" customWidth="1"/>
    <col min="11797" max="11797" width="3.44140625" style="308" customWidth="1"/>
    <col min="11798" max="12033" width="9.33203125" style="308"/>
    <col min="12034" max="12034" width="12.6640625" style="308" customWidth="1"/>
    <col min="12035" max="12035" width="20.6640625" style="308" customWidth="1"/>
    <col min="12036" max="12036" width="13" style="308" customWidth="1"/>
    <col min="12037" max="12037" width="3" style="308" customWidth="1"/>
    <col min="12038" max="12038" width="16.109375" style="308" customWidth="1"/>
    <col min="12039" max="12039" width="2.77734375" style="308" customWidth="1"/>
    <col min="12040" max="12040" width="13.33203125" style="308" customWidth="1"/>
    <col min="12041" max="12041" width="3.33203125" style="308" customWidth="1"/>
    <col min="12042" max="12042" width="11.77734375" style="308" customWidth="1"/>
    <col min="12043" max="12043" width="3" style="308" customWidth="1"/>
    <col min="12044" max="12044" width="16" style="308" customWidth="1"/>
    <col min="12045" max="12045" width="2.77734375" style="308" customWidth="1"/>
    <col min="12046" max="12046" width="10.44140625" style="308" customWidth="1"/>
    <col min="12047" max="12047" width="4.109375" style="308" customWidth="1"/>
    <col min="12048" max="12048" width="10.77734375" style="308" customWidth="1"/>
    <col min="12049" max="12049" width="3.109375" style="308" customWidth="1"/>
    <col min="12050" max="12050" width="11" style="308" customWidth="1"/>
    <col min="12051" max="12051" width="3" style="308" customWidth="1"/>
    <col min="12052" max="12052" width="11.109375" style="308" customWidth="1"/>
    <col min="12053" max="12053" width="3.44140625" style="308" customWidth="1"/>
    <col min="12054" max="12289" width="9.33203125" style="308"/>
    <col min="12290" max="12290" width="12.6640625" style="308" customWidth="1"/>
    <col min="12291" max="12291" width="20.6640625" style="308" customWidth="1"/>
    <col min="12292" max="12292" width="13" style="308" customWidth="1"/>
    <col min="12293" max="12293" width="3" style="308" customWidth="1"/>
    <col min="12294" max="12294" width="16.109375" style="308" customWidth="1"/>
    <col min="12295" max="12295" width="2.77734375" style="308" customWidth="1"/>
    <col min="12296" max="12296" width="13.33203125" style="308" customWidth="1"/>
    <col min="12297" max="12297" width="3.33203125" style="308" customWidth="1"/>
    <col min="12298" max="12298" width="11.77734375" style="308" customWidth="1"/>
    <col min="12299" max="12299" width="3" style="308" customWidth="1"/>
    <col min="12300" max="12300" width="16" style="308" customWidth="1"/>
    <col min="12301" max="12301" width="2.77734375" style="308" customWidth="1"/>
    <col min="12302" max="12302" width="10.44140625" style="308" customWidth="1"/>
    <col min="12303" max="12303" width="4.109375" style="308" customWidth="1"/>
    <col min="12304" max="12304" width="10.77734375" style="308" customWidth="1"/>
    <col min="12305" max="12305" width="3.109375" style="308" customWidth="1"/>
    <col min="12306" max="12306" width="11" style="308" customWidth="1"/>
    <col min="12307" max="12307" width="3" style="308" customWidth="1"/>
    <col min="12308" max="12308" width="11.109375" style="308" customWidth="1"/>
    <col min="12309" max="12309" width="3.44140625" style="308" customWidth="1"/>
    <col min="12310" max="12545" width="9.33203125" style="308"/>
    <col min="12546" max="12546" width="12.6640625" style="308" customWidth="1"/>
    <col min="12547" max="12547" width="20.6640625" style="308" customWidth="1"/>
    <col min="12548" max="12548" width="13" style="308" customWidth="1"/>
    <col min="12549" max="12549" width="3" style="308" customWidth="1"/>
    <col min="12550" max="12550" width="16.109375" style="308" customWidth="1"/>
    <col min="12551" max="12551" width="2.77734375" style="308" customWidth="1"/>
    <col min="12552" max="12552" width="13.33203125" style="308" customWidth="1"/>
    <col min="12553" max="12553" width="3.33203125" style="308" customWidth="1"/>
    <col min="12554" max="12554" width="11.77734375" style="308" customWidth="1"/>
    <col min="12555" max="12555" width="3" style="308" customWidth="1"/>
    <col min="12556" max="12556" width="16" style="308" customWidth="1"/>
    <col min="12557" max="12557" width="2.77734375" style="308" customWidth="1"/>
    <col min="12558" max="12558" width="10.44140625" style="308" customWidth="1"/>
    <col min="12559" max="12559" width="4.109375" style="308" customWidth="1"/>
    <col min="12560" max="12560" width="10.77734375" style="308" customWidth="1"/>
    <col min="12561" max="12561" width="3.109375" style="308" customWidth="1"/>
    <col min="12562" max="12562" width="11" style="308" customWidth="1"/>
    <col min="12563" max="12563" width="3" style="308" customWidth="1"/>
    <col min="12564" max="12564" width="11.109375" style="308" customWidth="1"/>
    <col min="12565" max="12565" width="3.44140625" style="308" customWidth="1"/>
    <col min="12566" max="12801" width="9.33203125" style="308"/>
    <col min="12802" max="12802" width="12.6640625" style="308" customWidth="1"/>
    <col min="12803" max="12803" width="20.6640625" style="308" customWidth="1"/>
    <col min="12804" max="12804" width="13" style="308" customWidth="1"/>
    <col min="12805" max="12805" width="3" style="308" customWidth="1"/>
    <col min="12806" max="12806" width="16.109375" style="308" customWidth="1"/>
    <col min="12807" max="12807" width="2.77734375" style="308" customWidth="1"/>
    <col min="12808" max="12808" width="13.33203125" style="308" customWidth="1"/>
    <col min="12809" max="12809" width="3.33203125" style="308" customWidth="1"/>
    <col min="12810" max="12810" width="11.77734375" style="308" customWidth="1"/>
    <col min="12811" max="12811" width="3" style="308" customWidth="1"/>
    <col min="12812" max="12812" width="16" style="308" customWidth="1"/>
    <col min="12813" max="12813" width="2.77734375" style="308" customWidth="1"/>
    <col min="12814" max="12814" width="10.44140625" style="308" customWidth="1"/>
    <col min="12815" max="12815" width="4.109375" style="308" customWidth="1"/>
    <col min="12816" max="12816" width="10.77734375" style="308" customWidth="1"/>
    <col min="12817" max="12817" width="3.109375" style="308" customWidth="1"/>
    <col min="12818" max="12818" width="11" style="308" customWidth="1"/>
    <col min="12819" max="12819" width="3" style="308" customWidth="1"/>
    <col min="12820" max="12820" width="11.109375" style="308" customWidth="1"/>
    <col min="12821" max="12821" width="3.44140625" style="308" customWidth="1"/>
    <col min="12822" max="13057" width="9.33203125" style="308"/>
    <col min="13058" max="13058" width="12.6640625" style="308" customWidth="1"/>
    <col min="13059" max="13059" width="20.6640625" style="308" customWidth="1"/>
    <col min="13060" max="13060" width="13" style="308" customWidth="1"/>
    <col min="13061" max="13061" width="3" style="308" customWidth="1"/>
    <col min="13062" max="13062" width="16.109375" style="308" customWidth="1"/>
    <col min="13063" max="13063" width="2.77734375" style="308" customWidth="1"/>
    <col min="13064" max="13064" width="13.33203125" style="308" customWidth="1"/>
    <col min="13065" max="13065" width="3.33203125" style="308" customWidth="1"/>
    <col min="13066" max="13066" width="11.77734375" style="308" customWidth="1"/>
    <col min="13067" max="13067" width="3" style="308" customWidth="1"/>
    <col min="13068" max="13068" width="16" style="308" customWidth="1"/>
    <col min="13069" max="13069" width="2.77734375" style="308" customWidth="1"/>
    <col min="13070" max="13070" width="10.44140625" style="308" customWidth="1"/>
    <col min="13071" max="13071" width="4.109375" style="308" customWidth="1"/>
    <col min="13072" max="13072" width="10.77734375" style="308" customWidth="1"/>
    <col min="13073" max="13073" width="3.109375" style="308" customWidth="1"/>
    <col min="13074" max="13074" width="11" style="308" customWidth="1"/>
    <col min="13075" max="13075" width="3" style="308" customWidth="1"/>
    <col min="13076" max="13076" width="11.109375" style="308" customWidth="1"/>
    <col min="13077" max="13077" width="3.44140625" style="308" customWidth="1"/>
    <col min="13078" max="13313" width="9.33203125" style="308"/>
    <col min="13314" max="13314" width="12.6640625" style="308" customWidth="1"/>
    <col min="13315" max="13315" width="20.6640625" style="308" customWidth="1"/>
    <col min="13316" max="13316" width="13" style="308" customWidth="1"/>
    <col min="13317" max="13317" width="3" style="308" customWidth="1"/>
    <col min="13318" max="13318" width="16.109375" style="308" customWidth="1"/>
    <col min="13319" max="13319" width="2.77734375" style="308" customWidth="1"/>
    <col min="13320" max="13320" width="13.33203125" style="308" customWidth="1"/>
    <col min="13321" max="13321" width="3.33203125" style="308" customWidth="1"/>
    <col min="13322" max="13322" width="11.77734375" style="308" customWidth="1"/>
    <col min="13323" max="13323" width="3" style="308" customWidth="1"/>
    <col min="13324" max="13324" width="16" style="308" customWidth="1"/>
    <col min="13325" max="13325" width="2.77734375" style="308" customWidth="1"/>
    <col min="13326" max="13326" width="10.44140625" style="308" customWidth="1"/>
    <col min="13327" max="13327" width="4.109375" style="308" customWidth="1"/>
    <col min="13328" max="13328" width="10.77734375" style="308" customWidth="1"/>
    <col min="13329" max="13329" width="3.109375" style="308" customWidth="1"/>
    <col min="13330" max="13330" width="11" style="308" customWidth="1"/>
    <col min="13331" max="13331" width="3" style="308" customWidth="1"/>
    <col min="13332" max="13332" width="11.109375" style="308" customWidth="1"/>
    <col min="13333" max="13333" width="3.44140625" style="308" customWidth="1"/>
    <col min="13334" max="13569" width="9.33203125" style="308"/>
    <col min="13570" max="13570" width="12.6640625" style="308" customWidth="1"/>
    <col min="13571" max="13571" width="20.6640625" style="308" customWidth="1"/>
    <col min="13572" max="13572" width="13" style="308" customWidth="1"/>
    <col min="13573" max="13573" width="3" style="308" customWidth="1"/>
    <col min="13574" max="13574" width="16.109375" style="308" customWidth="1"/>
    <col min="13575" max="13575" width="2.77734375" style="308" customWidth="1"/>
    <col min="13576" max="13576" width="13.33203125" style="308" customWidth="1"/>
    <col min="13577" max="13577" width="3.33203125" style="308" customWidth="1"/>
    <col min="13578" max="13578" width="11.77734375" style="308" customWidth="1"/>
    <col min="13579" max="13579" width="3" style="308" customWidth="1"/>
    <col min="13580" max="13580" width="16" style="308" customWidth="1"/>
    <col min="13581" max="13581" width="2.77734375" style="308" customWidth="1"/>
    <col min="13582" max="13582" width="10.44140625" style="308" customWidth="1"/>
    <col min="13583" max="13583" width="4.109375" style="308" customWidth="1"/>
    <col min="13584" max="13584" width="10.77734375" style="308" customWidth="1"/>
    <col min="13585" max="13585" width="3.109375" style="308" customWidth="1"/>
    <col min="13586" max="13586" width="11" style="308" customWidth="1"/>
    <col min="13587" max="13587" width="3" style="308" customWidth="1"/>
    <col min="13588" max="13588" width="11.109375" style="308" customWidth="1"/>
    <col min="13589" max="13589" width="3.44140625" style="308" customWidth="1"/>
    <col min="13590" max="13825" width="9.33203125" style="308"/>
    <col min="13826" max="13826" width="12.6640625" style="308" customWidth="1"/>
    <col min="13827" max="13827" width="20.6640625" style="308" customWidth="1"/>
    <col min="13828" max="13828" width="13" style="308" customWidth="1"/>
    <col min="13829" max="13829" width="3" style="308" customWidth="1"/>
    <col min="13830" max="13830" width="16.109375" style="308" customWidth="1"/>
    <col min="13831" max="13831" width="2.77734375" style="308" customWidth="1"/>
    <col min="13832" max="13832" width="13.33203125" style="308" customWidth="1"/>
    <col min="13833" max="13833" width="3.33203125" style="308" customWidth="1"/>
    <col min="13834" max="13834" width="11.77734375" style="308" customWidth="1"/>
    <col min="13835" max="13835" width="3" style="308" customWidth="1"/>
    <col min="13836" max="13836" width="16" style="308" customWidth="1"/>
    <col min="13837" max="13837" width="2.77734375" style="308" customWidth="1"/>
    <col min="13838" max="13838" width="10.44140625" style="308" customWidth="1"/>
    <col min="13839" max="13839" width="4.109375" style="308" customWidth="1"/>
    <col min="13840" max="13840" width="10.77734375" style="308" customWidth="1"/>
    <col min="13841" max="13841" width="3.109375" style="308" customWidth="1"/>
    <col min="13842" max="13842" width="11" style="308" customWidth="1"/>
    <col min="13843" max="13843" width="3" style="308" customWidth="1"/>
    <col min="13844" max="13844" width="11.109375" style="308" customWidth="1"/>
    <col min="13845" max="13845" width="3.44140625" style="308" customWidth="1"/>
    <col min="13846" max="14081" width="9.33203125" style="308"/>
    <col min="14082" max="14082" width="12.6640625" style="308" customWidth="1"/>
    <col min="14083" max="14083" width="20.6640625" style="308" customWidth="1"/>
    <col min="14084" max="14084" width="13" style="308" customWidth="1"/>
    <col min="14085" max="14085" width="3" style="308" customWidth="1"/>
    <col min="14086" max="14086" width="16.109375" style="308" customWidth="1"/>
    <col min="14087" max="14087" width="2.77734375" style="308" customWidth="1"/>
    <col min="14088" max="14088" width="13.33203125" style="308" customWidth="1"/>
    <col min="14089" max="14089" width="3.33203125" style="308" customWidth="1"/>
    <col min="14090" max="14090" width="11.77734375" style="308" customWidth="1"/>
    <col min="14091" max="14091" width="3" style="308" customWidth="1"/>
    <col min="14092" max="14092" width="16" style="308" customWidth="1"/>
    <col min="14093" max="14093" width="2.77734375" style="308" customWidth="1"/>
    <col min="14094" max="14094" width="10.44140625" style="308" customWidth="1"/>
    <col min="14095" max="14095" width="4.109375" style="308" customWidth="1"/>
    <col min="14096" max="14096" width="10.77734375" style="308" customWidth="1"/>
    <col min="14097" max="14097" width="3.109375" style="308" customWidth="1"/>
    <col min="14098" max="14098" width="11" style="308" customWidth="1"/>
    <col min="14099" max="14099" width="3" style="308" customWidth="1"/>
    <col min="14100" max="14100" width="11.109375" style="308" customWidth="1"/>
    <col min="14101" max="14101" width="3.44140625" style="308" customWidth="1"/>
    <col min="14102" max="14337" width="9.33203125" style="308"/>
    <col min="14338" max="14338" width="12.6640625" style="308" customWidth="1"/>
    <col min="14339" max="14339" width="20.6640625" style="308" customWidth="1"/>
    <col min="14340" max="14340" width="13" style="308" customWidth="1"/>
    <col min="14341" max="14341" width="3" style="308" customWidth="1"/>
    <col min="14342" max="14342" width="16.109375" style="308" customWidth="1"/>
    <col min="14343" max="14343" width="2.77734375" style="308" customWidth="1"/>
    <col min="14344" max="14344" width="13.33203125" style="308" customWidth="1"/>
    <col min="14345" max="14345" width="3.33203125" style="308" customWidth="1"/>
    <col min="14346" max="14346" width="11.77734375" style="308" customWidth="1"/>
    <col min="14347" max="14347" width="3" style="308" customWidth="1"/>
    <col min="14348" max="14348" width="16" style="308" customWidth="1"/>
    <col min="14349" max="14349" width="2.77734375" style="308" customWidth="1"/>
    <col min="14350" max="14350" width="10.44140625" style="308" customWidth="1"/>
    <col min="14351" max="14351" width="4.109375" style="308" customWidth="1"/>
    <col min="14352" max="14352" width="10.77734375" style="308" customWidth="1"/>
    <col min="14353" max="14353" width="3.109375" style="308" customWidth="1"/>
    <col min="14354" max="14354" width="11" style="308" customWidth="1"/>
    <col min="14355" max="14355" width="3" style="308" customWidth="1"/>
    <col min="14356" max="14356" width="11.109375" style="308" customWidth="1"/>
    <col min="14357" max="14357" width="3.44140625" style="308" customWidth="1"/>
    <col min="14358" max="14593" width="9.33203125" style="308"/>
    <col min="14594" max="14594" width="12.6640625" style="308" customWidth="1"/>
    <col min="14595" max="14595" width="20.6640625" style="308" customWidth="1"/>
    <col min="14596" max="14596" width="13" style="308" customWidth="1"/>
    <col min="14597" max="14597" width="3" style="308" customWidth="1"/>
    <col min="14598" max="14598" width="16.109375" style="308" customWidth="1"/>
    <col min="14599" max="14599" width="2.77734375" style="308" customWidth="1"/>
    <col min="14600" max="14600" width="13.33203125" style="308" customWidth="1"/>
    <col min="14601" max="14601" width="3.33203125" style="308" customWidth="1"/>
    <col min="14602" max="14602" width="11.77734375" style="308" customWidth="1"/>
    <col min="14603" max="14603" width="3" style="308" customWidth="1"/>
    <col min="14604" max="14604" width="16" style="308" customWidth="1"/>
    <col min="14605" max="14605" width="2.77734375" style="308" customWidth="1"/>
    <col min="14606" max="14606" width="10.44140625" style="308" customWidth="1"/>
    <col min="14607" max="14607" width="4.109375" style="308" customWidth="1"/>
    <col min="14608" max="14608" width="10.77734375" style="308" customWidth="1"/>
    <col min="14609" max="14609" width="3.109375" style="308" customWidth="1"/>
    <col min="14610" max="14610" width="11" style="308" customWidth="1"/>
    <col min="14611" max="14611" width="3" style="308" customWidth="1"/>
    <col min="14612" max="14612" width="11.109375" style="308" customWidth="1"/>
    <col min="14613" max="14613" width="3.44140625" style="308" customWidth="1"/>
    <col min="14614" max="14849" width="9.33203125" style="308"/>
    <col min="14850" max="14850" width="12.6640625" style="308" customWidth="1"/>
    <col min="14851" max="14851" width="20.6640625" style="308" customWidth="1"/>
    <col min="14852" max="14852" width="13" style="308" customWidth="1"/>
    <col min="14853" max="14853" width="3" style="308" customWidth="1"/>
    <col min="14854" max="14854" width="16.109375" style="308" customWidth="1"/>
    <col min="14855" max="14855" width="2.77734375" style="308" customWidth="1"/>
    <col min="14856" max="14856" width="13.33203125" style="308" customWidth="1"/>
    <col min="14857" max="14857" width="3.33203125" style="308" customWidth="1"/>
    <col min="14858" max="14858" width="11.77734375" style="308" customWidth="1"/>
    <col min="14859" max="14859" width="3" style="308" customWidth="1"/>
    <col min="14860" max="14860" width="16" style="308" customWidth="1"/>
    <col min="14861" max="14861" width="2.77734375" style="308" customWidth="1"/>
    <col min="14862" max="14862" width="10.44140625" style="308" customWidth="1"/>
    <col min="14863" max="14863" width="4.109375" style="308" customWidth="1"/>
    <col min="14864" max="14864" width="10.77734375" style="308" customWidth="1"/>
    <col min="14865" max="14865" width="3.109375" style="308" customWidth="1"/>
    <col min="14866" max="14866" width="11" style="308" customWidth="1"/>
    <col min="14867" max="14867" width="3" style="308" customWidth="1"/>
    <col min="14868" max="14868" width="11.109375" style="308" customWidth="1"/>
    <col min="14869" max="14869" width="3.44140625" style="308" customWidth="1"/>
    <col min="14870" max="15105" width="9.33203125" style="308"/>
    <col min="15106" max="15106" width="12.6640625" style="308" customWidth="1"/>
    <col min="15107" max="15107" width="20.6640625" style="308" customWidth="1"/>
    <col min="15108" max="15108" width="13" style="308" customWidth="1"/>
    <col min="15109" max="15109" width="3" style="308" customWidth="1"/>
    <col min="15110" max="15110" width="16.109375" style="308" customWidth="1"/>
    <col min="15111" max="15111" width="2.77734375" style="308" customWidth="1"/>
    <col min="15112" max="15112" width="13.33203125" style="308" customWidth="1"/>
    <col min="15113" max="15113" width="3.33203125" style="308" customWidth="1"/>
    <col min="15114" max="15114" width="11.77734375" style="308" customWidth="1"/>
    <col min="15115" max="15115" width="3" style="308" customWidth="1"/>
    <col min="15116" max="15116" width="16" style="308" customWidth="1"/>
    <col min="15117" max="15117" width="2.77734375" style="308" customWidth="1"/>
    <col min="15118" max="15118" width="10.44140625" style="308" customWidth="1"/>
    <col min="15119" max="15119" width="4.109375" style="308" customWidth="1"/>
    <col min="15120" max="15120" width="10.77734375" style="308" customWidth="1"/>
    <col min="15121" max="15121" width="3.109375" style="308" customWidth="1"/>
    <col min="15122" max="15122" width="11" style="308" customWidth="1"/>
    <col min="15123" max="15123" width="3" style="308" customWidth="1"/>
    <col min="15124" max="15124" width="11.109375" style="308" customWidth="1"/>
    <col min="15125" max="15125" width="3.44140625" style="308" customWidth="1"/>
    <col min="15126" max="15361" width="9.33203125" style="308"/>
    <col min="15362" max="15362" width="12.6640625" style="308" customWidth="1"/>
    <col min="15363" max="15363" width="20.6640625" style="308" customWidth="1"/>
    <col min="15364" max="15364" width="13" style="308" customWidth="1"/>
    <col min="15365" max="15365" width="3" style="308" customWidth="1"/>
    <col min="15366" max="15366" width="16.109375" style="308" customWidth="1"/>
    <col min="15367" max="15367" width="2.77734375" style="308" customWidth="1"/>
    <col min="15368" max="15368" width="13.33203125" style="308" customWidth="1"/>
    <col min="15369" max="15369" width="3.33203125" style="308" customWidth="1"/>
    <col min="15370" max="15370" width="11.77734375" style="308" customWidth="1"/>
    <col min="15371" max="15371" width="3" style="308" customWidth="1"/>
    <col min="15372" max="15372" width="16" style="308" customWidth="1"/>
    <col min="15373" max="15373" width="2.77734375" style="308" customWidth="1"/>
    <col min="15374" max="15374" width="10.44140625" style="308" customWidth="1"/>
    <col min="15375" max="15375" width="4.109375" style="308" customWidth="1"/>
    <col min="15376" max="15376" width="10.77734375" style="308" customWidth="1"/>
    <col min="15377" max="15377" width="3.109375" style="308" customWidth="1"/>
    <col min="15378" max="15378" width="11" style="308" customWidth="1"/>
    <col min="15379" max="15379" width="3" style="308" customWidth="1"/>
    <col min="15380" max="15380" width="11.109375" style="308" customWidth="1"/>
    <col min="15381" max="15381" width="3.44140625" style="308" customWidth="1"/>
    <col min="15382" max="15617" width="9.33203125" style="308"/>
    <col min="15618" max="15618" width="12.6640625" style="308" customWidth="1"/>
    <col min="15619" max="15619" width="20.6640625" style="308" customWidth="1"/>
    <col min="15620" max="15620" width="13" style="308" customWidth="1"/>
    <col min="15621" max="15621" width="3" style="308" customWidth="1"/>
    <col min="15622" max="15622" width="16.109375" style="308" customWidth="1"/>
    <col min="15623" max="15623" width="2.77734375" style="308" customWidth="1"/>
    <col min="15624" max="15624" width="13.33203125" style="308" customWidth="1"/>
    <col min="15625" max="15625" width="3.33203125" style="308" customWidth="1"/>
    <col min="15626" max="15626" width="11.77734375" style="308" customWidth="1"/>
    <col min="15627" max="15627" width="3" style="308" customWidth="1"/>
    <col min="15628" max="15628" width="16" style="308" customWidth="1"/>
    <col min="15629" max="15629" width="2.77734375" style="308" customWidth="1"/>
    <col min="15630" max="15630" width="10.44140625" style="308" customWidth="1"/>
    <col min="15631" max="15631" width="4.109375" style="308" customWidth="1"/>
    <col min="15632" max="15632" width="10.77734375" style="308" customWidth="1"/>
    <col min="15633" max="15633" width="3.109375" style="308" customWidth="1"/>
    <col min="15634" max="15634" width="11" style="308" customWidth="1"/>
    <col min="15635" max="15635" width="3" style="308" customWidth="1"/>
    <col min="15636" max="15636" width="11.109375" style="308" customWidth="1"/>
    <col min="15637" max="15637" width="3.44140625" style="308" customWidth="1"/>
    <col min="15638" max="15873" width="9.33203125" style="308"/>
    <col min="15874" max="15874" width="12.6640625" style="308" customWidth="1"/>
    <col min="15875" max="15875" width="20.6640625" style="308" customWidth="1"/>
    <col min="15876" max="15876" width="13" style="308" customWidth="1"/>
    <col min="15877" max="15877" width="3" style="308" customWidth="1"/>
    <col min="15878" max="15878" width="16.109375" style="308" customWidth="1"/>
    <col min="15879" max="15879" width="2.77734375" style="308" customWidth="1"/>
    <col min="15880" max="15880" width="13.33203125" style="308" customWidth="1"/>
    <col min="15881" max="15881" width="3.33203125" style="308" customWidth="1"/>
    <col min="15882" max="15882" width="11.77734375" style="308" customWidth="1"/>
    <col min="15883" max="15883" width="3" style="308" customWidth="1"/>
    <col min="15884" max="15884" width="16" style="308" customWidth="1"/>
    <col min="15885" max="15885" width="2.77734375" style="308" customWidth="1"/>
    <col min="15886" max="15886" width="10.44140625" style="308" customWidth="1"/>
    <col min="15887" max="15887" width="4.109375" style="308" customWidth="1"/>
    <col min="15888" max="15888" width="10.77734375" style="308" customWidth="1"/>
    <col min="15889" max="15889" width="3.109375" style="308" customWidth="1"/>
    <col min="15890" max="15890" width="11" style="308" customWidth="1"/>
    <col min="15891" max="15891" width="3" style="308" customWidth="1"/>
    <col min="15892" max="15892" width="11.109375" style="308" customWidth="1"/>
    <col min="15893" max="15893" width="3.44140625" style="308" customWidth="1"/>
    <col min="15894" max="16129" width="9.33203125" style="308"/>
    <col min="16130" max="16130" width="12.6640625" style="308" customWidth="1"/>
    <col min="16131" max="16131" width="20.6640625" style="308" customWidth="1"/>
    <col min="16132" max="16132" width="13" style="308" customWidth="1"/>
    <col min="16133" max="16133" width="3" style="308" customWidth="1"/>
    <col min="16134" max="16134" width="16.109375" style="308" customWidth="1"/>
    <col min="16135" max="16135" width="2.77734375" style="308" customWidth="1"/>
    <col min="16136" max="16136" width="13.33203125" style="308" customWidth="1"/>
    <col min="16137" max="16137" width="3.33203125" style="308" customWidth="1"/>
    <col min="16138" max="16138" width="11.77734375" style="308" customWidth="1"/>
    <col min="16139" max="16139" width="3" style="308" customWidth="1"/>
    <col min="16140" max="16140" width="16" style="308" customWidth="1"/>
    <col min="16141" max="16141" width="2.77734375" style="308" customWidth="1"/>
    <col min="16142" max="16142" width="10.44140625" style="308" customWidth="1"/>
    <col min="16143" max="16143" width="4.109375" style="308" customWidth="1"/>
    <col min="16144" max="16144" width="10.77734375" style="308" customWidth="1"/>
    <col min="16145" max="16145" width="3.109375" style="308" customWidth="1"/>
    <col min="16146" max="16146" width="11" style="308" customWidth="1"/>
    <col min="16147" max="16147" width="3" style="308" customWidth="1"/>
    <col min="16148" max="16148" width="11.109375" style="308" customWidth="1"/>
    <col min="16149" max="16149" width="3.44140625" style="308" customWidth="1"/>
    <col min="16150" max="16384" width="9.33203125" style="308"/>
  </cols>
  <sheetData>
    <row r="1" spans="1:24" ht="13.5" customHeight="1">
      <c r="A1" s="351"/>
      <c r="B1" s="351"/>
      <c r="C1" s="351"/>
      <c r="D1" s="351"/>
      <c r="E1" s="351"/>
      <c r="F1" s="351"/>
      <c r="G1" s="351"/>
      <c r="H1" s="351"/>
      <c r="I1" s="351"/>
      <c r="K1" s="351"/>
      <c r="L1" s="351"/>
      <c r="M1" s="351"/>
      <c r="N1" s="351"/>
    </row>
    <row r="2" spans="1:24" ht="13.5" customHeight="1">
      <c r="A2" s="351"/>
      <c r="I2" s="351"/>
      <c r="J2" s="758" t="s">
        <v>352</v>
      </c>
      <c r="K2" s="351"/>
      <c r="L2" s="351"/>
      <c r="M2" s="351"/>
      <c r="N2" s="351"/>
    </row>
    <row r="3" spans="1:24" ht="13.5" customHeight="1">
      <c r="A3" s="351"/>
      <c r="I3" s="351"/>
      <c r="J3" s="759" t="s">
        <v>289</v>
      </c>
      <c r="K3" s="351"/>
      <c r="L3" s="351"/>
      <c r="M3" s="351"/>
      <c r="N3" s="351"/>
    </row>
    <row r="4" spans="1:24" ht="13.5" customHeight="1">
      <c r="A4" s="351"/>
      <c r="B4" s="829" t="s">
        <v>217</v>
      </c>
      <c r="C4" s="829"/>
      <c r="D4" s="829"/>
      <c r="E4" s="829"/>
      <c r="F4" s="829"/>
      <c r="G4" s="829"/>
      <c r="H4" s="829"/>
      <c r="I4" s="351"/>
      <c r="J4" s="759" t="s">
        <v>308</v>
      </c>
      <c r="K4" s="351"/>
      <c r="L4" s="351"/>
      <c r="M4" s="351"/>
      <c r="N4" s="351"/>
    </row>
    <row r="5" spans="1:24" ht="15.5">
      <c r="A5" s="351"/>
      <c r="B5" s="830" t="s">
        <v>349</v>
      </c>
      <c r="C5" s="830"/>
      <c r="D5" s="830"/>
      <c r="E5" s="830"/>
      <c r="F5" s="830"/>
      <c r="G5" s="830"/>
      <c r="H5" s="830"/>
      <c r="I5" s="351"/>
      <c r="J5" s="351"/>
      <c r="K5" s="351"/>
      <c r="L5" s="351"/>
      <c r="M5" s="351"/>
      <c r="N5" s="351"/>
    </row>
    <row r="6" spans="1:24" ht="15.5">
      <c r="A6" s="351"/>
      <c r="B6" s="754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</row>
    <row r="7" spans="1:24" ht="15.5">
      <c r="A7" s="351"/>
      <c r="B7" s="755"/>
      <c r="C7" s="351"/>
      <c r="D7" s="367" t="s">
        <v>218</v>
      </c>
      <c r="E7" s="368"/>
      <c r="F7" s="369" t="s">
        <v>6</v>
      </c>
      <c r="G7" s="351"/>
      <c r="H7" s="351"/>
      <c r="I7" s="351"/>
      <c r="J7" s="351"/>
      <c r="K7" s="351"/>
      <c r="L7" s="351"/>
      <c r="M7" s="351"/>
      <c r="N7" s="351"/>
    </row>
    <row r="8" spans="1:24" ht="15.5">
      <c r="A8" s="351"/>
      <c r="B8" s="391"/>
      <c r="C8" s="370"/>
      <c r="D8" s="371"/>
      <c r="E8" s="372"/>
      <c r="F8" s="370"/>
      <c r="G8" s="351"/>
      <c r="H8" s="351"/>
      <c r="I8" s="351"/>
      <c r="J8" s="351"/>
      <c r="K8" s="351"/>
      <c r="L8" s="351"/>
      <c r="M8" s="351"/>
      <c r="N8" s="351"/>
    </row>
    <row r="9" spans="1:24" ht="15.5">
      <c r="A9" s="351"/>
      <c r="B9" s="373" t="s">
        <v>219</v>
      </c>
      <c r="C9" s="374"/>
      <c r="D9" s="375">
        <v>43577267</v>
      </c>
      <c r="E9" s="376"/>
      <c r="F9" s="377">
        <f>+'[36]Director view-WA Gas Cost Track'!$Y$101</f>
        <v>42662500.055220172</v>
      </c>
      <c r="G9" s="351"/>
      <c r="H9" s="351"/>
      <c r="I9" s="351"/>
      <c r="J9" s="351"/>
      <c r="K9" s="351"/>
      <c r="L9" s="351"/>
      <c r="M9" s="351"/>
      <c r="N9" s="762"/>
      <c r="X9" s="763"/>
    </row>
    <row r="10" spans="1:24" ht="15.5">
      <c r="A10" s="351"/>
      <c r="B10" s="373"/>
      <c r="C10" s="374"/>
      <c r="D10" s="375"/>
      <c r="E10" s="376"/>
      <c r="F10" s="374"/>
      <c r="G10" s="351"/>
      <c r="H10" s="351"/>
      <c r="I10" s="351"/>
      <c r="J10" s="351"/>
      <c r="K10" s="351"/>
      <c r="L10" s="351"/>
      <c r="M10" s="351"/>
      <c r="N10" s="351"/>
    </row>
    <row r="11" spans="1:24" ht="15.5">
      <c r="A11" s="351"/>
      <c r="B11" s="378" t="s">
        <v>220</v>
      </c>
      <c r="C11" s="374"/>
      <c r="D11" s="379">
        <v>61901696</v>
      </c>
      <c r="E11" s="376"/>
      <c r="F11" s="380">
        <f>+'[36]Director view-WA Gas Cost Track'!$W$101</f>
        <v>65665947.741346508</v>
      </c>
      <c r="G11" s="351"/>
      <c r="H11" s="351"/>
      <c r="I11" s="351"/>
      <c r="J11" s="351"/>
      <c r="K11" s="351"/>
      <c r="L11" s="351"/>
      <c r="M11" s="351"/>
      <c r="N11" s="351"/>
    </row>
    <row r="12" spans="1:24" ht="15.5">
      <c r="A12" s="351"/>
      <c r="B12" s="381"/>
      <c r="C12" s="382"/>
      <c r="D12" s="383"/>
      <c r="E12" s="384"/>
      <c r="F12" s="385"/>
      <c r="G12" s="351"/>
      <c r="H12" s="351"/>
      <c r="I12" s="351"/>
      <c r="J12" s="351"/>
      <c r="K12" s="351"/>
      <c r="L12" s="351"/>
      <c r="M12" s="351"/>
      <c r="N12" s="351"/>
    </row>
    <row r="13" spans="1:24" ht="15.5">
      <c r="A13" s="351"/>
      <c r="B13" s="376"/>
      <c r="C13" s="376"/>
      <c r="D13" s="386"/>
      <c r="E13" s="351"/>
      <c r="F13" s="386"/>
      <c r="G13" s="351"/>
      <c r="H13" s="351"/>
      <c r="I13" s="351"/>
      <c r="J13" s="351"/>
      <c r="K13" s="351"/>
      <c r="L13" s="351"/>
      <c r="M13" s="351"/>
      <c r="N13" s="351"/>
    </row>
    <row r="14" spans="1:24" ht="15.5">
      <c r="A14" s="351"/>
      <c r="B14" s="387" t="s">
        <v>182</v>
      </c>
      <c r="C14" s="388"/>
      <c r="D14" s="389" t="s">
        <v>72</v>
      </c>
      <c r="E14" s="368"/>
      <c r="F14" s="389" t="s">
        <v>74</v>
      </c>
      <c r="G14" s="387"/>
      <c r="H14" s="390" t="s">
        <v>221</v>
      </c>
      <c r="I14" s="368"/>
      <c r="J14" s="390">
        <v>570</v>
      </c>
      <c r="K14" s="368"/>
      <c r="L14" s="390" t="s">
        <v>210</v>
      </c>
      <c r="M14" s="351"/>
      <c r="N14" s="351"/>
      <c r="T14" s="763"/>
    </row>
    <row r="15" spans="1:24" ht="15.5">
      <c r="A15" s="351"/>
      <c r="B15" s="391"/>
      <c r="C15" s="370"/>
      <c r="D15" s="392"/>
      <c r="E15" s="372"/>
      <c r="F15" s="393"/>
      <c r="G15" s="372"/>
      <c r="H15" s="370"/>
      <c r="I15" s="372"/>
      <c r="J15" s="370"/>
      <c r="K15" s="372"/>
      <c r="L15" s="370"/>
      <c r="M15" s="351"/>
      <c r="N15" s="351"/>
      <c r="T15" s="763"/>
    </row>
    <row r="16" spans="1:24" ht="15.5">
      <c r="A16" s="351"/>
      <c r="B16" s="378" t="s">
        <v>222</v>
      </c>
      <c r="C16" s="374"/>
      <c r="D16" s="394">
        <v>0.17463000000000001</v>
      </c>
      <c r="E16" s="820"/>
      <c r="F16" s="395">
        <v>0.17199</v>
      </c>
      <c r="G16" s="820"/>
      <c r="H16" s="395">
        <v>0.15895999999999999</v>
      </c>
      <c r="I16" s="820"/>
      <c r="J16" s="395">
        <v>0.14596999999999999</v>
      </c>
      <c r="K16" s="376"/>
      <c r="L16" s="374"/>
      <c r="M16" s="351"/>
      <c r="N16" s="351"/>
      <c r="R16" s="761"/>
      <c r="T16" s="763"/>
    </row>
    <row r="17" spans="1:20" ht="15.5">
      <c r="A17" s="351"/>
      <c r="B17" s="378" t="s">
        <v>227</v>
      </c>
      <c r="C17" s="374"/>
      <c r="D17" s="764">
        <v>1.0443100000000001</v>
      </c>
      <c r="E17" s="764"/>
      <c r="F17" s="792">
        <v>1.0443100000000001</v>
      </c>
      <c r="G17" s="765"/>
      <c r="H17" s="792">
        <v>1.0443100000000001</v>
      </c>
      <c r="I17" s="793"/>
      <c r="J17" s="793">
        <v>1.0443100000000001</v>
      </c>
      <c r="K17" s="376"/>
      <c r="L17" s="374"/>
      <c r="M17" s="351"/>
      <c r="N17" s="351"/>
      <c r="R17" s="761"/>
      <c r="T17" s="763"/>
    </row>
    <row r="18" spans="1:20" ht="15.5">
      <c r="A18" s="351"/>
      <c r="B18" s="396" t="s">
        <v>223</v>
      </c>
      <c r="C18" s="374"/>
      <c r="D18" s="397">
        <v>-4.9627267105498404E-2</v>
      </c>
      <c r="E18" s="376"/>
      <c r="F18" s="398">
        <f>+D18</f>
        <v>-4.9627267105498404E-2</v>
      </c>
      <c r="G18" s="376"/>
      <c r="H18" s="398">
        <f>+F18</f>
        <v>-4.9627267105498404E-2</v>
      </c>
      <c r="I18" s="376"/>
      <c r="J18" s="398">
        <f>+H18</f>
        <v>-4.9627267105498404E-2</v>
      </c>
      <c r="K18" s="376"/>
      <c r="L18" s="399"/>
      <c r="M18" s="351"/>
      <c r="N18" s="351"/>
      <c r="R18" s="761"/>
      <c r="T18" s="763"/>
    </row>
    <row r="19" spans="1:20" ht="15.5">
      <c r="A19" s="351"/>
      <c r="B19" s="396"/>
      <c r="C19" s="374"/>
      <c r="D19" s="397"/>
      <c r="E19" s="376"/>
      <c r="F19" s="398"/>
      <c r="G19" s="378"/>
      <c r="H19" s="398"/>
      <c r="I19" s="376"/>
      <c r="J19" s="398"/>
      <c r="K19" s="376"/>
      <c r="L19" s="399"/>
      <c r="M19" s="351"/>
      <c r="N19" s="351"/>
      <c r="T19" s="763"/>
    </row>
    <row r="20" spans="1:20" ht="15.5">
      <c r="A20" s="351"/>
      <c r="B20" s="400" t="s">
        <v>224</v>
      </c>
      <c r="C20" s="401"/>
      <c r="D20" s="402">
        <f>+D16+D24</f>
        <v>0.16596359034536681</v>
      </c>
      <c r="E20" s="376"/>
      <c r="F20" s="403">
        <f>+F16+F24</f>
        <v>0.16345460633052533</v>
      </c>
      <c r="G20" s="378"/>
      <c r="H20" s="403">
        <f>+H16+H24</f>
        <v>0.15107124962090995</v>
      </c>
      <c r="I20" s="376"/>
      <c r="J20" s="403">
        <f>+J16+J24</f>
        <v>0.13872590782061039</v>
      </c>
      <c r="K20" s="376"/>
      <c r="L20" s="374"/>
      <c r="M20" s="351"/>
      <c r="N20" s="351"/>
      <c r="P20" s="763"/>
      <c r="R20" s="311"/>
      <c r="T20" s="763"/>
    </row>
    <row r="21" spans="1:20" ht="15.5">
      <c r="A21" s="351"/>
      <c r="B21" s="400"/>
      <c r="C21" s="401"/>
      <c r="D21" s="402"/>
      <c r="E21" s="376"/>
      <c r="F21" s="403"/>
      <c r="G21" s="378"/>
      <c r="H21" s="403"/>
      <c r="I21" s="376"/>
      <c r="J21" s="403"/>
      <c r="K21" s="376"/>
      <c r="L21" s="374"/>
      <c r="M21" s="351"/>
      <c r="N21" s="762"/>
      <c r="P21" s="763"/>
      <c r="R21" s="316"/>
      <c r="T21" s="763"/>
    </row>
    <row r="22" spans="1:20" ht="15.5">
      <c r="A22" s="351"/>
      <c r="B22" s="378" t="s">
        <v>225</v>
      </c>
      <c r="C22" s="374"/>
      <c r="D22" s="375">
        <f>+D20*D30</f>
        <v>21908214.355335079</v>
      </c>
      <c r="E22" s="376"/>
      <c r="F22" s="404">
        <f>+F20*F30</f>
        <v>14877231.281401938</v>
      </c>
      <c r="G22" s="378"/>
      <c r="H22" s="404">
        <f>+H20*H30</f>
        <v>5574110.4135265555</v>
      </c>
      <c r="I22" s="376"/>
      <c r="J22" s="404">
        <f>+J20*J30</f>
        <v>302943.94973642833</v>
      </c>
      <c r="K22" s="376"/>
      <c r="L22" s="377">
        <f>+D22+F22+H22+J22</f>
        <v>42662500.000000007</v>
      </c>
      <c r="M22" s="351"/>
      <c r="N22" s="351"/>
      <c r="T22" s="763"/>
    </row>
    <row r="23" spans="1:20" ht="15.5">
      <c r="A23" s="351"/>
      <c r="B23" s="378"/>
      <c r="C23" s="374"/>
      <c r="D23" s="375"/>
      <c r="E23" s="376"/>
      <c r="F23" s="404"/>
      <c r="G23" s="378"/>
      <c r="H23" s="404"/>
      <c r="I23" s="376"/>
      <c r="J23" s="404"/>
      <c r="K23" s="376"/>
      <c r="L23" s="377"/>
      <c r="M23" s="351"/>
      <c r="N23" s="351"/>
      <c r="T23" s="763"/>
    </row>
    <row r="24" spans="1:20" ht="15.5">
      <c r="A24" s="351"/>
      <c r="B24" s="378" t="s">
        <v>226</v>
      </c>
      <c r="C24" s="374"/>
      <c r="D24" s="394">
        <f>+D16*D18</f>
        <v>-8.6664096546331861E-3</v>
      </c>
      <c r="E24" s="376"/>
      <c r="F24" s="395">
        <f>+F16*F18</f>
        <v>-8.5353936694746706E-3</v>
      </c>
      <c r="G24" s="378"/>
      <c r="H24" s="395">
        <f>+H16*H18</f>
        <v>-7.8887503790900267E-3</v>
      </c>
      <c r="I24" s="376"/>
      <c r="J24" s="395">
        <f>+J16*J18</f>
        <v>-7.2440921793896019E-3</v>
      </c>
      <c r="K24" s="376"/>
      <c r="L24" s="377"/>
      <c r="M24" s="351"/>
      <c r="N24" s="351"/>
      <c r="S24" s="794"/>
    </row>
    <row r="25" spans="1:20" ht="15.5">
      <c r="A25" s="351"/>
      <c r="B25" s="378"/>
      <c r="C25" s="374"/>
      <c r="D25" s="394"/>
      <c r="E25" s="376"/>
      <c r="F25" s="395"/>
      <c r="G25" s="378"/>
      <c r="H25" s="395"/>
      <c r="I25" s="376"/>
      <c r="J25" s="395"/>
      <c r="K25" s="376"/>
      <c r="L25" s="377"/>
      <c r="M25" s="351"/>
      <c r="N25" s="351"/>
      <c r="S25" s="794"/>
    </row>
    <row r="26" spans="1:20" ht="15.5">
      <c r="A26" s="351"/>
      <c r="B26" s="378" t="s">
        <v>227</v>
      </c>
      <c r="C26" s="374"/>
      <c r="D26" s="394">
        <v>1.04362</v>
      </c>
      <c r="E26" s="376"/>
      <c r="F26" s="395">
        <f>D26</f>
        <v>1.04362</v>
      </c>
      <c r="G26" s="376"/>
      <c r="H26" s="395">
        <f>D26</f>
        <v>1.04362</v>
      </c>
      <c r="I26" s="376"/>
      <c r="J26" s="395">
        <f>D26</f>
        <v>1.04362</v>
      </c>
      <c r="K26" s="376"/>
      <c r="L26" s="377"/>
      <c r="M26" s="351"/>
      <c r="N26" s="351"/>
      <c r="R26" s="822"/>
      <c r="S26" s="794"/>
    </row>
    <row r="27" spans="1:20" ht="15.5">
      <c r="A27" s="351"/>
      <c r="B27" s="378"/>
      <c r="C27" s="374"/>
      <c r="D27" s="394"/>
      <c r="E27" s="376"/>
      <c r="F27" s="395"/>
      <c r="G27" s="378"/>
      <c r="H27" s="395"/>
      <c r="I27" s="376"/>
      <c r="J27" s="395"/>
      <c r="K27" s="376"/>
      <c r="L27" s="377"/>
      <c r="M27" s="351"/>
      <c r="N27" s="351"/>
      <c r="S27" s="794"/>
    </row>
    <row r="28" spans="1:20" ht="15.5">
      <c r="A28" s="351"/>
      <c r="B28" s="378" t="s">
        <v>228</v>
      </c>
      <c r="C28" s="374"/>
      <c r="D28" s="764">
        <f>ROUND(+(D20*D26)-(D16*D17),5)</f>
        <v>-9.1599999999999997E-3</v>
      </c>
      <c r="E28" s="764">
        <f t="shared" ref="E28:I28" si="0">+(E20*E26)-(E16*E17)</f>
        <v>0</v>
      </c>
      <c r="F28" s="764">
        <f t="shared" si="0"/>
        <v>-9.0263806413371783E-3</v>
      </c>
      <c r="G28" s="764">
        <f t="shared" si="0"/>
        <v>0</v>
      </c>
      <c r="H28" s="764">
        <f>ROUND(+(H20*H26)-(H16*H17),5)</f>
        <v>-8.3400000000000002E-3</v>
      </c>
      <c r="I28" s="764">
        <f t="shared" si="0"/>
        <v>0</v>
      </c>
      <c r="J28" s="764">
        <f>+(J20*J26)-(J16*J17)+0.00001</f>
        <v>-7.65079878025458E-3</v>
      </c>
      <c r="K28" s="378"/>
      <c r="L28" s="377"/>
      <c r="M28" s="351"/>
      <c r="N28" s="351"/>
      <c r="S28" s="794"/>
    </row>
    <row r="29" spans="1:20" ht="15.5">
      <c r="A29" s="351"/>
      <c r="B29" s="378"/>
      <c r="C29" s="374"/>
      <c r="D29" s="379"/>
      <c r="E29" s="376"/>
      <c r="F29" s="380"/>
      <c r="G29" s="378"/>
      <c r="H29" s="380"/>
      <c r="I29" s="376"/>
      <c r="J29" s="380"/>
      <c r="K29" s="376"/>
      <c r="L29" s="405"/>
      <c r="M29" s="351"/>
      <c r="N29" s="351"/>
      <c r="S29" s="794"/>
    </row>
    <row r="30" spans="1:20" ht="15.5">
      <c r="A30" s="351"/>
      <c r="B30" s="381" t="s">
        <v>229</v>
      </c>
      <c r="C30" s="382"/>
      <c r="D30" s="383">
        <f>+H36</f>
        <v>132006148.5157349</v>
      </c>
      <c r="E30" s="384"/>
      <c r="F30" s="383">
        <f>+H37</f>
        <v>91017510.092792034</v>
      </c>
      <c r="G30" s="381"/>
      <c r="H30" s="383">
        <f>+H38</f>
        <v>36897228.4767216</v>
      </c>
      <c r="I30" s="384"/>
      <c r="J30" s="383">
        <f>+H39</f>
        <v>2183759</v>
      </c>
      <c r="K30" s="384"/>
      <c r="L30" s="385">
        <f>+D30+F30+H30+J30</f>
        <v>262104646.08524853</v>
      </c>
      <c r="M30" s="351"/>
      <c r="N30" s="351"/>
      <c r="S30" s="794"/>
    </row>
    <row r="31" spans="1:20" ht="14.5">
      <c r="A31" s="312"/>
      <c r="B31" s="309"/>
      <c r="C31" s="309"/>
      <c r="D31" s="313"/>
      <c r="E31" s="313"/>
      <c r="F31" s="313"/>
      <c r="G31" s="313"/>
      <c r="H31" s="313"/>
      <c r="I31" s="313"/>
      <c r="J31" s="313"/>
      <c r="K31" s="309"/>
      <c r="L31" s="309"/>
      <c r="S31" s="794"/>
    </row>
    <row r="34" spans="1:8">
      <c r="D34" s="310" t="s">
        <v>332</v>
      </c>
      <c r="F34" s="308" t="s">
        <v>230</v>
      </c>
      <c r="H34" s="308" t="s">
        <v>231</v>
      </c>
    </row>
    <row r="35" spans="1:8">
      <c r="C35" s="310"/>
      <c r="D35" s="310" t="s">
        <v>232</v>
      </c>
      <c r="E35" s="310"/>
      <c r="F35" s="310"/>
      <c r="G35" s="310"/>
      <c r="H35" s="310" t="s">
        <v>233</v>
      </c>
    </row>
    <row r="36" spans="1:8">
      <c r="B36" s="308" t="s">
        <v>234</v>
      </c>
      <c r="D36" s="808">
        <v>128752949</v>
      </c>
      <c r="F36" s="807">
        <f>D36/($D$40-$D$39)</f>
        <v>0.5078704908868662</v>
      </c>
      <c r="H36" s="808">
        <f>(+H40-H39)*F36</f>
        <v>132006148.5157349</v>
      </c>
    </row>
    <row r="37" spans="1:8">
      <c r="B37" s="308" t="s">
        <v>235</v>
      </c>
      <c r="D37" s="808">
        <v>88774447</v>
      </c>
      <c r="F37" s="807">
        <f t="shared" ref="F37:F38" si="1">D37/($D$40-$D$39)</f>
        <v>0.35017389757884376</v>
      </c>
      <c r="H37" s="808">
        <f>(+H40-H39)*F37</f>
        <v>91017510.092792034</v>
      </c>
    </row>
    <row r="38" spans="1:8">
      <c r="B38" s="308" t="s">
        <v>186</v>
      </c>
      <c r="D38" s="808">
        <v>35987922</v>
      </c>
      <c r="F38" s="807">
        <f t="shared" si="1"/>
        <v>0.14195561153429001</v>
      </c>
      <c r="H38" s="808">
        <f>(+H40-H39)*F38</f>
        <v>36897228.4767216</v>
      </c>
    </row>
    <row r="39" spans="1:8">
      <c r="B39" s="308" t="s">
        <v>12</v>
      </c>
      <c r="D39" s="808">
        <v>3117018</v>
      </c>
      <c r="F39" s="807">
        <v>0</v>
      </c>
      <c r="H39" s="808">
        <f>+'Bills-Therms-Revs'!G39</f>
        <v>2183759</v>
      </c>
    </row>
    <row r="40" spans="1:8">
      <c r="D40" s="808">
        <f>SUM(D36:D39)</f>
        <v>256632336</v>
      </c>
      <c r="F40" s="806">
        <v>1</v>
      </c>
      <c r="H40" s="808">
        <f>+'[36]Director view-WA Gas Cost Track'!$AC$101</f>
        <v>262104646.08524853</v>
      </c>
    </row>
    <row r="42" spans="1:8">
      <c r="A42" s="308" t="s">
        <v>236</v>
      </c>
      <c r="D42" s="308" t="s">
        <v>330</v>
      </c>
    </row>
    <row r="44" spans="1:8">
      <c r="B44" s="308" t="s">
        <v>237</v>
      </c>
      <c r="D44" s="808">
        <f>+D40-D39</f>
        <v>253515318</v>
      </c>
      <c r="E44" s="808"/>
      <c r="F44" s="808"/>
      <c r="G44" s="808"/>
      <c r="H44" s="808">
        <f>+H40-H39</f>
        <v>259920887.08524853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N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N10" sqref="N10"/>
    </sheetView>
  </sheetViews>
  <sheetFormatPr defaultRowHeight="14.5"/>
  <cols>
    <col min="1" max="1" width="6.109375" style="76" customWidth="1"/>
    <col min="2" max="2" width="39.33203125" style="60" bestFit="1" customWidth="1"/>
    <col min="3" max="3" width="15.33203125" style="60" customWidth="1"/>
    <col min="4" max="6" width="17.77734375" style="60" customWidth="1"/>
    <col min="7" max="8" width="17.77734375" style="60" hidden="1" customWidth="1"/>
    <col min="9" max="9" width="17.77734375" style="187" hidden="1" customWidth="1"/>
    <col min="10" max="10" width="17.77734375" style="74" customWidth="1"/>
    <col min="11" max="11" width="3" style="60" customWidth="1"/>
    <col min="12" max="12" width="14.33203125" style="189" customWidth="1"/>
    <col min="13" max="243" width="9.33203125" style="60"/>
    <col min="244" max="244" width="6.109375" style="60" customWidth="1"/>
    <col min="245" max="245" width="20.33203125" style="60" customWidth="1"/>
    <col min="246" max="246" width="18.6640625" style="60" customWidth="1"/>
    <col min="247" max="247" width="12.6640625" style="60" bestFit="1" customWidth="1"/>
    <col min="248" max="248" width="13.6640625" style="60" customWidth="1"/>
    <col min="249" max="249" width="13.33203125" style="60" customWidth="1"/>
    <col min="250" max="250" width="13.109375" style="60" bestFit="1" customWidth="1"/>
    <col min="251" max="251" width="12.77734375" style="60" customWidth="1"/>
    <col min="252" max="252" width="15.77734375" style="60" bestFit="1" customWidth="1"/>
    <col min="253" max="253" width="12.33203125" style="60" customWidth="1"/>
    <col min="254" max="254" width="12.77734375" style="60" customWidth="1"/>
    <col min="255" max="255" width="13.44140625" style="60" customWidth="1"/>
    <col min="256" max="256" width="14.44140625" style="60" customWidth="1"/>
    <col min="257" max="257" width="11.33203125" style="60" bestFit="1" customWidth="1"/>
    <col min="258" max="258" width="11" style="60" bestFit="1" customWidth="1"/>
    <col min="259" max="259" width="12" style="60" customWidth="1"/>
    <col min="260" max="261" width="9.33203125" style="60"/>
    <col min="262" max="262" width="11.77734375" style="60" customWidth="1"/>
    <col min="263" max="499" width="9.33203125" style="60"/>
    <col min="500" max="500" width="6.109375" style="60" customWidth="1"/>
    <col min="501" max="501" width="20.33203125" style="60" customWidth="1"/>
    <col min="502" max="502" width="18.6640625" style="60" customWidth="1"/>
    <col min="503" max="503" width="12.6640625" style="60" bestFit="1" customWidth="1"/>
    <col min="504" max="504" width="13.6640625" style="60" customWidth="1"/>
    <col min="505" max="505" width="13.33203125" style="60" customWidth="1"/>
    <col min="506" max="506" width="13.109375" style="60" bestFit="1" customWidth="1"/>
    <col min="507" max="507" width="12.77734375" style="60" customWidth="1"/>
    <col min="508" max="508" width="15.77734375" style="60" bestFit="1" customWidth="1"/>
    <col min="509" max="509" width="12.33203125" style="60" customWidth="1"/>
    <col min="510" max="510" width="12.77734375" style="60" customWidth="1"/>
    <col min="511" max="511" width="13.44140625" style="60" customWidth="1"/>
    <col min="512" max="512" width="14.44140625" style="60" customWidth="1"/>
    <col min="513" max="513" width="11.33203125" style="60" bestFit="1" customWidth="1"/>
    <col min="514" max="514" width="11" style="60" bestFit="1" customWidth="1"/>
    <col min="515" max="515" width="12" style="60" customWidth="1"/>
    <col min="516" max="517" width="9.33203125" style="60"/>
    <col min="518" max="518" width="11.77734375" style="60" customWidth="1"/>
    <col min="519" max="755" width="9.33203125" style="60"/>
    <col min="756" max="756" width="6.109375" style="60" customWidth="1"/>
    <col min="757" max="757" width="20.33203125" style="60" customWidth="1"/>
    <col min="758" max="758" width="18.6640625" style="60" customWidth="1"/>
    <col min="759" max="759" width="12.6640625" style="60" bestFit="1" customWidth="1"/>
    <col min="760" max="760" width="13.6640625" style="60" customWidth="1"/>
    <col min="761" max="761" width="13.33203125" style="60" customWidth="1"/>
    <col min="762" max="762" width="13.109375" style="60" bestFit="1" customWidth="1"/>
    <col min="763" max="763" width="12.77734375" style="60" customWidth="1"/>
    <col min="764" max="764" width="15.77734375" style="60" bestFit="1" customWidth="1"/>
    <col min="765" max="765" width="12.33203125" style="60" customWidth="1"/>
    <col min="766" max="766" width="12.77734375" style="60" customWidth="1"/>
    <col min="767" max="767" width="13.44140625" style="60" customWidth="1"/>
    <col min="768" max="768" width="14.44140625" style="60" customWidth="1"/>
    <col min="769" max="769" width="11.33203125" style="60" bestFit="1" customWidth="1"/>
    <col min="770" max="770" width="11" style="60" bestFit="1" customWidth="1"/>
    <col min="771" max="771" width="12" style="60" customWidth="1"/>
    <col min="772" max="773" width="9.33203125" style="60"/>
    <col min="774" max="774" width="11.77734375" style="60" customWidth="1"/>
    <col min="775" max="1011" width="9.33203125" style="60"/>
    <col min="1012" max="1012" width="6.109375" style="60" customWidth="1"/>
    <col min="1013" max="1013" width="20.33203125" style="60" customWidth="1"/>
    <col min="1014" max="1014" width="18.6640625" style="60" customWidth="1"/>
    <col min="1015" max="1015" width="12.6640625" style="60" bestFit="1" customWidth="1"/>
    <col min="1016" max="1016" width="13.6640625" style="60" customWidth="1"/>
    <col min="1017" max="1017" width="13.33203125" style="60" customWidth="1"/>
    <col min="1018" max="1018" width="13.109375" style="60" bestFit="1" customWidth="1"/>
    <col min="1019" max="1019" width="12.77734375" style="60" customWidth="1"/>
    <col min="1020" max="1020" width="15.77734375" style="60" bestFit="1" customWidth="1"/>
    <col min="1021" max="1021" width="12.33203125" style="60" customWidth="1"/>
    <col min="1022" max="1022" width="12.77734375" style="60" customWidth="1"/>
    <col min="1023" max="1023" width="13.44140625" style="60" customWidth="1"/>
    <col min="1024" max="1024" width="14.44140625" style="60" customWidth="1"/>
    <col min="1025" max="1025" width="11.33203125" style="60" bestFit="1" customWidth="1"/>
    <col min="1026" max="1026" width="11" style="60" bestFit="1" customWidth="1"/>
    <col min="1027" max="1027" width="12" style="60" customWidth="1"/>
    <col min="1028" max="1029" width="9.33203125" style="60"/>
    <col min="1030" max="1030" width="11.77734375" style="60" customWidth="1"/>
    <col min="1031" max="1267" width="9.33203125" style="60"/>
    <col min="1268" max="1268" width="6.109375" style="60" customWidth="1"/>
    <col min="1269" max="1269" width="20.33203125" style="60" customWidth="1"/>
    <col min="1270" max="1270" width="18.6640625" style="60" customWidth="1"/>
    <col min="1271" max="1271" width="12.6640625" style="60" bestFit="1" customWidth="1"/>
    <col min="1272" max="1272" width="13.6640625" style="60" customWidth="1"/>
    <col min="1273" max="1273" width="13.33203125" style="60" customWidth="1"/>
    <col min="1274" max="1274" width="13.109375" style="60" bestFit="1" customWidth="1"/>
    <col min="1275" max="1275" width="12.77734375" style="60" customWidth="1"/>
    <col min="1276" max="1276" width="15.77734375" style="60" bestFit="1" customWidth="1"/>
    <col min="1277" max="1277" width="12.33203125" style="60" customWidth="1"/>
    <col min="1278" max="1278" width="12.77734375" style="60" customWidth="1"/>
    <col min="1279" max="1279" width="13.44140625" style="60" customWidth="1"/>
    <col min="1280" max="1280" width="14.44140625" style="60" customWidth="1"/>
    <col min="1281" max="1281" width="11.33203125" style="60" bestFit="1" customWidth="1"/>
    <col min="1282" max="1282" width="11" style="60" bestFit="1" customWidth="1"/>
    <col min="1283" max="1283" width="12" style="60" customWidth="1"/>
    <col min="1284" max="1285" width="9.33203125" style="60"/>
    <col min="1286" max="1286" width="11.77734375" style="60" customWidth="1"/>
    <col min="1287" max="1523" width="9.33203125" style="60"/>
    <col min="1524" max="1524" width="6.109375" style="60" customWidth="1"/>
    <col min="1525" max="1525" width="20.33203125" style="60" customWidth="1"/>
    <col min="1526" max="1526" width="18.6640625" style="60" customWidth="1"/>
    <col min="1527" max="1527" width="12.6640625" style="60" bestFit="1" customWidth="1"/>
    <col min="1528" max="1528" width="13.6640625" style="60" customWidth="1"/>
    <col min="1529" max="1529" width="13.33203125" style="60" customWidth="1"/>
    <col min="1530" max="1530" width="13.109375" style="60" bestFit="1" customWidth="1"/>
    <col min="1531" max="1531" width="12.77734375" style="60" customWidth="1"/>
    <col min="1532" max="1532" width="15.77734375" style="60" bestFit="1" customWidth="1"/>
    <col min="1533" max="1533" width="12.33203125" style="60" customWidth="1"/>
    <col min="1534" max="1534" width="12.77734375" style="60" customWidth="1"/>
    <col min="1535" max="1535" width="13.44140625" style="60" customWidth="1"/>
    <col min="1536" max="1536" width="14.44140625" style="60" customWidth="1"/>
    <col min="1537" max="1537" width="11.33203125" style="60" bestFit="1" customWidth="1"/>
    <col min="1538" max="1538" width="11" style="60" bestFit="1" customWidth="1"/>
    <col min="1539" max="1539" width="12" style="60" customWidth="1"/>
    <col min="1540" max="1541" width="9.33203125" style="60"/>
    <col min="1542" max="1542" width="11.77734375" style="60" customWidth="1"/>
    <col min="1543" max="1779" width="9.33203125" style="60"/>
    <col min="1780" max="1780" width="6.109375" style="60" customWidth="1"/>
    <col min="1781" max="1781" width="20.33203125" style="60" customWidth="1"/>
    <col min="1782" max="1782" width="18.6640625" style="60" customWidth="1"/>
    <col min="1783" max="1783" width="12.6640625" style="60" bestFit="1" customWidth="1"/>
    <col min="1784" max="1784" width="13.6640625" style="60" customWidth="1"/>
    <col min="1785" max="1785" width="13.33203125" style="60" customWidth="1"/>
    <col min="1786" max="1786" width="13.109375" style="60" bestFit="1" customWidth="1"/>
    <col min="1787" max="1787" width="12.77734375" style="60" customWidth="1"/>
    <col min="1788" max="1788" width="15.77734375" style="60" bestFit="1" customWidth="1"/>
    <col min="1789" max="1789" width="12.33203125" style="60" customWidth="1"/>
    <col min="1790" max="1790" width="12.77734375" style="60" customWidth="1"/>
    <col min="1791" max="1791" width="13.44140625" style="60" customWidth="1"/>
    <col min="1792" max="1792" width="14.44140625" style="60" customWidth="1"/>
    <col min="1793" max="1793" width="11.33203125" style="60" bestFit="1" customWidth="1"/>
    <col min="1794" max="1794" width="11" style="60" bestFit="1" customWidth="1"/>
    <col min="1795" max="1795" width="12" style="60" customWidth="1"/>
    <col min="1796" max="1797" width="9.33203125" style="60"/>
    <col min="1798" max="1798" width="11.77734375" style="60" customWidth="1"/>
    <col min="1799" max="2035" width="9.33203125" style="60"/>
    <col min="2036" max="2036" width="6.109375" style="60" customWidth="1"/>
    <col min="2037" max="2037" width="20.33203125" style="60" customWidth="1"/>
    <col min="2038" max="2038" width="18.6640625" style="60" customWidth="1"/>
    <col min="2039" max="2039" width="12.6640625" style="60" bestFit="1" customWidth="1"/>
    <col min="2040" max="2040" width="13.6640625" style="60" customWidth="1"/>
    <col min="2041" max="2041" width="13.33203125" style="60" customWidth="1"/>
    <col min="2042" max="2042" width="13.109375" style="60" bestFit="1" customWidth="1"/>
    <col min="2043" max="2043" width="12.77734375" style="60" customWidth="1"/>
    <col min="2044" max="2044" width="15.77734375" style="60" bestFit="1" customWidth="1"/>
    <col min="2045" max="2045" width="12.33203125" style="60" customWidth="1"/>
    <col min="2046" max="2046" width="12.77734375" style="60" customWidth="1"/>
    <col min="2047" max="2047" width="13.44140625" style="60" customWidth="1"/>
    <col min="2048" max="2048" width="14.44140625" style="60" customWidth="1"/>
    <col min="2049" max="2049" width="11.33203125" style="60" bestFit="1" customWidth="1"/>
    <col min="2050" max="2050" width="11" style="60" bestFit="1" customWidth="1"/>
    <col min="2051" max="2051" width="12" style="60" customWidth="1"/>
    <col min="2052" max="2053" width="9.33203125" style="60"/>
    <col min="2054" max="2054" width="11.77734375" style="60" customWidth="1"/>
    <col min="2055" max="2291" width="9.33203125" style="60"/>
    <col min="2292" max="2292" width="6.109375" style="60" customWidth="1"/>
    <col min="2293" max="2293" width="20.33203125" style="60" customWidth="1"/>
    <col min="2294" max="2294" width="18.6640625" style="60" customWidth="1"/>
    <col min="2295" max="2295" width="12.6640625" style="60" bestFit="1" customWidth="1"/>
    <col min="2296" max="2296" width="13.6640625" style="60" customWidth="1"/>
    <col min="2297" max="2297" width="13.33203125" style="60" customWidth="1"/>
    <col min="2298" max="2298" width="13.109375" style="60" bestFit="1" customWidth="1"/>
    <col min="2299" max="2299" width="12.77734375" style="60" customWidth="1"/>
    <col min="2300" max="2300" width="15.77734375" style="60" bestFit="1" customWidth="1"/>
    <col min="2301" max="2301" width="12.33203125" style="60" customWidth="1"/>
    <col min="2302" max="2302" width="12.77734375" style="60" customWidth="1"/>
    <col min="2303" max="2303" width="13.44140625" style="60" customWidth="1"/>
    <col min="2304" max="2304" width="14.44140625" style="60" customWidth="1"/>
    <col min="2305" max="2305" width="11.33203125" style="60" bestFit="1" customWidth="1"/>
    <col min="2306" max="2306" width="11" style="60" bestFit="1" customWidth="1"/>
    <col min="2307" max="2307" width="12" style="60" customWidth="1"/>
    <col min="2308" max="2309" width="9.33203125" style="60"/>
    <col min="2310" max="2310" width="11.77734375" style="60" customWidth="1"/>
    <col min="2311" max="2547" width="9.33203125" style="60"/>
    <col min="2548" max="2548" width="6.109375" style="60" customWidth="1"/>
    <col min="2549" max="2549" width="20.33203125" style="60" customWidth="1"/>
    <col min="2550" max="2550" width="18.6640625" style="60" customWidth="1"/>
    <col min="2551" max="2551" width="12.6640625" style="60" bestFit="1" customWidth="1"/>
    <col min="2552" max="2552" width="13.6640625" style="60" customWidth="1"/>
    <col min="2553" max="2553" width="13.33203125" style="60" customWidth="1"/>
    <col min="2554" max="2554" width="13.109375" style="60" bestFit="1" customWidth="1"/>
    <col min="2555" max="2555" width="12.77734375" style="60" customWidth="1"/>
    <col min="2556" max="2556" width="15.77734375" style="60" bestFit="1" customWidth="1"/>
    <col min="2557" max="2557" width="12.33203125" style="60" customWidth="1"/>
    <col min="2558" max="2558" width="12.77734375" style="60" customWidth="1"/>
    <col min="2559" max="2559" width="13.44140625" style="60" customWidth="1"/>
    <col min="2560" max="2560" width="14.44140625" style="60" customWidth="1"/>
    <col min="2561" max="2561" width="11.33203125" style="60" bestFit="1" customWidth="1"/>
    <col min="2562" max="2562" width="11" style="60" bestFit="1" customWidth="1"/>
    <col min="2563" max="2563" width="12" style="60" customWidth="1"/>
    <col min="2564" max="2565" width="9.33203125" style="60"/>
    <col min="2566" max="2566" width="11.77734375" style="60" customWidth="1"/>
    <col min="2567" max="2803" width="9.33203125" style="60"/>
    <col min="2804" max="2804" width="6.109375" style="60" customWidth="1"/>
    <col min="2805" max="2805" width="20.33203125" style="60" customWidth="1"/>
    <col min="2806" max="2806" width="18.6640625" style="60" customWidth="1"/>
    <col min="2807" max="2807" width="12.6640625" style="60" bestFit="1" customWidth="1"/>
    <col min="2808" max="2808" width="13.6640625" style="60" customWidth="1"/>
    <col min="2809" max="2809" width="13.33203125" style="60" customWidth="1"/>
    <col min="2810" max="2810" width="13.109375" style="60" bestFit="1" customWidth="1"/>
    <col min="2811" max="2811" width="12.77734375" style="60" customWidth="1"/>
    <col min="2812" max="2812" width="15.77734375" style="60" bestFit="1" customWidth="1"/>
    <col min="2813" max="2813" width="12.33203125" style="60" customWidth="1"/>
    <col min="2814" max="2814" width="12.77734375" style="60" customWidth="1"/>
    <col min="2815" max="2815" width="13.44140625" style="60" customWidth="1"/>
    <col min="2816" max="2816" width="14.44140625" style="60" customWidth="1"/>
    <col min="2817" max="2817" width="11.33203125" style="60" bestFit="1" customWidth="1"/>
    <col min="2818" max="2818" width="11" style="60" bestFit="1" customWidth="1"/>
    <col min="2819" max="2819" width="12" style="60" customWidth="1"/>
    <col min="2820" max="2821" width="9.33203125" style="60"/>
    <col min="2822" max="2822" width="11.77734375" style="60" customWidth="1"/>
    <col min="2823" max="3059" width="9.33203125" style="60"/>
    <col min="3060" max="3060" width="6.109375" style="60" customWidth="1"/>
    <col min="3061" max="3061" width="20.33203125" style="60" customWidth="1"/>
    <col min="3062" max="3062" width="18.6640625" style="60" customWidth="1"/>
    <col min="3063" max="3063" width="12.6640625" style="60" bestFit="1" customWidth="1"/>
    <col min="3064" max="3064" width="13.6640625" style="60" customWidth="1"/>
    <col min="3065" max="3065" width="13.33203125" style="60" customWidth="1"/>
    <col min="3066" max="3066" width="13.109375" style="60" bestFit="1" customWidth="1"/>
    <col min="3067" max="3067" width="12.77734375" style="60" customWidth="1"/>
    <col min="3068" max="3068" width="15.77734375" style="60" bestFit="1" customWidth="1"/>
    <col min="3069" max="3069" width="12.33203125" style="60" customWidth="1"/>
    <col min="3070" max="3070" width="12.77734375" style="60" customWidth="1"/>
    <col min="3071" max="3071" width="13.44140625" style="60" customWidth="1"/>
    <col min="3072" max="3072" width="14.44140625" style="60" customWidth="1"/>
    <col min="3073" max="3073" width="11.33203125" style="60" bestFit="1" customWidth="1"/>
    <col min="3074" max="3074" width="11" style="60" bestFit="1" customWidth="1"/>
    <col min="3075" max="3075" width="12" style="60" customWidth="1"/>
    <col min="3076" max="3077" width="9.33203125" style="60"/>
    <col min="3078" max="3078" width="11.77734375" style="60" customWidth="1"/>
    <col min="3079" max="3315" width="9.33203125" style="60"/>
    <col min="3316" max="3316" width="6.109375" style="60" customWidth="1"/>
    <col min="3317" max="3317" width="20.33203125" style="60" customWidth="1"/>
    <col min="3318" max="3318" width="18.6640625" style="60" customWidth="1"/>
    <col min="3319" max="3319" width="12.6640625" style="60" bestFit="1" customWidth="1"/>
    <col min="3320" max="3320" width="13.6640625" style="60" customWidth="1"/>
    <col min="3321" max="3321" width="13.33203125" style="60" customWidth="1"/>
    <col min="3322" max="3322" width="13.109375" style="60" bestFit="1" customWidth="1"/>
    <col min="3323" max="3323" width="12.77734375" style="60" customWidth="1"/>
    <col min="3324" max="3324" width="15.77734375" style="60" bestFit="1" customWidth="1"/>
    <col min="3325" max="3325" width="12.33203125" style="60" customWidth="1"/>
    <col min="3326" max="3326" width="12.77734375" style="60" customWidth="1"/>
    <col min="3327" max="3327" width="13.44140625" style="60" customWidth="1"/>
    <col min="3328" max="3328" width="14.44140625" style="60" customWidth="1"/>
    <col min="3329" max="3329" width="11.33203125" style="60" bestFit="1" customWidth="1"/>
    <col min="3330" max="3330" width="11" style="60" bestFit="1" customWidth="1"/>
    <col min="3331" max="3331" width="12" style="60" customWidth="1"/>
    <col min="3332" max="3333" width="9.33203125" style="60"/>
    <col min="3334" max="3334" width="11.77734375" style="60" customWidth="1"/>
    <col min="3335" max="3571" width="9.33203125" style="60"/>
    <col min="3572" max="3572" width="6.109375" style="60" customWidth="1"/>
    <col min="3573" max="3573" width="20.33203125" style="60" customWidth="1"/>
    <col min="3574" max="3574" width="18.6640625" style="60" customWidth="1"/>
    <col min="3575" max="3575" width="12.6640625" style="60" bestFit="1" customWidth="1"/>
    <col min="3576" max="3576" width="13.6640625" style="60" customWidth="1"/>
    <col min="3577" max="3577" width="13.33203125" style="60" customWidth="1"/>
    <col min="3578" max="3578" width="13.109375" style="60" bestFit="1" customWidth="1"/>
    <col min="3579" max="3579" width="12.77734375" style="60" customWidth="1"/>
    <col min="3580" max="3580" width="15.77734375" style="60" bestFit="1" customWidth="1"/>
    <col min="3581" max="3581" width="12.33203125" style="60" customWidth="1"/>
    <col min="3582" max="3582" width="12.77734375" style="60" customWidth="1"/>
    <col min="3583" max="3583" width="13.44140625" style="60" customWidth="1"/>
    <col min="3584" max="3584" width="14.44140625" style="60" customWidth="1"/>
    <col min="3585" max="3585" width="11.33203125" style="60" bestFit="1" customWidth="1"/>
    <col min="3586" max="3586" width="11" style="60" bestFit="1" customWidth="1"/>
    <col min="3587" max="3587" width="12" style="60" customWidth="1"/>
    <col min="3588" max="3589" width="9.33203125" style="60"/>
    <col min="3590" max="3590" width="11.77734375" style="60" customWidth="1"/>
    <col min="3591" max="3827" width="9.33203125" style="60"/>
    <col min="3828" max="3828" width="6.109375" style="60" customWidth="1"/>
    <col min="3829" max="3829" width="20.33203125" style="60" customWidth="1"/>
    <col min="3830" max="3830" width="18.6640625" style="60" customWidth="1"/>
    <col min="3831" max="3831" width="12.6640625" style="60" bestFit="1" customWidth="1"/>
    <col min="3832" max="3832" width="13.6640625" style="60" customWidth="1"/>
    <col min="3833" max="3833" width="13.33203125" style="60" customWidth="1"/>
    <col min="3834" max="3834" width="13.109375" style="60" bestFit="1" customWidth="1"/>
    <col min="3835" max="3835" width="12.77734375" style="60" customWidth="1"/>
    <col min="3836" max="3836" width="15.77734375" style="60" bestFit="1" customWidth="1"/>
    <col min="3837" max="3837" width="12.33203125" style="60" customWidth="1"/>
    <col min="3838" max="3838" width="12.77734375" style="60" customWidth="1"/>
    <col min="3839" max="3839" width="13.44140625" style="60" customWidth="1"/>
    <col min="3840" max="3840" width="14.44140625" style="60" customWidth="1"/>
    <col min="3841" max="3841" width="11.33203125" style="60" bestFit="1" customWidth="1"/>
    <col min="3842" max="3842" width="11" style="60" bestFit="1" customWidth="1"/>
    <col min="3843" max="3843" width="12" style="60" customWidth="1"/>
    <col min="3844" max="3845" width="9.33203125" style="60"/>
    <col min="3846" max="3846" width="11.77734375" style="60" customWidth="1"/>
    <col min="3847" max="4083" width="9.33203125" style="60"/>
    <col min="4084" max="4084" width="6.109375" style="60" customWidth="1"/>
    <col min="4085" max="4085" width="20.33203125" style="60" customWidth="1"/>
    <col min="4086" max="4086" width="18.6640625" style="60" customWidth="1"/>
    <col min="4087" max="4087" width="12.6640625" style="60" bestFit="1" customWidth="1"/>
    <col min="4088" max="4088" width="13.6640625" style="60" customWidth="1"/>
    <col min="4089" max="4089" width="13.33203125" style="60" customWidth="1"/>
    <col min="4090" max="4090" width="13.109375" style="60" bestFit="1" customWidth="1"/>
    <col min="4091" max="4091" width="12.77734375" style="60" customWidth="1"/>
    <col min="4092" max="4092" width="15.77734375" style="60" bestFit="1" customWidth="1"/>
    <col min="4093" max="4093" width="12.33203125" style="60" customWidth="1"/>
    <col min="4094" max="4094" width="12.77734375" style="60" customWidth="1"/>
    <col min="4095" max="4095" width="13.44140625" style="60" customWidth="1"/>
    <col min="4096" max="4096" width="14.44140625" style="60" customWidth="1"/>
    <col min="4097" max="4097" width="11.33203125" style="60" bestFit="1" customWidth="1"/>
    <col min="4098" max="4098" width="11" style="60" bestFit="1" customWidth="1"/>
    <col min="4099" max="4099" width="12" style="60" customWidth="1"/>
    <col min="4100" max="4101" width="9.33203125" style="60"/>
    <col min="4102" max="4102" width="11.77734375" style="60" customWidth="1"/>
    <col min="4103" max="4339" width="9.33203125" style="60"/>
    <col min="4340" max="4340" width="6.109375" style="60" customWidth="1"/>
    <col min="4341" max="4341" width="20.33203125" style="60" customWidth="1"/>
    <col min="4342" max="4342" width="18.6640625" style="60" customWidth="1"/>
    <col min="4343" max="4343" width="12.6640625" style="60" bestFit="1" customWidth="1"/>
    <col min="4344" max="4344" width="13.6640625" style="60" customWidth="1"/>
    <col min="4345" max="4345" width="13.33203125" style="60" customWidth="1"/>
    <col min="4346" max="4346" width="13.109375" style="60" bestFit="1" customWidth="1"/>
    <col min="4347" max="4347" width="12.77734375" style="60" customWidth="1"/>
    <col min="4348" max="4348" width="15.77734375" style="60" bestFit="1" customWidth="1"/>
    <col min="4349" max="4349" width="12.33203125" style="60" customWidth="1"/>
    <col min="4350" max="4350" width="12.77734375" style="60" customWidth="1"/>
    <col min="4351" max="4351" width="13.44140625" style="60" customWidth="1"/>
    <col min="4352" max="4352" width="14.44140625" style="60" customWidth="1"/>
    <col min="4353" max="4353" width="11.33203125" style="60" bestFit="1" customWidth="1"/>
    <col min="4354" max="4354" width="11" style="60" bestFit="1" customWidth="1"/>
    <col min="4355" max="4355" width="12" style="60" customWidth="1"/>
    <col min="4356" max="4357" width="9.33203125" style="60"/>
    <col min="4358" max="4358" width="11.77734375" style="60" customWidth="1"/>
    <col min="4359" max="4595" width="9.33203125" style="60"/>
    <col min="4596" max="4596" width="6.109375" style="60" customWidth="1"/>
    <col min="4597" max="4597" width="20.33203125" style="60" customWidth="1"/>
    <col min="4598" max="4598" width="18.6640625" style="60" customWidth="1"/>
    <col min="4599" max="4599" width="12.6640625" style="60" bestFit="1" customWidth="1"/>
    <col min="4600" max="4600" width="13.6640625" style="60" customWidth="1"/>
    <col min="4601" max="4601" width="13.33203125" style="60" customWidth="1"/>
    <col min="4602" max="4602" width="13.109375" style="60" bestFit="1" customWidth="1"/>
    <col min="4603" max="4603" width="12.77734375" style="60" customWidth="1"/>
    <col min="4604" max="4604" width="15.77734375" style="60" bestFit="1" customWidth="1"/>
    <col min="4605" max="4605" width="12.33203125" style="60" customWidth="1"/>
    <col min="4606" max="4606" width="12.77734375" style="60" customWidth="1"/>
    <col min="4607" max="4607" width="13.44140625" style="60" customWidth="1"/>
    <col min="4608" max="4608" width="14.44140625" style="60" customWidth="1"/>
    <col min="4609" max="4609" width="11.33203125" style="60" bestFit="1" customWidth="1"/>
    <col min="4610" max="4610" width="11" style="60" bestFit="1" customWidth="1"/>
    <col min="4611" max="4611" width="12" style="60" customWidth="1"/>
    <col min="4612" max="4613" width="9.33203125" style="60"/>
    <col min="4614" max="4614" width="11.77734375" style="60" customWidth="1"/>
    <col min="4615" max="4851" width="9.33203125" style="60"/>
    <col min="4852" max="4852" width="6.109375" style="60" customWidth="1"/>
    <col min="4853" max="4853" width="20.33203125" style="60" customWidth="1"/>
    <col min="4854" max="4854" width="18.6640625" style="60" customWidth="1"/>
    <col min="4855" max="4855" width="12.6640625" style="60" bestFit="1" customWidth="1"/>
    <col min="4856" max="4856" width="13.6640625" style="60" customWidth="1"/>
    <col min="4857" max="4857" width="13.33203125" style="60" customWidth="1"/>
    <col min="4858" max="4858" width="13.109375" style="60" bestFit="1" customWidth="1"/>
    <col min="4859" max="4859" width="12.77734375" style="60" customWidth="1"/>
    <col min="4860" max="4860" width="15.77734375" style="60" bestFit="1" customWidth="1"/>
    <col min="4861" max="4861" width="12.33203125" style="60" customWidth="1"/>
    <col min="4862" max="4862" width="12.77734375" style="60" customWidth="1"/>
    <col min="4863" max="4863" width="13.44140625" style="60" customWidth="1"/>
    <col min="4864" max="4864" width="14.44140625" style="60" customWidth="1"/>
    <col min="4865" max="4865" width="11.33203125" style="60" bestFit="1" customWidth="1"/>
    <col min="4866" max="4866" width="11" style="60" bestFit="1" customWidth="1"/>
    <col min="4867" max="4867" width="12" style="60" customWidth="1"/>
    <col min="4868" max="4869" width="9.33203125" style="60"/>
    <col min="4870" max="4870" width="11.77734375" style="60" customWidth="1"/>
    <col min="4871" max="5107" width="9.33203125" style="60"/>
    <col min="5108" max="5108" width="6.109375" style="60" customWidth="1"/>
    <col min="5109" max="5109" width="20.33203125" style="60" customWidth="1"/>
    <col min="5110" max="5110" width="18.6640625" style="60" customWidth="1"/>
    <col min="5111" max="5111" width="12.6640625" style="60" bestFit="1" customWidth="1"/>
    <col min="5112" max="5112" width="13.6640625" style="60" customWidth="1"/>
    <col min="5113" max="5113" width="13.33203125" style="60" customWidth="1"/>
    <col min="5114" max="5114" width="13.109375" style="60" bestFit="1" customWidth="1"/>
    <col min="5115" max="5115" width="12.77734375" style="60" customWidth="1"/>
    <col min="5116" max="5116" width="15.77734375" style="60" bestFit="1" customWidth="1"/>
    <col min="5117" max="5117" width="12.33203125" style="60" customWidth="1"/>
    <col min="5118" max="5118" width="12.77734375" style="60" customWidth="1"/>
    <col min="5119" max="5119" width="13.44140625" style="60" customWidth="1"/>
    <col min="5120" max="5120" width="14.44140625" style="60" customWidth="1"/>
    <col min="5121" max="5121" width="11.33203125" style="60" bestFit="1" customWidth="1"/>
    <col min="5122" max="5122" width="11" style="60" bestFit="1" customWidth="1"/>
    <col min="5123" max="5123" width="12" style="60" customWidth="1"/>
    <col min="5124" max="5125" width="9.33203125" style="60"/>
    <col min="5126" max="5126" width="11.77734375" style="60" customWidth="1"/>
    <col min="5127" max="5363" width="9.33203125" style="60"/>
    <col min="5364" max="5364" width="6.109375" style="60" customWidth="1"/>
    <col min="5365" max="5365" width="20.33203125" style="60" customWidth="1"/>
    <col min="5366" max="5366" width="18.6640625" style="60" customWidth="1"/>
    <col min="5367" max="5367" width="12.6640625" style="60" bestFit="1" customWidth="1"/>
    <col min="5368" max="5368" width="13.6640625" style="60" customWidth="1"/>
    <col min="5369" max="5369" width="13.33203125" style="60" customWidth="1"/>
    <col min="5370" max="5370" width="13.109375" style="60" bestFit="1" customWidth="1"/>
    <col min="5371" max="5371" width="12.77734375" style="60" customWidth="1"/>
    <col min="5372" max="5372" width="15.77734375" style="60" bestFit="1" customWidth="1"/>
    <col min="5373" max="5373" width="12.33203125" style="60" customWidth="1"/>
    <col min="5374" max="5374" width="12.77734375" style="60" customWidth="1"/>
    <col min="5375" max="5375" width="13.44140625" style="60" customWidth="1"/>
    <col min="5376" max="5376" width="14.44140625" style="60" customWidth="1"/>
    <col min="5377" max="5377" width="11.33203125" style="60" bestFit="1" customWidth="1"/>
    <col min="5378" max="5378" width="11" style="60" bestFit="1" customWidth="1"/>
    <col min="5379" max="5379" width="12" style="60" customWidth="1"/>
    <col min="5380" max="5381" width="9.33203125" style="60"/>
    <col min="5382" max="5382" width="11.77734375" style="60" customWidth="1"/>
    <col min="5383" max="5619" width="9.33203125" style="60"/>
    <col min="5620" max="5620" width="6.109375" style="60" customWidth="1"/>
    <col min="5621" max="5621" width="20.33203125" style="60" customWidth="1"/>
    <col min="5622" max="5622" width="18.6640625" style="60" customWidth="1"/>
    <col min="5623" max="5623" width="12.6640625" style="60" bestFit="1" customWidth="1"/>
    <col min="5624" max="5624" width="13.6640625" style="60" customWidth="1"/>
    <col min="5625" max="5625" width="13.33203125" style="60" customWidth="1"/>
    <col min="5626" max="5626" width="13.109375" style="60" bestFit="1" customWidth="1"/>
    <col min="5627" max="5627" width="12.77734375" style="60" customWidth="1"/>
    <col min="5628" max="5628" width="15.77734375" style="60" bestFit="1" customWidth="1"/>
    <col min="5629" max="5629" width="12.33203125" style="60" customWidth="1"/>
    <col min="5630" max="5630" width="12.77734375" style="60" customWidth="1"/>
    <col min="5631" max="5631" width="13.44140625" style="60" customWidth="1"/>
    <col min="5632" max="5632" width="14.44140625" style="60" customWidth="1"/>
    <col min="5633" max="5633" width="11.33203125" style="60" bestFit="1" customWidth="1"/>
    <col min="5634" max="5634" width="11" style="60" bestFit="1" customWidth="1"/>
    <col min="5635" max="5635" width="12" style="60" customWidth="1"/>
    <col min="5636" max="5637" width="9.33203125" style="60"/>
    <col min="5638" max="5638" width="11.77734375" style="60" customWidth="1"/>
    <col min="5639" max="5875" width="9.33203125" style="60"/>
    <col min="5876" max="5876" width="6.109375" style="60" customWidth="1"/>
    <col min="5877" max="5877" width="20.33203125" style="60" customWidth="1"/>
    <col min="5878" max="5878" width="18.6640625" style="60" customWidth="1"/>
    <col min="5879" max="5879" width="12.6640625" style="60" bestFit="1" customWidth="1"/>
    <col min="5880" max="5880" width="13.6640625" style="60" customWidth="1"/>
    <col min="5881" max="5881" width="13.33203125" style="60" customWidth="1"/>
    <col min="5882" max="5882" width="13.109375" style="60" bestFit="1" customWidth="1"/>
    <col min="5883" max="5883" width="12.77734375" style="60" customWidth="1"/>
    <col min="5884" max="5884" width="15.77734375" style="60" bestFit="1" customWidth="1"/>
    <col min="5885" max="5885" width="12.33203125" style="60" customWidth="1"/>
    <col min="5886" max="5886" width="12.77734375" style="60" customWidth="1"/>
    <col min="5887" max="5887" width="13.44140625" style="60" customWidth="1"/>
    <col min="5888" max="5888" width="14.44140625" style="60" customWidth="1"/>
    <col min="5889" max="5889" width="11.33203125" style="60" bestFit="1" customWidth="1"/>
    <col min="5890" max="5890" width="11" style="60" bestFit="1" customWidth="1"/>
    <col min="5891" max="5891" width="12" style="60" customWidth="1"/>
    <col min="5892" max="5893" width="9.33203125" style="60"/>
    <col min="5894" max="5894" width="11.77734375" style="60" customWidth="1"/>
    <col min="5895" max="6131" width="9.33203125" style="60"/>
    <col min="6132" max="6132" width="6.109375" style="60" customWidth="1"/>
    <col min="6133" max="6133" width="20.33203125" style="60" customWidth="1"/>
    <col min="6134" max="6134" width="18.6640625" style="60" customWidth="1"/>
    <col min="6135" max="6135" width="12.6640625" style="60" bestFit="1" customWidth="1"/>
    <col min="6136" max="6136" width="13.6640625" style="60" customWidth="1"/>
    <col min="6137" max="6137" width="13.33203125" style="60" customWidth="1"/>
    <col min="6138" max="6138" width="13.109375" style="60" bestFit="1" customWidth="1"/>
    <col min="6139" max="6139" width="12.77734375" style="60" customWidth="1"/>
    <col min="6140" max="6140" width="15.77734375" style="60" bestFit="1" customWidth="1"/>
    <col min="6141" max="6141" width="12.33203125" style="60" customWidth="1"/>
    <col min="6142" max="6142" width="12.77734375" style="60" customWidth="1"/>
    <col min="6143" max="6143" width="13.44140625" style="60" customWidth="1"/>
    <col min="6144" max="6144" width="14.44140625" style="60" customWidth="1"/>
    <col min="6145" max="6145" width="11.33203125" style="60" bestFit="1" customWidth="1"/>
    <col min="6146" max="6146" width="11" style="60" bestFit="1" customWidth="1"/>
    <col min="6147" max="6147" width="12" style="60" customWidth="1"/>
    <col min="6148" max="6149" width="9.33203125" style="60"/>
    <col min="6150" max="6150" width="11.77734375" style="60" customWidth="1"/>
    <col min="6151" max="6387" width="9.33203125" style="60"/>
    <col min="6388" max="6388" width="6.109375" style="60" customWidth="1"/>
    <col min="6389" max="6389" width="20.33203125" style="60" customWidth="1"/>
    <col min="6390" max="6390" width="18.6640625" style="60" customWidth="1"/>
    <col min="6391" max="6391" width="12.6640625" style="60" bestFit="1" customWidth="1"/>
    <col min="6392" max="6392" width="13.6640625" style="60" customWidth="1"/>
    <col min="6393" max="6393" width="13.33203125" style="60" customWidth="1"/>
    <col min="6394" max="6394" width="13.109375" style="60" bestFit="1" customWidth="1"/>
    <col min="6395" max="6395" width="12.77734375" style="60" customWidth="1"/>
    <col min="6396" max="6396" width="15.77734375" style="60" bestFit="1" customWidth="1"/>
    <col min="6397" max="6397" width="12.33203125" style="60" customWidth="1"/>
    <col min="6398" max="6398" width="12.77734375" style="60" customWidth="1"/>
    <col min="6399" max="6399" width="13.44140625" style="60" customWidth="1"/>
    <col min="6400" max="6400" width="14.44140625" style="60" customWidth="1"/>
    <col min="6401" max="6401" width="11.33203125" style="60" bestFit="1" customWidth="1"/>
    <col min="6402" max="6402" width="11" style="60" bestFit="1" customWidth="1"/>
    <col min="6403" max="6403" width="12" style="60" customWidth="1"/>
    <col min="6404" max="6405" width="9.33203125" style="60"/>
    <col min="6406" max="6406" width="11.77734375" style="60" customWidth="1"/>
    <col min="6407" max="6643" width="9.33203125" style="60"/>
    <col min="6644" max="6644" width="6.109375" style="60" customWidth="1"/>
    <col min="6645" max="6645" width="20.33203125" style="60" customWidth="1"/>
    <col min="6646" max="6646" width="18.6640625" style="60" customWidth="1"/>
    <col min="6647" max="6647" width="12.6640625" style="60" bestFit="1" customWidth="1"/>
    <col min="6648" max="6648" width="13.6640625" style="60" customWidth="1"/>
    <col min="6649" max="6649" width="13.33203125" style="60" customWidth="1"/>
    <col min="6650" max="6650" width="13.109375" style="60" bestFit="1" customWidth="1"/>
    <col min="6651" max="6651" width="12.77734375" style="60" customWidth="1"/>
    <col min="6652" max="6652" width="15.77734375" style="60" bestFit="1" customWidth="1"/>
    <col min="6653" max="6653" width="12.33203125" style="60" customWidth="1"/>
    <col min="6654" max="6654" width="12.77734375" style="60" customWidth="1"/>
    <col min="6655" max="6655" width="13.44140625" style="60" customWidth="1"/>
    <col min="6656" max="6656" width="14.44140625" style="60" customWidth="1"/>
    <col min="6657" max="6657" width="11.33203125" style="60" bestFit="1" customWidth="1"/>
    <col min="6658" max="6658" width="11" style="60" bestFit="1" customWidth="1"/>
    <col min="6659" max="6659" width="12" style="60" customWidth="1"/>
    <col min="6660" max="6661" width="9.33203125" style="60"/>
    <col min="6662" max="6662" width="11.77734375" style="60" customWidth="1"/>
    <col min="6663" max="6899" width="9.33203125" style="60"/>
    <col min="6900" max="6900" width="6.109375" style="60" customWidth="1"/>
    <col min="6901" max="6901" width="20.33203125" style="60" customWidth="1"/>
    <col min="6902" max="6902" width="18.6640625" style="60" customWidth="1"/>
    <col min="6903" max="6903" width="12.6640625" style="60" bestFit="1" customWidth="1"/>
    <col min="6904" max="6904" width="13.6640625" style="60" customWidth="1"/>
    <col min="6905" max="6905" width="13.33203125" style="60" customWidth="1"/>
    <col min="6906" max="6906" width="13.109375" style="60" bestFit="1" customWidth="1"/>
    <col min="6907" max="6907" width="12.77734375" style="60" customWidth="1"/>
    <col min="6908" max="6908" width="15.77734375" style="60" bestFit="1" customWidth="1"/>
    <col min="6909" max="6909" width="12.33203125" style="60" customWidth="1"/>
    <col min="6910" max="6910" width="12.77734375" style="60" customWidth="1"/>
    <col min="6911" max="6911" width="13.44140625" style="60" customWidth="1"/>
    <col min="6912" max="6912" width="14.44140625" style="60" customWidth="1"/>
    <col min="6913" max="6913" width="11.33203125" style="60" bestFit="1" customWidth="1"/>
    <col min="6914" max="6914" width="11" style="60" bestFit="1" customWidth="1"/>
    <col min="6915" max="6915" width="12" style="60" customWidth="1"/>
    <col min="6916" max="6917" width="9.33203125" style="60"/>
    <col min="6918" max="6918" width="11.77734375" style="60" customWidth="1"/>
    <col min="6919" max="7155" width="9.33203125" style="60"/>
    <col min="7156" max="7156" width="6.109375" style="60" customWidth="1"/>
    <col min="7157" max="7157" width="20.33203125" style="60" customWidth="1"/>
    <col min="7158" max="7158" width="18.6640625" style="60" customWidth="1"/>
    <col min="7159" max="7159" width="12.6640625" style="60" bestFit="1" customWidth="1"/>
    <col min="7160" max="7160" width="13.6640625" style="60" customWidth="1"/>
    <col min="7161" max="7161" width="13.33203125" style="60" customWidth="1"/>
    <col min="7162" max="7162" width="13.109375" style="60" bestFit="1" customWidth="1"/>
    <col min="7163" max="7163" width="12.77734375" style="60" customWidth="1"/>
    <col min="7164" max="7164" width="15.77734375" style="60" bestFit="1" customWidth="1"/>
    <col min="7165" max="7165" width="12.33203125" style="60" customWidth="1"/>
    <col min="7166" max="7166" width="12.77734375" style="60" customWidth="1"/>
    <col min="7167" max="7167" width="13.44140625" style="60" customWidth="1"/>
    <col min="7168" max="7168" width="14.44140625" style="60" customWidth="1"/>
    <col min="7169" max="7169" width="11.33203125" style="60" bestFit="1" customWidth="1"/>
    <col min="7170" max="7170" width="11" style="60" bestFit="1" customWidth="1"/>
    <col min="7171" max="7171" width="12" style="60" customWidth="1"/>
    <col min="7172" max="7173" width="9.33203125" style="60"/>
    <col min="7174" max="7174" width="11.77734375" style="60" customWidth="1"/>
    <col min="7175" max="7411" width="9.33203125" style="60"/>
    <col min="7412" max="7412" width="6.109375" style="60" customWidth="1"/>
    <col min="7413" max="7413" width="20.33203125" style="60" customWidth="1"/>
    <col min="7414" max="7414" width="18.6640625" style="60" customWidth="1"/>
    <col min="7415" max="7415" width="12.6640625" style="60" bestFit="1" customWidth="1"/>
    <col min="7416" max="7416" width="13.6640625" style="60" customWidth="1"/>
    <col min="7417" max="7417" width="13.33203125" style="60" customWidth="1"/>
    <col min="7418" max="7418" width="13.109375" style="60" bestFit="1" customWidth="1"/>
    <col min="7419" max="7419" width="12.77734375" style="60" customWidth="1"/>
    <col min="7420" max="7420" width="15.77734375" style="60" bestFit="1" customWidth="1"/>
    <col min="7421" max="7421" width="12.33203125" style="60" customWidth="1"/>
    <col min="7422" max="7422" width="12.77734375" style="60" customWidth="1"/>
    <col min="7423" max="7423" width="13.44140625" style="60" customWidth="1"/>
    <col min="7424" max="7424" width="14.44140625" style="60" customWidth="1"/>
    <col min="7425" max="7425" width="11.33203125" style="60" bestFit="1" customWidth="1"/>
    <col min="7426" max="7426" width="11" style="60" bestFit="1" customWidth="1"/>
    <col min="7427" max="7427" width="12" style="60" customWidth="1"/>
    <col min="7428" max="7429" width="9.33203125" style="60"/>
    <col min="7430" max="7430" width="11.77734375" style="60" customWidth="1"/>
    <col min="7431" max="7667" width="9.33203125" style="60"/>
    <col min="7668" max="7668" width="6.109375" style="60" customWidth="1"/>
    <col min="7669" max="7669" width="20.33203125" style="60" customWidth="1"/>
    <col min="7670" max="7670" width="18.6640625" style="60" customWidth="1"/>
    <col min="7671" max="7671" width="12.6640625" style="60" bestFit="1" customWidth="1"/>
    <col min="7672" max="7672" width="13.6640625" style="60" customWidth="1"/>
    <col min="7673" max="7673" width="13.33203125" style="60" customWidth="1"/>
    <col min="7674" max="7674" width="13.109375" style="60" bestFit="1" customWidth="1"/>
    <col min="7675" max="7675" width="12.77734375" style="60" customWidth="1"/>
    <col min="7676" max="7676" width="15.77734375" style="60" bestFit="1" customWidth="1"/>
    <col min="7677" max="7677" width="12.33203125" style="60" customWidth="1"/>
    <col min="7678" max="7678" width="12.77734375" style="60" customWidth="1"/>
    <col min="7679" max="7679" width="13.44140625" style="60" customWidth="1"/>
    <col min="7680" max="7680" width="14.44140625" style="60" customWidth="1"/>
    <col min="7681" max="7681" width="11.33203125" style="60" bestFit="1" customWidth="1"/>
    <col min="7682" max="7682" width="11" style="60" bestFit="1" customWidth="1"/>
    <col min="7683" max="7683" width="12" style="60" customWidth="1"/>
    <col min="7684" max="7685" width="9.33203125" style="60"/>
    <col min="7686" max="7686" width="11.77734375" style="60" customWidth="1"/>
    <col min="7687" max="7923" width="9.33203125" style="60"/>
    <col min="7924" max="7924" width="6.109375" style="60" customWidth="1"/>
    <col min="7925" max="7925" width="20.33203125" style="60" customWidth="1"/>
    <col min="7926" max="7926" width="18.6640625" style="60" customWidth="1"/>
    <col min="7927" max="7927" width="12.6640625" style="60" bestFit="1" customWidth="1"/>
    <col min="7928" max="7928" width="13.6640625" style="60" customWidth="1"/>
    <col min="7929" max="7929" width="13.33203125" style="60" customWidth="1"/>
    <col min="7930" max="7930" width="13.109375" style="60" bestFit="1" customWidth="1"/>
    <col min="7931" max="7931" width="12.77734375" style="60" customWidth="1"/>
    <col min="7932" max="7932" width="15.77734375" style="60" bestFit="1" customWidth="1"/>
    <col min="7933" max="7933" width="12.33203125" style="60" customWidth="1"/>
    <col min="7934" max="7934" width="12.77734375" style="60" customWidth="1"/>
    <col min="7935" max="7935" width="13.44140625" style="60" customWidth="1"/>
    <col min="7936" max="7936" width="14.44140625" style="60" customWidth="1"/>
    <col min="7937" max="7937" width="11.33203125" style="60" bestFit="1" customWidth="1"/>
    <col min="7938" max="7938" width="11" style="60" bestFit="1" customWidth="1"/>
    <col min="7939" max="7939" width="12" style="60" customWidth="1"/>
    <col min="7940" max="7941" width="9.33203125" style="60"/>
    <col min="7942" max="7942" width="11.77734375" style="60" customWidth="1"/>
    <col min="7943" max="8179" width="9.33203125" style="60"/>
    <col min="8180" max="8180" width="6.109375" style="60" customWidth="1"/>
    <col min="8181" max="8181" width="20.33203125" style="60" customWidth="1"/>
    <col min="8182" max="8182" width="18.6640625" style="60" customWidth="1"/>
    <col min="8183" max="8183" width="12.6640625" style="60" bestFit="1" customWidth="1"/>
    <col min="8184" max="8184" width="13.6640625" style="60" customWidth="1"/>
    <col min="8185" max="8185" width="13.33203125" style="60" customWidth="1"/>
    <col min="8186" max="8186" width="13.109375" style="60" bestFit="1" customWidth="1"/>
    <col min="8187" max="8187" width="12.77734375" style="60" customWidth="1"/>
    <col min="8188" max="8188" width="15.77734375" style="60" bestFit="1" customWidth="1"/>
    <col min="8189" max="8189" width="12.33203125" style="60" customWidth="1"/>
    <col min="8190" max="8190" width="12.77734375" style="60" customWidth="1"/>
    <col min="8191" max="8191" width="13.44140625" style="60" customWidth="1"/>
    <col min="8192" max="8192" width="14.44140625" style="60" customWidth="1"/>
    <col min="8193" max="8193" width="11.33203125" style="60" bestFit="1" customWidth="1"/>
    <col min="8194" max="8194" width="11" style="60" bestFit="1" customWidth="1"/>
    <col min="8195" max="8195" width="12" style="60" customWidth="1"/>
    <col min="8196" max="8197" width="9.33203125" style="60"/>
    <col min="8198" max="8198" width="11.77734375" style="60" customWidth="1"/>
    <col min="8199" max="8435" width="9.33203125" style="60"/>
    <col min="8436" max="8436" width="6.109375" style="60" customWidth="1"/>
    <col min="8437" max="8437" width="20.33203125" style="60" customWidth="1"/>
    <col min="8438" max="8438" width="18.6640625" style="60" customWidth="1"/>
    <col min="8439" max="8439" width="12.6640625" style="60" bestFit="1" customWidth="1"/>
    <col min="8440" max="8440" width="13.6640625" style="60" customWidth="1"/>
    <col min="8441" max="8441" width="13.33203125" style="60" customWidth="1"/>
    <col min="8442" max="8442" width="13.109375" style="60" bestFit="1" customWidth="1"/>
    <col min="8443" max="8443" width="12.77734375" style="60" customWidth="1"/>
    <col min="8444" max="8444" width="15.77734375" style="60" bestFit="1" customWidth="1"/>
    <col min="8445" max="8445" width="12.33203125" style="60" customWidth="1"/>
    <col min="8446" max="8446" width="12.77734375" style="60" customWidth="1"/>
    <col min="8447" max="8447" width="13.44140625" style="60" customWidth="1"/>
    <col min="8448" max="8448" width="14.44140625" style="60" customWidth="1"/>
    <col min="8449" max="8449" width="11.33203125" style="60" bestFit="1" customWidth="1"/>
    <col min="8450" max="8450" width="11" style="60" bestFit="1" customWidth="1"/>
    <col min="8451" max="8451" width="12" style="60" customWidth="1"/>
    <col min="8452" max="8453" width="9.33203125" style="60"/>
    <col min="8454" max="8454" width="11.77734375" style="60" customWidth="1"/>
    <col min="8455" max="8691" width="9.33203125" style="60"/>
    <col min="8692" max="8692" width="6.109375" style="60" customWidth="1"/>
    <col min="8693" max="8693" width="20.33203125" style="60" customWidth="1"/>
    <col min="8694" max="8694" width="18.6640625" style="60" customWidth="1"/>
    <col min="8695" max="8695" width="12.6640625" style="60" bestFit="1" customWidth="1"/>
    <col min="8696" max="8696" width="13.6640625" style="60" customWidth="1"/>
    <col min="8697" max="8697" width="13.33203125" style="60" customWidth="1"/>
    <col min="8698" max="8698" width="13.109375" style="60" bestFit="1" customWidth="1"/>
    <col min="8699" max="8699" width="12.77734375" style="60" customWidth="1"/>
    <col min="8700" max="8700" width="15.77734375" style="60" bestFit="1" customWidth="1"/>
    <col min="8701" max="8701" width="12.33203125" style="60" customWidth="1"/>
    <col min="8702" max="8702" width="12.77734375" style="60" customWidth="1"/>
    <col min="8703" max="8703" width="13.44140625" style="60" customWidth="1"/>
    <col min="8704" max="8704" width="14.44140625" style="60" customWidth="1"/>
    <col min="8705" max="8705" width="11.33203125" style="60" bestFit="1" customWidth="1"/>
    <col min="8706" max="8706" width="11" style="60" bestFit="1" customWidth="1"/>
    <col min="8707" max="8707" width="12" style="60" customWidth="1"/>
    <col min="8708" max="8709" width="9.33203125" style="60"/>
    <col min="8710" max="8710" width="11.77734375" style="60" customWidth="1"/>
    <col min="8711" max="8947" width="9.33203125" style="60"/>
    <col min="8948" max="8948" width="6.109375" style="60" customWidth="1"/>
    <col min="8949" max="8949" width="20.33203125" style="60" customWidth="1"/>
    <col min="8950" max="8950" width="18.6640625" style="60" customWidth="1"/>
    <col min="8951" max="8951" width="12.6640625" style="60" bestFit="1" customWidth="1"/>
    <col min="8952" max="8952" width="13.6640625" style="60" customWidth="1"/>
    <col min="8953" max="8953" width="13.33203125" style="60" customWidth="1"/>
    <col min="8954" max="8954" width="13.109375" style="60" bestFit="1" customWidth="1"/>
    <col min="8955" max="8955" width="12.77734375" style="60" customWidth="1"/>
    <col min="8956" max="8956" width="15.77734375" style="60" bestFit="1" customWidth="1"/>
    <col min="8957" max="8957" width="12.33203125" style="60" customWidth="1"/>
    <col min="8958" max="8958" width="12.77734375" style="60" customWidth="1"/>
    <col min="8959" max="8959" width="13.44140625" style="60" customWidth="1"/>
    <col min="8960" max="8960" width="14.44140625" style="60" customWidth="1"/>
    <col min="8961" max="8961" width="11.33203125" style="60" bestFit="1" customWidth="1"/>
    <col min="8962" max="8962" width="11" style="60" bestFit="1" customWidth="1"/>
    <col min="8963" max="8963" width="12" style="60" customWidth="1"/>
    <col min="8964" max="8965" width="9.33203125" style="60"/>
    <col min="8966" max="8966" width="11.77734375" style="60" customWidth="1"/>
    <col min="8967" max="9203" width="9.33203125" style="60"/>
    <col min="9204" max="9204" width="6.109375" style="60" customWidth="1"/>
    <col min="9205" max="9205" width="20.33203125" style="60" customWidth="1"/>
    <col min="9206" max="9206" width="18.6640625" style="60" customWidth="1"/>
    <col min="9207" max="9207" width="12.6640625" style="60" bestFit="1" customWidth="1"/>
    <col min="9208" max="9208" width="13.6640625" style="60" customWidth="1"/>
    <col min="9209" max="9209" width="13.33203125" style="60" customWidth="1"/>
    <col min="9210" max="9210" width="13.109375" style="60" bestFit="1" customWidth="1"/>
    <col min="9211" max="9211" width="12.77734375" style="60" customWidth="1"/>
    <col min="9212" max="9212" width="15.77734375" style="60" bestFit="1" customWidth="1"/>
    <col min="9213" max="9213" width="12.33203125" style="60" customWidth="1"/>
    <col min="9214" max="9214" width="12.77734375" style="60" customWidth="1"/>
    <col min="9215" max="9215" width="13.44140625" style="60" customWidth="1"/>
    <col min="9216" max="9216" width="14.44140625" style="60" customWidth="1"/>
    <col min="9217" max="9217" width="11.33203125" style="60" bestFit="1" customWidth="1"/>
    <col min="9218" max="9218" width="11" style="60" bestFit="1" customWidth="1"/>
    <col min="9219" max="9219" width="12" style="60" customWidth="1"/>
    <col min="9220" max="9221" width="9.33203125" style="60"/>
    <col min="9222" max="9222" width="11.77734375" style="60" customWidth="1"/>
    <col min="9223" max="9459" width="9.33203125" style="60"/>
    <col min="9460" max="9460" width="6.109375" style="60" customWidth="1"/>
    <col min="9461" max="9461" width="20.33203125" style="60" customWidth="1"/>
    <col min="9462" max="9462" width="18.6640625" style="60" customWidth="1"/>
    <col min="9463" max="9463" width="12.6640625" style="60" bestFit="1" customWidth="1"/>
    <col min="9464" max="9464" width="13.6640625" style="60" customWidth="1"/>
    <col min="9465" max="9465" width="13.33203125" style="60" customWidth="1"/>
    <col min="9466" max="9466" width="13.109375" style="60" bestFit="1" customWidth="1"/>
    <col min="9467" max="9467" width="12.77734375" style="60" customWidth="1"/>
    <col min="9468" max="9468" width="15.77734375" style="60" bestFit="1" customWidth="1"/>
    <col min="9469" max="9469" width="12.33203125" style="60" customWidth="1"/>
    <col min="9470" max="9470" width="12.77734375" style="60" customWidth="1"/>
    <col min="9471" max="9471" width="13.44140625" style="60" customWidth="1"/>
    <col min="9472" max="9472" width="14.44140625" style="60" customWidth="1"/>
    <col min="9473" max="9473" width="11.33203125" style="60" bestFit="1" customWidth="1"/>
    <col min="9474" max="9474" width="11" style="60" bestFit="1" customWidth="1"/>
    <col min="9475" max="9475" width="12" style="60" customWidth="1"/>
    <col min="9476" max="9477" width="9.33203125" style="60"/>
    <col min="9478" max="9478" width="11.77734375" style="60" customWidth="1"/>
    <col min="9479" max="9715" width="9.33203125" style="60"/>
    <col min="9716" max="9716" width="6.109375" style="60" customWidth="1"/>
    <col min="9717" max="9717" width="20.33203125" style="60" customWidth="1"/>
    <col min="9718" max="9718" width="18.6640625" style="60" customWidth="1"/>
    <col min="9719" max="9719" width="12.6640625" style="60" bestFit="1" customWidth="1"/>
    <col min="9720" max="9720" width="13.6640625" style="60" customWidth="1"/>
    <col min="9721" max="9721" width="13.33203125" style="60" customWidth="1"/>
    <col min="9722" max="9722" width="13.109375" style="60" bestFit="1" customWidth="1"/>
    <col min="9723" max="9723" width="12.77734375" style="60" customWidth="1"/>
    <col min="9724" max="9724" width="15.77734375" style="60" bestFit="1" customWidth="1"/>
    <col min="9725" max="9725" width="12.33203125" style="60" customWidth="1"/>
    <col min="9726" max="9726" width="12.77734375" style="60" customWidth="1"/>
    <col min="9727" max="9727" width="13.44140625" style="60" customWidth="1"/>
    <col min="9728" max="9728" width="14.44140625" style="60" customWidth="1"/>
    <col min="9729" max="9729" width="11.33203125" style="60" bestFit="1" customWidth="1"/>
    <col min="9730" max="9730" width="11" style="60" bestFit="1" customWidth="1"/>
    <col min="9731" max="9731" width="12" style="60" customWidth="1"/>
    <col min="9732" max="9733" width="9.33203125" style="60"/>
    <col min="9734" max="9734" width="11.77734375" style="60" customWidth="1"/>
    <col min="9735" max="9971" width="9.33203125" style="60"/>
    <col min="9972" max="9972" width="6.109375" style="60" customWidth="1"/>
    <col min="9973" max="9973" width="20.33203125" style="60" customWidth="1"/>
    <col min="9974" max="9974" width="18.6640625" style="60" customWidth="1"/>
    <col min="9975" max="9975" width="12.6640625" style="60" bestFit="1" customWidth="1"/>
    <col min="9976" max="9976" width="13.6640625" style="60" customWidth="1"/>
    <col min="9977" max="9977" width="13.33203125" style="60" customWidth="1"/>
    <col min="9978" max="9978" width="13.109375" style="60" bestFit="1" customWidth="1"/>
    <col min="9979" max="9979" width="12.77734375" style="60" customWidth="1"/>
    <col min="9980" max="9980" width="15.77734375" style="60" bestFit="1" customWidth="1"/>
    <col min="9981" max="9981" width="12.33203125" style="60" customWidth="1"/>
    <col min="9982" max="9982" width="12.77734375" style="60" customWidth="1"/>
    <col min="9983" max="9983" width="13.44140625" style="60" customWidth="1"/>
    <col min="9984" max="9984" width="14.44140625" style="60" customWidth="1"/>
    <col min="9985" max="9985" width="11.33203125" style="60" bestFit="1" customWidth="1"/>
    <col min="9986" max="9986" width="11" style="60" bestFit="1" customWidth="1"/>
    <col min="9987" max="9987" width="12" style="60" customWidth="1"/>
    <col min="9988" max="9989" width="9.33203125" style="60"/>
    <col min="9990" max="9990" width="11.77734375" style="60" customWidth="1"/>
    <col min="9991" max="10227" width="9.33203125" style="60"/>
    <col min="10228" max="10228" width="6.109375" style="60" customWidth="1"/>
    <col min="10229" max="10229" width="20.33203125" style="60" customWidth="1"/>
    <col min="10230" max="10230" width="18.6640625" style="60" customWidth="1"/>
    <col min="10231" max="10231" width="12.6640625" style="60" bestFit="1" customWidth="1"/>
    <col min="10232" max="10232" width="13.6640625" style="60" customWidth="1"/>
    <col min="10233" max="10233" width="13.33203125" style="60" customWidth="1"/>
    <col min="10234" max="10234" width="13.109375" style="60" bestFit="1" customWidth="1"/>
    <col min="10235" max="10235" width="12.77734375" style="60" customWidth="1"/>
    <col min="10236" max="10236" width="15.77734375" style="60" bestFit="1" customWidth="1"/>
    <col min="10237" max="10237" width="12.33203125" style="60" customWidth="1"/>
    <col min="10238" max="10238" width="12.77734375" style="60" customWidth="1"/>
    <col min="10239" max="10239" width="13.44140625" style="60" customWidth="1"/>
    <col min="10240" max="10240" width="14.44140625" style="60" customWidth="1"/>
    <col min="10241" max="10241" width="11.33203125" style="60" bestFit="1" customWidth="1"/>
    <col min="10242" max="10242" width="11" style="60" bestFit="1" customWidth="1"/>
    <col min="10243" max="10243" width="12" style="60" customWidth="1"/>
    <col min="10244" max="10245" width="9.33203125" style="60"/>
    <col min="10246" max="10246" width="11.77734375" style="60" customWidth="1"/>
    <col min="10247" max="10483" width="9.33203125" style="60"/>
    <col min="10484" max="10484" width="6.109375" style="60" customWidth="1"/>
    <col min="10485" max="10485" width="20.33203125" style="60" customWidth="1"/>
    <col min="10486" max="10486" width="18.6640625" style="60" customWidth="1"/>
    <col min="10487" max="10487" width="12.6640625" style="60" bestFit="1" customWidth="1"/>
    <col min="10488" max="10488" width="13.6640625" style="60" customWidth="1"/>
    <col min="10489" max="10489" width="13.33203125" style="60" customWidth="1"/>
    <col min="10490" max="10490" width="13.109375" style="60" bestFit="1" customWidth="1"/>
    <col min="10491" max="10491" width="12.77734375" style="60" customWidth="1"/>
    <col min="10492" max="10492" width="15.77734375" style="60" bestFit="1" customWidth="1"/>
    <col min="10493" max="10493" width="12.33203125" style="60" customWidth="1"/>
    <col min="10494" max="10494" width="12.77734375" style="60" customWidth="1"/>
    <col min="10495" max="10495" width="13.44140625" style="60" customWidth="1"/>
    <col min="10496" max="10496" width="14.44140625" style="60" customWidth="1"/>
    <col min="10497" max="10497" width="11.33203125" style="60" bestFit="1" customWidth="1"/>
    <col min="10498" max="10498" width="11" style="60" bestFit="1" customWidth="1"/>
    <col min="10499" max="10499" width="12" style="60" customWidth="1"/>
    <col min="10500" max="10501" width="9.33203125" style="60"/>
    <col min="10502" max="10502" width="11.77734375" style="60" customWidth="1"/>
    <col min="10503" max="10739" width="9.33203125" style="60"/>
    <col min="10740" max="10740" width="6.109375" style="60" customWidth="1"/>
    <col min="10741" max="10741" width="20.33203125" style="60" customWidth="1"/>
    <col min="10742" max="10742" width="18.6640625" style="60" customWidth="1"/>
    <col min="10743" max="10743" width="12.6640625" style="60" bestFit="1" customWidth="1"/>
    <col min="10744" max="10744" width="13.6640625" style="60" customWidth="1"/>
    <col min="10745" max="10745" width="13.33203125" style="60" customWidth="1"/>
    <col min="10746" max="10746" width="13.109375" style="60" bestFit="1" customWidth="1"/>
    <col min="10747" max="10747" width="12.77734375" style="60" customWidth="1"/>
    <col min="10748" max="10748" width="15.77734375" style="60" bestFit="1" customWidth="1"/>
    <col min="10749" max="10749" width="12.33203125" style="60" customWidth="1"/>
    <col min="10750" max="10750" width="12.77734375" style="60" customWidth="1"/>
    <col min="10751" max="10751" width="13.44140625" style="60" customWidth="1"/>
    <col min="10752" max="10752" width="14.44140625" style="60" customWidth="1"/>
    <col min="10753" max="10753" width="11.33203125" style="60" bestFit="1" customWidth="1"/>
    <col min="10754" max="10754" width="11" style="60" bestFit="1" customWidth="1"/>
    <col min="10755" max="10755" width="12" style="60" customWidth="1"/>
    <col min="10756" max="10757" width="9.33203125" style="60"/>
    <col min="10758" max="10758" width="11.77734375" style="60" customWidth="1"/>
    <col min="10759" max="10995" width="9.33203125" style="60"/>
    <col min="10996" max="10996" width="6.109375" style="60" customWidth="1"/>
    <col min="10997" max="10997" width="20.33203125" style="60" customWidth="1"/>
    <col min="10998" max="10998" width="18.6640625" style="60" customWidth="1"/>
    <col min="10999" max="10999" width="12.6640625" style="60" bestFit="1" customWidth="1"/>
    <col min="11000" max="11000" width="13.6640625" style="60" customWidth="1"/>
    <col min="11001" max="11001" width="13.33203125" style="60" customWidth="1"/>
    <col min="11002" max="11002" width="13.109375" style="60" bestFit="1" customWidth="1"/>
    <col min="11003" max="11003" width="12.77734375" style="60" customWidth="1"/>
    <col min="11004" max="11004" width="15.77734375" style="60" bestFit="1" customWidth="1"/>
    <col min="11005" max="11005" width="12.33203125" style="60" customWidth="1"/>
    <col min="11006" max="11006" width="12.77734375" style="60" customWidth="1"/>
    <col min="11007" max="11007" width="13.44140625" style="60" customWidth="1"/>
    <col min="11008" max="11008" width="14.44140625" style="60" customWidth="1"/>
    <col min="11009" max="11009" width="11.33203125" style="60" bestFit="1" customWidth="1"/>
    <col min="11010" max="11010" width="11" style="60" bestFit="1" customWidth="1"/>
    <col min="11011" max="11011" width="12" style="60" customWidth="1"/>
    <col min="11012" max="11013" width="9.33203125" style="60"/>
    <col min="11014" max="11014" width="11.77734375" style="60" customWidth="1"/>
    <col min="11015" max="11251" width="9.33203125" style="60"/>
    <col min="11252" max="11252" width="6.109375" style="60" customWidth="1"/>
    <col min="11253" max="11253" width="20.33203125" style="60" customWidth="1"/>
    <col min="11254" max="11254" width="18.6640625" style="60" customWidth="1"/>
    <col min="11255" max="11255" width="12.6640625" style="60" bestFit="1" customWidth="1"/>
    <col min="11256" max="11256" width="13.6640625" style="60" customWidth="1"/>
    <col min="11257" max="11257" width="13.33203125" style="60" customWidth="1"/>
    <col min="11258" max="11258" width="13.109375" style="60" bestFit="1" customWidth="1"/>
    <col min="11259" max="11259" width="12.77734375" style="60" customWidth="1"/>
    <col min="11260" max="11260" width="15.77734375" style="60" bestFit="1" customWidth="1"/>
    <col min="11261" max="11261" width="12.33203125" style="60" customWidth="1"/>
    <col min="11262" max="11262" width="12.77734375" style="60" customWidth="1"/>
    <col min="11263" max="11263" width="13.44140625" style="60" customWidth="1"/>
    <col min="11264" max="11264" width="14.44140625" style="60" customWidth="1"/>
    <col min="11265" max="11265" width="11.33203125" style="60" bestFit="1" customWidth="1"/>
    <col min="11266" max="11266" width="11" style="60" bestFit="1" customWidth="1"/>
    <col min="11267" max="11267" width="12" style="60" customWidth="1"/>
    <col min="11268" max="11269" width="9.33203125" style="60"/>
    <col min="11270" max="11270" width="11.77734375" style="60" customWidth="1"/>
    <col min="11271" max="11507" width="9.33203125" style="60"/>
    <col min="11508" max="11508" width="6.109375" style="60" customWidth="1"/>
    <col min="11509" max="11509" width="20.33203125" style="60" customWidth="1"/>
    <col min="11510" max="11510" width="18.6640625" style="60" customWidth="1"/>
    <col min="11511" max="11511" width="12.6640625" style="60" bestFit="1" customWidth="1"/>
    <col min="11512" max="11512" width="13.6640625" style="60" customWidth="1"/>
    <col min="11513" max="11513" width="13.33203125" style="60" customWidth="1"/>
    <col min="11514" max="11514" width="13.109375" style="60" bestFit="1" customWidth="1"/>
    <col min="11515" max="11515" width="12.77734375" style="60" customWidth="1"/>
    <col min="11516" max="11516" width="15.77734375" style="60" bestFit="1" customWidth="1"/>
    <col min="11517" max="11517" width="12.33203125" style="60" customWidth="1"/>
    <col min="11518" max="11518" width="12.77734375" style="60" customWidth="1"/>
    <col min="11519" max="11519" width="13.44140625" style="60" customWidth="1"/>
    <col min="11520" max="11520" width="14.44140625" style="60" customWidth="1"/>
    <col min="11521" max="11521" width="11.33203125" style="60" bestFit="1" customWidth="1"/>
    <col min="11522" max="11522" width="11" style="60" bestFit="1" customWidth="1"/>
    <col min="11523" max="11523" width="12" style="60" customWidth="1"/>
    <col min="11524" max="11525" width="9.33203125" style="60"/>
    <col min="11526" max="11526" width="11.77734375" style="60" customWidth="1"/>
    <col min="11527" max="11763" width="9.33203125" style="60"/>
    <col min="11764" max="11764" width="6.109375" style="60" customWidth="1"/>
    <col min="11765" max="11765" width="20.33203125" style="60" customWidth="1"/>
    <col min="11766" max="11766" width="18.6640625" style="60" customWidth="1"/>
    <col min="11767" max="11767" width="12.6640625" style="60" bestFit="1" customWidth="1"/>
    <col min="11768" max="11768" width="13.6640625" style="60" customWidth="1"/>
    <col min="11769" max="11769" width="13.33203125" style="60" customWidth="1"/>
    <col min="11770" max="11770" width="13.109375" style="60" bestFit="1" customWidth="1"/>
    <col min="11771" max="11771" width="12.77734375" style="60" customWidth="1"/>
    <col min="11772" max="11772" width="15.77734375" style="60" bestFit="1" customWidth="1"/>
    <col min="11773" max="11773" width="12.33203125" style="60" customWidth="1"/>
    <col min="11774" max="11774" width="12.77734375" style="60" customWidth="1"/>
    <col min="11775" max="11775" width="13.44140625" style="60" customWidth="1"/>
    <col min="11776" max="11776" width="14.44140625" style="60" customWidth="1"/>
    <col min="11777" max="11777" width="11.33203125" style="60" bestFit="1" customWidth="1"/>
    <col min="11778" max="11778" width="11" style="60" bestFit="1" customWidth="1"/>
    <col min="11779" max="11779" width="12" style="60" customWidth="1"/>
    <col min="11780" max="11781" width="9.33203125" style="60"/>
    <col min="11782" max="11782" width="11.77734375" style="60" customWidth="1"/>
    <col min="11783" max="12019" width="9.33203125" style="60"/>
    <col min="12020" max="12020" width="6.109375" style="60" customWidth="1"/>
    <col min="12021" max="12021" width="20.33203125" style="60" customWidth="1"/>
    <col min="12022" max="12022" width="18.6640625" style="60" customWidth="1"/>
    <col min="12023" max="12023" width="12.6640625" style="60" bestFit="1" customWidth="1"/>
    <col min="12024" max="12024" width="13.6640625" style="60" customWidth="1"/>
    <col min="12025" max="12025" width="13.33203125" style="60" customWidth="1"/>
    <col min="12026" max="12026" width="13.109375" style="60" bestFit="1" customWidth="1"/>
    <col min="12027" max="12027" width="12.77734375" style="60" customWidth="1"/>
    <col min="12028" max="12028" width="15.77734375" style="60" bestFit="1" customWidth="1"/>
    <col min="12029" max="12029" width="12.33203125" style="60" customWidth="1"/>
    <col min="12030" max="12030" width="12.77734375" style="60" customWidth="1"/>
    <col min="12031" max="12031" width="13.44140625" style="60" customWidth="1"/>
    <col min="12032" max="12032" width="14.44140625" style="60" customWidth="1"/>
    <col min="12033" max="12033" width="11.33203125" style="60" bestFit="1" customWidth="1"/>
    <col min="12034" max="12034" width="11" style="60" bestFit="1" customWidth="1"/>
    <col min="12035" max="12035" width="12" style="60" customWidth="1"/>
    <col min="12036" max="12037" width="9.33203125" style="60"/>
    <col min="12038" max="12038" width="11.77734375" style="60" customWidth="1"/>
    <col min="12039" max="12275" width="9.33203125" style="60"/>
    <col min="12276" max="12276" width="6.109375" style="60" customWidth="1"/>
    <col min="12277" max="12277" width="20.33203125" style="60" customWidth="1"/>
    <col min="12278" max="12278" width="18.6640625" style="60" customWidth="1"/>
    <col min="12279" max="12279" width="12.6640625" style="60" bestFit="1" customWidth="1"/>
    <col min="12280" max="12280" width="13.6640625" style="60" customWidth="1"/>
    <col min="12281" max="12281" width="13.33203125" style="60" customWidth="1"/>
    <col min="12282" max="12282" width="13.109375" style="60" bestFit="1" customWidth="1"/>
    <col min="12283" max="12283" width="12.77734375" style="60" customWidth="1"/>
    <col min="12284" max="12284" width="15.77734375" style="60" bestFit="1" customWidth="1"/>
    <col min="12285" max="12285" width="12.33203125" style="60" customWidth="1"/>
    <col min="12286" max="12286" width="12.77734375" style="60" customWidth="1"/>
    <col min="12287" max="12287" width="13.44140625" style="60" customWidth="1"/>
    <col min="12288" max="12288" width="14.44140625" style="60" customWidth="1"/>
    <col min="12289" max="12289" width="11.33203125" style="60" bestFit="1" customWidth="1"/>
    <col min="12290" max="12290" width="11" style="60" bestFit="1" customWidth="1"/>
    <col min="12291" max="12291" width="12" style="60" customWidth="1"/>
    <col min="12292" max="12293" width="9.33203125" style="60"/>
    <col min="12294" max="12294" width="11.77734375" style="60" customWidth="1"/>
    <col min="12295" max="12531" width="9.33203125" style="60"/>
    <col min="12532" max="12532" width="6.109375" style="60" customWidth="1"/>
    <col min="12533" max="12533" width="20.33203125" style="60" customWidth="1"/>
    <col min="12534" max="12534" width="18.6640625" style="60" customWidth="1"/>
    <col min="12535" max="12535" width="12.6640625" style="60" bestFit="1" customWidth="1"/>
    <col min="12536" max="12536" width="13.6640625" style="60" customWidth="1"/>
    <col min="12537" max="12537" width="13.33203125" style="60" customWidth="1"/>
    <col min="12538" max="12538" width="13.109375" style="60" bestFit="1" customWidth="1"/>
    <col min="12539" max="12539" width="12.77734375" style="60" customWidth="1"/>
    <col min="12540" max="12540" width="15.77734375" style="60" bestFit="1" customWidth="1"/>
    <col min="12541" max="12541" width="12.33203125" style="60" customWidth="1"/>
    <col min="12542" max="12542" width="12.77734375" style="60" customWidth="1"/>
    <col min="12543" max="12543" width="13.44140625" style="60" customWidth="1"/>
    <col min="12544" max="12544" width="14.44140625" style="60" customWidth="1"/>
    <col min="12545" max="12545" width="11.33203125" style="60" bestFit="1" customWidth="1"/>
    <col min="12546" max="12546" width="11" style="60" bestFit="1" customWidth="1"/>
    <col min="12547" max="12547" width="12" style="60" customWidth="1"/>
    <col min="12548" max="12549" width="9.33203125" style="60"/>
    <col min="12550" max="12550" width="11.77734375" style="60" customWidth="1"/>
    <col min="12551" max="12787" width="9.33203125" style="60"/>
    <col min="12788" max="12788" width="6.109375" style="60" customWidth="1"/>
    <col min="12789" max="12789" width="20.33203125" style="60" customWidth="1"/>
    <col min="12790" max="12790" width="18.6640625" style="60" customWidth="1"/>
    <col min="12791" max="12791" width="12.6640625" style="60" bestFit="1" customWidth="1"/>
    <col min="12792" max="12792" width="13.6640625" style="60" customWidth="1"/>
    <col min="12793" max="12793" width="13.33203125" style="60" customWidth="1"/>
    <col min="12794" max="12794" width="13.109375" style="60" bestFit="1" customWidth="1"/>
    <col min="12795" max="12795" width="12.77734375" style="60" customWidth="1"/>
    <col min="12796" max="12796" width="15.77734375" style="60" bestFit="1" customWidth="1"/>
    <col min="12797" max="12797" width="12.33203125" style="60" customWidth="1"/>
    <col min="12798" max="12798" width="12.77734375" style="60" customWidth="1"/>
    <col min="12799" max="12799" width="13.44140625" style="60" customWidth="1"/>
    <col min="12800" max="12800" width="14.44140625" style="60" customWidth="1"/>
    <col min="12801" max="12801" width="11.33203125" style="60" bestFit="1" customWidth="1"/>
    <col min="12802" max="12802" width="11" style="60" bestFit="1" customWidth="1"/>
    <col min="12803" max="12803" width="12" style="60" customWidth="1"/>
    <col min="12804" max="12805" width="9.33203125" style="60"/>
    <col min="12806" max="12806" width="11.77734375" style="60" customWidth="1"/>
    <col min="12807" max="13043" width="9.33203125" style="60"/>
    <col min="13044" max="13044" width="6.109375" style="60" customWidth="1"/>
    <col min="13045" max="13045" width="20.33203125" style="60" customWidth="1"/>
    <col min="13046" max="13046" width="18.6640625" style="60" customWidth="1"/>
    <col min="13047" max="13047" width="12.6640625" style="60" bestFit="1" customWidth="1"/>
    <col min="13048" max="13048" width="13.6640625" style="60" customWidth="1"/>
    <col min="13049" max="13049" width="13.33203125" style="60" customWidth="1"/>
    <col min="13050" max="13050" width="13.109375" style="60" bestFit="1" customWidth="1"/>
    <col min="13051" max="13051" width="12.77734375" style="60" customWidth="1"/>
    <col min="13052" max="13052" width="15.77734375" style="60" bestFit="1" customWidth="1"/>
    <col min="13053" max="13053" width="12.33203125" style="60" customWidth="1"/>
    <col min="13054" max="13054" width="12.77734375" style="60" customWidth="1"/>
    <col min="13055" max="13055" width="13.44140625" style="60" customWidth="1"/>
    <col min="13056" max="13056" width="14.44140625" style="60" customWidth="1"/>
    <col min="13057" max="13057" width="11.33203125" style="60" bestFit="1" customWidth="1"/>
    <col min="13058" max="13058" width="11" style="60" bestFit="1" customWidth="1"/>
    <col min="13059" max="13059" width="12" style="60" customWidth="1"/>
    <col min="13060" max="13061" width="9.33203125" style="60"/>
    <col min="13062" max="13062" width="11.77734375" style="60" customWidth="1"/>
    <col min="13063" max="13299" width="9.33203125" style="60"/>
    <col min="13300" max="13300" width="6.109375" style="60" customWidth="1"/>
    <col min="13301" max="13301" width="20.33203125" style="60" customWidth="1"/>
    <col min="13302" max="13302" width="18.6640625" style="60" customWidth="1"/>
    <col min="13303" max="13303" width="12.6640625" style="60" bestFit="1" customWidth="1"/>
    <col min="13304" max="13304" width="13.6640625" style="60" customWidth="1"/>
    <col min="13305" max="13305" width="13.33203125" style="60" customWidth="1"/>
    <col min="13306" max="13306" width="13.109375" style="60" bestFit="1" customWidth="1"/>
    <col min="13307" max="13307" width="12.77734375" style="60" customWidth="1"/>
    <col min="13308" max="13308" width="15.77734375" style="60" bestFit="1" customWidth="1"/>
    <col min="13309" max="13309" width="12.33203125" style="60" customWidth="1"/>
    <col min="13310" max="13310" width="12.77734375" style="60" customWidth="1"/>
    <col min="13311" max="13311" width="13.44140625" style="60" customWidth="1"/>
    <col min="13312" max="13312" width="14.44140625" style="60" customWidth="1"/>
    <col min="13313" max="13313" width="11.33203125" style="60" bestFit="1" customWidth="1"/>
    <col min="13314" max="13314" width="11" style="60" bestFit="1" customWidth="1"/>
    <col min="13315" max="13315" width="12" style="60" customWidth="1"/>
    <col min="13316" max="13317" width="9.33203125" style="60"/>
    <col min="13318" max="13318" width="11.77734375" style="60" customWidth="1"/>
    <col min="13319" max="13555" width="9.33203125" style="60"/>
    <col min="13556" max="13556" width="6.109375" style="60" customWidth="1"/>
    <col min="13557" max="13557" width="20.33203125" style="60" customWidth="1"/>
    <col min="13558" max="13558" width="18.6640625" style="60" customWidth="1"/>
    <col min="13559" max="13559" width="12.6640625" style="60" bestFit="1" customWidth="1"/>
    <col min="13560" max="13560" width="13.6640625" style="60" customWidth="1"/>
    <col min="13561" max="13561" width="13.33203125" style="60" customWidth="1"/>
    <col min="13562" max="13562" width="13.109375" style="60" bestFit="1" customWidth="1"/>
    <col min="13563" max="13563" width="12.77734375" style="60" customWidth="1"/>
    <col min="13564" max="13564" width="15.77734375" style="60" bestFit="1" customWidth="1"/>
    <col min="13565" max="13565" width="12.33203125" style="60" customWidth="1"/>
    <col min="13566" max="13566" width="12.77734375" style="60" customWidth="1"/>
    <col min="13567" max="13567" width="13.44140625" style="60" customWidth="1"/>
    <col min="13568" max="13568" width="14.44140625" style="60" customWidth="1"/>
    <col min="13569" max="13569" width="11.33203125" style="60" bestFit="1" customWidth="1"/>
    <col min="13570" max="13570" width="11" style="60" bestFit="1" customWidth="1"/>
    <col min="13571" max="13571" width="12" style="60" customWidth="1"/>
    <col min="13572" max="13573" width="9.33203125" style="60"/>
    <col min="13574" max="13574" width="11.77734375" style="60" customWidth="1"/>
    <col min="13575" max="13811" width="9.33203125" style="60"/>
    <col min="13812" max="13812" width="6.109375" style="60" customWidth="1"/>
    <col min="13813" max="13813" width="20.33203125" style="60" customWidth="1"/>
    <col min="13814" max="13814" width="18.6640625" style="60" customWidth="1"/>
    <col min="13815" max="13815" width="12.6640625" style="60" bestFit="1" customWidth="1"/>
    <col min="13816" max="13816" width="13.6640625" style="60" customWidth="1"/>
    <col min="13817" max="13817" width="13.33203125" style="60" customWidth="1"/>
    <col min="13818" max="13818" width="13.109375" style="60" bestFit="1" customWidth="1"/>
    <col min="13819" max="13819" width="12.77734375" style="60" customWidth="1"/>
    <col min="13820" max="13820" width="15.77734375" style="60" bestFit="1" customWidth="1"/>
    <col min="13821" max="13821" width="12.33203125" style="60" customWidth="1"/>
    <col min="13822" max="13822" width="12.77734375" style="60" customWidth="1"/>
    <col min="13823" max="13823" width="13.44140625" style="60" customWidth="1"/>
    <col min="13824" max="13824" width="14.44140625" style="60" customWidth="1"/>
    <col min="13825" max="13825" width="11.33203125" style="60" bestFit="1" customWidth="1"/>
    <col min="13826" max="13826" width="11" style="60" bestFit="1" customWidth="1"/>
    <col min="13827" max="13827" width="12" style="60" customWidth="1"/>
    <col min="13828" max="13829" width="9.33203125" style="60"/>
    <col min="13830" max="13830" width="11.77734375" style="60" customWidth="1"/>
    <col min="13831" max="14067" width="9.33203125" style="60"/>
    <col min="14068" max="14068" width="6.109375" style="60" customWidth="1"/>
    <col min="14069" max="14069" width="20.33203125" style="60" customWidth="1"/>
    <col min="14070" max="14070" width="18.6640625" style="60" customWidth="1"/>
    <col min="14071" max="14071" width="12.6640625" style="60" bestFit="1" customWidth="1"/>
    <col min="14072" max="14072" width="13.6640625" style="60" customWidth="1"/>
    <col min="14073" max="14073" width="13.33203125" style="60" customWidth="1"/>
    <col min="14074" max="14074" width="13.109375" style="60" bestFit="1" customWidth="1"/>
    <col min="14075" max="14075" width="12.77734375" style="60" customWidth="1"/>
    <col min="14076" max="14076" width="15.77734375" style="60" bestFit="1" customWidth="1"/>
    <col min="14077" max="14077" width="12.33203125" style="60" customWidth="1"/>
    <col min="14078" max="14078" width="12.77734375" style="60" customWidth="1"/>
    <col min="14079" max="14079" width="13.44140625" style="60" customWidth="1"/>
    <col min="14080" max="14080" width="14.44140625" style="60" customWidth="1"/>
    <col min="14081" max="14081" width="11.33203125" style="60" bestFit="1" customWidth="1"/>
    <col min="14082" max="14082" width="11" style="60" bestFit="1" customWidth="1"/>
    <col min="14083" max="14083" width="12" style="60" customWidth="1"/>
    <col min="14084" max="14085" width="9.33203125" style="60"/>
    <col min="14086" max="14086" width="11.77734375" style="60" customWidth="1"/>
    <col min="14087" max="14323" width="9.33203125" style="60"/>
    <col min="14324" max="14324" width="6.109375" style="60" customWidth="1"/>
    <col min="14325" max="14325" width="20.33203125" style="60" customWidth="1"/>
    <col min="14326" max="14326" width="18.6640625" style="60" customWidth="1"/>
    <col min="14327" max="14327" width="12.6640625" style="60" bestFit="1" customWidth="1"/>
    <col min="14328" max="14328" width="13.6640625" style="60" customWidth="1"/>
    <col min="14329" max="14329" width="13.33203125" style="60" customWidth="1"/>
    <col min="14330" max="14330" width="13.109375" style="60" bestFit="1" customWidth="1"/>
    <col min="14331" max="14331" width="12.77734375" style="60" customWidth="1"/>
    <col min="14332" max="14332" width="15.77734375" style="60" bestFit="1" customWidth="1"/>
    <col min="14333" max="14333" width="12.33203125" style="60" customWidth="1"/>
    <col min="14334" max="14334" width="12.77734375" style="60" customWidth="1"/>
    <col min="14335" max="14335" width="13.44140625" style="60" customWidth="1"/>
    <col min="14336" max="14336" width="14.44140625" style="60" customWidth="1"/>
    <col min="14337" max="14337" width="11.33203125" style="60" bestFit="1" customWidth="1"/>
    <col min="14338" max="14338" width="11" style="60" bestFit="1" customWidth="1"/>
    <col min="14339" max="14339" width="12" style="60" customWidth="1"/>
    <col min="14340" max="14341" width="9.33203125" style="60"/>
    <col min="14342" max="14342" width="11.77734375" style="60" customWidth="1"/>
    <col min="14343" max="14579" width="9.33203125" style="60"/>
    <col min="14580" max="14580" width="6.109375" style="60" customWidth="1"/>
    <col min="14581" max="14581" width="20.33203125" style="60" customWidth="1"/>
    <col min="14582" max="14582" width="18.6640625" style="60" customWidth="1"/>
    <col min="14583" max="14583" width="12.6640625" style="60" bestFit="1" customWidth="1"/>
    <col min="14584" max="14584" width="13.6640625" style="60" customWidth="1"/>
    <col min="14585" max="14585" width="13.33203125" style="60" customWidth="1"/>
    <col min="14586" max="14586" width="13.109375" style="60" bestFit="1" customWidth="1"/>
    <col min="14587" max="14587" width="12.77734375" style="60" customWidth="1"/>
    <col min="14588" max="14588" width="15.77734375" style="60" bestFit="1" customWidth="1"/>
    <col min="14589" max="14589" width="12.33203125" style="60" customWidth="1"/>
    <col min="14590" max="14590" width="12.77734375" style="60" customWidth="1"/>
    <col min="14591" max="14591" width="13.44140625" style="60" customWidth="1"/>
    <col min="14592" max="14592" width="14.44140625" style="60" customWidth="1"/>
    <col min="14593" max="14593" width="11.33203125" style="60" bestFit="1" customWidth="1"/>
    <col min="14594" max="14594" width="11" style="60" bestFit="1" customWidth="1"/>
    <col min="14595" max="14595" width="12" style="60" customWidth="1"/>
    <col min="14596" max="14597" width="9.33203125" style="60"/>
    <col min="14598" max="14598" width="11.77734375" style="60" customWidth="1"/>
    <col min="14599" max="14835" width="9.33203125" style="60"/>
    <col min="14836" max="14836" width="6.109375" style="60" customWidth="1"/>
    <col min="14837" max="14837" width="20.33203125" style="60" customWidth="1"/>
    <col min="14838" max="14838" width="18.6640625" style="60" customWidth="1"/>
    <col min="14839" max="14839" width="12.6640625" style="60" bestFit="1" customWidth="1"/>
    <col min="14840" max="14840" width="13.6640625" style="60" customWidth="1"/>
    <col min="14841" max="14841" width="13.33203125" style="60" customWidth="1"/>
    <col min="14842" max="14842" width="13.109375" style="60" bestFit="1" customWidth="1"/>
    <col min="14843" max="14843" width="12.77734375" style="60" customWidth="1"/>
    <col min="14844" max="14844" width="15.77734375" style="60" bestFit="1" customWidth="1"/>
    <col min="14845" max="14845" width="12.33203125" style="60" customWidth="1"/>
    <col min="14846" max="14846" width="12.77734375" style="60" customWidth="1"/>
    <col min="14847" max="14847" width="13.44140625" style="60" customWidth="1"/>
    <col min="14848" max="14848" width="14.44140625" style="60" customWidth="1"/>
    <col min="14849" max="14849" width="11.33203125" style="60" bestFit="1" customWidth="1"/>
    <col min="14850" max="14850" width="11" style="60" bestFit="1" customWidth="1"/>
    <col min="14851" max="14851" width="12" style="60" customWidth="1"/>
    <col min="14852" max="14853" width="9.33203125" style="60"/>
    <col min="14854" max="14854" width="11.77734375" style="60" customWidth="1"/>
    <col min="14855" max="15091" width="9.33203125" style="60"/>
    <col min="15092" max="15092" width="6.109375" style="60" customWidth="1"/>
    <col min="15093" max="15093" width="20.33203125" style="60" customWidth="1"/>
    <col min="15094" max="15094" width="18.6640625" style="60" customWidth="1"/>
    <col min="15095" max="15095" width="12.6640625" style="60" bestFit="1" customWidth="1"/>
    <col min="15096" max="15096" width="13.6640625" style="60" customWidth="1"/>
    <col min="15097" max="15097" width="13.33203125" style="60" customWidth="1"/>
    <col min="15098" max="15098" width="13.109375" style="60" bestFit="1" customWidth="1"/>
    <col min="15099" max="15099" width="12.77734375" style="60" customWidth="1"/>
    <col min="15100" max="15100" width="15.77734375" style="60" bestFit="1" customWidth="1"/>
    <col min="15101" max="15101" width="12.33203125" style="60" customWidth="1"/>
    <col min="15102" max="15102" width="12.77734375" style="60" customWidth="1"/>
    <col min="15103" max="15103" width="13.44140625" style="60" customWidth="1"/>
    <col min="15104" max="15104" width="14.44140625" style="60" customWidth="1"/>
    <col min="15105" max="15105" width="11.33203125" style="60" bestFit="1" customWidth="1"/>
    <col min="15106" max="15106" width="11" style="60" bestFit="1" customWidth="1"/>
    <col min="15107" max="15107" width="12" style="60" customWidth="1"/>
    <col min="15108" max="15109" width="9.33203125" style="60"/>
    <col min="15110" max="15110" width="11.77734375" style="60" customWidth="1"/>
    <col min="15111" max="15347" width="9.33203125" style="60"/>
    <col min="15348" max="15348" width="6.109375" style="60" customWidth="1"/>
    <col min="15349" max="15349" width="20.33203125" style="60" customWidth="1"/>
    <col min="15350" max="15350" width="18.6640625" style="60" customWidth="1"/>
    <col min="15351" max="15351" width="12.6640625" style="60" bestFit="1" customWidth="1"/>
    <col min="15352" max="15352" width="13.6640625" style="60" customWidth="1"/>
    <col min="15353" max="15353" width="13.33203125" style="60" customWidth="1"/>
    <col min="15354" max="15354" width="13.109375" style="60" bestFit="1" customWidth="1"/>
    <col min="15355" max="15355" width="12.77734375" style="60" customWidth="1"/>
    <col min="15356" max="15356" width="15.77734375" style="60" bestFit="1" customWidth="1"/>
    <col min="15357" max="15357" width="12.33203125" style="60" customWidth="1"/>
    <col min="15358" max="15358" width="12.77734375" style="60" customWidth="1"/>
    <col min="15359" max="15359" width="13.44140625" style="60" customWidth="1"/>
    <col min="15360" max="15360" width="14.44140625" style="60" customWidth="1"/>
    <col min="15361" max="15361" width="11.33203125" style="60" bestFit="1" customWidth="1"/>
    <col min="15362" max="15362" width="11" style="60" bestFit="1" customWidth="1"/>
    <col min="15363" max="15363" width="12" style="60" customWidth="1"/>
    <col min="15364" max="15365" width="9.33203125" style="60"/>
    <col min="15366" max="15366" width="11.77734375" style="60" customWidth="1"/>
    <col min="15367" max="15603" width="9.33203125" style="60"/>
    <col min="15604" max="15604" width="6.109375" style="60" customWidth="1"/>
    <col min="15605" max="15605" width="20.33203125" style="60" customWidth="1"/>
    <col min="15606" max="15606" width="18.6640625" style="60" customWidth="1"/>
    <col min="15607" max="15607" width="12.6640625" style="60" bestFit="1" customWidth="1"/>
    <col min="15608" max="15608" width="13.6640625" style="60" customWidth="1"/>
    <col min="15609" max="15609" width="13.33203125" style="60" customWidth="1"/>
    <col min="15610" max="15610" width="13.109375" style="60" bestFit="1" customWidth="1"/>
    <col min="15611" max="15611" width="12.77734375" style="60" customWidth="1"/>
    <col min="15612" max="15612" width="15.77734375" style="60" bestFit="1" customWidth="1"/>
    <col min="15613" max="15613" width="12.33203125" style="60" customWidth="1"/>
    <col min="15614" max="15614" width="12.77734375" style="60" customWidth="1"/>
    <col min="15615" max="15615" width="13.44140625" style="60" customWidth="1"/>
    <col min="15616" max="15616" width="14.44140625" style="60" customWidth="1"/>
    <col min="15617" max="15617" width="11.33203125" style="60" bestFit="1" customWidth="1"/>
    <col min="15618" max="15618" width="11" style="60" bestFit="1" customWidth="1"/>
    <col min="15619" max="15619" width="12" style="60" customWidth="1"/>
    <col min="15620" max="15621" width="9.33203125" style="60"/>
    <col min="15622" max="15622" width="11.77734375" style="60" customWidth="1"/>
    <col min="15623" max="15859" width="9.33203125" style="60"/>
    <col min="15860" max="15860" width="6.109375" style="60" customWidth="1"/>
    <col min="15861" max="15861" width="20.33203125" style="60" customWidth="1"/>
    <col min="15862" max="15862" width="18.6640625" style="60" customWidth="1"/>
    <col min="15863" max="15863" width="12.6640625" style="60" bestFit="1" customWidth="1"/>
    <col min="15864" max="15864" width="13.6640625" style="60" customWidth="1"/>
    <col min="15865" max="15865" width="13.33203125" style="60" customWidth="1"/>
    <col min="15866" max="15866" width="13.109375" style="60" bestFit="1" customWidth="1"/>
    <col min="15867" max="15867" width="12.77734375" style="60" customWidth="1"/>
    <col min="15868" max="15868" width="15.77734375" style="60" bestFit="1" customWidth="1"/>
    <col min="15869" max="15869" width="12.33203125" style="60" customWidth="1"/>
    <col min="15870" max="15870" width="12.77734375" style="60" customWidth="1"/>
    <col min="15871" max="15871" width="13.44140625" style="60" customWidth="1"/>
    <col min="15872" max="15872" width="14.44140625" style="60" customWidth="1"/>
    <col min="15873" max="15873" width="11.33203125" style="60" bestFit="1" customWidth="1"/>
    <col min="15874" max="15874" width="11" style="60" bestFit="1" customWidth="1"/>
    <col min="15875" max="15875" width="12" style="60" customWidth="1"/>
    <col min="15876" max="15877" width="9.33203125" style="60"/>
    <col min="15878" max="15878" width="11.77734375" style="60" customWidth="1"/>
    <col min="15879" max="16115" width="9.33203125" style="60"/>
    <col min="16116" max="16116" width="6.109375" style="60" customWidth="1"/>
    <col min="16117" max="16117" width="20.33203125" style="60" customWidth="1"/>
    <col min="16118" max="16118" width="18.6640625" style="60" customWidth="1"/>
    <col min="16119" max="16119" width="12.6640625" style="60" bestFit="1" customWidth="1"/>
    <col min="16120" max="16120" width="13.6640625" style="60" customWidth="1"/>
    <col min="16121" max="16121" width="13.33203125" style="60" customWidth="1"/>
    <col min="16122" max="16122" width="13.109375" style="60" bestFit="1" customWidth="1"/>
    <col min="16123" max="16123" width="12.77734375" style="60" customWidth="1"/>
    <col min="16124" max="16124" width="15.77734375" style="60" bestFit="1" customWidth="1"/>
    <col min="16125" max="16125" width="12.33203125" style="60" customWidth="1"/>
    <col min="16126" max="16126" width="12.77734375" style="60" customWidth="1"/>
    <col min="16127" max="16127" width="13.44140625" style="60" customWidth="1"/>
    <col min="16128" max="16128" width="14.44140625" style="60" customWidth="1"/>
    <col min="16129" max="16129" width="11.33203125" style="60" bestFit="1" customWidth="1"/>
    <col min="16130" max="16130" width="11" style="60" bestFit="1" customWidth="1"/>
    <col min="16131" max="16131" width="12" style="60" customWidth="1"/>
    <col min="16132" max="16133" width="9.33203125" style="60"/>
    <col min="16134" max="16134" width="11.77734375" style="60" customWidth="1"/>
    <col min="16135" max="16384" width="9.33203125" style="60"/>
  </cols>
  <sheetData>
    <row r="1" spans="1:14">
      <c r="A1" s="859" t="s">
        <v>52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</row>
    <row r="2" spans="1:14">
      <c r="A2" s="860" t="s">
        <v>348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</row>
    <row r="3" spans="1:14" ht="18" customHeight="1">
      <c r="A3" s="859" t="s">
        <v>53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4" ht="8.25" customHeight="1">
      <c r="A4" s="749"/>
      <c r="B4" s="749"/>
      <c r="C4" s="749"/>
      <c r="D4" s="809"/>
      <c r="E4" s="749"/>
      <c r="F4" s="749"/>
      <c r="G4" s="749"/>
      <c r="H4" s="749"/>
      <c r="I4" s="99"/>
      <c r="J4" s="749"/>
      <c r="K4" s="749"/>
      <c r="L4" s="749"/>
    </row>
    <row r="5" spans="1:14" ht="15" thickBot="1">
      <c r="E5" s="856" t="s">
        <v>154</v>
      </c>
      <c r="F5" s="857"/>
      <c r="G5" s="857"/>
      <c r="H5" s="857"/>
      <c r="I5" s="857"/>
      <c r="J5" s="858"/>
    </row>
    <row r="6" spans="1:14" ht="58">
      <c r="A6" s="99"/>
      <c r="B6" s="99"/>
      <c r="C6" s="73" t="s">
        <v>127</v>
      </c>
      <c r="D6" s="814" t="s">
        <v>358</v>
      </c>
      <c r="E6" s="284" t="s">
        <v>327</v>
      </c>
      <c r="F6" s="285" t="s">
        <v>360</v>
      </c>
      <c r="G6" s="286"/>
      <c r="H6" s="286"/>
      <c r="I6" s="286"/>
      <c r="J6" s="287" t="s">
        <v>359</v>
      </c>
      <c r="K6" s="749"/>
      <c r="L6" s="191" t="s">
        <v>156</v>
      </c>
    </row>
    <row r="7" spans="1:14">
      <c r="A7" s="76" t="s">
        <v>129</v>
      </c>
      <c r="D7" s="32"/>
      <c r="E7" s="193"/>
      <c r="F7" s="187"/>
      <c r="G7" s="187"/>
      <c r="H7" s="187"/>
      <c r="J7" s="188"/>
      <c r="L7" s="192"/>
    </row>
    <row r="8" spans="1:14">
      <c r="B8" s="60" t="s">
        <v>128</v>
      </c>
      <c r="C8" s="61">
        <v>5</v>
      </c>
      <c r="D8" s="32"/>
      <c r="E8" s="193"/>
      <c r="F8" s="187"/>
      <c r="G8" s="187"/>
      <c r="H8" s="187"/>
      <c r="J8" s="188"/>
      <c r="L8" s="192"/>
    </row>
    <row r="9" spans="1:14">
      <c r="B9" s="60" t="s">
        <v>130</v>
      </c>
      <c r="D9" s="32">
        <v>0.92030000000000001</v>
      </c>
      <c r="E9" s="193">
        <f>+'PGA Amount Change'!L16</f>
        <v>-3.672705500000038E-3</v>
      </c>
      <c r="F9" s="186">
        <f>+'TTA Amount of Change'!K12</f>
        <v>1.4010000000000002E-2</v>
      </c>
      <c r="G9" s="186">
        <v>0</v>
      </c>
      <c r="H9" s="186"/>
      <c r="I9" s="186"/>
      <c r="J9" s="188">
        <f>SUM(D9:I9)</f>
        <v>0.93063729449999999</v>
      </c>
      <c r="L9" s="192">
        <f>+J9-D9</f>
        <v>1.0337294499999983E-2</v>
      </c>
      <c r="N9" s="760">
        <f>56*L9</f>
        <v>0.57888849199999903</v>
      </c>
    </row>
    <row r="10" spans="1:14">
      <c r="A10" s="76" t="s">
        <v>131</v>
      </c>
      <c r="D10" s="32"/>
      <c r="E10" s="193"/>
      <c r="F10" s="187"/>
      <c r="G10" s="187"/>
      <c r="H10" s="187"/>
      <c r="J10" s="188"/>
      <c r="L10" s="192"/>
    </row>
    <row r="11" spans="1:14">
      <c r="B11" s="60" t="s">
        <v>128</v>
      </c>
      <c r="C11" s="61">
        <v>13</v>
      </c>
      <c r="D11" s="32"/>
      <c r="E11" s="193"/>
      <c r="F11" s="187"/>
      <c r="G11" s="187"/>
      <c r="H11" s="187"/>
      <c r="J11" s="188"/>
      <c r="L11" s="192"/>
    </row>
    <row r="12" spans="1:14">
      <c r="B12" s="60" t="s">
        <v>130</v>
      </c>
      <c r="C12" s="61"/>
      <c r="D12" s="32">
        <v>0.85624999999999996</v>
      </c>
      <c r="E12" s="193">
        <f>+'PGA Amount Change'!L17</f>
        <v>-3.5390861413372166E-3</v>
      </c>
      <c r="F12" s="186">
        <f>+'TTA Proposed Rate 590'!F14</f>
        <v>1.4010000000000002E-2</v>
      </c>
      <c r="G12" s="186">
        <v>0</v>
      </c>
      <c r="H12" s="186"/>
      <c r="I12" s="186"/>
      <c r="J12" s="188">
        <f>SUM(D12:I12)</f>
        <v>0.86672091385866268</v>
      </c>
      <c r="L12" s="192">
        <f>+J12-D12</f>
        <v>1.0470913858662723E-2</v>
      </c>
    </row>
    <row r="13" spans="1:14">
      <c r="A13" s="76" t="s">
        <v>132</v>
      </c>
      <c r="C13" s="61"/>
      <c r="D13" s="32"/>
      <c r="E13" s="193"/>
      <c r="F13" s="187"/>
      <c r="G13" s="187"/>
      <c r="H13" s="187"/>
      <c r="J13" s="188"/>
      <c r="L13" s="192"/>
    </row>
    <row r="14" spans="1:14">
      <c r="B14" s="60" t="s">
        <v>128</v>
      </c>
      <c r="C14" s="61">
        <v>125</v>
      </c>
      <c r="D14" s="32"/>
      <c r="E14" s="193"/>
      <c r="F14" s="187"/>
      <c r="G14" s="187"/>
      <c r="H14" s="187"/>
      <c r="J14" s="188"/>
      <c r="L14" s="192"/>
    </row>
    <row r="15" spans="1:14">
      <c r="B15" s="60" t="s">
        <v>133</v>
      </c>
      <c r="C15" s="61"/>
      <c r="D15" s="32">
        <v>0.72341999999999995</v>
      </c>
      <c r="E15" s="193">
        <f>+'PGA Amount Change'!L19</f>
        <v>-2.8527055000000384E-3</v>
      </c>
      <c r="F15" s="186">
        <f>+'TTA Proposed Rate 590'!F15</f>
        <v>1.4010000000000002E-2</v>
      </c>
      <c r="G15" s="186">
        <v>0</v>
      </c>
      <c r="H15" s="186"/>
      <c r="I15" s="186"/>
      <c r="J15" s="188">
        <f>SUM(D15:I15)</f>
        <v>0.73457729449999987</v>
      </c>
      <c r="L15" s="192">
        <f>+J15-D15</f>
        <v>1.1157294499999915E-2</v>
      </c>
    </row>
    <row r="16" spans="1:14">
      <c r="B16" s="60" t="s">
        <v>134</v>
      </c>
      <c r="C16" s="61"/>
      <c r="D16" s="32">
        <v>0.68700000000000006</v>
      </c>
      <c r="E16" s="193">
        <f>+E15</f>
        <v>-2.8527055000000384E-3</v>
      </c>
      <c r="F16" s="186">
        <f>+F15</f>
        <v>1.4010000000000002E-2</v>
      </c>
      <c r="G16" s="186">
        <v>0</v>
      </c>
      <c r="H16" s="186"/>
      <c r="I16" s="186"/>
      <c r="J16" s="188">
        <f>SUM(D16:I16)</f>
        <v>0.69815729449999997</v>
      </c>
      <c r="L16" s="192">
        <f>+J16-D16</f>
        <v>1.1157294499999915E-2</v>
      </c>
    </row>
    <row r="17" spans="1:12">
      <c r="B17" s="60" t="s">
        <v>135</v>
      </c>
      <c r="C17" s="61"/>
      <c r="D17" s="32">
        <v>0.59692999999999996</v>
      </c>
      <c r="E17" s="193">
        <f>+E15</f>
        <v>-2.8527055000000384E-3</v>
      </c>
      <c r="F17" s="186">
        <f>+F15</f>
        <v>1.4010000000000002E-2</v>
      </c>
      <c r="G17" s="186">
        <v>0</v>
      </c>
      <c r="H17" s="186"/>
      <c r="I17" s="186"/>
      <c r="J17" s="188">
        <f>SUM(D17:I17)</f>
        <v>0.60808729449999988</v>
      </c>
      <c r="L17" s="192">
        <f>+J17-D17</f>
        <v>1.1157294499999915E-2</v>
      </c>
    </row>
    <row r="18" spans="1:12">
      <c r="A18" s="76" t="s">
        <v>136</v>
      </c>
      <c r="C18" s="61"/>
      <c r="D18" s="32"/>
      <c r="E18" s="193"/>
      <c r="F18" s="187"/>
      <c r="G18" s="187"/>
      <c r="H18" s="187"/>
      <c r="J18" s="188"/>
      <c r="L18" s="192"/>
    </row>
    <row r="19" spans="1:12">
      <c r="B19" s="60" t="s">
        <v>128</v>
      </c>
      <c r="C19" s="61">
        <v>60</v>
      </c>
      <c r="D19" s="32"/>
      <c r="E19" s="193"/>
      <c r="F19" s="187"/>
      <c r="G19" s="187"/>
      <c r="H19" s="187"/>
      <c r="J19" s="188"/>
      <c r="L19" s="192"/>
    </row>
    <row r="20" spans="1:12">
      <c r="B20" s="60" t="s">
        <v>137</v>
      </c>
      <c r="C20" s="61"/>
      <c r="D20" s="32">
        <v>0.77768000000000004</v>
      </c>
      <c r="E20" s="193">
        <f>+'PGA Amount Change'!L18</f>
        <v>-2.8527055000000384E-3</v>
      </c>
      <c r="F20" s="186">
        <f>+'TTA Proposed Rate 590'!F16</f>
        <v>1.4010000000000002E-2</v>
      </c>
      <c r="G20" s="186">
        <v>0</v>
      </c>
      <c r="H20" s="186"/>
      <c r="I20" s="186"/>
      <c r="J20" s="188">
        <f>SUM(D20:I20)</f>
        <v>0.78883729449999995</v>
      </c>
      <c r="L20" s="192">
        <f>+J20-D20</f>
        <v>1.1157294499999915E-2</v>
      </c>
    </row>
    <row r="21" spans="1:12">
      <c r="B21" s="60" t="s">
        <v>138</v>
      </c>
      <c r="C21" s="61"/>
      <c r="D21" s="32">
        <v>0.74073</v>
      </c>
      <c r="E21" s="193">
        <f>+E20</f>
        <v>-2.8527055000000384E-3</v>
      </c>
      <c r="F21" s="186">
        <f>+F20</f>
        <v>1.4010000000000002E-2</v>
      </c>
      <c r="G21" s="186">
        <v>0</v>
      </c>
      <c r="H21" s="186"/>
      <c r="I21" s="186"/>
      <c r="J21" s="188">
        <f>SUM(D21:I21)</f>
        <v>0.75188729449999991</v>
      </c>
      <c r="L21" s="192">
        <f>+J21-D21</f>
        <v>1.1157294499999915E-2</v>
      </c>
    </row>
    <row r="22" spans="1:12">
      <c r="B22" s="60" t="s">
        <v>139</v>
      </c>
      <c r="C22" s="61"/>
      <c r="D22" s="32">
        <v>0.73514999999999997</v>
      </c>
      <c r="E22" s="193">
        <f>+E20</f>
        <v>-2.8527055000000384E-3</v>
      </c>
      <c r="F22" s="186">
        <f>+F20</f>
        <v>1.4010000000000002E-2</v>
      </c>
      <c r="G22" s="186">
        <v>0</v>
      </c>
      <c r="H22" s="186"/>
      <c r="I22" s="186"/>
      <c r="J22" s="188">
        <f>SUM(D22:I22)</f>
        <v>0.74630729449999988</v>
      </c>
      <c r="L22" s="192">
        <f>+J22-D22</f>
        <v>1.1157294499999915E-2</v>
      </c>
    </row>
    <row r="23" spans="1:12">
      <c r="A23" s="76" t="s">
        <v>140</v>
      </c>
      <c r="C23" s="61"/>
      <c r="D23" s="32"/>
      <c r="E23" s="193"/>
      <c r="F23" s="187"/>
      <c r="G23" s="187"/>
      <c r="H23" s="187"/>
      <c r="J23" s="188"/>
      <c r="L23" s="192"/>
    </row>
    <row r="24" spans="1:12">
      <c r="B24" s="60" t="s">
        <v>128</v>
      </c>
      <c r="C24" s="61">
        <v>163</v>
      </c>
      <c r="D24" s="32"/>
      <c r="E24" s="193"/>
      <c r="F24" s="187"/>
      <c r="G24" s="187"/>
      <c r="H24" s="187"/>
      <c r="J24" s="188"/>
      <c r="L24" s="192"/>
    </row>
    <row r="25" spans="1:12">
      <c r="B25" s="60" t="s">
        <v>141</v>
      </c>
      <c r="C25" s="61"/>
      <c r="D25" s="32">
        <v>0.67876000000000003</v>
      </c>
      <c r="E25" s="193">
        <f>+'PGA Amount Change'!L20</f>
        <v>-2.1635042802546182E-3</v>
      </c>
      <c r="F25" s="186">
        <f>+'TTA Proposed Rate 590'!F17</f>
        <v>1.4010000000000002E-2</v>
      </c>
      <c r="G25" s="186">
        <v>0</v>
      </c>
      <c r="H25" s="186"/>
      <c r="I25" s="186"/>
      <c r="J25" s="188">
        <f>SUM(D25:I25)</f>
        <v>0.69060649571974542</v>
      </c>
      <c r="L25" s="192">
        <f>+J25-D25</f>
        <v>1.1846495719745387E-2</v>
      </c>
    </row>
    <row r="26" spans="1:12">
      <c r="B26" s="60" t="s">
        <v>142</v>
      </c>
      <c r="C26" s="61"/>
      <c r="D26" s="32">
        <v>0.61729000000000001</v>
      </c>
      <c r="E26" s="193">
        <f>+E25</f>
        <v>-2.1635042802546182E-3</v>
      </c>
      <c r="F26" s="186">
        <f>+F25</f>
        <v>1.4010000000000002E-2</v>
      </c>
      <c r="G26" s="186">
        <v>0</v>
      </c>
      <c r="H26" s="186"/>
      <c r="I26" s="186"/>
      <c r="J26" s="188">
        <f>SUM(D26:I26)</f>
        <v>0.62913649571974539</v>
      </c>
      <c r="L26" s="192">
        <f>+J26-D26</f>
        <v>1.1846495719745387E-2</v>
      </c>
    </row>
    <row r="27" spans="1:12">
      <c r="A27" s="76" t="s">
        <v>143</v>
      </c>
      <c r="C27" s="61"/>
      <c r="D27" s="32"/>
      <c r="E27" s="162"/>
      <c r="F27" s="187"/>
      <c r="G27" s="187"/>
      <c r="H27" s="187"/>
      <c r="J27" s="188"/>
      <c r="L27" s="192"/>
    </row>
    <row r="28" spans="1:12">
      <c r="B28" s="60" t="s">
        <v>144</v>
      </c>
      <c r="C28" s="61"/>
      <c r="D28" s="32">
        <v>0.2</v>
      </c>
      <c r="E28" s="162"/>
      <c r="F28" s="186">
        <v>0</v>
      </c>
      <c r="G28" s="186">
        <v>0</v>
      </c>
      <c r="H28" s="186"/>
      <c r="I28" s="186"/>
      <c r="J28" s="188">
        <v>0.2</v>
      </c>
      <c r="L28" s="192">
        <f>+J28-D28</f>
        <v>0</v>
      </c>
    </row>
    <row r="29" spans="1:12">
      <c r="B29" s="60" t="s">
        <v>320</v>
      </c>
      <c r="C29" s="61">
        <v>625</v>
      </c>
      <c r="D29" s="32"/>
      <c r="E29" s="162"/>
      <c r="F29" s="187"/>
      <c r="G29" s="187"/>
      <c r="H29" s="187"/>
      <c r="J29" s="188"/>
      <c r="L29" s="192"/>
    </row>
    <row r="30" spans="1:12">
      <c r="B30" s="60" t="s">
        <v>146</v>
      </c>
      <c r="C30" s="61"/>
      <c r="D30" s="32">
        <v>4.0000000000000001E-3</v>
      </c>
      <c r="E30" s="162"/>
      <c r="F30" s="186">
        <v>0</v>
      </c>
      <c r="G30" s="186">
        <v>0</v>
      </c>
      <c r="H30" s="186"/>
      <c r="I30" s="186"/>
      <c r="J30" s="188">
        <f>SUM(D30:G30)</f>
        <v>4.0000000000000001E-3</v>
      </c>
      <c r="L30" s="192">
        <f>+J30-D30</f>
        <v>0</v>
      </c>
    </row>
    <row r="31" spans="1:12">
      <c r="B31" s="60" t="s">
        <v>147</v>
      </c>
      <c r="C31" s="61"/>
      <c r="D31" s="32">
        <v>5.9610000000000003E-2</v>
      </c>
      <c r="E31" s="162"/>
      <c r="F31" s="186">
        <f>+'TTA Proposed Rate 590'!F20</f>
        <v>0</v>
      </c>
      <c r="G31" s="186">
        <v>0</v>
      </c>
      <c r="H31" s="186"/>
      <c r="I31" s="186"/>
      <c r="J31" s="188">
        <f>SUM(D31:I31)</f>
        <v>5.9610000000000003E-2</v>
      </c>
      <c r="L31" s="192">
        <f>+J31-D31</f>
        <v>0</v>
      </c>
    </row>
    <row r="32" spans="1:12">
      <c r="B32" s="60" t="s">
        <v>148</v>
      </c>
      <c r="C32" s="61"/>
      <c r="D32" s="32">
        <v>2.2749999999999999E-2</v>
      </c>
      <c r="E32" s="162"/>
      <c r="F32" s="186">
        <f>+F31</f>
        <v>0</v>
      </c>
      <c r="G32" s="186">
        <v>0</v>
      </c>
      <c r="H32" s="186"/>
      <c r="I32" s="186"/>
      <c r="J32" s="188">
        <f>SUM(D32:I32)</f>
        <v>2.2749999999999999E-2</v>
      </c>
      <c r="L32" s="192">
        <f>+J32-D32</f>
        <v>0</v>
      </c>
    </row>
    <row r="33" spans="1:12">
      <c r="B33" s="60" t="s">
        <v>148</v>
      </c>
      <c r="C33" s="61"/>
      <c r="D33" s="32">
        <v>1.4449999999999999E-2</v>
      </c>
      <c r="E33" s="162"/>
      <c r="F33" s="186">
        <f>+F31</f>
        <v>0</v>
      </c>
      <c r="G33" s="186">
        <v>0</v>
      </c>
      <c r="H33" s="186"/>
      <c r="I33" s="186"/>
      <c r="J33" s="188">
        <f>SUM(D33:I33)</f>
        <v>1.4449999999999999E-2</v>
      </c>
      <c r="L33" s="192">
        <f>+J33-D33</f>
        <v>0</v>
      </c>
    </row>
    <row r="34" spans="1:12">
      <c r="B34" s="60" t="s">
        <v>149</v>
      </c>
      <c r="C34" s="61"/>
      <c r="D34" s="32">
        <v>7.7000000000000002E-3</v>
      </c>
      <c r="E34" s="162"/>
      <c r="F34" s="186">
        <f>+F31</f>
        <v>0</v>
      </c>
      <c r="G34" s="186">
        <v>0</v>
      </c>
      <c r="H34" s="186"/>
      <c r="I34" s="186"/>
      <c r="J34" s="188">
        <f>SUM(D34:I34)</f>
        <v>7.7000000000000002E-3</v>
      </c>
      <c r="L34" s="192">
        <f>+J34-D34</f>
        <v>0</v>
      </c>
    </row>
    <row r="35" spans="1:12">
      <c r="D35" s="32"/>
      <c r="E35" s="163"/>
      <c r="F35" s="187"/>
      <c r="G35" s="187"/>
      <c r="H35" s="187"/>
      <c r="J35" s="188"/>
      <c r="L35" s="192"/>
    </row>
    <row r="36" spans="1:12">
      <c r="A36" s="76" t="s">
        <v>150</v>
      </c>
      <c r="C36" s="61"/>
      <c r="D36" s="32"/>
      <c r="E36" s="162"/>
      <c r="F36" s="187"/>
      <c r="G36" s="187"/>
      <c r="H36" s="187"/>
      <c r="J36" s="188"/>
      <c r="L36" s="192"/>
    </row>
    <row r="37" spans="1:12">
      <c r="B37" s="60" t="s">
        <v>151</v>
      </c>
      <c r="D37" s="32">
        <v>0.2</v>
      </c>
      <c r="E37" s="162"/>
      <c r="F37" s="186">
        <v>0</v>
      </c>
      <c r="G37" s="186">
        <v>0</v>
      </c>
      <c r="H37" s="186"/>
      <c r="I37" s="186"/>
      <c r="J37" s="188">
        <f>SUM(D37:G37)</f>
        <v>0.2</v>
      </c>
      <c r="L37" s="192"/>
    </row>
    <row r="38" spans="1:12">
      <c r="B38" s="60" t="s">
        <v>145</v>
      </c>
      <c r="C38" s="61">
        <v>500</v>
      </c>
      <c r="D38" s="32"/>
      <c r="E38" s="162"/>
      <c r="F38" s="187"/>
      <c r="G38" s="187">
        <v>0</v>
      </c>
      <c r="H38" s="187"/>
      <c r="J38" s="188"/>
      <c r="L38" s="192"/>
    </row>
    <row r="39" spans="1:12">
      <c r="B39" s="60" t="s">
        <v>146</v>
      </c>
      <c r="C39" s="61"/>
      <c r="D39" s="32">
        <v>4.0000000000000002E-4</v>
      </c>
      <c r="E39" s="162"/>
      <c r="F39" s="186">
        <v>0</v>
      </c>
      <c r="G39" s="186">
        <v>0</v>
      </c>
      <c r="H39" s="186"/>
      <c r="I39" s="186"/>
      <c r="J39" s="188">
        <f>SUM(D39:G39)</f>
        <v>4.0000000000000002E-4</v>
      </c>
      <c r="L39" s="192"/>
    </row>
    <row r="40" spans="1:12">
      <c r="B40" s="60" t="s">
        <v>147</v>
      </c>
      <c r="C40" s="61"/>
      <c r="D40" s="32">
        <f>+D31</f>
        <v>5.9610000000000003E-2</v>
      </c>
      <c r="E40" s="162"/>
      <c r="F40" s="186">
        <f>+F31</f>
        <v>0</v>
      </c>
      <c r="G40" s="186">
        <v>0</v>
      </c>
      <c r="H40" s="186"/>
      <c r="I40" s="186">
        <f t="shared" ref="I40:I43" si="0">+I31</f>
        <v>0</v>
      </c>
      <c r="J40" s="188">
        <f>SUM(D40:I40)</f>
        <v>5.9610000000000003E-2</v>
      </c>
      <c r="L40" s="192">
        <f>+J40-D40</f>
        <v>0</v>
      </c>
    </row>
    <row r="41" spans="1:12">
      <c r="B41" s="60" t="s">
        <v>148</v>
      </c>
      <c r="C41" s="61"/>
      <c r="D41" s="32">
        <f>+D32</f>
        <v>2.2749999999999999E-2</v>
      </c>
      <c r="E41" s="162"/>
      <c r="F41" s="186">
        <f>+F40</f>
        <v>0</v>
      </c>
      <c r="G41" s="186">
        <v>0</v>
      </c>
      <c r="H41" s="186"/>
      <c r="I41" s="186">
        <f t="shared" si="0"/>
        <v>0</v>
      </c>
      <c r="J41" s="188">
        <f t="shared" ref="J41:J43" si="1">SUM(D41:I41)</f>
        <v>2.2749999999999999E-2</v>
      </c>
      <c r="L41" s="192">
        <f>+J41-D41</f>
        <v>0</v>
      </c>
    </row>
    <row r="42" spans="1:12">
      <c r="B42" s="60" t="s">
        <v>148</v>
      </c>
      <c r="C42" s="61"/>
      <c r="D42" s="32">
        <f>+D33</f>
        <v>1.4449999999999999E-2</v>
      </c>
      <c r="E42" s="162"/>
      <c r="F42" s="186">
        <f>+F40</f>
        <v>0</v>
      </c>
      <c r="G42" s="186">
        <v>0</v>
      </c>
      <c r="H42" s="186"/>
      <c r="I42" s="186">
        <f t="shared" si="0"/>
        <v>0</v>
      </c>
      <c r="J42" s="188">
        <f t="shared" si="1"/>
        <v>1.4449999999999999E-2</v>
      </c>
      <c r="L42" s="192">
        <f>+J42-D42</f>
        <v>0</v>
      </c>
    </row>
    <row r="43" spans="1:12">
      <c r="B43" s="60" t="s">
        <v>149</v>
      </c>
      <c r="C43" s="61"/>
      <c r="D43" s="32">
        <f>+D34</f>
        <v>7.7000000000000002E-3</v>
      </c>
      <c r="E43" s="162"/>
      <c r="F43" s="186">
        <f>+F40</f>
        <v>0</v>
      </c>
      <c r="G43" s="186">
        <v>0</v>
      </c>
      <c r="H43" s="186"/>
      <c r="I43" s="186">
        <f t="shared" si="0"/>
        <v>0</v>
      </c>
      <c r="J43" s="188">
        <f t="shared" si="1"/>
        <v>7.7000000000000002E-3</v>
      </c>
      <c r="L43" s="192">
        <f>+J43-D43</f>
        <v>0</v>
      </c>
    </row>
    <row r="44" spans="1:12">
      <c r="D44" s="32"/>
      <c r="E44" s="163"/>
      <c r="F44" s="187"/>
      <c r="G44" s="187"/>
      <c r="H44" s="187"/>
      <c r="J44" s="188"/>
      <c r="L44" s="192"/>
    </row>
    <row r="45" spans="1:12">
      <c r="A45" s="76" t="s">
        <v>152</v>
      </c>
      <c r="D45" s="32"/>
      <c r="E45" s="163"/>
      <c r="F45" s="187"/>
      <c r="G45" s="187"/>
      <c r="H45" s="187"/>
      <c r="J45" s="188"/>
      <c r="L45" s="192"/>
    </row>
    <row r="46" spans="1:12">
      <c r="B46" s="60" t="s">
        <v>155</v>
      </c>
      <c r="C46" s="75">
        <v>0</v>
      </c>
      <c r="D46" s="32"/>
      <c r="E46" s="162"/>
      <c r="F46" s="187"/>
      <c r="G46" s="187"/>
      <c r="H46" s="187"/>
      <c r="J46" s="188"/>
      <c r="L46" s="192"/>
    </row>
    <row r="47" spans="1:12" ht="15" thickBot="1">
      <c r="B47" s="60" t="s">
        <v>153</v>
      </c>
      <c r="C47" s="75">
        <v>0</v>
      </c>
      <c r="D47" s="32"/>
      <c r="E47" s="164"/>
      <c r="F47" s="185"/>
      <c r="G47" s="185"/>
      <c r="H47" s="185"/>
      <c r="I47" s="185"/>
      <c r="J47" s="84"/>
      <c r="L47" s="190">
        <f>C47</f>
        <v>0</v>
      </c>
    </row>
  </sheetData>
  <mergeCells count="4">
    <mergeCell ref="E5:J5"/>
    <mergeCell ref="A1:L1"/>
    <mergeCell ref="A2:L2"/>
    <mergeCell ref="A3:L3"/>
  </mergeCells>
  <printOptions horizontalCentered="1"/>
  <pageMargins left="0.25" right="0.25" top="1" bottom="1" header="0.5" footer="0.5"/>
  <pageSetup scale="77" orientation="portrait" r:id="rId1"/>
  <headerFooter alignWithMargins="0">
    <oddFooter>&amp;L&amp;F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86E-BC1A-4F48-A435-97A0D86FA374}">
  <dimension ref="A1:R44"/>
  <sheetViews>
    <sheetView topLeftCell="A9" workbookViewId="0">
      <selection activeCell="E33" sqref="E33"/>
    </sheetView>
  </sheetViews>
  <sheetFormatPr defaultRowHeight="14.5" outlineLevelCol="1"/>
  <cols>
    <col min="1" max="1" width="5.44140625" style="52" bestFit="1" customWidth="1"/>
    <col min="2" max="2" width="53.6640625" style="168" bestFit="1" customWidth="1"/>
    <col min="3" max="3" width="19.44140625" style="168" customWidth="1"/>
    <col min="4" max="4" width="19.77734375" style="168" customWidth="1"/>
    <col min="5" max="5" width="12.77734375" style="168" bestFit="1" customWidth="1"/>
    <col min="6" max="6" width="18.4414062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4414062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44140625" style="168" customWidth="1"/>
    <col min="256" max="256" width="10.44140625" style="168" customWidth="1"/>
    <col min="257" max="257" width="15.109375" style="168" customWidth="1"/>
    <col min="258" max="258" width="3.6640625" style="168" customWidth="1"/>
    <col min="259" max="259" width="13.109375" style="168" customWidth="1"/>
    <col min="260" max="260" width="3.7773437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7773437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44140625" style="168" customWidth="1"/>
    <col min="512" max="512" width="10.44140625" style="168" customWidth="1"/>
    <col min="513" max="513" width="15.109375" style="168" customWidth="1"/>
    <col min="514" max="514" width="3.6640625" style="168" customWidth="1"/>
    <col min="515" max="515" width="13.109375" style="168" customWidth="1"/>
    <col min="516" max="516" width="3.7773437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7773437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44140625" style="168" customWidth="1"/>
    <col min="768" max="768" width="10.44140625" style="168" customWidth="1"/>
    <col min="769" max="769" width="15.109375" style="168" customWidth="1"/>
    <col min="770" max="770" width="3.6640625" style="168" customWidth="1"/>
    <col min="771" max="771" width="13.109375" style="168" customWidth="1"/>
    <col min="772" max="772" width="3.7773437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7773437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44140625" style="168" customWidth="1"/>
    <col min="1024" max="1024" width="10.44140625" style="168" customWidth="1"/>
    <col min="1025" max="1025" width="15.109375" style="168" customWidth="1"/>
    <col min="1026" max="1026" width="3.6640625" style="168" customWidth="1"/>
    <col min="1027" max="1027" width="13.109375" style="168" customWidth="1"/>
    <col min="1028" max="1028" width="3.7773437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7773437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44140625" style="168" customWidth="1"/>
    <col min="1280" max="1280" width="10.44140625" style="168" customWidth="1"/>
    <col min="1281" max="1281" width="15.109375" style="168" customWidth="1"/>
    <col min="1282" max="1282" width="3.6640625" style="168" customWidth="1"/>
    <col min="1283" max="1283" width="13.109375" style="168" customWidth="1"/>
    <col min="1284" max="1284" width="3.7773437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7773437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44140625" style="168" customWidth="1"/>
    <col min="1536" max="1536" width="10.44140625" style="168" customWidth="1"/>
    <col min="1537" max="1537" width="15.109375" style="168" customWidth="1"/>
    <col min="1538" max="1538" width="3.6640625" style="168" customWidth="1"/>
    <col min="1539" max="1539" width="13.109375" style="168" customWidth="1"/>
    <col min="1540" max="1540" width="3.7773437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7773437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44140625" style="168" customWidth="1"/>
    <col min="1792" max="1792" width="10.44140625" style="168" customWidth="1"/>
    <col min="1793" max="1793" width="15.109375" style="168" customWidth="1"/>
    <col min="1794" max="1794" width="3.6640625" style="168" customWidth="1"/>
    <col min="1795" max="1795" width="13.109375" style="168" customWidth="1"/>
    <col min="1796" max="1796" width="3.7773437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7773437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44140625" style="168" customWidth="1"/>
    <col min="2048" max="2048" width="10.44140625" style="168" customWidth="1"/>
    <col min="2049" max="2049" width="15.109375" style="168" customWidth="1"/>
    <col min="2050" max="2050" width="3.6640625" style="168" customWidth="1"/>
    <col min="2051" max="2051" width="13.109375" style="168" customWidth="1"/>
    <col min="2052" max="2052" width="3.7773437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7773437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44140625" style="168" customWidth="1"/>
    <col min="2304" max="2304" width="10.44140625" style="168" customWidth="1"/>
    <col min="2305" max="2305" width="15.109375" style="168" customWidth="1"/>
    <col min="2306" max="2306" width="3.6640625" style="168" customWidth="1"/>
    <col min="2307" max="2307" width="13.109375" style="168" customWidth="1"/>
    <col min="2308" max="2308" width="3.7773437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7773437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44140625" style="168" customWidth="1"/>
    <col min="2560" max="2560" width="10.44140625" style="168" customWidth="1"/>
    <col min="2561" max="2561" width="15.109375" style="168" customWidth="1"/>
    <col min="2562" max="2562" width="3.6640625" style="168" customWidth="1"/>
    <col min="2563" max="2563" width="13.109375" style="168" customWidth="1"/>
    <col min="2564" max="2564" width="3.7773437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7773437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44140625" style="168" customWidth="1"/>
    <col min="2816" max="2816" width="10.44140625" style="168" customWidth="1"/>
    <col min="2817" max="2817" width="15.109375" style="168" customWidth="1"/>
    <col min="2818" max="2818" width="3.6640625" style="168" customWidth="1"/>
    <col min="2819" max="2819" width="13.109375" style="168" customWidth="1"/>
    <col min="2820" max="2820" width="3.7773437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7773437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44140625" style="168" customWidth="1"/>
    <col min="3072" max="3072" width="10.44140625" style="168" customWidth="1"/>
    <col min="3073" max="3073" width="15.109375" style="168" customWidth="1"/>
    <col min="3074" max="3074" width="3.6640625" style="168" customWidth="1"/>
    <col min="3075" max="3075" width="13.109375" style="168" customWidth="1"/>
    <col min="3076" max="3076" width="3.7773437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7773437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44140625" style="168" customWidth="1"/>
    <col min="3328" max="3328" width="10.44140625" style="168" customWidth="1"/>
    <col min="3329" max="3329" width="15.109375" style="168" customWidth="1"/>
    <col min="3330" max="3330" width="3.6640625" style="168" customWidth="1"/>
    <col min="3331" max="3331" width="13.109375" style="168" customWidth="1"/>
    <col min="3332" max="3332" width="3.7773437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7773437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44140625" style="168" customWidth="1"/>
    <col min="3584" max="3584" width="10.44140625" style="168" customWidth="1"/>
    <col min="3585" max="3585" width="15.109375" style="168" customWidth="1"/>
    <col min="3586" max="3586" width="3.6640625" style="168" customWidth="1"/>
    <col min="3587" max="3587" width="13.109375" style="168" customWidth="1"/>
    <col min="3588" max="3588" width="3.7773437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7773437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44140625" style="168" customWidth="1"/>
    <col min="3840" max="3840" width="10.44140625" style="168" customWidth="1"/>
    <col min="3841" max="3841" width="15.109375" style="168" customWidth="1"/>
    <col min="3842" max="3842" width="3.6640625" style="168" customWidth="1"/>
    <col min="3843" max="3843" width="13.109375" style="168" customWidth="1"/>
    <col min="3844" max="3844" width="3.7773437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7773437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44140625" style="168" customWidth="1"/>
    <col min="4096" max="4096" width="10.44140625" style="168" customWidth="1"/>
    <col min="4097" max="4097" width="15.109375" style="168" customWidth="1"/>
    <col min="4098" max="4098" width="3.6640625" style="168" customWidth="1"/>
    <col min="4099" max="4099" width="13.109375" style="168" customWidth="1"/>
    <col min="4100" max="4100" width="3.7773437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7773437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44140625" style="168" customWidth="1"/>
    <col min="4352" max="4352" width="10.44140625" style="168" customWidth="1"/>
    <col min="4353" max="4353" width="15.109375" style="168" customWidth="1"/>
    <col min="4354" max="4354" width="3.6640625" style="168" customWidth="1"/>
    <col min="4355" max="4355" width="13.109375" style="168" customWidth="1"/>
    <col min="4356" max="4356" width="3.7773437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7773437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44140625" style="168" customWidth="1"/>
    <col min="4608" max="4608" width="10.44140625" style="168" customWidth="1"/>
    <col min="4609" max="4609" width="15.109375" style="168" customWidth="1"/>
    <col min="4610" max="4610" width="3.6640625" style="168" customWidth="1"/>
    <col min="4611" max="4611" width="13.109375" style="168" customWidth="1"/>
    <col min="4612" max="4612" width="3.7773437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7773437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44140625" style="168" customWidth="1"/>
    <col min="4864" max="4864" width="10.44140625" style="168" customWidth="1"/>
    <col min="4865" max="4865" width="15.109375" style="168" customWidth="1"/>
    <col min="4866" max="4866" width="3.6640625" style="168" customWidth="1"/>
    <col min="4867" max="4867" width="13.109375" style="168" customWidth="1"/>
    <col min="4868" max="4868" width="3.7773437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7773437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44140625" style="168" customWidth="1"/>
    <col min="5120" max="5120" width="10.44140625" style="168" customWidth="1"/>
    <col min="5121" max="5121" width="15.109375" style="168" customWidth="1"/>
    <col min="5122" max="5122" width="3.6640625" style="168" customWidth="1"/>
    <col min="5123" max="5123" width="13.109375" style="168" customWidth="1"/>
    <col min="5124" max="5124" width="3.7773437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7773437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44140625" style="168" customWidth="1"/>
    <col min="5376" max="5376" width="10.44140625" style="168" customWidth="1"/>
    <col min="5377" max="5377" width="15.109375" style="168" customWidth="1"/>
    <col min="5378" max="5378" width="3.6640625" style="168" customWidth="1"/>
    <col min="5379" max="5379" width="13.109375" style="168" customWidth="1"/>
    <col min="5380" max="5380" width="3.7773437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7773437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44140625" style="168" customWidth="1"/>
    <col min="5632" max="5632" width="10.44140625" style="168" customWidth="1"/>
    <col min="5633" max="5633" width="15.109375" style="168" customWidth="1"/>
    <col min="5634" max="5634" width="3.6640625" style="168" customWidth="1"/>
    <col min="5635" max="5635" width="13.109375" style="168" customWidth="1"/>
    <col min="5636" max="5636" width="3.7773437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7773437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44140625" style="168" customWidth="1"/>
    <col min="5888" max="5888" width="10.44140625" style="168" customWidth="1"/>
    <col min="5889" max="5889" width="15.109375" style="168" customWidth="1"/>
    <col min="5890" max="5890" width="3.6640625" style="168" customWidth="1"/>
    <col min="5891" max="5891" width="13.109375" style="168" customWidth="1"/>
    <col min="5892" max="5892" width="3.7773437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7773437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44140625" style="168" customWidth="1"/>
    <col min="6144" max="6144" width="10.44140625" style="168" customWidth="1"/>
    <col min="6145" max="6145" width="15.109375" style="168" customWidth="1"/>
    <col min="6146" max="6146" width="3.6640625" style="168" customWidth="1"/>
    <col min="6147" max="6147" width="13.109375" style="168" customWidth="1"/>
    <col min="6148" max="6148" width="3.7773437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7773437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44140625" style="168" customWidth="1"/>
    <col min="6400" max="6400" width="10.44140625" style="168" customWidth="1"/>
    <col min="6401" max="6401" width="15.109375" style="168" customWidth="1"/>
    <col min="6402" max="6402" width="3.6640625" style="168" customWidth="1"/>
    <col min="6403" max="6403" width="13.109375" style="168" customWidth="1"/>
    <col min="6404" max="6404" width="3.7773437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7773437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44140625" style="168" customWidth="1"/>
    <col min="6656" max="6656" width="10.44140625" style="168" customWidth="1"/>
    <col min="6657" max="6657" width="15.109375" style="168" customWidth="1"/>
    <col min="6658" max="6658" width="3.6640625" style="168" customWidth="1"/>
    <col min="6659" max="6659" width="13.109375" style="168" customWidth="1"/>
    <col min="6660" max="6660" width="3.7773437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7773437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44140625" style="168" customWidth="1"/>
    <col min="6912" max="6912" width="10.44140625" style="168" customWidth="1"/>
    <col min="6913" max="6913" width="15.109375" style="168" customWidth="1"/>
    <col min="6914" max="6914" width="3.6640625" style="168" customWidth="1"/>
    <col min="6915" max="6915" width="13.109375" style="168" customWidth="1"/>
    <col min="6916" max="6916" width="3.7773437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7773437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44140625" style="168" customWidth="1"/>
    <col min="7168" max="7168" width="10.44140625" style="168" customWidth="1"/>
    <col min="7169" max="7169" width="15.109375" style="168" customWidth="1"/>
    <col min="7170" max="7170" width="3.6640625" style="168" customWidth="1"/>
    <col min="7171" max="7171" width="13.109375" style="168" customWidth="1"/>
    <col min="7172" max="7172" width="3.7773437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7773437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44140625" style="168" customWidth="1"/>
    <col min="7424" max="7424" width="10.44140625" style="168" customWidth="1"/>
    <col min="7425" max="7425" width="15.109375" style="168" customWidth="1"/>
    <col min="7426" max="7426" width="3.6640625" style="168" customWidth="1"/>
    <col min="7427" max="7427" width="13.109375" style="168" customWidth="1"/>
    <col min="7428" max="7428" width="3.7773437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7773437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44140625" style="168" customWidth="1"/>
    <col min="7680" max="7680" width="10.44140625" style="168" customWidth="1"/>
    <col min="7681" max="7681" width="15.109375" style="168" customWidth="1"/>
    <col min="7682" max="7682" width="3.6640625" style="168" customWidth="1"/>
    <col min="7683" max="7683" width="13.109375" style="168" customWidth="1"/>
    <col min="7684" max="7684" width="3.7773437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7773437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44140625" style="168" customWidth="1"/>
    <col min="7936" max="7936" width="10.44140625" style="168" customWidth="1"/>
    <col min="7937" max="7937" width="15.109375" style="168" customWidth="1"/>
    <col min="7938" max="7938" width="3.6640625" style="168" customWidth="1"/>
    <col min="7939" max="7939" width="13.109375" style="168" customWidth="1"/>
    <col min="7940" max="7940" width="3.7773437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7773437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44140625" style="168" customWidth="1"/>
    <col min="8192" max="8192" width="10.44140625" style="168" customWidth="1"/>
    <col min="8193" max="8193" width="15.109375" style="168" customWidth="1"/>
    <col min="8194" max="8194" width="3.6640625" style="168" customWidth="1"/>
    <col min="8195" max="8195" width="13.109375" style="168" customWidth="1"/>
    <col min="8196" max="8196" width="3.7773437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7773437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44140625" style="168" customWidth="1"/>
    <col min="8448" max="8448" width="10.44140625" style="168" customWidth="1"/>
    <col min="8449" max="8449" width="15.109375" style="168" customWidth="1"/>
    <col min="8450" max="8450" width="3.6640625" style="168" customWidth="1"/>
    <col min="8451" max="8451" width="13.109375" style="168" customWidth="1"/>
    <col min="8452" max="8452" width="3.7773437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7773437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44140625" style="168" customWidth="1"/>
    <col min="8704" max="8704" width="10.44140625" style="168" customWidth="1"/>
    <col min="8705" max="8705" width="15.109375" style="168" customWidth="1"/>
    <col min="8706" max="8706" width="3.6640625" style="168" customWidth="1"/>
    <col min="8707" max="8707" width="13.109375" style="168" customWidth="1"/>
    <col min="8708" max="8708" width="3.7773437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7773437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44140625" style="168" customWidth="1"/>
    <col min="8960" max="8960" width="10.44140625" style="168" customWidth="1"/>
    <col min="8961" max="8961" width="15.109375" style="168" customWidth="1"/>
    <col min="8962" max="8962" width="3.6640625" style="168" customWidth="1"/>
    <col min="8963" max="8963" width="13.109375" style="168" customWidth="1"/>
    <col min="8964" max="8964" width="3.7773437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7773437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44140625" style="168" customWidth="1"/>
    <col min="9216" max="9216" width="10.44140625" style="168" customWidth="1"/>
    <col min="9217" max="9217" width="15.109375" style="168" customWidth="1"/>
    <col min="9218" max="9218" width="3.6640625" style="168" customWidth="1"/>
    <col min="9219" max="9219" width="13.109375" style="168" customWidth="1"/>
    <col min="9220" max="9220" width="3.7773437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7773437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44140625" style="168" customWidth="1"/>
    <col min="9472" max="9472" width="10.44140625" style="168" customWidth="1"/>
    <col min="9473" max="9473" width="15.109375" style="168" customWidth="1"/>
    <col min="9474" max="9474" width="3.6640625" style="168" customWidth="1"/>
    <col min="9475" max="9475" width="13.109375" style="168" customWidth="1"/>
    <col min="9476" max="9476" width="3.7773437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7773437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44140625" style="168" customWidth="1"/>
    <col min="9728" max="9728" width="10.44140625" style="168" customWidth="1"/>
    <col min="9729" max="9729" width="15.109375" style="168" customWidth="1"/>
    <col min="9730" max="9730" width="3.6640625" style="168" customWidth="1"/>
    <col min="9731" max="9731" width="13.109375" style="168" customWidth="1"/>
    <col min="9732" max="9732" width="3.7773437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7773437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44140625" style="168" customWidth="1"/>
    <col min="9984" max="9984" width="10.44140625" style="168" customWidth="1"/>
    <col min="9985" max="9985" width="15.109375" style="168" customWidth="1"/>
    <col min="9986" max="9986" width="3.6640625" style="168" customWidth="1"/>
    <col min="9987" max="9987" width="13.109375" style="168" customWidth="1"/>
    <col min="9988" max="9988" width="3.7773437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7773437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44140625" style="168" customWidth="1"/>
    <col min="10240" max="10240" width="10.44140625" style="168" customWidth="1"/>
    <col min="10241" max="10241" width="15.109375" style="168" customWidth="1"/>
    <col min="10242" max="10242" width="3.6640625" style="168" customWidth="1"/>
    <col min="10243" max="10243" width="13.109375" style="168" customWidth="1"/>
    <col min="10244" max="10244" width="3.7773437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7773437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44140625" style="168" customWidth="1"/>
    <col min="10496" max="10496" width="10.44140625" style="168" customWidth="1"/>
    <col min="10497" max="10497" width="15.109375" style="168" customWidth="1"/>
    <col min="10498" max="10498" width="3.6640625" style="168" customWidth="1"/>
    <col min="10499" max="10499" width="13.109375" style="168" customWidth="1"/>
    <col min="10500" max="10500" width="3.7773437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7773437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44140625" style="168" customWidth="1"/>
    <col min="10752" max="10752" width="10.44140625" style="168" customWidth="1"/>
    <col min="10753" max="10753" width="15.109375" style="168" customWidth="1"/>
    <col min="10754" max="10754" width="3.6640625" style="168" customWidth="1"/>
    <col min="10755" max="10755" width="13.109375" style="168" customWidth="1"/>
    <col min="10756" max="10756" width="3.7773437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7773437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44140625" style="168" customWidth="1"/>
    <col min="11008" max="11008" width="10.44140625" style="168" customWidth="1"/>
    <col min="11009" max="11009" width="15.109375" style="168" customWidth="1"/>
    <col min="11010" max="11010" width="3.6640625" style="168" customWidth="1"/>
    <col min="11011" max="11011" width="13.109375" style="168" customWidth="1"/>
    <col min="11012" max="11012" width="3.7773437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7773437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44140625" style="168" customWidth="1"/>
    <col min="11264" max="11264" width="10.44140625" style="168" customWidth="1"/>
    <col min="11265" max="11265" width="15.109375" style="168" customWidth="1"/>
    <col min="11266" max="11266" width="3.6640625" style="168" customWidth="1"/>
    <col min="11267" max="11267" width="13.109375" style="168" customWidth="1"/>
    <col min="11268" max="11268" width="3.7773437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7773437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44140625" style="168" customWidth="1"/>
    <col min="11520" max="11520" width="10.44140625" style="168" customWidth="1"/>
    <col min="11521" max="11521" width="15.109375" style="168" customWidth="1"/>
    <col min="11522" max="11522" width="3.6640625" style="168" customWidth="1"/>
    <col min="11523" max="11523" width="13.109375" style="168" customWidth="1"/>
    <col min="11524" max="11524" width="3.7773437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7773437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44140625" style="168" customWidth="1"/>
    <col min="11776" max="11776" width="10.44140625" style="168" customWidth="1"/>
    <col min="11777" max="11777" width="15.109375" style="168" customWidth="1"/>
    <col min="11778" max="11778" width="3.6640625" style="168" customWidth="1"/>
    <col min="11779" max="11779" width="13.109375" style="168" customWidth="1"/>
    <col min="11780" max="11780" width="3.7773437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7773437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44140625" style="168" customWidth="1"/>
    <col min="12032" max="12032" width="10.44140625" style="168" customWidth="1"/>
    <col min="12033" max="12033" width="15.109375" style="168" customWidth="1"/>
    <col min="12034" max="12034" width="3.6640625" style="168" customWidth="1"/>
    <col min="12035" max="12035" width="13.109375" style="168" customWidth="1"/>
    <col min="12036" max="12036" width="3.7773437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7773437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44140625" style="168" customWidth="1"/>
    <col min="12288" max="12288" width="10.44140625" style="168" customWidth="1"/>
    <col min="12289" max="12289" width="15.109375" style="168" customWidth="1"/>
    <col min="12290" max="12290" width="3.6640625" style="168" customWidth="1"/>
    <col min="12291" max="12291" width="13.109375" style="168" customWidth="1"/>
    <col min="12292" max="12292" width="3.7773437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7773437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44140625" style="168" customWidth="1"/>
    <col min="12544" max="12544" width="10.44140625" style="168" customWidth="1"/>
    <col min="12545" max="12545" width="15.109375" style="168" customWidth="1"/>
    <col min="12546" max="12546" width="3.6640625" style="168" customWidth="1"/>
    <col min="12547" max="12547" width="13.109375" style="168" customWidth="1"/>
    <col min="12548" max="12548" width="3.7773437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7773437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44140625" style="168" customWidth="1"/>
    <col min="12800" max="12800" width="10.44140625" style="168" customWidth="1"/>
    <col min="12801" max="12801" width="15.109375" style="168" customWidth="1"/>
    <col min="12802" max="12802" width="3.6640625" style="168" customWidth="1"/>
    <col min="12803" max="12803" width="13.109375" style="168" customWidth="1"/>
    <col min="12804" max="12804" width="3.7773437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7773437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44140625" style="168" customWidth="1"/>
    <col min="13056" max="13056" width="10.44140625" style="168" customWidth="1"/>
    <col min="13057" max="13057" width="15.109375" style="168" customWidth="1"/>
    <col min="13058" max="13058" width="3.6640625" style="168" customWidth="1"/>
    <col min="13059" max="13059" width="13.109375" style="168" customWidth="1"/>
    <col min="13060" max="13060" width="3.7773437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7773437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44140625" style="168" customWidth="1"/>
    <col min="13312" max="13312" width="10.44140625" style="168" customWidth="1"/>
    <col min="13313" max="13313" width="15.109375" style="168" customWidth="1"/>
    <col min="13314" max="13314" width="3.6640625" style="168" customWidth="1"/>
    <col min="13315" max="13315" width="13.109375" style="168" customWidth="1"/>
    <col min="13316" max="13316" width="3.7773437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7773437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44140625" style="168" customWidth="1"/>
    <col min="13568" max="13568" width="10.44140625" style="168" customWidth="1"/>
    <col min="13569" max="13569" width="15.109375" style="168" customWidth="1"/>
    <col min="13570" max="13570" width="3.6640625" style="168" customWidth="1"/>
    <col min="13571" max="13571" width="13.109375" style="168" customWidth="1"/>
    <col min="13572" max="13572" width="3.7773437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7773437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44140625" style="168" customWidth="1"/>
    <col min="13824" max="13824" width="10.44140625" style="168" customWidth="1"/>
    <col min="13825" max="13825" width="15.109375" style="168" customWidth="1"/>
    <col min="13826" max="13826" width="3.6640625" style="168" customWidth="1"/>
    <col min="13827" max="13827" width="13.109375" style="168" customWidth="1"/>
    <col min="13828" max="13828" width="3.7773437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7773437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44140625" style="168" customWidth="1"/>
    <col min="14080" max="14080" width="10.44140625" style="168" customWidth="1"/>
    <col min="14081" max="14081" width="15.109375" style="168" customWidth="1"/>
    <col min="14082" max="14082" width="3.6640625" style="168" customWidth="1"/>
    <col min="14083" max="14083" width="13.109375" style="168" customWidth="1"/>
    <col min="14084" max="14084" width="3.7773437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7773437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44140625" style="168" customWidth="1"/>
    <col min="14336" max="14336" width="10.44140625" style="168" customWidth="1"/>
    <col min="14337" max="14337" width="15.109375" style="168" customWidth="1"/>
    <col min="14338" max="14338" width="3.6640625" style="168" customWidth="1"/>
    <col min="14339" max="14339" width="13.109375" style="168" customWidth="1"/>
    <col min="14340" max="14340" width="3.7773437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7773437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44140625" style="168" customWidth="1"/>
    <col min="14592" max="14592" width="10.44140625" style="168" customWidth="1"/>
    <col min="14593" max="14593" width="15.109375" style="168" customWidth="1"/>
    <col min="14594" max="14594" width="3.6640625" style="168" customWidth="1"/>
    <col min="14595" max="14595" width="13.109375" style="168" customWidth="1"/>
    <col min="14596" max="14596" width="3.7773437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7773437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44140625" style="168" customWidth="1"/>
    <col min="14848" max="14848" width="10.44140625" style="168" customWidth="1"/>
    <col min="14849" max="14849" width="15.109375" style="168" customWidth="1"/>
    <col min="14850" max="14850" width="3.6640625" style="168" customWidth="1"/>
    <col min="14851" max="14851" width="13.109375" style="168" customWidth="1"/>
    <col min="14852" max="14852" width="3.7773437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7773437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44140625" style="168" customWidth="1"/>
    <col min="15104" max="15104" width="10.44140625" style="168" customWidth="1"/>
    <col min="15105" max="15105" width="15.109375" style="168" customWidth="1"/>
    <col min="15106" max="15106" width="3.6640625" style="168" customWidth="1"/>
    <col min="15107" max="15107" width="13.109375" style="168" customWidth="1"/>
    <col min="15108" max="15108" width="3.7773437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7773437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44140625" style="168" customWidth="1"/>
    <col min="15360" max="15360" width="10.44140625" style="168" customWidth="1"/>
    <col min="15361" max="15361" width="15.109375" style="168" customWidth="1"/>
    <col min="15362" max="15362" width="3.6640625" style="168" customWidth="1"/>
    <col min="15363" max="15363" width="13.109375" style="168" customWidth="1"/>
    <col min="15364" max="15364" width="3.7773437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7773437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44140625" style="168" customWidth="1"/>
    <col min="15616" max="15616" width="10.44140625" style="168" customWidth="1"/>
    <col min="15617" max="15617" width="15.109375" style="168" customWidth="1"/>
    <col min="15618" max="15618" width="3.6640625" style="168" customWidth="1"/>
    <col min="15619" max="15619" width="13.109375" style="168" customWidth="1"/>
    <col min="15620" max="15620" width="3.7773437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7773437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44140625" style="168" customWidth="1"/>
    <col min="15872" max="15872" width="10.44140625" style="168" customWidth="1"/>
    <col min="15873" max="15873" width="15.109375" style="168" customWidth="1"/>
    <col min="15874" max="15874" width="3.6640625" style="168" customWidth="1"/>
    <col min="15875" max="15875" width="13.109375" style="168" customWidth="1"/>
    <col min="15876" max="15876" width="3.7773437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7773437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44140625" style="168" customWidth="1"/>
    <col min="16128" max="16128" width="10.44140625" style="168" customWidth="1"/>
    <col min="16129" max="16129" width="15.109375" style="168" customWidth="1"/>
    <col min="16130" max="16130" width="3.6640625" style="168" customWidth="1"/>
    <col min="16131" max="16131" width="13.109375" style="168" customWidth="1"/>
    <col min="16132" max="16132" width="3.7773437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77734375" style="168" customWidth="1"/>
    <col min="16141" max="16384" width="9.33203125" style="168"/>
  </cols>
  <sheetData>
    <row r="1" spans="1:18" ht="15.5">
      <c r="A1" s="626"/>
      <c r="B1" s="627"/>
      <c r="C1" s="627"/>
      <c r="D1" s="627"/>
      <c r="E1" s="627"/>
      <c r="F1" s="627"/>
      <c r="G1" s="628"/>
      <c r="H1" s="627"/>
      <c r="I1" s="628"/>
      <c r="J1" s="628"/>
      <c r="K1" s="629"/>
      <c r="L1" s="758" t="str">
        <f>+'TTA Proposed Rate 590'!G1</f>
        <v>CNGC Advice W20-09-01</v>
      </c>
      <c r="M1" s="627"/>
      <c r="N1" s="627"/>
    </row>
    <row r="2" spans="1:18" ht="15.5">
      <c r="A2" s="627"/>
      <c r="B2" s="630"/>
      <c r="C2" s="630"/>
      <c r="D2" s="841" t="s">
        <v>52</v>
      </c>
      <c r="E2" s="841"/>
      <c r="F2" s="841"/>
      <c r="G2" s="841"/>
      <c r="H2" s="841"/>
      <c r="I2" s="841"/>
      <c r="J2" s="841"/>
      <c r="K2" s="631"/>
      <c r="L2" s="759" t="s">
        <v>290</v>
      </c>
      <c r="M2" s="627"/>
      <c r="N2" s="627"/>
    </row>
    <row r="3" spans="1:18" ht="15.5">
      <c r="A3" s="627"/>
      <c r="B3" s="630"/>
      <c r="C3" s="630"/>
      <c r="D3" s="842" t="s">
        <v>304</v>
      </c>
      <c r="E3" s="841"/>
      <c r="F3" s="841"/>
      <c r="G3" s="841"/>
      <c r="H3" s="841"/>
      <c r="I3" s="841"/>
      <c r="J3" s="841"/>
      <c r="K3" s="631"/>
      <c r="L3" s="759" t="s">
        <v>314</v>
      </c>
      <c r="M3" s="627"/>
      <c r="N3" s="627"/>
    </row>
    <row r="4" spans="1:18" ht="15.5">
      <c r="A4" s="627"/>
      <c r="B4" s="630"/>
      <c r="C4" s="630"/>
      <c r="D4" s="842" t="s">
        <v>325</v>
      </c>
      <c r="E4" s="841"/>
      <c r="F4" s="841"/>
      <c r="G4" s="841"/>
      <c r="H4" s="841"/>
      <c r="I4" s="841"/>
      <c r="J4" s="841"/>
      <c r="K4" s="632"/>
      <c r="L4" s="627"/>
      <c r="M4" s="633" t="s">
        <v>54</v>
      </c>
      <c r="N4" s="627"/>
    </row>
    <row r="5" spans="1:18" ht="15.5">
      <c r="A5" s="627"/>
      <c r="B5" s="630"/>
      <c r="C5" s="630"/>
      <c r="D5" s="841" t="s">
        <v>53</v>
      </c>
      <c r="E5" s="841"/>
      <c r="F5" s="841"/>
      <c r="G5" s="841"/>
      <c r="H5" s="841"/>
      <c r="I5" s="841"/>
      <c r="J5" s="841"/>
      <c r="K5" s="631"/>
      <c r="L5" s="630" t="s">
        <v>173</v>
      </c>
      <c r="M5" s="633" t="s">
        <v>54</v>
      </c>
      <c r="N5" s="627"/>
    </row>
    <row r="6" spans="1:18" ht="15.5">
      <c r="A6" s="626"/>
      <c r="B6" s="627"/>
      <c r="C6" s="627"/>
      <c r="D6" s="627"/>
      <c r="E6" s="627"/>
      <c r="F6" s="627"/>
      <c r="G6" s="628"/>
      <c r="H6" s="627"/>
      <c r="I6" s="628"/>
      <c r="J6" s="628"/>
      <c r="K6" s="629"/>
      <c r="L6" s="627"/>
      <c r="M6" s="627"/>
      <c r="N6" s="627"/>
    </row>
    <row r="7" spans="1:18" ht="15.5">
      <c r="A7" s="634"/>
      <c r="B7" s="635"/>
      <c r="C7" s="636"/>
      <c r="D7" s="636"/>
      <c r="E7" s="783"/>
      <c r="F7" s="637"/>
      <c r="G7" s="638"/>
      <c r="H7" s="637"/>
      <c r="I7" s="638"/>
      <c r="J7" s="628"/>
      <c r="K7" s="639" t="s">
        <v>55</v>
      </c>
      <c r="L7" s="636"/>
      <c r="M7" s="636"/>
      <c r="N7" s="640"/>
    </row>
    <row r="8" spans="1:18" ht="15.5">
      <c r="A8" s="641" t="s">
        <v>7</v>
      </c>
      <c r="B8" s="628"/>
      <c r="C8" s="642"/>
      <c r="D8" s="643" t="s">
        <v>51</v>
      </c>
      <c r="E8" s="784" t="s">
        <v>56</v>
      </c>
      <c r="F8" s="641" t="s">
        <v>319</v>
      </c>
      <c r="G8" s="638"/>
      <c r="H8" s="641" t="s">
        <v>58</v>
      </c>
      <c r="I8" s="638"/>
      <c r="J8" s="628"/>
      <c r="K8" s="644" t="s">
        <v>329</v>
      </c>
      <c r="L8" s="645" t="s">
        <v>59</v>
      </c>
      <c r="M8" s="643" t="s">
        <v>60</v>
      </c>
      <c r="N8" s="646" t="s">
        <v>214</v>
      </c>
    </row>
    <row r="9" spans="1:18" ht="15.5">
      <c r="A9" s="641" t="s">
        <v>9</v>
      </c>
      <c r="B9" s="647" t="s">
        <v>0</v>
      </c>
      <c r="C9" s="645"/>
      <c r="D9" s="643" t="s">
        <v>61</v>
      </c>
      <c r="E9" s="784" t="s">
        <v>62</v>
      </c>
      <c r="F9" s="641" t="s">
        <v>63</v>
      </c>
      <c r="G9" s="638"/>
      <c r="H9" s="641" t="s">
        <v>64</v>
      </c>
      <c r="I9" s="638"/>
      <c r="J9" s="628"/>
      <c r="K9" s="644" t="s">
        <v>65</v>
      </c>
      <c r="L9" s="645" t="s">
        <v>65</v>
      </c>
      <c r="M9" s="645" t="s">
        <v>65</v>
      </c>
      <c r="N9" s="646" t="s">
        <v>65</v>
      </c>
    </row>
    <row r="10" spans="1:18" s="52" customFormat="1" ht="15.5">
      <c r="A10" s="646"/>
      <c r="B10" s="843" t="s">
        <v>14</v>
      </c>
      <c r="C10" s="844"/>
      <c r="D10" s="643" t="s">
        <v>15</v>
      </c>
      <c r="E10" s="784" t="s">
        <v>16</v>
      </c>
      <c r="F10" s="648" t="s">
        <v>17</v>
      </c>
      <c r="G10" s="649"/>
      <c r="H10" s="648" t="s">
        <v>66</v>
      </c>
      <c r="I10" s="649"/>
      <c r="J10" s="650"/>
      <c r="K10" s="651" t="s">
        <v>99</v>
      </c>
      <c r="L10" s="643" t="s">
        <v>67</v>
      </c>
      <c r="M10" s="643" t="s">
        <v>69</v>
      </c>
      <c r="N10" s="652" t="s">
        <v>68</v>
      </c>
    </row>
    <row r="11" spans="1:18" ht="15.5">
      <c r="A11" s="653"/>
      <c r="B11" s="654" t="s">
        <v>70</v>
      </c>
      <c r="C11" s="655"/>
      <c r="D11" s="655"/>
      <c r="E11" s="655"/>
      <c r="F11" s="655"/>
      <c r="G11" s="628"/>
      <c r="H11" s="656"/>
      <c r="I11" s="628"/>
      <c r="J11" s="628"/>
      <c r="K11" s="657"/>
      <c r="L11" s="655"/>
      <c r="M11" s="658"/>
      <c r="N11" s="627"/>
    </row>
    <row r="12" spans="1:18" ht="15.5">
      <c r="A12" s="641">
        <v>1</v>
      </c>
      <c r="B12" s="659" t="s">
        <v>121</v>
      </c>
      <c r="C12" s="666"/>
      <c r="D12" s="643" t="s">
        <v>72</v>
      </c>
      <c r="E12" s="564">
        <f>+'Bills-Therms-Revs'!F12</f>
        <v>193657</v>
      </c>
      <c r="F12" s="660">
        <f>+'Test Period Volumes'!C48</f>
        <v>127118966.08439983</v>
      </c>
      <c r="G12" s="667"/>
      <c r="H12" s="660">
        <f>+'Bills-Therms-Revs'!I16</f>
        <v>129784520</v>
      </c>
      <c r="I12" s="638"/>
      <c r="J12" s="668"/>
      <c r="K12" s="662">
        <f>+'TTA Proposed Rate 590'!F13+'PGA Proposed Rate Adj.'!G16</f>
        <v>1.0337294499999964E-2</v>
      </c>
      <c r="L12" s="663">
        <f>F12*K12</f>
        <v>1314066.1889499484</v>
      </c>
      <c r="M12" s="664" t="e">
        <f>L12/#REF!</f>
        <v>#REF!</v>
      </c>
      <c r="N12" s="669">
        <f t="shared" ref="N12:N16" si="0">+L12/H12</f>
        <v>1.0124984003870017E-2</v>
      </c>
      <c r="R12" s="15"/>
    </row>
    <row r="13" spans="1:18" ht="15.5">
      <c r="A13" s="641">
        <v>2</v>
      </c>
      <c r="B13" s="659" t="s">
        <v>122</v>
      </c>
      <c r="C13" s="638"/>
      <c r="D13" s="643" t="s">
        <v>74</v>
      </c>
      <c r="E13" s="564">
        <f>+'Bills-Therms-Revs'!F18</f>
        <v>26658</v>
      </c>
      <c r="F13" s="660">
        <f>+'Test Period Volumes'!D48</f>
        <v>88299944.040802553</v>
      </c>
      <c r="G13" s="638"/>
      <c r="H13" s="660">
        <f>+'Bills-Therms-Revs'!I18+'Bills-Therms-Revs'!I21+'Bills-Therms-Revs'!I22</f>
        <v>79262367.890000001</v>
      </c>
      <c r="I13" s="638"/>
      <c r="J13" s="628"/>
      <c r="K13" s="662">
        <f>+'TTA Proposed Rate 590'!F14+'PGA Proposed Rate Adj.'!H18</f>
        <v>1.0470913858662785E-2</v>
      </c>
      <c r="L13" s="663">
        <f>ROUND(F13*K13,0)</f>
        <v>924581</v>
      </c>
      <c r="M13" s="664" t="e">
        <f>ROUND(L13/#REF!,4)</f>
        <v>#REF!</v>
      </c>
      <c r="N13" s="669">
        <f t="shared" si="0"/>
        <v>1.1664816792795414E-2</v>
      </c>
      <c r="R13" s="15"/>
    </row>
    <row r="14" spans="1:18" ht="15.5">
      <c r="A14" s="641">
        <v>3</v>
      </c>
      <c r="B14" s="659" t="s">
        <v>123</v>
      </c>
      <c r="C14" s="666"/>
      <c r="D14" s="643" t="s">
        <v>78</v>
      </c>
      <c r="E14" s="564">
        <f>+'Bills-Therms-Revs'!F28</f>
        <v>480</v>
      </c>
      <c r="F14" s="660">
        <f>+'Test Period Volumes'!E48</f>
        <v>14482049.656409066</v>
      </c>
      <c r="G14" s="638"/>
      <c r="H14" s="660">
        <f>+'Bills-Therms-Revs'!I28</f>
        <v>9601453</v>
      </c>
      <c r="I14" s="638"/>
      <c r="J14" s="628"/>
      <c r="K14" s="662">
        <f>+'TTA Proposed Rate 590'!F16+'PGA Proposed Rate Adj.'!I20</f>
        <v>1.1157294499999963E-2</v>
      </c>
      <c r="L14" s="663">
        <f t="shared" ref="L14:L16" si="1">F14*K14</f>
        <v>161580.49298017923</v>
      </c>
      <c r="M14" s="664" t="e">
        <f>L14/#REF!</f>
        <v>#REF!</v>
      </c>
      <c r="N14" s="669">
        <f t="shared" si="0"/>
        <v>1.6828754250026452E-2</v>
      </c>
      <c r="R14" s="15"/>
    </row>
    <row r="15" spans="1:18" ht="15.5">
      <c r="A15" s="641">
        <v>4</v>
      </c>
      <c r="B15" s="659" t="s">
        <v>75</v>
      </c>
      <c r="C15" s="638"/>
      <c r="D15" s="643" t="s">
        <v>76</v>
      </c>
      <c r="E15" s="564">
        <f>+'Bills-Therms-Revs'!F19+'Bills-Therms-Revs'!F29</f>
        <v>98</v>
      </c>
      <c r="F15" s="660">
        <f>+'Test Period Volumes'!F48</f>
        <v>27088723.120386221</v>
      </c>
      <c r="G15" s="667"/>
      <c r="H15" s="660">
        <f>+'Bills-Therms-Revs'!I19+'Bills-Therms-Revs'!I29</f>
        <v>18800301.130000003</v>
      </c>
      <c r="I15" s="667"/>
      <c r="J15" s="668"/>
      <c r="K15" s="662">
        <f>+'TTA Proposed Rate 590'!F15+'PGA Proposed Rate Adj.'!I20</f>
        <v>1.1157294499999963E-2</v>
      </c>
      <c r="L15" s="663">
        <f t="shared" si="1"/>
        <v>302236.86148310703</v>
      </c>
      <c r="M15" s="664" t="e">
        <f>L15/#REF!</f>
        <v>#REF!</v>
      </c>
      <c r="N15" s="669">
        <f t="shared" si="0"/>
        <v>1.607617130136399E-2</v>
      </c>
    </row>
    <row r="16" spans="1:18" ht="15.5">
      <c r="A16" s="641">
        <v>5</v>
      </c>
      <c r="B16" s="659" t="s">
        <v>124</v>
      </c>
      <c r="C16" s="638"/>
      <c r="D16" s="643" t="s">
        <v>79</v>
      </c>
      <c r="E16" s="564">
        <f>+'Bills-Therms-Revs'!F34</f>
        <v>8</v>
      </c>
      <c r="F16" s="660">
        <f>+'Test Period Volumes'!G48</f>
        <v>2291417.0980023355</v>
      </c>
      <c r="G16" s="667"/>
      <c r="H16" s="660">
        <f>+'Bills-Therms-Revs'!I39</f>
        <v>1421635</v>
      </c>
      <c r="I16" s="638"/>
      <c r="J16" s="668"/>
      <c r="K16" s="662">
        <f>+'TTA Proposed Rate 590'!F17+'PGA Proposed Rate Adj.'!K22</f>
        <v>1.1846495719745383E-2</v>
      </c>
      <c r="L16" s="663">
        <f t="shared" si="1"/>
        <v>27145.262843636054</v>
      </c>
      <c r="M16" s="664" t="e">
        <f>L16/#REF!</f>
        <v>#REF!</v>
      </c>
      <c r="N16" s="669">
        <f t="shared" si="0"/>
        <v>1.9094396834374545E-2</v>
      </c>
      <c r="R16" s="15"/>
    </row>
    <row r="17" spans="1:14" s="50" customFormat="1" ht="15.5">
      <c r="A17" s="648">
        <v>6</v>
      </c>
      <c r="B17" s="654" t="s">
        <v>318</v>
      </c>
      <c r="C17" s="670"/>
      <c r="D17" s="671"/>
      <c r="E17" s="785">
        <f>SUM(E12:E16)</f>
        <v>220901</v>
      </c>
      <c r="F17" s="672">
        <f>SUM(F12:F16)</f>
        <v>259281100</v>
      </c>
      <c r="G17" s="673"/>
      <c r="H17" s="672">
        <f>SUM(H12:H16)</f>
        <v>238870277.01999998</v>
      </c>
      <c r="I17" s="673"/>
      <c r="J17" s="674"/>
      <c r="K17" s="675"/>
      <c r="L17" s="676">
        <f>SUM(L12:L16)</f>
        <v>2729609.8062568703</v>
      </c>
      <c r="M17" s="677" t="e">
        <f>L17/#REF!</f>
        <v>#REF!</v>
      </c>
      <c r="N17" s="678"/>
    </row>
    <row r="18" spans="1:14" s="17" customFormat="1" ht="15.5">
      <c r="A18" s="679"/>
      <c r="B18" s="680" t="s">
        <v>81</v>
      </c>
      <c r="C18" s="681"/>
      <c r="D18" s="681"/>
      <c r="E18" s="682"/>
      <c r="F18" s="682"/>
      <c r="G18" s="668"/>
      <c r="H18" s="786"/>
      <c r="I18" s="628"/>
      <c r="J18" s="668"/>
      <c r="K18" s="683"/>
      <c r="L18" s="684"/>
      <c r="M18" s="685"/>
      <c r="N18" s="686"/>
    </row>
    <row r="19" spans="1:14" ht="15.5">
      <c r="A19" s="687">
        <v>7</v>
      </c>
      <c r="B19" s="688" t="s">
        <v>195</v>
      </c>
      <c r="C19" s="635"/>
      <c r="D19" s="637" t="s">
        <v>46</v>
      </c>
      <c r="E19" s="787"/>
      <c r="F19" s="661">
        <f>'Bills-Therms-Revs'!G42</f>
        <v>0</v>
      </c>
      <c r="G19" s="628"/>
      <c r="H19" s="787">
        <f>'Bills-Therms-Revs'!I42</f>
        <v>0</v>
      </c>
      <c r="I19" s="628"/>
      <c r="J19" s="628"/>
      <c r="K19" s="689">
        <f>'TTA Proposed Rate 590'!F21</f>
        <v>0</v>
      </c>
      <c r="L19" s="690">
        <f>+F19*K19</f>
        <v>0</v>
      </c>
      <c r="M19" s="691"/>
      <c r="N19" s="665"/>
    </row>
    <row r="20" spans="1:14" ht="15.5">
      <c r="A20" s="687">
        <v>8</v>
      </c>
      <c r="B20" s="692" t="s">
        <v>196</v>
      </c>
      <c r="C20" s="628"/>
      <c r="D20" s="641" t="s">
        <v>82</v>
      </c>
      <c r="E20" s="660">
        <f>+'Bills-Therms-Revs'!F44</f>
        <v>188</v>
      </c>
      <c r="F20" s="660">
        <f>+'Bills-Therms-Revs'!G44</f>
        <v>629818145</v>
      </c>
      <c r="G20" s="668"/>
      <c r="H20" s="660">
        <f>+'Bills-Therms-Revs'!I44</f>
        <v>20168203</v>
      </c>
      <c r="I20" s="659"/>
      <c r="J20" s="668"/>
      <c r="K20" s="693">
        <f>+'TTA Proposed Rate 590'!F20</f>
        <v>0</v>
      </c>
      <c r="L20" s="694">
        <f>F20*K20</f>
        <v>0</v>
      </c>
      <c r="M20" s="691"/>
      <c r="N20" s="669">
        <f>+L20/H20</f>
        <v>0</v>
      </c>
    </row>
    <row r="21" spans="1:14" ht="15.5">
      <c r="A21" s="687">
        <v>9</v>
      </c>
      <c r="B21" s="692" t="s">
        <v>197</v>
      </c>
      <c r="C21" s="628"/>
      <c r="D21" s="648" t="s">
        <v>193</v>
      </c>
      <c r="E21" s="695">
        <f>+'Bills-Therms-Revs'!F45</f>
        <v>7</v>
      </c>
      <c r="F21" s="695">
        <f>+'Bills-Therms-Revs'!G45</f>
        <v>216766399</v>
      </c>
      <c r="G21" s="628"/>
      <c r="H21" s="660">
        <f>+'Bills-Therms-Revs'!I45</f>
        <v>4441400</v>
      </c>
      <c r="I21" s="628"/>
      <c r="J21" s="628"/>
      <c r="K21" s="693"/>
      <c r="L21" s="694"/>
      <c r="M21" s="685"/>
      <c r="N21" s="696"/>
    </row>
    <row r="22" spans="1:14" s="50" customFormat="1" ht="15.5">
      <c r="A22" s="697">
        <v>10</v>
      </c>
      <c r="B22" s="698" t="s">
        <v>198</v>
      </c>
      <c r="C22" s="670"/>
      <c r="D22" s="671"/>
      <c r="E22" s="699">
        <f>SUM(E19:E21)</f>
        <v>195</v>
      </c>
      <c r="F22" s="699">
        <f>SUM(F19:F21)</f>
        <v>846584544</v>
      </c>
      <c r="G22" s="700"/>
      <c r="H22" s="699">
        <f>SUM(H19:H21)</f>
        <v>24609603</v>
      </c>
      <c r="I22" s="700"/>
      <c r="J22" s="700"/>
      <c r="K22" s="701"/>
      <c r="L22" s="702">
        <f>+L20+L19</f>
        <v>0</v>
      </c>
      <c r="M22" s="703"/>
      <c r="N22" s="704"/>
    </row>
    <row r="23" spans="1:14" s="195" customFormat="1" ht="15.5">
      <c r="A23" s="650"/>
      <c r="B23" s="705"/>
      <c r="C23" s="700"/>
      <c r="D23" s="700"/>
      <c r="E23" s="788"/>
      <c r="F23" s="706"/>
      <c r="G23" s="700"/>
      <c r="H23" s="788"/>
      <c r="I23" s="700"/>
      <c r="J23" s="700"/>
      <c r="K23" s="707"/>
      <c r="L23" s="708"/>
      <c r="M23" s="709"/>
      <c r="N23" s="700"/>
    </row>
    <row r="24" spans="1:14" s="50" customFormat="1" ht="15.5">
      <c r="A24" s="653">
        <v>11</v>
      </c>
      <c r="B24" s="698" t="s">
        <v>199</v>
      </c>
      <c r="C24" s="670"/>
      <c r="D24" s="670"/>
      <c r="E24" s="699">
        <f>+E22+E17</f>
        <v>221096</v>
      </c>
      <c r="F24" s="699">
        <f>+F22+F17</f>
        <v>1105865644</v>
      </c>
      <c r="G24" s="706"/>
      <c r="H24" s="699">
        <f>+H22+H17</f>
        <v>263479880.01999998</v>
      </c>
      <c r="I24" s="706"/>
      <c r="J24" s="700"/>
      <c r="K24" s="701"/>
      <c r="L24" s="702">
        <f>+L20+L17</f>
        <v>2729609.8062568703</v>
      </c>
      <c r="M24" s="710"/>
      <c r="N24" s="711">
        <f>+L24/H24</f>
        <v>1.0359841541030281E-2</v>
      </c>
    </row>
    <row r="26" spans="1:14">
      <c r="B26" s="77"/>
    </row>
    <row r="27" spans="1:14" ht="15.5">
      <c r="A27" s="712"/>
      <c r="B27" s="713"/>
      <c r="C27" s="732"/>
      <c r="D27" s="732"/>
      <c r="E27" s="732"/>
      <c r="F27" s="732"/>
      <c r="G27" s="732"/>
      <c r="H27" s="732"/>
      <c r="I27" s="732"/>
      <c r="J27" s="733"/>
      <c r="K27" s="713"/>
    </row>
    <row r="28" spans="1:14" ht="15.5">
      <c r="A28" s="712"/>
      <c r="B28" s="712"/>
      <c r="C28" s="716" t="s">
        <v>90</v>
      </c>
      <c r="D28" s="712"/>
      <c r="E28" s="716" t="s">
        <v>91</v>
      </c>
      <c r="F28" s="712"/>
      <c r="H28" s="712"/>
      <c r="I28" s="712"/>
      <c r="J28" s="719"/>
      <c r="K28" s="712"/>
    </row>
    <row r="29" spans="1:14" ht="15.5">
      <c r="A29" s="716" t="s">
        <v>7</v>
      </c>
      <c r="B29" s="712"/>
      <c r="C29" s="716" t="s">
        <v>92</v>
      </c>
      <c r="D29" s="716" t="s">
        <v>93</v>
      </c>
      <c r="E29" s="716" t="s">
        <v>94</v>
      </c>
      <c r="F29" s="716" t="s">
        <v>6</v>
      </c>
      <c r="H29" s="712"/>
      <c r="J29" s="719"/>
      <c r="K29" s="716" t="s">
        <v>60</v>
      </c>
    </row>
    <row r="30" spans="1:14" ht="15.5">
      <c r="A30" s="716" t="s">
        <v>9</v>
      </c>
      <c r="B30" s="716" t="s">
        <v>0</v>
      </c>
      <c r="C30" s="716" t="s">
        <v>95</v>
      </c>
      <c r="D30" s="718" t="s">
        <v>328</v>
      </c>
      <c r="E30" s="716" t="s">
        <v>96</v>
      </c>
      <c r="F30" s="716" t="s">
        <v>97</v>
      </c>
      <c r="H30" s="712"/>
      <c r="J30" s="719"/>
      <c r="K30" s="716" t="s">
        <v>65</v>
      </c>
    </row>
    <row r="31" spans="1:14" ht="15.5">
      <c r="A31" s="720"/>
      <c r="B31" s="721" t="s">
        <v>14</v>
      </c>
      <c r="C31" s="721" t="s">
        <v>15</v>
      </c>
      <c r="D31" s="721" t="s">
        <v>16</v>
      </c>
      <c r="E31" s="721" t="s">
        <v>17</v>
      </c>
      <c r="F31" s="721" t="s">
        <v>18</v>
      </c>
      <c r="H31" s="720"/>
      <c r="J31" s="720"/>
      <c r="K31" s="721" t="s">
        <v>99</v>
      </c>
    </row>
    <row r="32" spans="1:14" ht="15.5">
      <c r="A32" s="712"/>
      <c r="B32" s="713"/>
      <c r="C32" s="713"/>
      <c r="D32" s="713"/>
      <c r="E32" s="713"/>
      <c r="F32" s="713"/>
      <c r="H32" s="713"/>
      <c r="J32" s="714"/>
      <c r="K32" s="713"/>
    </row>
    <row r="33" spans="1:11" ht="15.5">
      <c r="A33" s="716">
        <v>1</v>
      </c>
      <c r="B33" s="722" t="s">
        <v>102</v>
      </c>
      <c r="C33" s="734">
        <f>+'TTA Proposed Typical Bill'!C13</f>
        <v>56</v>
      </c>
      <c r="D33" s="735">
        <f>+'TTA Proposed Typical Bill'!E13</f>
        <v>55.848106015618676</v>
      </c>
      <c r="E33" s="735">
        <f>+C33*K12</f>
        <v>0.57888849199999792</v>
      </c>
      <c r="F33" s="735">
        <f>D33+E33</f>
        <v>56.426994507618673</v>
      </c>
      <c r="H33" s="713"/>
      <c r="J33" s="714"/>
      <c r="K33" s="736">
        <f>E33/D33</f>
        <v>1.0365409559960797E-2</v>
      </c>
    </row>
    <row r="34" spans="1:11" ht="15.5">
      <c r="A34" s="712"/>
      <c r="B34" s="713"/>
      <c r="C34" s="724"/>
      <c r="D34" s="735"/>
      <c r="E34" s="737"/>
      <c r="F34" s="737"/>
      <c r="H34" s="713"/>
      <c r="J34" s="714"/>
      <c r="K34" s="713"/>
    </row>
    <row r="35" spans="1:11" ht="15.5">
      <c r="A35" s="716">
        <v>2</v>
      </c>
      <c r="B35" s="722" t="s">
        <v>103</v>
      </c>
      <c r="C35" s="724">
        <f>+'TTA Proposed Typical Bill'!C15</f>
        <v>290</v>
      </c>
      <c r="D35" s="735">
        <f>+'TTA Proposed Typical Bill'!E15</f>
        <v>247.77542666991772</v>
      </c>
      <c r="E35" s="735">
        <f>+C35*K13</f>
        <v>3.0365650190122078</v>
      </c>
      <c r="F35" s="735">
        <f>D35+E35</f>
        <v>250.81199168892994</v>
      </c>
      <c r="H35" s="713"/>
      <c r="J35" s="714"/>
      <c r="K35" s="736">
        <f>E35/D35</f>
        <v>1.2255311431901877E-2</v>
      </c>
    </row>
    <row r="36" spans="1:11" ht="15.5">
      <c r="A36" s="712"/>
      <c r="B36" s="713"/>
      <c r="C36" s="724"/>
      <c r="D36" s="738"/>
      <c r="E36" s="739"/>
      <c r="F36" s="737"/>
      <c r="H36" s="713"/>
      <c r="J36" s="714"/>
      <c r="K36" s="713"/>
    </row>
    <row r="37" spans="1:11" ht="15.5">
      <c r="A37" s="716">
        <v>3</v>
      </c>
      <c r="B37" s="722" t="s">
        <v>104</v>
      </c>
      <c r="C37" s="740" t="s">
        <v>98</v>
      </c>
      <c r="D37" s="723">
        <f>+'TTA Proposed Typical Bill'!E17</f>
        <v>0.66298992392633138</v>
      </c>
      <c r="E37" s="723">
        <f>+'TTA Amount of Change'!K34</f>
        <v>0</v>
      </c>
      <c r="F37" s="723">
        <f>D37+E37</f>
        <v>0.66298992392633138</v>
      </c>
      <c r="H37" s="713"/>
      <c r="J37" s="714"/>
      <c r="K37" s="736">
        <f>E37/D37</f>
        <v>0</v>
      </c>
    </row>
    <row r="38" spans="1:11" ht="15.5">
      <c r="A38" s="712"/>
      <c r="B38" s="713"/>
      <c r="C38" s="724"/>
      <c r="D38" s="723"/>
      <c r="E38" s="723"/>
      <c r="F38" s="723"/>
      <c r="H38" s="713"/>
      <c r="J38" s="714"/>
      <c r="K38" s="736"/>
    </row>
    <row r="39" spans="1:11" ht="15.5">
      <c r="A39" s="712">
        <v>4</v>
      </c>
      <c r="B39" s="722" t="s">
        <v>105</v>
      </c>
      <c r="C39" s="740" t="s">
        <v>98</v>
      </c>
      <c r="D39" s="723">
        <f>+'TTA Proposed Typical Bill'!E19</f>
        <v>0.67471937672267113</v>
      </c>
      <c r="E39" s="723">
        <f>+'TTA Amount of Change'!K35</f>
        <v>0</v>
      </c>
      <c r="F39" s="723">
        <f>D39+E39</f>
        <v>0.67471937672267113</v>
      </c>
      <c r="H39" s="713"/>
      <c r="J39" s="714"/>
      <c r="K39" s="736">
        <f>E39/D39</f>
        <v>0</v>
      </c>
    </row>
    <row r="40" spans="1:11" ht="15.5">
      <c r="A40" s="712"/>
      <c r="B40" s="713"/>
      <c r="C40" s="724"/>
      <c r="D40" s="723"/>
      <c r="E40" s="723"/>
      <c r="F40" s="723"/>
      <c r="H40" s="713"/>
      <c r="J40" s="714"/>
      <c r="K40" s="713"/>
    </row>
    <row r="41" spans="1:11" ht="15.5">
      <c r="A41" s="716">
        <v>5</v>
      </c>
      <c r="B41" s="722">
        <f>+'TTA Cost by Class'!B41</f>
        <v>0</v>
      </c>
      <c r="C41" s="740" t="s">
        <v>98</v>
      </c>
      <c r="D41" s="723">
        <f>+'TTA Proposed Typical Bill'!G21</f>
        <v>1.4010000000000002E-2</v>
      </c>
      <c r="E41" s="723">
        <f>+'TTA Amount of Change'!K36</f>
        <v>0</v>
      </c>
      <c r="F41" s="723">
        <f>D41+E41</f>
        <v>1.4010000000000002E-2</v>
      </c>
      <c r="H41" s="713"/>
      <c r="J41" s="714"/>
      <c r="K41" s="736">
        <f>E41/D41</f>
        <v>0</v>
      </c>
    </row>
    <row r="42" spans="1:11" ht="15.5">
      <c r="A42" s="712"/>
      <c r="B42" s="713"/>
      <c r="C42" s="713"/>
      <c r="D42" s="611"/>
      <c r="E42" s="611"/>
      <c r="F42" s="723"/>
      <c r="H42" s="713"/>
      <c r="J42" s="714"/>
      <c r="K42" s="736"/>
    </row>
    <row r="43" spans="1:11" ht="15.5">
      <c r="A43" s="712">
        <v>6</v>
      </c>
      <c r="B43" s="713" t="s">
        <v>200</v>
      </c>
      <c r="C43" s="740" t="s">
        <v>98</v>
      </c>
      <c r="D43" s="723">
        <v>0</v>
      </c>
      <c r="E43" s="723">
        <f>+'TTA Amount of Change'!K40</f>
        <v>0</v>
      </c>
      <c r="F43" s="723">
        <f>D43+E43</f>
        <v>0</v>
      </c>
      <c r="H43" s="713"/>
      <c r="J43" s="714"/>
      <c r="K43" s="736" t="e">
        <f>E43/D43</f>
        <v>#DIV/0!</v>
      </c>
    </row>
    <row r="44" spans="1:11" ht="15.5">
      <c r="A44" s="712"/>
      <c r="B44" s="713"/>
      <c r="C44" s="713"/>
      <c r="D44" s="713"/>
      <c r="E44" s="713"/>
      <c r="F44" s="713"/>
      <c r="G44" s="611"/>
      <c r="H44" s="713"/>
      <c r="I44" s="737"/>
      <c r="J44" s="714"/>
      <c r="K44" s="713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Q61"/>
  <sheetViews>
    <sheetView zoomScale="110" zoomScaleNormal="110" workbookViewId="0">
      <selection activeCell="F19" sqref="F19"/>
    </sheetView>
  </sheetViews>
  <sheetFormatPr defaultRowHeight="10.5"/>
  <cols>
    <col min="1" max="1" width="6.109375" style="308" bestFit="1" customWidth="1"/>
    <col min="2" max="2" width="9.33203125" style="308"/>
    <col min="3" max="3" width="21.6640625" style="308" customWidth="1"/>
    <col min="4" max="4" width="13.44140625" style="308" customWidth="1"/>
    <col min="5" max="5" width="12.109375" style="308" bestFit="1" customWidth="1"/>
    <col min="6" max="6" width="19.33203125" style="308" bestFit="1" customWidth="1"/>
    <col min="7" max="7" width="1.77734375" style="308" customWidth="1"/>
    <col min="8" max="8" width="17.33203125" style="308" bestFit="1" customWidth="1"/>
    <col min="9" max="9" width="3.77734375" style="308" customWidth="1"/>
    <col min="10" max="10" width="15" style="308" hidden="1" customWidth="1"/>
    <col min="11" max="11" width="0.33203125" style="308" customWidth="1"/>
    <col min="12" max="12" width="15.33203125" style="316" bestFit="1" customWidth="1"/>
    <col min="13" max="13" width="18" style="308" bestFit="1" customWidth="1"/>
    <col min="14" max="14" width="9.33203125" style="308" hidden="1" customWidth="1"/>
    <col min="15" max="16" width="9.33203125" style="308"/>
    <col min="17" max="17" width="15.77734375" style="308" customWidth="1"/>
    <col min="18" max="256" width="9.33203125" style="308"/>
    <col min="257" max="257" width="5" style="308" customWidth="1"/>
    <col min="258" max="258" width="9.33203125" style="308"/>
    <col min="259" max="259" width="21.6640625" style="308" customWidth="1"/>
    <col min="260" max="260" width="13.44140625" style="308" customWidth="1"/>
    <col min="261" max="261" width="10.44140625" style="308" customWidth="1"/>
    <col min="262" max="262" width="15.109375" style="308" customWidth="1"/>
    <col min="263" max="263" width="3.6640625" style="308" customWidth="1"/>
    <col min="264" max="264" width="13.109375" style="308" customWidth="1"/>
    <col min="265" max="265" width="3.77734375" style="308" customWidth="1"/>
    <col min="266" max="266" width="15" style="308" customWidth="1"/>
    <col min="267" max="267" width="3.6640625" style="308" customWidth="1"/>
    <col min="268" max="269" width="13" style="308" customWidth="1"/>
    <col min="270" max="270" width="0" style="308" hidden="1" customWidth="1"/>
    <col min="271" max="272" width="9.33203125" style="308"/>
    <col min="273" max="273" width="15.77734375" style="308" customWidth="1"/>
    <col min="274" max="512" width="9.33203125" style="308"/>
    <col min="513" max="513" width="5" style="308" customWidth="1"/>
    <col min="514" max="514" width="9.33203125" style="308"/>
    <col min="515" max="515" width="21.6640625" style="308" customWidth="1"/>
    <col min="516" max="516" width="13.44140625" style="308" customWidth="1"/>
    <col min="517" max="517" width="10.44140625" style="308" customWidth="1"/>
    <col min="518" max="518" width="15.109375" style="308" customWidth="1"/>
    <col min="519" max="519" width="3.6640625" style="308" customWidth="1"/>
    <col min="520" max="520" width="13.109375" style="308" customWidth="1"/>
    <col min="521" max="521" width="3.77734375" style="308" customWidth="1"/>
    <col min="522" max="522" width="15" style="308" customWidth="1"/>
    <col min="523" max="523" width="3.6640625" style="308" customWidth="1"/>
    <col min="524" max="525" width="13" style="308" customWidth="1"/>
    <col min="526" max="526" width="0" style="308" hidden="1" customWidth="1"/>
    <col min="527" max="528" width="9.33203125" style="308"/>
    <col min="529" max="529" width="15.77734375" style="308" customWidth="1"/>
    <col min="530" max="768" width="9.33203125" style="308"/>
    <col min="769" max="769" width="5" style="308" customWidth="1"/>
    <col min="770" max="770" width="9.33203125" style="308"/>
    <col min="771" max="771" width="21.6640625" style="308" customWidth="1"/>
    <col min="772" max="772" width="13.44140625" style="308" customWidth="1"/>
    <col min="773" max="773" width="10.44140625" style="308" customWidth="1"/>
    <col min="774" max="774" width="15.109375" style="308" customWidth="1"/>
    <col min="775" max="775" width="3.6640625" style="308" customWidth="1"/>
    <col min="776" max="776" width="13.109375" style="308" customWidth="1"/>
    <col min="777" max="777" width="3.77734375" style="308" customWidth="1"/>
    <col min="778" max="778" width="15" style="308" customWidth="1"/>
    <col min="779" max="779" width="3.6640625" style="308" customWidth="1"/>
    <col min="780" max="781" width="13" style="308" customWidth="1"/>
    <col min="782" max="782" width="0" style="308" hidden="1" customWidth="1"/>
    <col min="783" max="784" width="9.33203125" style="308"/>
    <col min="785" max="785" width="15.77734375" style="308" customWidth="1"/>
    <col min="786" max="1024" width="9.33203125" style="308"/>
    <col min="1025" max="1025" width="5" style="308" customWidth="1"/>
    <col min="1026" max="1026" width="9.33203125" style="308"/>
    <col min="1027" max="1027" width="21.6640625" style="308" customWidth="1"/>
    <col min="1028" max="1028" width="13.44140625" style="308" customWidth="1"/>
    <col min="1029" max="1029" width="10.44140625" style="308" customWidth="1"/>
    <col min="1030" max="1030" width="15.109375" style="308" customWidth="1"/>
    <col min="1031" max="1031" width="3.6640625" style="308" customWidth="1"/>
    <col min="1032" max="1032" width="13.109375" style="308" customWidth="1"/>
    <col min="1033" max="1033" width="3.77734375" style="308" customWidth="1"/>
    <col min="1034" max="1034" width="15" style="308" customWidth="1"/>
    <col min="1035" max="1035" width="3.6640625" style="308" customWidth="1"/>
    <col min="1036" max="1037" width="13" style="308" customWidth="1"/>
    <col min="1038" max="1038" width="0" style="308" hidden="1" customWidth="1"/>
    <col min="1039" max="1040" width="9.33203125" style="308"/>
    <col min="1041" max="1041" width="15.77734375" style="308" customWidth="1"/>
    <col min="1042" max="1280" width="9.33203125" style="308"/>
    <col min="1281" max="1281" width="5" style="308" customWidth="1"/>
    <col min="1282" max="1282" width="9.33203125" style="308"/>
    <col min="1283" max="1283" width="21.6640625" style="308" customWidth="1"/>
    <col min="1284" max="1284" width="13.44140625" style="308" customWidth="1"/>
    <col min="1285" max="1285" width="10.44140625" style="308" customWidth="1"/>
    <col min="1286" max="1286" width="15.109375" style="308" customWidth="1"/>
    <col min="1287" max="1287" width="3.6640625" style="308" customWidth="1"/>
    <col min="1288" max="1288" width="13.109375" style="308" customWidth="1"/>
    <col min="1289" max="1289" width="3.77734375" style="308" customWidth="1"/>
    <col min="1290" max="1290" width="15" style="308" customWidth="1"/>
    <col min="1291" max="1291" width="3.6640625" style="308" customWidth="1"/>
    <col min="1292" max="1293" width="13" style="308" customWidth="1"/>
    <col min="1294" max="1294" width="0" style="308" hidden="1" customWidth="1"/>
    <col min="1295" max="1296" width="9.33203125" style="308"/>
    <col min="1297" max="1297" width="15.77734375" style="308" customWidth="1"/>
    <col min="1298" max="1536" width="9.33203125" style="308"/>
    <col min="1537" max="1537" width="5" style="308" customWidth="1"/>
    <col min="1538" max="1538" width="9.33203125" style="308"/>
    <col min="1539" max="1539" width="21.6640625" style="308" customWidth="1"/>
    <col min="1540" max="1540" width="13.44140625" style="308" customWidth="1"/>
    <col min="1541" max="1541" width="10.44140625" style="308" customWidth="1"/>
    <col min="1542" max="1542" width="15.109375" style="308" customWidth="1"/>
    <col min="1543" max="1543" width="3.6640625" style="308" customWidth="1"/>
    <col min="1544" max="1544" width="13.109375" style="308" customWidth="1"/>
    <col min="1545" max="1545" width="3.77734375" style="308" customWidth="1"/>
    <col min="1546" max="1546" width="15" style="308" customWidth="1"/>
    <col min="1547" max="1547" width="3.6640625" style="308" customWidth="1"/>
    <col min="1548" max="1549" width="13" style="308" customWidth="1"/>
    <col min="1550" max="1550" width="0" style="308" hidden="1" customWidth="1"/>
    <col min="1551" max="1552" width="9.33203125" style="308"/>
    <col min="1553" max="1553" width="15.77734375" style="308" customWidth="1"/>
    <col min="1554" max="1792" width="9.33203125" style="308"/>
    <col min="1793" max="1793" width="5" style="308" customWidth="1"/>
    <col min="1794" max="1794" width="9.33203125" style="308"/>
    <col min="1795" max="1795" width="21.6640625" style="308" customWidth="1"/>
    <col min="1796" max="1796" width="13.44140625" style="308" customWidth="1"/>
    <col min="1797" max="1797" width="10.44140625" style="308" customWidth="1"/>
    <col min="1798" max="1798" width="15.109375" style="308" customWidth="1"/>
    <col min="1799" max="1799" width="3.6640625" style="308" customWidth="1"/>
    <col min="1800" max="1800" width="13.109375" style="308" customWidth="1"/>
    <col min="1801" max="1801" width="3.77734375" style="308" customWidth="1"/>
    <col min="1802" max="1802" width="15" style="308" customWidth="1"/>
    <col min="1803" max="1803" width="3.6640625" style="308" customWidth="1"/>
    <col min="1804" max="1805" width="13" style="308" customWidth="1"/>
    <col min="1806" max="1806" width="0" style="308" hidden="1" customWidth="1"/>
    <col min="1807" max="1808" width="9.33203125" style="308"/>
    <col min="1809" max="1809" width="15.77734375" style="308" customWidth="1"/>
    <col min="1810" max="2048" width="9.33203125" style="308"/>
    <col min="2049" max="2049" width="5" style="308" customWidth="1"/>
    <col min="2050" max="2050" width="9.33203125" style="308"/>
    <col min="2051" max="2051" width="21.6640625" style="308" customWidth="1"/>
    <col min="2052" max="2052" width="13.44140625" style="308" customWidth="1"/>
    <col min="2053" max="2053" width="10.44140625" style="308" customWidth="1"/>
    <col min="2054" max="2054" width="15.109375" style="308" customWidth="1"/>
    <col min="2055" max="2055" width="3.6640625" style="308" customWidth="1"/>
    <col min="2056" max="2056" width="13.109375" style="308" customWidth="1"/>
    <col min="2057" max="2057" width="3.77734375" style="308" customWidth="1"/>
    <col min="2058" max="2058" width="15" style="308" customWidth="1"/>
    <col min="2059" max="2059" width="3.6640625" style="308" customWidth="1"/>
    <col min="2060" max="2061" width="13" style="308" customWidth="1"/>
    <col min="2062" max="2062" width="0" style="308" hidden="1" customWidth="1"/>
    <col min="2063" max="2064" width="9.33203125" style="308"/>
    <col min="2065" max="2065" width="15.77734375" style="308" customWidth="1"/>
    <col min="2066" max="2304" width="9.33203125" style="308"/>
    <col min="2305" max="2305" width="5" style="308" customWidth="1"/>
    <col min="2306" max="2306" width="9.33203125" style="308"/>
    <col min="2307" max="2307" width="21.6640625" style="308" customWidth="1"/>
    <col min="2308" max="2308" width="13.44140625" style="308" customWidth="1"/>
    <col min="2309" max="2309" width="10.44140625" style="308" customWidth="1"/>
    <col min="2310" max="2310" width="15.109375" style="308" customWidth="1"/>
    <col min="2311" max="2311" width="3.6640625" style="308" customWidth="1"/>
    <col min="2312" max="2312" width="13.109375" style="308" customWidth="1"/>
    <col min="2313" max="2313" width="3.77734375" style="308" customWidth="1"/>
    <col min="2314" max="2314" width="15" style="308" customWidth="1"/>
    <col min="2315" max="2315" width="3.6640625" style="308" customWidth="1"/>
    <col min="2316" max="2317" width="13" style="308" customWidth="1"/>
    <col min="2318" max="2318" width="0" style="308" hidden="1" customWidth="1"/>
    <col min="2319" max="2320" width="9.33203125" style="308"/>
    <col min="2321" max="2321" width="15.77734375" style="308" customWidth="1"/>
    <col min="2322" max="2560" width="9.33203125" style="308"/>
    <col min="2561" max="2561" width="5" style="308" customWidth="1"/>
    <col min="2562" max="2562" width="9.33203125" style="308"/>
    <col min="2563" max="2563" width="21.6640625" style="308" customWidth="1"/>
    <col min="2564" max="2564" width="13.44140625" style="308" customWidth="1"/>
    <col min="2565" max="2565" width="10.44140625" style="308" customWidth="1"/>
    <col min="2566" max="2566" width="15.109375" style="308" customWidth="1"/>
    <col min="2567" max="2567" width="3.6640625" style="308" customWidth="1"/>
    <col min="2568" max="2568" width="13.109375" style="308" customWidth="1"/>
    <col min="2569" max="2569" width="3.77734375" style="308" customWidth="1"/>
    <col min="2570" max="2570" width="15" style="308" customWidth="1"/>
    <col min="2571" max="2571" width="3.6640625" style="308" customWidth="1"/>
    <col min="2572" max="2573" width="13" style="308" customWidth="1"/>
    <col min="2574" max="2574" width="0" style="308" hidden="1" customWidth="1"/>
    <col min="2575" max="2576" width="9.33203125" style="308"/>
    <col min="2577" max="2577" width="15.77734375" style="308" customWidth="1"/>
    <col min="2578" max="2816" width="9.33203125" style="308"/>
    <col min="2817" max="2817" width="5" style="308" customWidth="1"/>
    <col min="2818" max="2818" width="9.33203125" style="308"/>
    <col min="2819" max="2819" width="21.6640625" style="308" customWidth="1"/>
    <col min="2820" max="2820" width="13.44140625" style="308" customWidth="1"/>
    <col min="2821" max="2821" width="10.44140625" style="308" customWidth="1"/>
    <col min="2822" max="2822" width="15.109375" style="308" customWidth="1"/>
    <col min="2823" max="2823" width="3.6640625" style="308" customWidth="1"/>
    <col min="2824" max="2824" width="13.109375" style="308" customWidth="1"/>
    <col min="2825" max="2825" width="3.77734375" style="308" customWidth="1"/>
    <col min="2826" max="2826" width="15" style="308" customWidth="1"/>
    <col min="2827" max="2827" width="3.6640625" style="308" customWidth="1"/>
    <col min="2828" max="2829" width="13" style="308" customWidth="1"/>
    <col min="2830" max="2830" width="0" style="308" hidden="1" customWidth="1"/>
    <col min="2831" max="2832" width="9.33203125" style="308"/>
    <col min="2833" max="2833" width="15.77734375" style="308" customWidth="1"/>
    <col min="2834" max="3072" width="9.33203125" style="308"/>
    <col min="3073" max="3073" width="5" style="308" customWidth="1"/>
    <col min="3074" max="3074" width="9.33203125" style="308"/>
    <col min="3075" max="3075" width="21.6640625" style="308" customWidth="1"/>
    <col min="3076" max="3076" width="13.44140625" style="308" customWidth="1"/>
    <col min="3077" max="3077" width="10.44140625" style="308" customWidth="1"/>
    <col min="3078" max="3078" width="15.109375" style="308" customWidth="1"/>
    <col min="3079" max="3079" width="3.6640625" style="308" customWidth="1"/>
    <col min="3080" max="3080" width="13.109375" style="308" customWidth="1"/>
    <col min="3081" max="3081" width="3.77734375" style="308" customWidth="1"/>
    <col min="3082" max="3082" width="15" style="308" customWidth="1"/>
    <col min="3083" max="3083" width="3.6640625" style="308" customWidth="1"/>
    <col min="3084" max="3085" width="13" style="308" customWidth="1"/>
    <col min="3086" max="3086" width="0" style="308" hidden="1" customWidth="1"/>
    <col min="3087" max="3088" width="9.33203125" style="308"/>
    <col min="3089" max="3089" width="15.77734375" style="308" customWidth="1"/>
    <col min="3090" max="3328" width="9.33203125" style="308"/>
    <col min="3329" max="3329" width="5" style="308" customWidth="1"/>
    <col min="3330" max="3330" width="9.33203125" style="308"/>
    <col min="3331" max="3331" width="21.6640625" style="308" customWidth="1"/>
    <col min="3332" max="3332" width="13.44140625" style="308" customWidth="1"/>
    <col min="3333" max="3333" width="10.44140625" style="308" customWidth="1"/>
    <col min="3334" max="3334" width="15.109375" style="308" customWidth="1"/>
    <col min="3335" max="3335" width="3.6640625" style="308" customWidth="1"/>
    <col min="3336" max="3336" width="13.109375" style="308" customWidth="1"/>
    <col min="3337" max="3337" width="3.77734375" style="308" customWidth="1"/>
    <col min="3338" max="3338" width="15" style="308" customWidth="1"/>
    <col min="3339" max="3339" width="3.6640625" style="308" customWidth="1"/>
    <col min="3340" max="3341" width="13" style="308" customWidth="1"/>
    <col min="3342" max="3342" width="0" style="308" hidden="1" customWidth="1"/>
    <col min="3343" max="3344" width="9.33203125" style="308"/>
    <col min="3345" max="3345" width="15.77734375" style="308" customWidth="1"/>
    <col min="3346" max="3584" width="9.33203125" style="308"/>
    <col min="3585" max="3585" width="5" style="308" customWidth="1"/>
    <col min="3586" max="3586" width="9.33203125" style="308"/>
    <col min="3587" max="3587" width="21.6640625" style="308" customWidth="1"/>
    <col min="3588" max="3588" width="13.44140625" style="308" customWidth="1"/>
    <col min="3589" max="3589" width="10.44140625" style="308" customWidth="1"/>
    <col min="3590" max="3590" width="15.109375" style="308" customWidth="1"/>
    <col min="3591" max="3591" width="3.6640625" style="308" customWidth="1"/>
    <col min="3592" max="3592" width="13.109375" style="308" customWidth="1"/>
    <col min="3593" max="3593" width="3.77734375" style="308" customWidth="1"/>
    <col min="3594" max="3594" width="15" style="308" customWidth="1"/>
    <col min="3595" max="3595" width="3.6640625" style="308" customWidth="1"/>
    <col min="3596" max="3597" width="13" style="308" customWidth="1"/>
    <col min="3598" max="3598" width="0" style="308" hidden="1" customWidth="1"/>
    <col min="3599" max="3600" width="9.33203125" style="308"/>
    <col min="3601" max="3601" width="15.77734375" style="308" customWidth="1"/>
    <col min="3602" max="3840" width="9.33203125" style="308"/>
    <col min="3841" max="3841" width="5" style="308" customWidth="1"/>
    <col min="3842" max="3842" width="9.33203125" style="308"/>
    <col min="3843" max="3843" width="21.6640625" style="308" customWidth="1"/>
    <col min="3844" max="3844" width="13.44140625" style="308" customWidth="1"/>
    <col min="3845" max="3845" width="10.44140625" style="308" customWidth="1"/>
    <col min="3846" max="3846" width="15.109375" style="308" customWidth="1"/>
    <col min="3847" max="3847" width="3.6640625" style="308" customWidth="1"/>
    <col min="3848" max="3848" width="13.109375" style="308" customWidth="1"/>
    <col min="3849" max="3849" width="3.77734375" style="308" customWidth="1"/>
    <col min="3850" max="3850" width="15" style="308" customWidth="1"/>
    <col min="3851" max="3851" width="3.6640625" style="308" customWidth="1"/>
    <col min="3852" max="3853" width="13" style="308" customWidth="1"/>
    <col min="3854" max="3854" width="0" style="308" hidden="1" customWidth="1"/>
    <col min="3855" max="3856" width="9.33203125" style="308"/>
    <col min="3857" max="3857" width="15.77734375" style="308" customWidth="1"/>
    <col min="3858" max="4096" width="9.33203125" style="308"/>
    <col min="4097" max="4097" width="5" style="308" customWidth="1"/>
    <col min="4098" max="4098" width="9.33203125" style="308"/>
    <col min="4099" max="4099" width="21.6640625" style="308" customWidth="1"/>
    <col min="4100" max="4100" width="13.44140625" style="308" customWidth="1"/>
    <col min="4101" max="4101" width="10.44140625" style="308" customWidth="1"/>
    <col min="4102" max="4102" width="15.109375" style="308" customWidth="1"/>
    <col min="4103" max="4103" width="3.6640625" style="308" customWidth="1"/>
    <col min="4104" max="4104" width="13.109375" style="308" customWidth="1"/>
    <col min="4105" max="4105" width="3.77734375" style="308" customWidth="1"/>
    <col min="4106" max="4106" width="15" style="308" customWidth="1"/>
    <col min="4107" max="4107" width="3.6640625" style="308" customWidth="1"/>
    <col min="4108" max="4109" width="13" style="308" customWidth="1"/>
    <col min="4110" max="4110" width="0" style="308" hidden="1" customWidth="1"/>
    <col min="4111" max="4112" width="9.33203125" style="308"/>
    <col min="4113" max="4113" width="15.77734375" style="308" customWidth="1"/>
    <col min="4114" max="4352" width="9.33203125" style="308"/>
    <col min="4353" max="4353" width="5" style="308" customWidth="1"/>
    <col min="4354" max="4354" width="9.33203125" style="308"/>
    <col min="4355" max="4355" width="21.6640625" style="308" customWidth="1"/>
    <col min="4356" max="4356" width="13.44140625" style="308" customWidth="1"/>
    <col min="4357" max="4357" width="10.44140625" style="308" customWidth="1"/>
    <col min="4358" max="4358" width="15.109375" style="308" customWidth="1"/>
    <col min="4359" max="4359" width="3.6640625" style="308" customWidth="1"/>
    <col min="4360" max="4360" width="13.109375" style="308" customWidth="1"/>
    <col min="4361" max="4361" width="3.77734375" style="308" customWidth="1"/>
    <col min="4362" max="4362" width="15" style="308" customWidth="1"/>
    <col min="4363" max="4363" width="3.6640625" style="308" customWidth="1"/>
    <col min="4364" max="4365" width="13" style="308" customWidth="1"/>
    <col min="4366" max="4366" width="0" style="308" hidden="1" customWidth="1"/>
    <col min="4367" max="4368" width="9.33203125" style="308"/>
    <col min="4369" max="4369" width="15.77734375" style="308" customWidth="1"/>
    <col min="4370" max="4608" width="9.33203125" style="308"/>
    <col min="4609" max="4609" width="5" style="308" customWidth="1"/>
    <col min="4610" max="4610" width="9.33203125" style="308"/>
    <col min="4611" max="4611" width="21.6640625" style="308" customWidth="1"/>
    <col min="4612" max="4612" width="13.44140625" style="308" customWidth="1"/>
    <col min="4613" max="4613" width="10.44140625" style="308" customWidth="1"/>
    <col min="4614" max="4614" width="15.109375" style="308" customWidth="1"/>
    <col min="4615" max="4615" width="3.6640625" style="308" customWidth="1"/>
    <col min="4616" max="4616" width="13.109375" style="308" customWidth="1"/>
    <col min="4617" max="4617" width="3.77734375" style="308" customWidth="1"/>
    <col min="4618" max="4618" width="15" style="308" customWidth="1"/>
    <col min="4619" max="4619" width="3.6640625" style="308" customWidth="1"/>
    <col min="4620" max="4621" width="13" style="308" customWidth="1"/>
    <col min="4622" max="4622" width="0" style="308" hidden="1" customWidth="1"/>
    <col min="4623" max="4624" width="9.33203125" style="308"/>
    <col min="4625" max="4625" width="15.77734375" style="308" customWidth="1"/>
    <col min="4626" max="4864" width="9.33203125" style="308"/>
    <col min="4865" max="4865" width="5" style="308" customWidth="1"/>
    <col min="4866" max="4866" width="9.33203125" style="308"/>
    <col min="4867" max="4867" width="21.6640625" style="308" customWidth="1"/>
    <col min="4868" max="4868" width="13.44140625" style="308" customWidth="1"/>
    <col min="4869" max="4869" width="10.44140625" style="308" customWidth="1"/>
    <col min="4870" max="4870" width="15.109375" style="308" customWidth="1"/>
    <col min="4871" max="4871" width="3.6640625" style="308" customWidth="1"/>
    <col min="4872" max="4872" width="13.109375" style="308" customWidth="1"/>
    <col min="4873" max="4873" width="3.77734375" style="308" customWidth="1"/>
    <col min="4874" max="4874" width="15" style="308" customWidth="1"/>
    <col min="4875" max="4875" width="3.6640625" style="308" customWidth="1"/>
    <col min="4876" max="4877" width="13" style="308" customWidth="1"/>
    <col min="4878" max="4878" width="0" style="308" hidden="1" customWidth="1"/>
    <col min="4879" max="4880" width="9.33203125" style="308"/>
    <col min="4881" max="4881" width="15.77734375" style="308" customWidth="1"/>
    <col min="4882" max="5120" width="9.33203125" style="308"/>
    <col min="5121" max="5121" width="5" style="308" customWidth="1"/>
    <col min="5122" max="5122" width="9.33203125" style="308"/>
    <col min="5123" max="5123" width="21.6640625" style="308" customWidth="1"/>
    <col min="5124" max="5124" width="13.44140625" style="308" customWidth="1"/>
    <col min="5125" max="5125" width="10.44140625" style="308" customWidth="1"/>
    <col min="5126" max="5126" width="15.109375" style="308" customWidth="1"/>
    <col min="5127" max="5127" width="3.6640625" style="308" customWidth="1"/>
    <col min="5128" max="5128" width="13.109375" style="308" customWidth="1"/>
    <col min="5129" max="5129" width="3.77734375" style="308" customWidth="1"/>
    <col min="5130" max="5130" width="15" style="308" customWidth="1"/>
    <col min="5131" max="5131" width="3.6640625" style="308" customWidth="1"/>
    <col min="5132" max="5133" width="13" style="308" customWidth="1"/>
    <col min="5134" max="5134" width="0" style="308" hidden="1" customWidth="1"/>
    <col min="5135" max="5136" width="9.33203125" style="308"/>
    <col min="5137" max="5137" width="15.77734375" style="308" customWidth="1"/>
    <col min="5138" max="5376" width="9.33203125" style="308"/>
    <col min="5377" max="5377" width="5" style="308" customWidth="1"/>
    <col min="5378" max="5378" width="9.33203125" style="308"/>
    <col min="5379" max="5379" width="21.6640625" style="308" customWidth="1"/>
    <col min="5380" max="5380" width="13.44140625" style="308" customWidth="1"/>
    <col min="5381" max="5381" width="10.44140625" style="308" customWidth="1"/>
    <col min="5382" max="5382" width="15.109375" style="308" customWidth="1"/>
    <col min="5383" max="5383" width="3.6640625" style="308" customWidth="1"/>
    <col min="5384" max="5384" width="13.109375" style="308" customWidth="1"/>
    <col min="5385" max="5385" width="3.77734375" style="308" customWidth="1"/>
    <col min="5386" max="5386" width="15" style="308" customWidth="1"/>
    <col min="5387" max="5387" width="3.6640625" style="308" customWidth="1"/>
    <col min="5388" max="5389" width="13" style="308" customWidth="1"/>
    <col min="5390" max="5390" width="0" style="308" hidden="1" customWidth="1"/>
    <col min="5391" max="5392" width="9.33203125" style="308"/>
    <col min="5393" max="5393" width="15.77734375" style="308" customWidth="1"/>
    <col min="5394" max="5632" width="9.33203125" style="308"/>
    <col min="5633" max="5633" width="5" style="308" customWidth="1"/>
    <col min="5634" max="5634" width="9.33203125" style="308"/>
    <col min="5635" max="5635" width="21.6640625" style="308" customWidth="1"/>
    <col min="5636" max="5636" width="13.44140625" style="308" customWidth="1"/>
    <col min="5637" max="5637" width="10.44140625" style="308" customWidth="1"/>
    <col min="5638" max="5638" width="15.109375" style="308" customWidth="1"/>
    <col min="5639" max="5639" width="3.6640625" style="308" customWidth="1"/>
    <col min="5640" max="5640" width="13.109375" style="308" customWidth="1"/>
    <col min="5641" max="5641" width="3.77734375" style="308" customWidth="1"/>
    <col min="5642" max="5642" width="15" style="308" customWidth="1"/>
    <col min="5643" max="5643" width="3.6640625" style="308" customWidth="1"/>
    <col min="5644" max="5645" width="13" style="308" customWidth="1"/>
    <col min="5646" max="5646" width="0" style="308" hidden="1" customWidth="1"/>
    <col min="5647" max="5648" width="9.33203125" style="308"/>
    <col min="5649" max="5649" width="15.77734375" style="308" customWidth="1"/>
    <col min="5650" max="5888" width="9.33203125" style="308"/>
    <col min="5889" max="5889" width="5" style="308" customWidth="1"/>
    <col min="5890" max="5890" width="9.33203125" style="308"/>
    <col min="5891" max="5891" width="21.6640625" style="308" customWidth="1"/>
    <col min="5892" max="5892" width="13.44140625" style="308" customWidth="1"/>
    <col min="5893" max="5893" width="10.44140625" style="308" customWidth="1"/>
    <col min="5894" max="5894" width="15.109375" style="308" customWidth="1"/>
    <col min="5895" max="5895" width="3.6640625" style="308" customWidth="1"/>
    <col min="5896" max="5896" width="13.109375" style="308" customWidth="1"/>
    <col min="5897" max="5897" width="3.77734375" style="308" customWidth="1"/>
    <col min="5898" max="5898" width="15" style="308" customWidth="1"/>
    <col min="5899" max="5899" width="3.6640625" style="308" customWidth="1"/>
    <col min="5900" max="5901" width="13" style="308" customWidth="1"/>
    <col min="5902" max="5902" width="0" style="308" hidden="1" customWidth="1"/>
    <col min="5903" max="5904" width="9.33203125" style="308"/>
    <col min="5905" max="5905" width="15.77734375" style="308" customWidth="1"/>
    <col min="5906" max="6144" width="9.33203125" style="308"/>
    <col min="6145" max="6145" width="5" style="308" customWidth="1"/>
    <col min="6146" max="6146" width="9.33203125" style="308"/>
    <col min="6147" max="6147" width="21.6640625" style="308" customWidth="1"/>
    <col min="6148" max="6148" width="13.44140625" style="308" customWidth="1"/>
    <col min="6149" max="6149" width="10.44140625" style="308" customWidth="1"/>
    <col min="6150" max="6150" width="15.109375" style="308" customWidth="1"/>
    <col min="6151" max="6151" width="3.6640625" style="308" customWidth="1"/>
    <col min="6152" max="6152" width="13.109375" style="308" customWidth="1"/>
    <col min="6153" max="6153" width="3.77734375" style="308" customWidth="1"/>
    <col min="6154" max="6154" width="15" style="308" customWidth="1"/>
    <col min="6155" max="6155" width="3.6640625" style="308" customWidth="1"/>
    <col min="6156" max="6157" width="13" style="308" customWidth="1"/>
    <col min="6158" max="6158" width="0" style="308" hidden="1" customWidth="1"/>
    <col min="6159" max="6160" width="9.33203125" style="308"/>
    <col min="6161" max="6161" width="15.77734375" style="308" customWidth="1"/>
    <col min="6162" max="6400" width="9.33203125" style="308"/>
    <col min="6401" max="6401" width="5" style="308" customWidth="1"/>
    <col min="6402" max="6402" width="9.33203125" style="308"/>
    <col min="6403" max="6403" width="21.6640625" style="308" customWidth="1"/>
    <col min="6404" max="6404" width="13.44140625" style="308" customWidth="1"/>
    <col min="6405" max="6405" width="10.44140625" style="308" customWidth="1"/>
    <col min="6406" max="6406" width="15.109375" style="308" customWidth="1"/>
    <col min="6407" max="6407" width="3.6640625" style="308" customWidth="1"/>
    <col min="6408" max="6408" width="13.109375" style="308" customWidth="1"/>
    <col min="6409" max="6409" width="3.77734375" style="308" customWidth="1"/>
    <col min="6410" max="6410" width="15" style="308" customWidth="1"/>
    <col min="6411" max="6411" width="3.6640625" style="308" customWidth="1"/>
    <col min="6412" max="6413" width="13" style="308" customWidth="1"/>
    <col min="6414" max="6414" width="0" style="308" hidden="1" customWidth="1"/>
    <col min="6415" max="6416" width="9.33203125" style="308"/>
    <col min="6417" max="6417" width="15.77734375" style="308" customWidth="1"/>
    <col min="6418" max="6656" width="9.33203125" style="308"/>
    <col min="6657" max="6657" width="5" style="308" customWidth="1"/>
    <col min="6658" max="6658" width="9.33203125" style="308"/>
    <col min="6659" max="6659" width="21.6640625" style="308" customWidth="1"/>
    <col min="6660" max="6660" width="13.44140625" style="308" customWidth="1"/>
    <col min="6661" max="6661" width="10.44140625" style="308" customWidth="1"/>
    <col min="6662" max="6662" width="15.109375" style="308" customWidth="1"/>
    <col min="6663" max="6663" width="3.6640625" style="308" customWidth="1"/>
    <col min="6664" max="6664" width="13.109375" style="308" customWidth="1"/>
    <col min="6665" max="6665" width="3.77734375" style="308" customWidth="1"/>
    <col min="6666" max="6666" width="15" style="308" customWidth="1"/>
    <col min="6667" max="6667" width="3.6640625" style="308" customWidth="1"/>
    <col min="6668" max="6669" width="13" style="308" customWidth="1"/>
    <col min="6670" max="6670" width="0" style="308" hidden="1" customWidth="1"/>
    <col min="6671" max="6672" width="9.33203125" style="308"/>
    <col min="6673" max="6673" width="15.77734375" style="308" customWidth="1"/>
    <col min="6674" max="6912" width="9.33203125" style="308"/>
    <col min="6913" max="6913" width="5" style="308" customWidth="1"/>
    <col min="6914" max="6914" width="9.33203125" style="308"/>
    <col min="6915" max="6915" width="21.6640625" style="308" customWidth="1"/>
    <col min="6916" max="6916" width="13.44140625" style="308" customWidth="1"/>
    <col min="6917" max="6917" width="10.44140625" style="308" customWidth="1"/>
    <col min="6918" max="6918" width="15.109375" style="308" customWidth="1"/>
    <col min="6919" max="6919" width="3.6640625" style="308" customWidth="1"/>
    <col min="6920" max="6920" width="13.109375" style="308" customWidth="1"/>
    <col min="6921" max="6921" width="3.77734375" style="308" customWidth="1"/>
    <col min="6922" max="6922" width="15" style="308" customWidth="1"/>
    <col min="6923" max="6923" width="3.6640625" style="308" customWidth="1"/>
    <col min="6924" max="6925" width="13" style="308" customWidth="1"/>
    <col min="6926" max="6926" width="0" style="308" hidden="1" customWidth="1"/>
    <col min="6927" max="6928" width="9.33203125" style="308"/>
    <col min="6929" max="6929" width="15.77734375" style="308" customWidth="1"/>
    <col min="6930" max="7168" width="9.33203125" style="308"/>
    <col min="7169" max="7169" width="5" style="308" customWidth="1"/>
    <col min="7170" max="7170" width="9.33203125" style="308"/>
    <col min="7171" max="7171" width="21.6640625" style="308" customWidth="1"/>
    <col min="7172" max="7172" width="13.44140625" style="308" customWidth="1"/>
    <col min="7173" max="7173" width="10.44140625" style="308" customWidth="1"/>
    <col min="7174" max="7174" width="15.109375" style="308" customWidth="1"/>
    <col min="7175" max="7175" width="3.6640625" style="308" customWidth="1"/>
    <col min="7176" max="7176" width="13.109375" style="308" customWidth="1"/>
    <col min="7177" max="7177" width="3.77734375" style="308" customWidth="1"/>
    <col min="7178" max="7178" width="15" style="308" customWidth="1"/>
    <col min="7179" max="7179" width="3.6640625" style="308" customWidth="1"/>
    <col min="7180" max="7181" width="13" style="308" customWidth="1"/>
    <col min="7182" max="7182" width="0" style="308" hidden="1" customWidth="1"/>
    <col min="7183" max="7184" width="9.33203125" style="308"/>
    <col min="7185" max="7185" width="15.77734375" style="308" customWidth="1"/>
    <col min="7186" max="7424" width="9.33203125" style="308"/>
    <col min="7425" max="7425" width="5" style="308" customWidth="1"/>
    <col min="7426" max="7426" width="9.33203125" style="308"/>
    <col min="7427" max="7427" width="21.6640625" style="308" customWidth="1"/>
    <col min="7428" max="7428" width="13.44140625" style="308" customWidth="1"/>
    <col min="7429" max="7429" width="10.44140625" style="308" customWidth="1"/>
    <col min="7430" max="7430" width="15.109375" style="308" customWidth="1"/>
    <col min="7431" max="7431" width="3.6640625" style="308" customWidth="1"/>
    <col min="7432" max="7432" width="13.109375" style="308" customWidth="1"/>
    <col min="7433" max="7433" width="3.77734375" style="308" customWidth="1"/>
    <col min="7434" max="7434" width="15" style="308" customWidth="1"/>
    <col min="7435" max="7435" width="3.6640625" style="308" customWidth="1"/>
    <col min="7436" max="7437" width="13" style="308" customWidth="1"/>
    <col min="7438" max="7438" width="0" style="308" hidden="1" customWidth="1"/>
    <col min="7439" max="7440" width="9.33203125" style="308"/>
    <col min="7441" max="7441" width="15.77734375" style="308" customWidth="1"/>
    <col min="7442" max="7680" width="9.33203125" style="308"/>
    <col min="7681" max="7681" width="5" style="308" customWidth="1"/>
    <col min="7682" max="7682" width="9.33203125" style="308"/>
    <col min="7683" max="7683" width="21.6640625" style="308" customWidth="1"/>
    <col min="7684" max="7684" width="13.44140625" style="308" customWidth="1"/>
    <col min="7685" max="7685" width="10.44140625" style="308" customWidth="1"/>
    <col min="7686" max="7686" width="15.109375" style="308" customWidth="1"/>
    <col min="7687" max="7687" width="3.6640625" style="308" customWidth="1"/>
    <col min="7688" max="7688" width="13.109375" style="308" customWidth="1"/>
    <col min="7689" max="7689" width="3.77734375" style="308" customWidth="1"/>
    <col min="7690" max="7690" width="15" style="308" customWidth="1"/>
    <col min="7691" max="7691" width="3.6640625" style="308" customWidth="1"/>
    <col min="7692" max="7693" width="13" style="308" customWidth="1"/>
    <col min="7694" max="7694" width="0" style="308" hidden="1" customWidth="1"/>
    <col min="7695" max="7696" width="9.33203125" style="308"/>
    <col min="7697" max="7697" width="15.77734375" style="308" customWidth="1"/>
    <col min="7698" max="7936" width="9.33203125" style="308"/>
    <col min="7937" max="7937" width="5" style="308" customWidth="1"/>
    <col min="7938" max="7938" width="9.33203125" style="308"/>
    <col min="7939" max="7939" width="21.6640625" style="308" customWidth="1"/>
    <col min="7940" max="7940" width="13.44140625" style="308" customWidth="1"/>
    <col min="7941" max="7941" width="10.44140625" style="308" customWidth="1"/>
    <col min="7942" max="7942" width="15.109375" style="308" customWidth="1"/>
    <col min="7943" max="7943" width="3.6640625" style="308" customWidth="1"/>
    <col min="7944" max="7944" width="13.109375" style="308" customWidth="1"/>
    <col min="7945" max="7945" width="3.77734375" style="308" customWidth="1"/>
    <col min="7946" max="7946" width="15" style="308" customWidth="1"/>
    <col min="7947" max="7947" width="3.6640625" style="308" customWidth="1"/>
    <col min="7948" max="7949" width="13" style="308" customWidth="1"/>
    <col min="7950" max="7950" width="0" style="308" hidden="1" customWidth="1"/>
    <col min="7951" max="7952" width="9.33203125" style="308"/>
    <col min="7953" max="7953" width="15.77734375" style="308" customWidth="1"/>
    <col min="7954" max="8192" width="9.33203125" style="308"/>
    <col min="8193" max="8193" width="5" style="308" customWidth="1"/>
    <col min="8194" max="8194" width="9.33203125" style="308"/>
    <col min="8195" max="8195" width="21.6640625" style="308" customWidth="1"/>
    <col min="8196" max="8196" width="13.44140625" style="308" customWidth="1"/>
    <col min="8197" max="8197" width="10.44140625" style="308" customWidth="1"/>
    <col min="8198" max="8198" width="15.109375" style="308" customWidth="1"/>
    <col min="8199" max="8199" width="3.6640625" style="308" customWidth="1"/>
    <col min="8200" max="8200" width="13.109375" style="308" customWidth="1"/>
    <col min="8201" max="8201" width="3.77734375" style="308" customWidth="1"/>
    <col min="8202" max="8202" width="15" style="308" customWidth="1"/>
    <col min="8203" max="8203" width="3.6640625" style="308" customWidth="1"/>
    <col min="8204" max="8205" width="13" style="308" customWidth="1"/>
    <col min="8206" max="8206" width="0" style="308" hidden="1" customWidth="1"/>
    <col min="8207" max="8208" width="9.33203125" style="308"/>
    <col min="8209" max="8209" width="15.77734375" style="308" customWidth="1"/>
    <col min="8210" max="8448" width="9.33203125" style="308"/>
    <col min="8449" max="8449" width="5" style="308" customWidth="1"/>
    <col min="8450" max="8450" width="9.33203125" style="308"/>
    <col min="8451" max="8451" width="21.6640625" style="308" customWidth="1"/>
    <col min="8452" max="8452" width="13.44140625" style="308" customWidth="1"/>
    <col min="8453" max="8453" width="10.44140625" style="308" customWidth="1"/>
    <col min="8454" max="8454" width="15.109375" style="308" customWidth="1"/>
    <col min="8455" max="8455" width="3.6640625" style="308" customWidth="1"/>
    <col min="8456" max="8456" width="13.109375" style="308" customWidth="1"/>
    <col min="8457" max="8457" width="3.77734375" style="308" customWidth="1"/>
    <col min="8458" max="8458" width="15" style="308" customWidth="1"/>
    <col min="8459" max="8459" width="3.6640625" style="308" customWidth="1"/>
    <col min="8460" max="8461" width="13" style="308" customWidth="1"/>
    <col min="8462" max="8462" width="0" style="308" hidden="1" customWidth="1"/>
    <col min="8463" max="8464" width="9.33203125" style="308"/>
    <col min="8465" max="8465" width="15.77734375" style="308" customWidth="1"/>
    <col min="8466" max="8704" width="9.33203125" style="308"/>
    <col min="8705" max="8705" width="5" style="308" customWidth="1"/>
    <col min="8706" max="8706" width="9.33203125" style="308"/>
    <col min="8707" max="8707" width="21.6640625" style="308" customWidth="1"/>
    <col min="8708" max="8708" width="13.44140625" style="308" customWidth="1"/>
    <col min="8709" max="8709" width="10.44140625" style="308" customWidth="1"/>
    <col min="8710" max="8710" width="15.109375" style="308" customWidth="1"/>
    <col min="8711" max="8711" width="3.6640625" style="308" customWidth="1"/>
    <col min="8712" max="8712" width="13.109375" style="308" customWidth="1"/>
    <col min="8713" max="8713" width="3.77734375" style="308" customWidth="1"/>
    <col min="8714" max="8714" width="15" style="308" customWidth="1"/>
    <col min="8715" max="8715" width="3.6640625" style="308" customWidth="1"/>
    <col min="8716" max="8717" width="13" style="308" customWidth="1"/>
    <col min="8718" max="8718" width="0" style="308" hidden="1" customWidth="1"/>
    <col min="8719" max="8720" width="9.33203125" style="308"/>
    <col min="8721" max="8721" width="15.77734375" style="308" customWidth="1"/>
    <col min="8722" max="8960" width="9.33203125" style="308"/>
    <col min="8961" max="8961" width="5" style="308" customWidth="1"/>
    <col min="8962" max="8962" width="9.33203125" style="308"/>
    <col min="8963" max="8963" width="21.6640625" style="308" customWidth="1"/>
    <col min="8964" max="8964" width="13.44140625" style="308" customWidth="1"/>
    <col min="8965" max="8965" width="10.44140625" style="308" customWidth="1"/>
    <col min="8966" max="8966" width="15.109375" style="308" customWidth="1"/>
    <col min="8967" max="8967" width="3.6640625" style="308" customWidth="1"/>
    <col min="8968" max="8968" width="13.109375" style="308" customWidth="1"/>
    <col min="8969" max="8969" width="3.77734375" style="308" customWidth="1"/>
    <col min="8970" max="8970" width="15" style="308" customWidth="1"/>
    <col min="8971" max="8971" width="3.6640625" style="308" customWidth="1"/>
    <col min="8972" max="8973" width="13" style="308" customWidth="1"/>
    <col min="8974" max="8974" width="0" style="308" hidden="1" customWidth="1"/>
    <col min="8975" max="8976" width="9.33203125" style="308"/>
    <col min="8977" max="8977" width="15.77734375" style="308" customWidth="1"/>
    <col min="8978" max="9216" width="9.33203125" style="308"/>
    <col min="9217" max="9217" width="5" style="308" customWidth="1"/>
    <col min="9218" max="9218" width="9.33203125" style="308"/>
    <col min="9219" max="9219" width="21.6640625" style="308" customWidth="1"/>
    <col min="9220" max="9220" width="13.44140625" style="308" customWidth="1"/>
    <col min="9221" max="9221" width="10.44140625" style="308" customWidth="1"/>
    <col min="9222" max="9222" width="15.109375" style="308" customWidth="1"/>
    <col min="9223" max="9223" width="3.6640625" style="308" customWidth="1"/>
    <col min="9224" max="9224" width="13.109375" style="308" customWidth="1"/>
    <col min="9225" max="9225" width="3.77734375" style="308" customWidth="1"/>
    <col min="9226" max="9226" width="15" style="308" customWidth="1"/>
    <col min="9227" max="9227" width="3.6640625" style="308" customWidth="1"/>
    <col min="9228" max="9229" width="13" style="308" customWidth="1"/>
    <col min="9230" max="9230" width="0" style="308" hidden="1" customWidth="1"/>
    <col min="9231" max="9232" width="9.33203125" style="308"/>
    <col min="9233" max="9233" width="15.77734375" style="308" customWidth="1"/>
    <col min="9234" max="9472" width="9.33203125" style="308"/>
    <col min="9473" max="9473" width="5" style="308" customWidth="1"/>
    <col min="9474" max="9474" width="9.33203125" style="308"/>
    <col min="9475" max="9475" width="21.6640625" style="308" customWidth="1"/>
    <col min="9476" max="9476" width="13.44140625" style="308" customWidth="1"/>
    <col min="9477" max="9477" width="10.44140625" style="308" customWidth="1"/>
    <col min="9478" max="9478" width="15.109375" style="308" customWidth="1"/>
    <col min="9479" max="9479" width="3.6640625" style="308" customWidth="1"/>
    <col min="9480" max="9480" width="13.109375" style="308" customWidth="1"/>
    <col min="9481" max="9481" width="3.77734375" style="308" customWidth="1"/>
    <col min="9482" max="9482" width="15" style="308" customWidth="1"/>
    <col min="9483" max="9483" width="3.6640625" style="308" customWidth="1"/>
    <col min="9484" max="9485" width="13" style="308" customWidth="1"/>
    <col min="9486" max="9486" width="0" style="308" hidden="1" customWidth="1"/>
    <col min="9487" max="9488" width="9.33203125" style="308"/>
    <col min="9489" max="9489" width="15.77734375" style="308" customWidth="1"/>
    <col min="9490" max="9728" width="9.33203125" style="308"/>
    <col min="9729" max="9729" width="5" style="308" customWidth="1"/>
    <col min="9730" max="9730" width="9.33203125" style="308"/>
    <col min="9731" max="9731" width="21.6640625" style="308" customWidth="1"/>
    <col min="9732" max="9732" width="13.44140625" style="308" customWidth="1"/>
    <col min="9733" max="9733" width="10.44140625" style="308" customWidth="1"/>
    <col min="9734" max="9734" width="15.109375" style="308" customWidth="1"/>
    <col min="9735" max="9735" width="3.6640625" style="308" customWidth="1"/>
    <col min="9736" max="9736" width="13.109375" style="308" customWidth="1"/>
    <col min="9737" max="9737" width="3.77734375" style="308" customWidth="1"/>
    <col min="9738" max="9738" width="15" style="308" customWidth="1"/>
    <col min="9739" max="9739" width="3.6640625" style="308" customWidth="1"/>
    <col min="9740" max="9741" width="13" style="308" customWidth="1"/>
    <col min="9742" max="9742" width="0" style="308" hidden="1" customWidth="1"/>
    <col min="9743" max="9744" width="9.33203125" style="308"/>
    <col min="9745" max="9745" width="15.77734375" style="308" customWidth="1"/>
    <col min="9746" max="9984" width="9.33203125" style="308"/>
    <col min="9985" max="9985" width="5" style="308" customWidth="1"/>
    <col min="9986" max="9986" width="9.33203125" style="308"/>
    <col min="9987" max="9987" width="21.6640625" style="308" customWidth="1"/>
    <col min="9988" max="9988" width="13.44140625" style="308" customWidth="1"/>
    <col min="9989" max="9989" width="10.44140625" style="308" customWidth="1"/>
    <col min="9990" max="9990" width="15.109375" style="308" customWidth="1"/>
    <col min="9991" max="9991" width="3.6640625" style="308" customWidth="1"/>
    <col min="9992" max="9992" width="13.109375" style="308" customWidth="1"/>
    <col min="9993" max="9993" width="3.77734375" style="308" customWidth="1"/>
    <col min="9994" max="9994" width="15" style="308" customWidth="1"/>
    <col min="9995" max="9995" width="3.6640625" style="308" customWidth="1"/>
    <col min="9996" max="9997" width="13" style="308" customWidth="1"/>
    <col min="9998" max="9998" width="0" style="308" hidden="1" customWidth="1"/>
    <col min="9999" max="10000" width="9.33203125" style="308"/>
    <col min="10001" max="10001" width="15.77734375" style="308" customWidth="1"/>
    <col min="10002" max="10240" width="9.33203125" style="308"/>
    <col min="10241" max="10241" width="5" style="308" customWidth="1"/>
    <col min="10242" max="10242" width="9.33203125" style="308"/>
    <col min="10243" max="10243" width="21.6640625" style="308" customWidth="1"/>
    <col min="10244" max="10244" width="13.44140625" style="308" customWidth="1"/>
    <col min="10245" max="10245" width="10.44140625" style="308" customWidth="1"/>
    <col min="10246" max="10246" width="15.109375" style="308" customWidth="1"/>
    <col min="10247" max="10247" width="3.6640625" style="308" customWidth="1"/>
    <col min="10248" max="10248" width="13.109375" style="308" customWidth="1"/>
    <col min="10249" max="10249" width="3.77734375" style="308" customWidth="1"/>
    <col min="10250" max="10250" width="15" style="308" customWidth="1"/>
    <col min="10251" max="10251" width="3.6640625" style="308" customWidth="1"/>
    <col min="10252" max="10253" width="13" style="308" customWidth="1"/>
    <col min="10254" max="10254" width="0" style="308" hidden="1" customWidth="1"/>
    <col min="10255" max="10256" width="9.33203125" style="308"/>
    <col min="10257" max="10257" width="15.77734375" style="308" customWidth="1"/>
    <col min="10258" max="10496" width="9.33203125" style="308"/>
    <col min="10497" max="10497" width="5" style="308" customWidth="1"/>
    <col min="10498" max="10498" width="9.33203125" style="308"/>
    <col min="10499" max="10499" width="21.6640625" style="308" customWidth="1"/>
    <col min="10500" max="10500" width="13.44140625" style="308" customWidth="1"/>
    <col min="10501" max="10501" width="10.44140625" style="308" customWidth="1"/>
    <col min="10502" max="10502" width="15.109375" style="308" customWidth="1"/>
    <col min="10503" max="10503" width="3.6640625" style="308" customWidth="1"/>
    <col min="10504" max="10504" width="13.109375" style="308" customWidth="1"/>
    <col min="10505" max="10505" width="3.77734375" style="308" customWidth="1"/>
    <col min="10506" max="10506" width="15" style="308" customWidth="1"/>
    <col min="10507" max="10507" width="3.6640625" style="308" customWidth="1"/>
    <col min="10508" max="10509" width="13" style="308" customWidth="1"/>
    <col min="10510" max="10510" width="0" style="308" hidden="1" customWidth="1"/>
    <col min="10511" max="10512" width="9.33203125" style="308"/>
    <col min="10513" max="10513" width="15.77734375" style="308" customWidth="1"/>
    <col min="10514" max="10752" width="9.33203125" style="308"/>
    <col min="10753" max="10753" width="5" style="308" customWidth="1"/>
    <col min="10754" max="10754" width="9.33203125" style="308"/>
    <col min="10755" max="10755" width="21.6640625" style="308" customWidth="1"/>
    <col min="10756" max="10756" width="13.44140625" style="308" customWidth="1"/>
    <col min="10757" max="10757" width="10.44140625" style="308" customWidth="1"/>
    <col min="10758" max="10758" width="15.109375" style="308" customWidth="1"/>
    <col min="10759" max="10759" width="3.6640625" style="308" customWidth="1"/>
    <col min="10760" max="10760" width="13.109375" style="308" customWidth="1"/>
    <col min="10761" max="10761" width="3.77734375" style="308" customWidth="1"/>
    <col min="10762" max="10762" width="15" style="308" customWidth="1"/>
    <col min="10763" max="10763" width="3.6640625" style="308" customWidth="1"/>
    <col min="10764" max="10765" width="13" style="308" customWidth="1"/>
    <col min="10766" max="10766" width="0" style="308" hidden="1" customWidth="1"/>
    <col min="10767" max="10768" width="9.33203125" style="308"/>
    <col min="10769" max="10769" width="15.77734375" style="308" customWidth="1"/>
    <col min="10770" max="11008" width="9.33203125" style="308"/>
    <col min="11009" max="11009" width="5" style="308" customWidth="1"/>
    <col min="11010" max="11010" width="9.33203125" style="308"/>
    <col min="11011" max="11011" width="21.6640625" style="308" customWidth="1"/>
    <col min="11012" max="11012" width="13.44140625" style="308" customWidth="1"/>
    <col min="11013" max="11013" width="10.44140625" style="308" customWidth="1"/>
    <col min="11014" max="11014" width="15.109375" style="308" customWidth="1"/>
    <col min="11015" max="11015" width="3.6640625" style="308" customWidth="1"/>
    <col min="11016" max="11016" width="13.109375" style="308" customWidth="1"/>
    <col min="11017" max="11017" width="3.77734375" style="308" customWidth="1"/>
    <col min="11018" max="11018" width="15" style="308" customWidth="1"/>
    <col min="11019" max="11019" width="3.6640625" style="308" customWidth="1"/>
    <col min="11020" max="11021" width="13" style="308" customWidth="1"/>
    <col min="11022" max="11022" width="0" style="308" hidden="1" customWidth="1"/>
    <col min="11023" max="11024" width="9.33203125" style="308"/>
    <col min="11025" max="11025" width="15.77734375" style="308" customWidth="1"/>
    <col min="11026" max="11264" width="9.33203125" style="308"/>
    <col min="11265" max="11265" width="5" style="308" customWidth="1"/>
    <col min="11266" max="11266" width="9.33203125" style="308"/>
    <col min="11267" max="11267" width="21.6640625" style="308" customWidth="1"/>
    <col min="11268" max="11268" width="13.44140625" style="308" customWidth="1"/>
    <col min="11269" max="11269" width="10.44140625" style="308" customWidth="1"/>
    <col min="11270" max="11270" width="15.109375" style="308" customWidth="1"/>
    <col min="11271" max="11271" width="3.6640625" style="308" customWidth="1"/>
    <col min="11272" max="11272" width="13.109375" style="308" customWidth="1"/>
    <col min="11273" max="11273" width="3.77734375" style="308" customWidth="1"/>
    <col min="11274" max="11274" width="15" style="308" customWidth="1"/>
    <col min="11275" max="11275" width="3.6640625" style="308" customWidth="1"/>
    <col min="11276" max="11277" width="13" style="308" customWidth="1"/>
    <col min="11278" max="11278" width="0" style="308" hidden="1" customWidth="1"/>
    <col min="11279" max="11280" width="9.33203125" style="308"/>
    <col min="11281" max="11281" width="15.77734375" style="308" customWidth="1"/>
    <col min="11282" max="11520" width="9.33203125" style="308"/>
    <col min="11521" max="11521" width="5" style="308" customWidth="1"/>
    <col min="11522" max="11522" width="9.33203125" style="308"/>
    <col min="11523" max="11523" width="21.6640625" style="308" customWidth="1"/>
    <col min="11524" max="11524" width="13.44140625" style="308" customWidth="1"/>
    <col min="11525" max="11525" width="10.44140625" style="308" customWidth="1"/>
    <col min="11526" max="11526" width="15.109375" style="308" customWidth="1"/>
    <col min="11527" max="11527" width="3.6640625" style="308" customWidth="1"/>
    <col min="11528" max="11528" width="13.109375" style="308" customWidth="1"/>
    <col min="11529" max="11529" width="3.77734375" style="308" customWidth="1"/>
    <col min="11530" max="11530" width="15" style="308" customWidth="1"/>
    <col min="11531" max="11531" width="3.6640625" style="308" customWidth="1"/>
    <col min="11532" max="11533" width="13" style="308" customWidth="1"/>
    <col min="11534" max="11534" width="0" style="308" hidden="1" customWidth="1"/>
    <col min="11535" max="11536" width="9.33203125" style="308"/>
    <col min="11537" max="11537" width="15.77734375" style="308" customWidth="1"/>
    <col min="11538" max="11776" width="9.33203125" style="308"/>
    <col min="11777" max="11777" width="5" style="308" customWidth="1"/>
    <col min="11778" max="11778" width="9.33203125" style="308"/>
    <col min="11779" max="11779" width="21.6640625" style="308" customWidth="1"/>
    <col min="11780" max="11780" width="13.44140625" style="308" customWidth="1"/>
    <col min="11781" max="11781" width="10.44140625" style="308" customWidth="1"/>
    <col min="11782" max="11782" width="15.109375" style="308" customWidth="1"/>
    <col min="11783" max="11783" width="3.6640625" style="308" customWidth="1"/>
    <col min="11784" max="11784" width="13.109375" style="308" customWidth="1"/>
    <col min="11785" max="11785" width="3.77734375" style="308" customWidth="1"/>
    <col min="11786" max="11786" width="15" style="308" customWidth="1"/>
    <col min="11787" max="11787" width="3.6640625" style="308" customWidth="1"/>
    <col min="11788" max="11789" width="13" style="308" customWidth="1"/>
    <col min="11790" max="11790" width="0" style="308" hidden="1" customWidth="1"/>
    <col min="11791" max="11792" width="9.33203125" style="308"/>
    <col min="11793" max="11793" width="15.77734375" style="308" customWidth="1"/>
    <col min="11794" max="12032" width="9.33203125" style="308"/>
    <col min="12033" max="12033" width="5" style="308" customWidth="1"/>
    <col min="12034" max="12034" width="9.33203125" style="308"/>
    <col min="12035" max="12035" width="21.6640625" style="308" customWidth="1"/>
    <col min="12036" max="12036" width="13.44140625" style="308" customWidth="1"/>
    <col min="12037" max="12037" width="10.44140625" style="308" customWidth="1"/>
    <col min="12038" max="12038" width="15.109375" style="308" customWidth="1"/>
    <col min="12039" max="12039" width="3.6640625" style="308" customWidth="1"/>
    <col min="12040" max="12040" width="13.109375" style="308" customWidth="1"/>
    <col min="12041" max="12041" width="3.77734375" style="308" customWidth="1"/>
    <col min="12042" max="12042" width="15" style="308" customWidth="1"/>
    <col min="12043" max="12043" width="3.6640625" style="308" customWidth="1"/>
    <col min="12044" max="12045" width="13" style="308" customWidth="1"/>
    <col min="12046" max="12046" width="0" style="308" hidden="1" customWidth="1"/>
    <col min="12047" max="12048" width="9.33203125" style="308"/>
    <col min="12049" max="12049" width="15.77734375" style="308" customWidth="1"/>
    <col min="12050" max="12288" width="9.33203125" style="308"/>
    <col min="12289" max="12289" width="5" style="308" customWidth="1"/>
    <col min="12290" max="12290" width="9.33203125" style="308"/>
    <col min="12291" max="12291" width="21.6640625" style="308" customWidth="1"/>
    <col min="12292" max="12292" width="13.44140625" style="308" customWidth="1"/>
    <col min="12293" max="12293" width="10.44140625" style="308" customWidth="1"/>
    <col min="12294" max="12294" width="15.109375" style="308" customWidth="1"/>
    <col min="12295" max="12295" width="3.6640625" style="308" customWidth="1"/>
    <col min="12296" max="12296" width="13.109375" style="308" customWidth="1"/>
    <col min="12297" max="12297" width="3.77734375" style="308" customWidth="1"/>
    <col min="12298" max="12298" width="15" style="308" customWidth="1"/>
    <col min="12299" max="12299" width="3.6640625" style="308" customWidth="1"/>
    <col min="12300" max="12301" width="13" style="308" customWidth="1"/>
    <col min="12302" max="12302" width="0" style="308" hidden="1" customWidth="1"/>
    <col min="12303" max="12304" width="9.33203125" style="308"/>
    <col min="12305" max="12305" width="15.77734375" style="308" customWidth="1"/>
    <col min="12306" max="12544" width="9.33203125" style="308"/>
    <col min="12545" max="12545" width="5" style="308" customWidth="1"/>
    <col min="12546" max="12546" width="9.33203125" style="308"/>
    <col min="12547" max="12547" width="21.6640625" style="308" customWidth="1"/>
    <col min="12548" max="12548" width="13.44140625" style="308" customWidth="1"/>
    <col min="12549" max="12549" width="10.44140625" style="308" customWidth="1"/>
    <col min="12550" max="12550" width="15.109375" style="308" customWidth="1"/>
    <col min="12551" max="12551" width="3.6640625" style="308" customWidth="1"/>
    <col min="12552" max="12552" width="13.109375" style="308" customWidth="1"/>
    <col min="12553" max="12553" width="3.77734375" style="308" customWidth="1"/>
    <col min="12554" max="12554" width="15" style="308" customWidth="1"/>
    <col min="12555" max="12555" width="3.6640625" style="308" customWidth="1"/>
    <col min="12556" max="12557" width="13" style="308" customWidth="1"/>
    <col min="12558" max="12558" width="0" style="308" hidden="1" customWidth="1"/>
    <col min="12559" max="12560" width="9.33203125" style="308"/>
    <col min="12561" max="12561" width="15.77734375" style="308" customWidth="1"/>
    <col min="12562" max="12800" width="9.33203125" style="308"/>
    <col min="12801" max="12801" width="5" style="308" customWidth="1"/>
    <col min="12802" max="12802" width="9.33203125" style="308"/>
    <col min="12803" max="12803" width="21.6640625" style="308" customWidth="1"/>
    <col min="12804" max="12804" width="13.44140625" style="308" customWidth="1"/>
    <col min="12805" max="12805" width="10.44140625" style="308" customWidth="1"/>
    <col min="12806" max="12806" width="15.109375" style="308" customWidth="1"/>
    <col min="12807" max="12807" width="3.6640625" style="308" customWidth="1"/>
    <col min="12808" max="12808" width="13.109375" style="308" customWidth="1"/>
    <col min="12809" max="12809" width="3.77734375" style="308" customWidth="1"/>
    <col min="12810" max="12810" width="15" style="308" customWidth="1"/>
    <col min="12811" max="12811" width="3.6640625" style="308" customWidth="1"/>
    <col min="12812" max="12813" width="13" style="308" customWidth="1"/>
    <col min="12814" max="12814" width="0" style="308" hidden="1" customWidth="1"/>
    <col min="12815" max="12816" width="9.33203125" style="308"/>
    <col min="12817" max="12817" width="15.77734375" style="308" customWidth="1"/>
    <col min="12818" max="13056" width="9.33203125" style="308"/>
    <col min="13057" max="13057" width="5" style="308" customWidth="1"/>
    <col min="13058" max="13058" width="9.33203125" style="308"/>
    <col min="13059" max="13059" width="21.6640625" style="308" customWidth="1"/>
    <col min="13060" max="13060" width="13.44140625" style="308" customWidth="1"/>
    <col min="13061" max="13061" width="10.44140625" style="308" customWidth="1"/>
    <col min="13062" max="13062" width="15.109375" style="308" customWidth="1"/>
    <col min="13063" max="13063" width="3.6640625" style="308" customWidth="1"/>
    <col min="13064" max="13064" width="13.109375" style="308" customWidth="1"/>
    <col min="13065" max="13065" width="3.77734375" style="308" customWidth="1"/>
    <col min="13066" max="13066" width="15" style="308" customWidth="1"/>
    <col min="13067" max="13067" width="3.6640625" style="308" customWidth="1"/>
    <col min="13068" max="13069" width="13" style="308" customWidth="1"/>
    <col min="13070" max="13070" width="0" style="308" hidden="1" customWidth="1"/>
    <col min="13071" max="13072" width="9.33203125" style="308"/>
    <col min="13073" max="13073" width="15.77734375" style="308" customWidth="1"/>
    <col min="13074" max="13312" width="9.33203125" style="308"/>
    <col min="13313" max="13313" width="5" style="308" customWidth="1"/>
    <col min="13314" max="13314" width="9.33203125" style="308"/>
    <col min="13315" max="13315" width="21.6640625" style="308" customWidth="1"/>
    <col min="13316" max="13316" width="13.44140625" style="308" customWidth="1"/>
    <col min="13317" max="13317" width="10.44140625" style="308" customWidth="1"/>
    <col min="13318" max="13318" width="15.109375" style="308" customWidth="1"/>
    <col min="13319" max="13319" width="3.6640625" style="308" customWidth="1"/>
    <col min="13320" max="13320" width="13.109375" style="308" customWidth="1"/>
    <col min="13321" max="13321" width="3.77734375" style="308" customWidth="1"/>
    <col min="13322" max="13322" width="15" style="308" customWidth="1"/>
    <col min="13323" max="13323" width="3.6640625" style="308" customWidth="1"/>
    <col min="13324" max="13325" width="13" style="308" customWidth="1"/>
    <col min="13326" max="13326" width="0" style="308" hidden="1" customWidth="1"/>
    <col min="13327" max="13328" width="9.33203125" style="308"/>
    <col min="13329" max="13329" width="15.77734375" style="308" customWidth="1"/>
    <col min="13330" max="13568" width="9.33203125" style="308"/>
    <col min="13569" max="13569" width="5" style="308" customWidth="1"/>
    <col min="13570" max="13570" width="9.33203125" style="308"/>
    <col min="13571" max="13571" width="21.6640625" style="308" customWidth="1"/>
    <col min="13572" max="13572" width="13.44140625" style="308" customWidth="1"/>
    <col min="13573" max="13573" width="10.44140625" style="308" customWidth="1"/>
    <col min="13574" max="13574" width="15.109375" style="308" customWidth="1"/>
    <col min="13575" max="13575" width="3.6640625" style="308" customWidth="1"/>
    <col min="13576" max="13576" width="13.109375" style="308" customWidth="1"/>
    <col min="13577" max="13577" width="3.77734375" style="308" customWidth="1"/>
    <col min="13578" max="13578" width="15" style="308" customWidth="1"/>
    <col min="13579" max="13579" width="3.6640625" style="308" customWidth="1"/>
    <col min="13580" max="13581" width="13" style="308" customWidth="1"/>
    <col min="13582" max="13582" width="0" style="308" hidden="1" customWidth="1"/>
    <col min="13583" max="13584" width="9.33203125" style="308"/>
    <col min="13585" max="13585" width="15.77734375" style="308" customWidth="1"/>
    <col min="13586" max="13824" width="9.33203125" style="308"/>
    <col min="13825" max="13825" width="5" style="308" customWidth="1"/>
    <col min="13826" max="13826" width="9.33203125" style="308"/>
    <col min="13827" max="13827" width="21.6640625" style="308" customWidth="1"/>
    <col min="13828" max="13828" width="13.44140625" style="308" customWidth="1"/>
    <col min="13829" max="13829" width="10.44140625" style="308" customWidth="1"/>
    <col min="13830" max="13830" width="15.109375" style="308" customWidth="1"/>
    <col min="13831" max="13831" width="3.6640625" style="308" customWidth="1"/>
    <col min="13832" max="13832" width="13.109375" style="308" customWidth="1"/>
    <col min="13833" max="13833" width="3.77734375" style="308" customWidth="1"/>
    <col min="13834" max="13834" width="15" style="308" customWidth="1"/>
    <col min="13835" max="13835" width="3.6640625" style="308" customWidth="1"/>
    <col min="13836" max="13837" width="13" style="308" customWidth="1"/>
    <col min="13838" max="13838" width="0" style="308" hidden="1" customWidth="1"/>
    <col min="13839" max="13840" width="9.33203125" style="308"/>
    <col min="13841" max="13841" width="15.77734375" style="308" customWidth="1"/>
    <col min="13842" max="14080" width="9.33203125" style="308"/>
    <col min="14081" max="14081" width="5" style="308" customWidth="1"/>
    <col min="14082" max="14082" width="9.33203125" style="308"/>
    <col min="14083" max="14083" width="21.6640625" style="308" customWidth="1"/>
    <col min="14084" max="14084" width="13.44140625" style="308" customWidth="1"/>
    <col min="14085" max="14085" width="10.44140625" style="308" customWidth="1"/>
    <col min="14086" max="14086" width="15.109375" style="308" customWidth="1"/>
    <col min="14087" max="14087" width="3.6640625" style="308" customWidth="1"/>
    <col min="14088" max="14088" width="13.109375" style="308" customWidth="1"/>
    <col min="14089" max="14089" width="3.77734375" style="308" customWidth="1"/>
    <col min="14090" max="14090" width="15" style="308" customWidth="1"/>
    <col min="14091" max="14091" width="3.6640625" style="308" customWidth="1"/>
    <col min="14092" max="14093" width="13" style="308" customWidth="1"/>
    <col min="14094" max="14094" width="0" style="308" hidden="1" customWidth="1"/>
    <col min="14095" max="14096" width="9.33203125" style="308"/>
    <col min="14097" max="14097" width="15.77734375" style="308" customWidth="1"/>
    <col min="14098" max="14336" width="9.33203125" style="308"/>
    <col min="14337" max="14337" width="5" style="308" customWidth="1"/>
    <col min="14338" max="14338" width="9.33203125" style="308"/>
    <col min="14339" max="14339" width="21.6640625" style="308" customWidth="1"/>
    <col min="14340" max="14340" width="13.44140625" style="308" customWidth="1"/>
    <col min="14341" max="14341" width="10.44140625" style="308" customWidth="1"/>
    <col min="14342" max="14342" width="15.109375" style="308" customWidth="1"/>
    <col min="14343" max="14343" width="3.6640625" style="308" customWidth="1"/>
    <col min="14344" max="14344" width="13.109375" style="308" customWidth="1"/>
    <col min="14345" max="14345" width="3.77734375" style="308" customWidth="1"/>
    <col min="14346" max="14346" width="15" style="308" customWidth="1"/>
    <col min="14347" max="14347" width="3.6640625" style="308" customWidth="1"/>
    <col min="14348" max="14349" width="13" style="308" customWidth="1"/>
    <col min="14350" max="14350" width="0" style="308" hidden="1" customWidth="1"/>
    <col min="14351" max="14352" width="9.33203125" style="308"/>
    <col min="14353" max="14353" width="15.77734375" style="308" customWidth="1"/>
    <col min="14354" max="14592" width="9.33203125" style="308"/>
    <col min="14593" max="14593" width="5" style="308" customWidth="1"/>
    <col min="14594" max="14594" width="9.33203125" style="308"/>
    <col min="14595" max="14595" width="21.6640625" style="308" customWidth="1"/>
    <col min="14596" max="14596" width="13.44140625" style="308" customWidth="1"/>
    <col min="14597" max="14597" width="10.44140625" style="308" customWidth="1"/>
    <col min="14598" max="14598" width="15.109375" style="308" customWidth="1"/>
    <col min="14599" max="14599" width="3.6640625" style="308" customWidth="1"/>
    <col min="14600" max="14600" width="13.109375" style="308" customWidth="1"/>
    <col min="14601" max="14601" width="3.77734375" style="308" customWidth="1"/>
    <col min="14602" max="14602" width="15" style="308" customWidth="1"/>
    <col min="14603" max="14603" width="3.6640625" style="308" customWidth="1"/>
    <col min="14604" max="14605" width="13" style="308" customWidth="1"/>
    <col min="14606" max="14606" width="0" style="308" hidden="1" customWidth="1"/>
    <col min="14607" max="14608" width="9.33203125" style="308"/>
    <col min="14609" max="14609" width="15.77734375" style="308" customWidth="1"/>
    <col min="14610" max="14848" width="9.33203125" style="308"/>
    <col min="14849" max="14849" width="5" style="308" customWidth="1"/>
    <col min="14850" max="14850" width="9.33203125" style="308"/>
    <col min="14851" max="14851" width="21.6640625" style="308" customWidth="1"/>
    <col min="14852" max="14852" width="13.44140625" style="308" customWidth="1"/>
    <col min="14853" max="14853" width="10.44140625" style="308" customWidth="1"/>
    <col min="14854" max="14854" width="15.109375" style="308" customWidth="1"/>
    <col min="14855" max="14855" width="3.6640625" style="308" customWidth="1"/>
    <col min="14856" max="14856" width="13.109375" style="308" customWidth="1"/>
    <col min="14857" max="14857" width="3.77734375" style="308" customWidth="1"/>
    <col min="14858" max="14858" width="15" style="308" customWidth="1"/>
    <col min="14859" max="14859" width="3.6640625" style="308" customWidth="1"/>
    <col min="14860" max="14861" width="13" style="308" customWidth="1"/>
    <col min="14862" max="14862" width="0" style="308" hidden="1" customWidth="1"/>
    <col min="14863" max="14864" width="9.33203125" style="308"/>
    <col min="14865" max="14865" width="15.77734375" style="308" customWidth="1"/>
    <col min="14866" max="15104" width="9.33203125" style="308"/>
    <col min="15105" max="15105" width="5" style="308" customWidth="1"/>
    <col min="15106" max="15106" width="9.33203125" style="308"/>
    <col min="15107" max="15107" width="21.6640625" style="308" customWidth="1"/>
    <col min="15108" max="15108" width="13.44140625" style="308" customWidth="1"/>
    <col min="15109" max="15109" width="10.44140625" style="308" customWidth="1"/>
    <col min="15110" max="15110" width="15.109375" style="308" customWidth="1"/>
    <col min="15111" max="15111" width="3.6640625" style="308" customWidth="1"/>
    <col min="15112" max="15112" width="13.109375" style="308" customWidth="1"/>
    <col min="15113" max="15113" width="3.77734375" style="308" customWidth="1"/>
    <col min="15114" max="15114" width="15" style="308" customWidth="1"/>
    <col min="15115" max="15115" width="3.6640625" style="308" customWidth="1"/>
    <col min="15116" max="15117" width="13" style="308" customWidth="1"/>
    <col min="15118" max="15118" width="0" style="308" hidden="1" customWidth="1"/>
    <col min="15119" max="15120" width="9.33203125" style="308"/>
    <col min="15121" max="15121" width="15.77734375" style="308" customWidth="1"/>
    <col min="15122" max="15360" width="9.33203125" style="308"/>
    <col min="15361" max="15361" width="5" style="308" customWidth="1"/>
    <col min="15362" max="15362" width="9.33203125" style="308"/>
    <col min="15363" max="15363" width="21.6640625" style="308" customWidth="1"/>
    <col min="15364" max="15364" width="13.44140625" style="308" customWidth="1"/>
    <col min="15365" max="15365" width="10.44140625" style="308" customWidth="1"/>
    <col min="15366" max="15366" width="15.109375" style="308" customWidth="1"/>
    <col min="15367" max="15367" width="3.6640625" style="308" customWidth="1"/>
    <col min="15368" max="15368" width="13.109375" style="308" customWidth="1"/>
    <col min="15369" max="15369" width="3.77734375" style="308" customWidth="1"/>
    <col min="15370" max="15370" width="15" style="308" customWidth="1"/>
    <col min="15371" max="15371" width="3.6640625" style="308" customWidth="1"/>
    <col min="15372" max="15373" width="13" style="308" customWidth="1"/>
    <col min="15374" max="15374" width="0" style="308" hidden="1" customWidth="1"/>
    <col min="15375" max="15376" width="9.33203125" style="308"/>
    <col min="15377" max="15377" width="15.77734375" style="308" customWidth="1"/>
    <col min="15378" max="15616" width="9.33203125" style="308"/>
    <col min="15617" max="15617" width="5" style="308" customWidth="1"/>
    <col min="15618" max="15618" width="9.33203125" style="308"/>
    <col min="15619" max="15619" width="21.6640625" style="308" customWidth="1"/>
    <col min="15620" max="15620" width="13.44140625" style="308" customWidth="1"/>
    <col min="15621" max="15621" width="10.44140625" style="308" customWidth="1"/>
    <col min="15622" max="15622" width="15.109375" style="308" customWidth="1"/>
    <col min="15623" max="15623" width="3.6640625" style="308" customWidth="1"/>
    <col min="15624" max="15624" width="13.109375" style="308" customWidth="1"/>
    <col min="15625" max="15625" width="3.77734375" style="308" customWidth="1"/>
    <col min="15626" max="15626" width="15" style="308" customWidth="1"/>
    <col min="15627" max="15627" width="3.6640625" style="308" customWidth="1"/>
    <col min="15628" max="15629" width="13" style="308" customWidth="1"/>
    <col min="15630" max="15630" width="0" style="308" hidden="1" customWidth="1"/>
    <col min="15631" max="15632" width="9.33203125" style="308"/>
    <col min="15633" max="15633" width="15.77734375" style="308" customWidth="1"/>
    <col min="15634" max="15872" width="9.33203125" style="308"/>
    <col min="15873" max="15873" width="5" style="308" customWidth="1"/>
    <col min="15874" max="15874" width="9.33203125" style="308"/>
    <col min="15875" max="15875" width="21.6640625" style="308" customWidth="1"/>
    <col min="15876" max="15876" width="13.44140625" style="308" customWidth="1"/>
    <col min="15877" max="15877" width="10.44140625" style="308" customWidth="1"/>
    <col min="15878" max="15878" width="15.109375" style="308" customWidth="1"/>
    <col min="15879" max="15879" width="3.6640625" style="308" customWidth="1"/>
    <col min="15880" max="15880" width="13.109375" style="308" customWidth="1"/>
    <col min="15881" max="15881" width="3.77734375" style="308" customWidth="1"/>
    <col min="15882" max="15882" width="15" style="308" customWidth="1"/>
    <col min="15883" max="15883" width="3.6640625" style="308" customWidth="1"/>
    <col min="15884" max="15885" width="13" style="308" customWidth="1"/>
    <col min="15886" max="15886" width="0" style="308" hidden="1" customWidth="1"/>
    <col min="15887" max="15888" width="9.33203125" style="308"/>
    <col min="15889" max="15889" width="15.77734375" style="308" customWidth="1"/>
    <col min="15890" max="16128" width="9.33203125" style="308"/>
    <col min="16129" max="16129" width="5" style="308" customWidth="1"/>
    <col min="16130" max="16130" width="9.33203125" style="308"/>
    <col min="16131" max="16131" width="21.6640625" style="308" customWidth="1"/>
    <col min="16132" max="16132" width="13.44140625" style="308" customWidth="1"/>
    <col min="16133" max="16133" width="10.44140625" style="308" customWidth="1"/>
    <col min="16134" max="16134" width="15.109375" style="308" customWidth="1"/>
    <col min="16135" max="16135" width="3.6640625" style="308" customWidth="1"/>
    <col min="16136" max="16136" width="13.109375" style="308" customWidth="1"/>
    <col min="16137" max="16137" width="3.77734375" style="308" customWidth="1"/>
    <col min="16138" max="16138" width="15" style="308" customWidth="1"/>
    <col min="16139" max="16139" width="3.6640625" style="308" customWidth="1"/>
    <col min="16140" max="16141" width="13" style="308" customWidth="1"/>
    <col min="16142" max="16142" width="0" style="308" hidden="1" customWidth="1"/>
    <col min="16143" max="16144" width="9.33203125" style="308"/>
    <col min="16145" max="16145" width="15.77734375" style="308" customWidth="1"/>
    <col min="16146" max="16384" width="9.33203125" style="308"/>
  </cols>
  <sheetData>
    <row r="1" spans="1:15" ht="13">
      <c r="B1" s="314"/>
      <c r="H1" s="315"/>
      <c r="L1" s="758" t="str">
        <f>+'PGA Demand Cost Allocation'!J2</f>
        <v>CNGC Advice W20-09-01</v>
      </c>
    </row>
    <row r="2" spans="1:15" ht="13">
      <c r="A2" s="314"/>
      <c r="H2" s="315"/>
      <c r="L2" s="759" t="s">
        <v>289</v>
      </c>
    </row>
    <row r="3" spans="1:15" ht="13">
      <c r="A3" s="314"/>
      <c r="H3" s="315"/>
      <c r="L3" s="759" t="s">
        <v>309</v>
      </c>
    </row>
    <row r="4" spans="1:15" ht="15.5">
      <c r="A4" s="351"/>
      <c r="B4" s="351"/>
      <c r="C4" s="352" t="s">
        <v>52</v>
      </c>
      <c r="D4" s="406"/>
      <c r="E4" s="407"/>
      <c r="F4" s="406"/>
      <c r="G4" s="406"/>
      <c r="H4" s="406"/>
      <c r="I4" s="406"/>
      <c r="J4" s="406"/>
      <c r="K4" s="406"/>
      <c r="L4" s="408"/>
      <c r="M4" s="406"/>
    </row>
    <row r="5" spans="1:15" ht="15.5">
      <c r="A5" s="351"/>
      <c r="B5" s="351"/>
      <c r="C5" s="409" t="s">
        <v>299</v>
      </c>
      <c r="D5" s="406"/>
      <c r="E5" s="406"/>
      <c r="F5" s="406"/>
      <c r="G5" s="406"/>
      <c r="H5" s="407"/>
      <c r="I5" s="406"/>
      <c r="J5" s="406"/>
      <c r="K5" s="406"/>
      <c r="L5" s="408"/>
      <c r="M5" s="406"/>
    </row>
    <row r="6" spans="1:15" ht="15.5">
      <c r="A6" s="351"/>
      <c r="B6" s="351"/>
      <c r="C6" s="831" t="s">
        <v>353</v>
      </c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317" t="s">
        <v>54</v>
      </c>
    </row>
    <row r="7" spans="1:15" ht="15.5">
      <c r="A7" s="351"/>
      <c r="B7" s="351"/>
      <c r="C7" s="352" t="s">
        <v>53</v>
      </c>
      <c r="D7" s="406"/>
      <c r="E7" s="406"/>
      <c r="F7" s="406"/>
      <c r="G7" s="406"/>
      <c r="H7" s="406"/>
      <c r="I7" s="406"/>
      <c r="J7" s="406"/>
      <c r="K7" s="406"/>
      <c r="L7" s="408"/>
      <c r="M7" s="406"/>
      <c r="N7" s="317" t="s">
        <v>54</v>
      </c>
    </row>
    <row r="8" spans="1:15" ht="15.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410"/>
      <c r="M8" s="351"/>
    </row>
    <row r="9" spans="1:15" ht="15.5">
      <c r="A9" s="371"/>
      <c r="B9" s="372"/>
      <c r="C9" s="370"/>
      <c r="D9" s="370"/>
      <c r="E9" s="411"/>
      <c r="F9" s="411"/>
      <c r="G9" s="371"/>
      <c r="H9" s="412"/>
      <c r="I9" s="370"/>
      <c r="J9" s="372"/>
      <c r="K9" s="370"/>
      <c r="L9" s="413" t="s">
        <v>55</v>
      </c>
      <c r="M9" s="370"/>
      <c r="N9" s="318"/>
      <c r="O9" s="319"/>
    </row>
    <row r="10" spans="1:15" ht="15.5">
      <c r="A10" s="414" t="s">
        <v>7</v>
      </c>
      <c r="B10" s="376"/>
      <c r="C10" s="415"/>
      <c r="D10" s="416" t="s">
        <v>51</v>
      </c>
      <c r="E10" s="416" t="s">
        <v>56</v>
      </c>
      <c r="F10" s="416" t="s">
        <v>319</v>
      </c>
      <c r="G10" s="417"/>
      <c r="H10" s="418" t="s">
        <v>58</v>
      </c>
      <c r="I10" s="374"/>
      <c r="J10" s="419" t="s">
        <v>238</v>
      </c>
      <c r="K10" s="374"/>
      <c r="L10" s="420" t="s">
        <v>239</v>
      </c>
      <c r="M10" s="421" t="s">
        <v>59</v>
      </c>
      <c r="N10" s="320" t="s">
        <v>60</v>
      </c>
      <c r="O10" s="319"/>
    </row>
    <row r="11" spans="1:15" ht="15.5">
      <c r="A11" s="414" t="s">
        <v>9</v>
      </c>
      <c r="B11" s="422" t="s">
        <v>0</v>
      </c>
      <c r="C11" s="421"/>
      <c r="D11" s="416" t="s">
        <v>61</v>
      </c>
      <c r="E11" s="416" t="s">
        <v>62</v>
      </c>
      <c r="F11" s="416" t="s">
        <v>63</v>
      </c>
      <c r="G11" s="417"/>
      <c r="H11" s="418" t="s">
        <v>64</v>
      </c>
      <c r="I11" s="374"/>
      <c r="J11" s="419" t="s">
        <v>240</v>
      </c>
      <c r="K11" s="374"/>
      <c r="L11" s="420" t="s">
        <v>65</v>
      </c>
      <c r="M11" s="421" t="s">
        <v>65</v>
      </c>
      <c r="N11" s="323" t="s">
        <v>65</v>
      </c>
      <c r="O11" s="319"/>
    </row>
    <row r="12" spans="1:15" ht="15.5">
      <c r="A12" s="417"/>
      <c r="B12" s="422" t="s">
        <v>14</v>
      </c>
      <c r="C12" s="421"/>
      <c r="D12" s="416" t="s">
        <v>15</v>
      </c>
      <c r="E12" s="416" t="s">
        <v>16</v>
      </c>
      <c r="F12" s="416" t="s">
        <v>17</v>
      </c>
      <c r="G12" s="417"/>
      <c r="H12" s="418" t="s">
        <v>66</v>
      </c>
      <c r="I12" s="374"/>
      <c r="J12" s="419" t="s">
        <v>241</v>
      </c>
      <c r="K12" s="374"/>
      <c r="L12" s="423" t="s">
        <v>67</v>
      </c>
      <c r="M12" s="416" t="s">
        <v>68</v>
      </c>
      <c r="N12" s="320" t="s">
        <v>69</v>
      </c>
      <c r="O12" s="319"/>
    </row>
    <row r="13" spans="1:15" ht="15.5">
      <c r="A13" s="387"/>
      <c r="B13" s="424" t="s">
        <v>70</v>
      </c>
      <c r="C13" s="368"/>
      <c r="D13" s="368"/>
      <c r="E13" s="368"/>
      <c r="F13" s="388"/>
      <c r="G13" s="425"/>
      <c r="H13" s="426"/>
      <c r="I13" s="368"/>
      <c r="J13" s="368"/>
      <c r="K13" s="368"/>
      <c r="L13" s="427"/>
      <c r="M13" s="368"/>
      <c r="N13" s="324"/>
      <c r="O13" s="319"/>
    </row>
    <row r="14" spans="1:15" ht="15.5">
      <c r="A14" s="417"/>
      <c r="B14" s="428"/>
      <c r="C14" s="374"/>
      <c r="D14" s="374"/>
      <c r="E14" s="374"/>
      <c r="F14" s="374"/>
      <c r="G14" s="417"/>
      <c r="H14" s="417"/>
      <c r="I14" s="374"/>
      <c r="J14" s="376"/>
      <c r="K14" s="374"/>
      <c r="L14" s="429"/>
      <c r="M14" s="374"/>
      <c r="N14" s="322"/>
      <c r="O14" s="319"/>
    </row>
    <row r="15" spans="1:15" ht="15.5">
      <c r="A15" s="430"/>
      <c r="B15" s="428"/>
      <c r="C15" s="431"/>
      <c r="D15" s="416"/>
      <c r="E15" s="432"/>
      <c r="F15" s="432"/>
      <c r="G15" s="433"/>
      <c r="H15" s="379"/>
      <c r="I15" s="374"/>
      <c r="J15" s="434"/>
      <c r="K15" s="432"/>
      <c r="L15" s="435"/>
      <c r="M15" s="432"/>
      <c r="N15" s="326"/>
      <c r="O15" s="319"/>
    </row>
    <row r="16" spans="1:15" ht="15.5">
      <c r="A16" s="430">
        <v>1</v>
      </c>
      <c r="B16" s="428" t="s">
        <v>121</v>
      </c>
      <c r="C16" s="431"/>
      <c r="D16" s="416" t="s">
        <v>72</v>
      </c>
      <c r="E16" s="432">
        <f>+'Bills-Therms-Revs'!F12</f>
        <v>193657</v>
      </c>
      <c r="F16" s="432">
        <f>+'Test Period Volumes'!C48</f>
        <v>127118966.08439983</v>
      </c>
      <c r="G16" s="433"/>
      <c r="H16" s="379">
        <f>+'Bills-Therms-Revs'!I16</f>
        <v>129784520</v>
      </c>
      <c r="I16" s="374"/>
      <c r="J16" s="386"/>
      <c r="K16" s="432"/>
      <c r="L16" s="435">
        <f>+'PGA Demand Cost Allocation'!D28+'[36]Director view-WA Gas Cost Track'!$W$109</f>
        <v>-3.672705500000038E-3</v>
      </c>
      <c r="M16" s="436">
        <f t="shared" ref="M16:M20" si="0">F16*L16</f>
        <v>-466870.52589249355</v>
      </c>
      <c r="N16" s="326" t="e">
        <f>M16/J16</f>
        <v>#DIV/0!</v>
      </c>
      <c r="O16" s="327">
        <f t="shared" ref="O16:O60" si="1">+M16/H16</f>
        <v>-3.5972743582400549E-3</v>
      </c>
    </row>
    <row r="17" spans="1:17" ht="15.5">
      <c r="A17" s="430">
        <v>2</v>
      </c>
      <c r="B17" s="428" t="s">
        <v>122</v>
      </c>
      <c r="C17" s="374"/>
      <c r="D17" s="416" t="s">
        <v>74</v>
      </c>
      <c r="E17" s="432">
        <f>+'Bills-Therms-Revs'!F18</f>
        <v>26658</v>
      </c>
      <c r="F17" s="432">
        <f>+'Test Period Volumes'!D48</f>
        <v>88299944.040802553</v>
      </c>
      <c r="G17" s="417"/>
      <c r="H17" s="433">
        <f>+'Bills-Therms-Revs'!I18+'Bills-Therms-Revs'!I21+'Bills-Therms-Revs'!I22</f>
        <v>79262367.890000001</v>
      </c>
      <c r="I17" s="374"/>
      <c r="J17" s="434"/>
      <c r="K17" s="374"/>
      <c r="L17" s="435">
        <f>+'PGA Demand Cost Allocation'!F28+'[36]Director view-WA Gas Cost Track'!$W$109</f>
        <v>-3.5390861413372166E-3</v>
      </c>
      <c r="M17" s="436">
        <f>ROUND(F17*L17,0)</f>
        <v>-312501</v>
      </c>
      <c r="N17" s="326" t="e">
        <f>ROUND(M17/J17,4)</f>
        <v>#DIV/0!</v>
      </c>
      <c r="O17" s="327">
        <f t="shared" si="1"/>
        <v>-3.9426149926997849E-3</v>
      </c>
    </row>
    <row r="18" spans="1:17" ht="15.5">
      <c r="A18" s="430">
        <v>3</v>
      </c>
      <c r="B18" s="428" t="s">
        <v>123</v>
      </c>
      <c r="C18" s="431"/>
      <c r="D18" s="416" t="s">
        <v>78</v>
      </c>
      <c r="E18" s="432">
        <f>+'Bills-Therms-Revs'!F28</f>
        <v>480</v>
      </c>
      <c r="F18" s="432">
        <f>+'Test Period Volumes'!E48</f>
        <v>14482049.656409066</v>
      </c>
      <c r="G18" s="417"/>
      <c r="H18" s="379">
        <f>+'Bills-Therms-Revs'!I28</f>
        <v>9601453</v>
      </c>
      <c r="I18" s="374"/>
      <c r="J18" s="386"/>
      <c r="K18" s="374"/>
      <c r="L18" s="435">
        <f>+'PGA Demand Cost Allocation'!H28+'[36]Director view-WA Gas Cost Track'!$W$109</f>
        <v>-2.8527055000000384E-3</v>
      </c>
      <c r="M18" s="436">
        <f t="shared" si="0"/>
        <v>-41313.022706111813</v>
      </c>
      <c r="N18" s="326" t="e">
        <f t="shared" ref="N18:N20" si="2">M18/J18</f>
        <v>#DIV/0!</v>
      </c>
      <c r="O18" s="327">
        <f t="shared" si="1"/>
        <v>-4.3027886202340222E-3</v>
      </c>
    </row>
    <row r="19" spans="1:17" ht="15.5">
      <c r="A19" s="430">
        <v>4</v>
      </c>
      <c r="B19" s="428" t="s">
        <v>75</v>
      </c>
      <c r="C19" s="374"/>
      <c r="D19" s="416" t="s">
        <v>76</v>
      </c>
      <c r="E19" s="432">
        <f>+'Bills-Therms-Revs'!F19+'Bills-Therms-Revs'!F29</f>
        <v>98</v>
      </c>
      <c r="F19" s="432">
        <f>+'Test Period Volumes'!F48</f>
        <v>27088723.120386221</v>
      </c>
      <c r="G19" s="433"/>
      <c r="H19" s="379">
        <f>+'Bills-Therms-Revs'!I19+'Bills-Therms-Revs'!I23+'Bills-Therms-Revs'!I24+'Bills-Therms-Revs'!I29</f>
        <v>18277286.380000003</v>
      </c>
      <c r="I19" s="432"/>
      <c r="J19" s="386"/>
      <c r="K19" s="432"/>
      <c r="L19" s="435">
        <f>+'PGA Demand Cost Allocation'!H28+'[36]Director view-WA Gas Cost Track'!$W$109</f>
        <v>-2.8527055000000384E-3</v>
      </c>
      <c r="M19" s="436">
        <f t="shared" si="0"/>
        <v>-77276.149433503975</v>
      </c>
      <c r="N19" s="326" t="e">
        <f t="shared" si="2"/>
        <v>#DIV/0!</v>
      </c>
      <c r="O19" s="327">
        <f t="shared" si="1"/>
        <v>-4.2279881064873903E-3</v>
      </c>
    </row>
    <row r="20" spans="1:17" ht="15.5">
      <c r="A20" s="430">
        <v>5</v>
      </c>
      <c r="B20" s="428" t="s">
        <v>124</v>
      </c>
      <c r="C20" s="374"/>
      <c r="D20" s="416" t="s">
        <v>79</v>
      </c>
      <c r="E20" s="432">
        <f>+'Bills-Therms-Revs'!F34</f>
        <v>8</v>
      </c>
      <c r="F20" s="432">
        <f>+'Test Period Volumes'!G48</f>
        <v>2291417.0980023355</v>
      </c>
      <c r="G20" s="433"/>
      <c r="H20" s="379">
        <f>+'Bills-Therms-Revs'!I39</f>
        <v>1421635</v>
      </c>
      <c r="I20" s="374"/>
      <c r="J20" s="386"/>
      <c r="K20" s="432"/>
      <c r="L20" s="435">
        <f>+'PGA Demand Cost Allocation'!J28+'[36]Director view-WA Gas Cost Track'!$W$109</f>
        <v>-2.1635042802546182E-3</v>
      </c>
      <c r="M20" s="436">
        <f t="shared" si="0"/>
        <v>-4957.490699376669</v>
      </c>
      <c r="N20" s="326" t="e">
        <f t="shared" si="2"/>
        <v>#DIV/0!</v>
      </c>
      <c r="O20" s="327">
        <f t="shared" si="1"/>
        <v>-3.4871754700585376E-3</v>
      </c>
    </row>
    <row r="21" spans="1:17" ht="15.5">
      <c r="A21" s="438">
        <v>6</v>
      </c>
      <c r="B21" s="439" t="s">
        <v>80</v>
      </c>
      <c r="C21" s="388"/>
      <c r="D21" s="388"/>
      <c r="E21" s="440">
        <f>SUM(E16:E20)</f>
        <v>220901</v>
      </c>
      <c r="F21" s="441">
        <f>SUM(F16:F20)</f>
        <v>259281100</v>
      </c>
      <c r="G21" s="426"/>
      <c r="H21" s="441">
        <f>SUM(H16:H20)</f>
        <v>238347262.26999998</v>
      </c>
      <c r="I21" s="440"/>
      <c r="J21" s="442">
        <f>SUM(J16:J20)</f>
        <v>0</v>
      </c>
      <c r="K21" s="440"/>
      <c r="L21" s="443"/>
      <c r="M21" s="426">
        <f>SUM(M16:M20)</f>
        <v>-902918.18873148598</v>
      </c>
      <c r="N21" s="330" t="e">
        <f>M21/J21</f>
        <v>#DIV/0!</v>
      </c>
      <c r="O21" s="327"/>
    </row>
    <row r="22" spans="1:17" ht="15.5" hidden="1">
      <c r="A22" s="425"/>
      <c r="B22" s="424" t="s">
        <v>81</v>
      </c>
      <c r="C22" s="368"/>
      <c r="D22" s="368"/>
      <c r="E22" s="441"/>
      <c r="F22" s="441"/>
      <c r="G22" s="441"/>
      <c r="H22" s="368"/>
      <c r="I22" s="368"/>
      <c r="J22" s="368"/>
      <c r="K22" s="441"/>
      <c r="L22" s="444"/>
      <c r="M22" s="441"/>
      <c r="N22" s="329"/>
      <c r="O22" s="327"/>
    </row>
    <row r="23" spans="1:17" ht="15.5" hidden="1">
      <c r="A23" s="445">
        <v>11</v>
      </c>
      <c r="B23" s="428" t="s">
        <v>242</v>
      </c>
      <c r="C23" s="370"/>
      <c r="D23" s="412" t="s">
        <v>243</v>
      </c>
      <c r="E23" s="446"/>
      <c r="F23" s="434"/>
      <c r="G23" s="370"/>
      <c r="H23" s="434">
        <v>15818491</v>
      </c>
      <c r="I23" s="370"/>
      <c r="J23" s="434">
        <v>15818491</v>
      </c>
      <c r="K23" s="370"/>
      <c r="L23" s="447"/>
      <c r="M23" s="371"/>
      <c r="N23" s="331"/>
      <c r="O23" s="327"/>
    </row>
    <row r="24" spans="1:17" ht="15.5" hidden="1">
      <c r="A24" s="430">
        <v>12</v>
      </c>
      <c r="B24" s="428" t="s">
        <v>244</v>
      </c>
      <c r="C24" s="374"/>
      <c r="D24" s="416" t="s">
        <v>46</v>
      </c>
      <c r="E24" s="432"/>
      <c r="F24" s="434">
        <v>3009022</v>
      </c>
      <c r="G24" s="448" t="s">
        <v>245</v>
      </c>
      <c r="H24" s="434">
        <f>401757+11528</f>
        <v>413285</v>
      </c>
      <c r="I24" s="448"/>
      <c r="J24" s="434">
        <f>401757+11528</f>
        <v>413285</v>
      </c>
      <c r="K24" s="448"/>
      <c r="L24" s="449"/>
      <c r="M24" s="414"/>
      <c r="N24" s="325"/>
      <c r="O24" s="327"/>
    </row>
    <row r="25" spans="1:17" ht="15.5" hidden="1">
      <c r="A25" s="430">
        <v>13</v>
      </c>
      <c r="B25" s="428" t="s">
        <v>196</v>
      </c>
      <c r="C25" s="374"/>
      <c r="D25" s="416" t="s">
        <v>82</v>
      </c>
      <c r="E25" s="432">
        <v>154</v>
      </c>
      <c r="F25" s="434">
        <v>311562989</v>
      </c>
      <c r="G25" s="432"/>
      <c r="H25" s="434">
        <v>11104730</v>
      </c>
      <c r="I25" s="450"/>
      <c r="J25" s="434">
        <f>+H25-328941+163667</f>
        <v>10939456</v>
      </c>
      <c r="K25" s="432"/>
      <c r="L25" s="435"/>
      <c r="M25" s="432"/>
      <c r="N25" s="326"/>
      <c r="O25" s="327"/>
      <c r="Q25" s="332"/>
    </row>
    <row r="26" spans="1:17" ht="15.5" hidden="1">
      <c r="A26" s="430">
        <v>29</v>
      </c>
      <c r="B26" s="428" t="s">
        <v>246</v>
      </c>
      <c r="C26" s="374"/>
      <c r="D26" s="416">
        <v>678</v>
      </c>
      <c r="E26" s="432"/>
      <c r="F26" s="434"/>
      <c r="G26" s="374"/>
      <c r="H26" s="451"/>
      <c r="I26" s="374"/>
      <c r="J26" s="451"/>
      <c r="K26" s="374"/>
      <c r="L26" s="429"/>
      <c r="M26" s="374"/>
      <c r="N26" s="325"/>
      <c r="O26" s="327"/>
    </row>
    <row r="27" spans="1:17" ht="15.5" hidden="1">
      <c r="A27" s="430"/>
      <c r="B27" s="376"/>
      <c r="C27" s="416"/>
      <c r="D27" s="374"/>
      <c r="E27" s="374"/>
      <c r="F27" s="434"/>
      <c r="G27" s="374"/>
      <c r="H27" s="434"/>
      <c r="I27" s="374"/>
      <c r="J27" s="434"/>
      <c r="K27" s="374"/>
      <c r="L27" s="429"/>
      <c r="M27" s="374"/>
      <c r="N27" s="325"/>
      <c r="O27" s="327"/>
    </row>
    <row r="28" spans="1:17" ht="15.5" hidden="1">
      <c r="A28" s="430"/>
      <c r="B28" s="376"/>
      <c r="C28" s="416"/>
      <c r="D28" s="374"/>
      <c r="E28" s="374"/>
      <c r="F28" s="434"/>
      <c r="G28" s="374"/>
      <c r="H28" s="434"/>
      <c r="I28" s="374"/>
      <c r="J28" s="434"/>
      <c r="K28" s="374"/>
      <c r="L28" s="429"/>
      <c r="M28" s="374"/>
      <c r="N28" s="325"/>
      <c r="O28" s="327"/>
    </row>
    <row r="29" spans="1:17" ht="15.5" hidden="1">
      <c r="A29" s="430">
        <v>14</v>
      </c>
      <c r="B29" s="452" t="s">
        <v>197</v>
      </c>
      <c r="C29" s="382"/>
      <c r="D29" s="453" t="s">
        <v>247</v>
      </c>
      <c r="E29" s="454">
        <v>12</v>
      </c>
      <c r="F29" s="455">
        <v>228823108</v>
      </c>
      <c r="G29" s="382"/>
      <c r="H29" s="456">
        <v>5524354</v>
      </c>
      <c r="I29" s="382"/>
      <c r="J29" s="456">
        <v>5524354</v>
      </c>
      <c r="K29" s="382"/>
      <c r="L29" s="457"/>
      <c r="M29" s="382"/>
      <c r="N29" s="328"/>
      <c r="O29" s="327"/>
    </row>
    <row r="30" spans="1:17" ht="15.5" hidden="1">
      <c r="A30" s="430">
        <v>37</v>
      </c>
      <c r="B30" s="376"/>
      <c r="C30" s="416" t="s">
        <v>248</v>
      </c>
      <c r="D30" s="374"/>
      <c r="E30" s="374"/>
      <c r="F30" s="434"/>
      <c r="G30" s="374"/>
      <c r="H30" s="434"/>
      <c r="I30" s="374"/>
      <c r="J30" s="434"/>
      <c r="K30" s="374"/>
      <c r="L30" s="458"/>
      <c r="M30" s="374"/>
      <c r="N30" s="325"/>
      <c r="O30" s="327"/>
    </row>
    <row r="31" spans="1:17" ht="15.5" hidden="1">
      <c r="A31" s="430">
        <v>38</v>
      </c>
      <c r="B31" s="376"/>
      <c r="C31" s="416" t="s">
        <v>249</v>
      </c>
      <c r="D31" s="374"/>
      <c r="E31" s="374"/>
      <c r="F31" s="434"/>
      <c r="G31" s="374"/>
      <c r="H31" s="434"/>
      <c r="I31" s="374"/>
      <c r="J31" s="434"/>
      <c r="K31" s="374"/>
      <c r="L31" s="458"/>
      <c r="M31" s="374"/>
      <c r="N31" s="325"/>
      <c r="O31" s="327"/>
    </row>
    <row r="32" spans="1:17" ht="15.5" hidden="1">
      <c r="A32" s="430">
        <v>39</v>
      </c>
      <c r="B32" s="376"/>
      <c r="C32" s="416" t="s">
        <v>250</v>
      </c>
      <c r="D32" s="374"/>
      <c r="E32" s="374"/>
      <c r="F32" s="434"/>
      <c r="G32" s="374"/>
      <c r="H32" s="434"/>
      <c r="I32" s="374"/>
      <c r="J32" s="434"/>
      <c r="K32" s="374"/>
      <c r="L32" s="458"/>
      <c r="M32" s="374"/>
      <c r="N32" s="325"/>
      <c r="O32" s="327"/>
    </row>
    <row r="33" spans="1:15" ht="15.5" hidden="1">
      <c r="A33" s="430">
        <v>40</v>
      </c>
      <c r="B33" s="376"/>
      <c r="C33" s="416" t="s">
        <v>251</v>
      </c>
      <c r="D33" s="374"/>
      <c r="E33" s="374"/>
      <c r="F33" s="434"/>
      <c r="G33" s="374"/>
      <c r="H33" s="434"/>
      <c r="I33" s="374"/>
      <c r="J33" s="434"/>
      <c r="K33" s="374"/>
      <c r="L33" s="458"/>
      <c r="M33" s="374"/>
      <c r="N33" s="325"/>
      <c r="O33" s="327"/>
    </row>
    <row r="34" spans="1:15" ht="15.5" hidden="1">
      <c r="A34" s="430">
        <v>41</v>
      </c>
      <c r="B34" s="376"/>
      <c r="C34" s="416" t="s">
        <v>252</v>
      </c>
      <c r="D34" s="374"/>
      <c r="E34" s="374"/>
      <c r="F34" s="434"/>
      <c r="G34" s="374"/>
      <c r="H34" s="434"/>
      <c r="I34" s="374"/>
      <c r="J34" s="434"/>
      <c r="K34" s="374"/>
      <c r="L34" s="458"/>
      <c r="M34" s="374"/>
      <c r="N34" s="325"/>
      <c r="O34" s="327"/>
    </row>
    <row r="35" spans="1:15" ht="15.5" hidden="1">
      <c r="A35" s="430">
        <v>42</v>
      </c>
      <c r="B35" s="376"/>
      <c r="C35" s="459" t="s">
        <v>253</v>
      </c>
      <c r="D35" s="374"/>
      <c r="E35" s="374"/>
      <c r="F35" s="434"/>
      <c r="G35" s="374"/>
      <c r="H35" s="434"/>
      <c r="I35" s="374"/>
      <c r="J35" s="434"/>
      <c r="K35" s="374"/>
      <c r="L35" s="458"/>
      <c r="M35" s="374"/>
      <c r="N35" s="325"/>
      <c r="O35" s="327"/>
    </row>
    <row r="36" spans="1:15" ht="15.5" hidden="1">
      <c r="A36" s="430">
        <v>43</v>
      </c>
      <c r="B36" s="376"/>
      <c r="C36" s="416" t="s">
        <v>254</v>
      </c>
      <c r="D36" s="374"/>
      <c r="E36" s="374"/>
      <c r="F36" s="434"/>
      <c r="G36" s="374"/>
      <c r="H36" s="434"/>
      <c r="I36" s="374"/>
      <c r="J36" s="434"/>
      <c r="K36" s="374"/>
      <c r="L36" s="458"/>
      <c r="M36" s="374"/>
      <c r="N36" s="325"/>
      <c r="O36" s="327"/>
    </row>
    <row r="37" spans="1:15" ht="15.5" hidden="1">
      <c r="A37" s="430">
        <v>44</v>
      </c>
      <c r="B37" s="376"/>
      <c r="C37" s="416" t="s">
        <v>255</v>
      </c>
      <c r="D37" s="374"/>
      <c r="E37" s="374"/>
      <c r="F37" s="434"/>
      <c r="G37" s="374"/>
      <c r="H37" s="434"/>
      <c r="I37" s="374"/>
      <c r="J37" s="434"/>
      <c r="K37" s="374"/>
      <c r="L37" s="458"/>
      <c r="M37" s="374"/>
      <c r="N37" s="325"/>
      <c r="O37" s="327"/>
    </row>
    <row r="38" spans="1:15" ht="15.5" hidden="1">
      <c r="A38" s="430">
        <v>45</v>
      </c>
      <c r="B38" s="376"/>
      <c r="C38" s="416" t="s">
        <v>256</v>
      </c>
      <c r="D38" s="374"/>
      <c r="E38" s="374"/>
      <c r="F38" s="434"/>
      <c r="G38" s="374"/>
      <c r="H38" s="434"/>
      <c r="I38" s="374"/>
      <c r="J38" s="434"/>
      <c r="K38" s="374"/>
      <c r="L38" s="458"/>
      <c r="M38" s="374"/>
      <c r="N38" s="325"/>
      <c r="O38" s="327"/>
    </row>
    <row r="39" spans="1:15" ht="15.5" hidden="1">
      <c r="A39" s="430">
        <v>46</v>
      </c>
      <c r="B39" s="376"/>
      <c r="C39" s="459" t="s">
        <v>257</v>
      </c>
      <c r="D39" s="374"/>
      <c r="E39" s="374"/>
      <c r="F39" s="434"/>
      <c r="G39" s="374"/>
      <c r="H39" s="434"/>
      <c r="I39" s="374"/>
      <c r="J39" s="434"/>
      <c r="K39" s="374"/>
      <c r="L39" s="458"/>
      <c r="M39" s="374"/>
      <c r="N39" s="325"/>
      <c r="O39" s="327"/>
    </row>
    <row r="40" spans="1:15" ht="15.5" hidden="1">
      <c r="A40" s="430">
        <v>47</v>
      </c>
      <c r="B40" s="376"/>
      <c r="C40" s="459" t="s">
        <v>258</v>
      </c>
      <c r="D40" s="374"/>
      <c r="E40" s="374"/>
      <c r="F40" s="434"/>
      <c r="G40" s="374"/>
      <c r="H40" s="434"/>
      <c r="I40" s="374"/>
      <c r="J40" s="434"/>
      <c r="K40" s="374"/>
      <c r="L40" s="458"/>
      <c r="M40" s="374"/>
      <c r="N40" s="325"/>
      <c r="O40" s="327"/>
    </row>
    <row r="41" spans="1:15" ht="15.5" hidden="1">
      <c r="A41" s="430">
        <v>48</v>
      </c>
      <c r="B41" s="376"/>
      <c r="C41" s="459" t="s">
        <v>259</v>
      </c>
      <c r="D41" s="374"/>
      <c r="E41" s="374"/>
      <c r="F41" s="434"/>
      <c r="G41" s="374"/>
      <c r="H41" s="434"/>
      <c r="I41" s="374"/>
      <c r="J41" s="434"/>
      <c r="K41" s="374"/>
      <c r="L41" s="458"/>
      <c r="M41" s="374"/>
      <c r="N41" s="325"/>
      <c r="O41" s="327"/>
    </row>
    <row r="42" spans="1:15" ht="15.5" hidden="1">
      <c r="A42" s="430">
        <v>49</v>
      </c>
      <c r="B42" s="376"/>
      <c r="C42" s="459" t="s">
        <v>260</v>
      </c>
      <c r="D42" s="374"/>
      <c r="E42" s="374"/>
      <c r="F42" s="434"/>
      <c r="G42" s="374"/>
      <c r="H42" s="434"/>
      <c r="I42" s="374"/>
      <c r="J42" s="434"/>
      <c r="K42" s="374"/>
      <c r="L42" s="458"/>
      <c r="M42" s="374"/>
      <c r="N42" s="325"/>
      <c r="O42" s="327"/>
    </row>
    <row r="43" spans="1:15" ht="15.5" hidden="1">
      <c r="A43" s="430">
        <v>50</v>
      </c>
      <c r="B43" s="384"/>
      <c r="C43" s="460" t="s">
        <v>261</v>
      </c>
      <c r="D43" s="382"/>
      <c r="E43" s="382"/>
      <c r="F43" s="455"/>
      <c r="G43" s="382"/>
      <c r="H43" s="455"/>
      <c r="I43" s="382"/>
      <c r="J43" s="455"/>
      <c r="K43" s="382"/>
      <c r="L43" s="458"/>
      <c r="M43" s="374"/>
      <c r="N43" s="325"/>
      <c r="O43" s="327"/>
    </row>
    <row r="44" spans="1:15" ht="15.5" hidden="1">
      <c r="A44" s="430">
        <v>15</v>
      </c>
      <c r="B44" s="461" t="s">
        <v>262</v>
      </c>
      <c r="C44" s="382"/>
      <c r="D44" s="382"/>
      <c r="E44" s="437">
        <f>SUM(E24:E43)</f>
        <v>166</v>
      </c>
      <c r="F44" s="455">
        <f>SUM(F25:F29)</f>
        <v>540386097</v>
      </c>
      <c r="G44" s="382"/>
      <c r="H44" s="455">
        <f>SUM(H23:H29)</f>
        <v>32860860</v>
      </c>
      <c r="I44" s="382"/>
      <c r="J44" s="455">
        <f>SUM(J23:J29)</f>
        <v>32695586</v>
      </c>
      <c r="K44" s="382"/>
      <c r="L44" s="462"/>
      <c r="M44" s="374"/>
      <c r="N44" s="325"/>
      <c r="O44" s="327"/>
    </row>
    <row r="45" spans="1:15" ht="15.5" hidden="1">
      <c r="A45" s="430">
        <v>16</v>
      </c>
      <c r="B45" s="461" t="s">
        <v>83</v>
      </c>
      <c r="C45" s="382"/>
      <c r="D45" s="382"/>
      <c r="E45" s="437">
        <f>E21+E44</f>
        <v>221067</v>
      </c>
      <c r="F45" s="455">
        <f>F21+F44</f>
        <v>799667197</v>
      </c>
      <c r="G45" s="437"/>
      <c r="H45" s="455">
        <f>H21+H44</f>
        <v>271208122.26999998</v>
      </c>
      <c r="I45" s="437"/>
      <c r="J45" s="455">
        <f>J21+J44</f>
        <v>32695586</v>
      </c>
      <c r="K45" s="437"/>
      <c r="L45" s="443"/>
      <c r="M45" s="440">
        <f>M21+M25</f>
        <v>-902918.18873148598</v>
      </c>
      <c r="N45" s="330">
        <f>M45/J45</f>
        <v>-2.7615904750307455E-2</v>
      </c>
      <c r="O45" s="327"/>
    </row>
    <row r="46" spans="1:15" ht="15.5" hidden="1">
      <c r="A46" s="387"/>
      <c r="B46" s="463" t="s">
        <v>84</v>
      </c>
      <c r="C46" s="384"/>
      <c r="D46" s="384"/>
      <c r="E46" s="455"/>
      <c r="F46" s="455"/>
      <c r="G46" s="455"/>
      <c r="H46" s="384"/>
      <c r="I46" s="384"/>
      <c r="J46" s="384"/>
      <c r="K46" s="455"/>
      <c r="L46" s="464"/>
      <c r="M46" s="455"/>
      <c r="N46" s="328"/>
      <c r="O46" s="327"/>
    </row>
    <row r="47" spans="1:15" ht="15.5" hidden="1">
      <c r="A47" s="417">
        <v>17</v>
      </c>
      <c r="B47" s="428" t="s">
        <v>263</v>
      </c>
      <c r="C47" s="376"/>
      <c r="D47" s="376"/>
      <c r="E47" s="432"/>
      <c r="F47" s="434"/>
      <c r="G47" s="432"/>
      <c r="H47" s="434">
        <v>13982379</v>
      </c>
      <c r="I47" s="374"/>
      <c r="J47" s="434">
        <v>13982379</v>
      </c>
      <c r="K47" s="432"/>
      <c r="L47" s="465"/>
      <c r="M47" s="432"/>
      <c r="N47" s="325"/>
      <c r="O47" s="327"/>
    </row>
    <row r="48" spans="1:15" ht="15.5" hidden="1">
      <c r="A48" s="430">
        <v>18</v>
      </c>
      <c r="B48" s="428" t="s">
        <v>264</v>
      </c>
      <c r="C48" s="376"/>
      <c r="D48" s="376"/>
      <c r="E48" s="432"/>
      <c r="F48" s="434"/>
      <c r="G48" s="432"/>
      <c r="H48" s="434">
        <v>4657756</v>
      </c>
      <c r="I48" s="432"/>
      <c r="J48" s="434">
        <v>4657756</v>
      </c>
      <c r="K48" s="432"/>
      <c r="L48" s="465"/>
      <c r="M48" s="432"/>
      <c r="N48" s="325"/>
      <c r="O48" s="327"/>
    </row>
    <row r="49" spans="1:15" ht="15.5" hidden="1">
      <c r="A49" s="430">
        <v>19</v>
      </c>
      <c r="B49" s="428" t="s">
        <v>265</v>
      </c>
      <c r="C49" s="376"/>
      <c r="D49" s="376"/>
      <c r="E49" s="374"/>
      <c r="F49" s="434"/>
      <c r="G49" s="432"/>
      <c r="H49" s="455">
        <v>1813828</v>
      </c>
      <c r="I49" s="432"/>
      <c r="J49" s="455">
        <v>1813828</v>
      </c>
      <c r="K49" s="432"/>
      <c r="L49" s="429"/>
      <c r="M49" s="374"/>
      <c r="N49" s="322"/>
      <c r="O49" s="327"/>
    </row>
    <row r="50" spans="1:15" ht="15.5" hidden="1">
      <c r="A50" s="430">
        <v>20</v>
      </c>
      <c r="B50" s="439" t="s">
        <v>266</v>
      </c>
      <c r="C50" s="368"/>
      <c r="D50" s="368"/>
      <c r="E50" s="440"/>
      <c r="F50" s="441">
        <f>SUM(F47:F49)</f>
        <v>0</v>
      </c>
      <c r="G50" s="440"/>
      <c r="H50" s="455">
        <f>SUM(H47:H49)</f>
        <v>20453963</v>
      </c>
      <c r="I50" s="440"/>
      <c r="J50" s="455">
        <f>SUM(J47:J49)</f>
        <v>20453963</v>
      </c>
      <c r="K50" s="440"/>
      <c r="L50" s="429"/>
      <c r="M50" s="374"/>
      <c r="N50" s="322"/>
      <c r="O50" s="327"/>
    </row>
    <row r="51" spans="1:15" ht="15.5" hidden="1">
      <c r="A51" s="430">
        <v>21</v>
      </c>
      <c r="B51" s="466" t="s">
        <v>85</v>
      </c>
      <c r="C51" s="376"/>
      <c r="D51" s="376"/>
      <c r="E51" s="374"/>
      <c r="F51" s="434"/>
      <c r="G51" s="432"/>
      <c r="H51" s="455">
        <f>H45+H50</f>
        <v>291662085.26999998</v>
      </c>
      <c r="I51" s="432"/>
      <c r="J51" s="455">
        <f>J45+J50</f>
        <v>53149549</v>
      </c>
      <c r="K51" s="432"/>
      <c r="L51" s="429"/>
      <c r="M51" s="374"/>
      <c r="N51" s="322"/>
      <c r="O51" s="327"/>
    </row>
    <row r="52" spans="1:15" ht="15.5" hidden="1">
      <c r="A52" s="430">
        <v>22</v>
      </c>
      <c r="B52" s="439" t="s">
        <v>86</v>
      </c>
      <c r="C52" s="368"/>
      <c r="D52" s="368"/>
      <c r="E52" s="388"/>
      <c r="F52" s="368"/>
      <c r="G52" s="388"/>
      <c r="H52" s="455"/>
      <c r="I52" s="388"/>
      <c r="J52" s="455"/>
      <c r="K52" s="388"/>
      <c r="L52" s="429"/>
      <c r="M52" s="374"/>
      <c r="N52" s="322"/>
      <c r="O52" s="327"/>
    </row>
    <row r="53" spans="1:15" ht="15.5" hidden="1">
      <c r="A53" s="438">
        <v>23</v>
      </c>
      <c r="B53" s="463" t="s">
        <v>87</v>
      </c>
      <c r="C53" s="384"/>
      <c r="D53" s="384"/>
      <c r="E53" s="382"/>
      <c r="F53" s="455">
        <f>F45+F50</f>
        <v>799667197</v>
      </c>
      <c r="G53" s="382"/>
      <c r="H53" s="455">
        <f>H45+H50+H52</f>
        <v>291662085.26999998</v>
      </c>
      <c r="I53" s="382"/>
      <c r="J53" s="455">
        <f>J45+J50+J52</f>
        <v>53149549</v>
      </c>
      <c r="K53" s="382"/>
      <c r="L53" s="467"/>
      <c r="M53" s="468">
        <f>M45</f>
        <v>-902918.18873148598</v>
      </c>
      <c r="N53" s="330">
        <f>M53/J53</f>
        <v>-1.698825682851017E-2</v>
      </c>
      <c r="O53" s="327"/>
    </row>
    <row r="54" spans="1:15" ht="15.5">
      <c r="A54" s="469"/>
      <c r="B54" s="463" t="s">
        <v>81</v>
      </c>
      <c r="C54" s="384"/>
      <c r="D54" s="384"/>
      <c r="E54" s="470"/>
      <c r="F54" s="470"/>
      <c r="G54" s="434"/>
      <c r="H54" s="471"/>
      <c r="I54" s="376"/>
      <c r="J54" s="434"/>
      <c r="K54" s="472"/>
      <c r="L54" s="473"/>
      <c r="M54" s="474"/>
      <c r="N54" s="327"/>
      <c r="O54" s="327"/>
    </row>
    <row r="55" spans="1:15" ht="15.5">
      <c r="A55" s="475">
        <v>7</v>
      </c>
      <c r="B55" s="476" t="s">
        <v>196</v>
      </c>
      <c r="C55" s="372"/>
      <c r="D55" s="412">
        <v>663</v>
      </c>
      <c r="E55" s="477">
        <f>+'Bills-Therms-Revs'!F44</f>
        <v>188</v>
      </c>
      <c r="F55" s="478">
        <f>+'Bills-Therms-Revs'!G44</f>
        <v>629818145</v>
      </c>
      <c r="G55" s="371"/>
      <c r="H55" s="479">
        <f>+'Bills-Therms-Revs'!I44</f>
        <v>20168203</v>
      </c>
      <c r="I55" s="376"/>
      <c r="J55" s="376"/>
      <c r="K55" s="480">
        <f>'[37]Ex-T2'!F56</f>
        <v>0</v>
      </c>
      <c r="L55" s="481">
        <f>+F55*K55</f>
        <v>0</v>
      </c>
      <c r="M55" s="482"/>
      <c r="N55" s="333"/>
      <c r="O55" s="327"/>
    </row>
    <row r="56" spans="1:15" ht="10.5" hidden="1" customHeight="1">
      <c r="A56" s="475"/>
      <c r="B56" s="476" t="s">
        <v>196</v>
      </c>
      <c r="C56" s="376"/>
      <c r="D56" s="418" t="s">
        <v>82</v>
      </c>
      <c r="E56" s="483">
        <f>+'[37]Bills-Therms-Revs'!F112</f>
        <v>0</v>
      </c>
      <c r="F56" s="484">
        <f>+'[37]Bills-Therms-Revs'!G112</f>
        <v>0</v>
      </c>
      <c r="G56" s="433"/>
      <c r="H56" s="485">
        <f>+'[37]Bills-Therms-Revs'!I112</f>
        <v>0</v>
      </c>
      <c r="I56" s="428"/>
      <c r="J56" s="434"/>
      <c r="K56" s="486">
        <f>+'[37]Ex-T2'!F55</f>
        <v>0</v>
      </c>
      <c r="L56" s="487">
        <f>F56*K56</f>
        <v>0</v>
      </c>
      <c r="M56" s="488"/>
      <c r="N56" s="334" t="e">
        <f>+L56/H56</f>
        <v>#DIV/0!</v>
      </c>
      <c r="O56" s="327"/>
    </row>
    <row r="57" spans="1:15" ht="15.5">
      <c r="A57" s="475">
        <v>8</v>
      </c>
      <c r="B57" s="476" t="s">
        <v>197</v>
      </c>
      <c r="C57" s="376"/>
      <c r="D57" s="453" t="s">
        <v>193</v>
      </c>
      <c r="E57" s="489">
        <f>+'Bills-Therms-Revs'!F45</f>
        <v>7</v>
      </c>
      <c r="F57" s="490">
        <f>+'Bills-Therms-Revs'!G45</f>
        <v>216766399</v>
      </c>
      <c r="G57" s="417"/>
      <c r="H57" s="485">
        <f>+'Bills-Therms-Revs'!I45</f>
        <v>4441400</v>
      </c>
      <c r="I57" s="376"/>
      <c r="J57" s="376"/>
      <c r="K57" s="486">
        <f>+'[37]Ex-T2'!F57</f>
        <v>0</v>
      </c>
      <c r="L57" s="487">
        <v>0</v>
      </c>
      <c r="M57" s="491"/>
      <c r="N57" s="321"/>
      <c r="O57" s="327"/>
    </row>
    <row r="58" spans="1:15" ht="15.5">
      <c r="A58" s="492">
        <v>9</v>
      </c>
      <c r="B58" s="493" t="s">
        <v>198</v>
      </c>
      <c r="C58" s="494"/>
      <c r="D58" s="495"/>
      <c r="E58" s="496">
        <f>SUM(E55:E57)</f>
        <v>195</v>
      </c>
      <c r="F58" s="497">
        <f>SUM(F55:F57)</f>
        <v>846584544</v>
      </c>
      <c r="G58" s="498"/>
      <c r="H58" s="499">
        <f>SUM(H55:H57)</f>
        <v>24609603</v>
      </c>
      <c r="I58" s="500"/>
      <c r="J58" s="500"/>
      <c r="K58" s="501"/>
      <c r="L58" s="502">
        <f>+L56+L55</f>
        <v>0</v>
      </c>
      <c r="M58" s="503"/>
      <c r="N58" s="336"/>
      <c r="O58" s="327"/>
    </row>
    <row r="59" spans="1:15" ht="15.5">
      <c r="A59" s="504"/>
      <c r="B59" s="505"/>
      <c r="C59" s="500"/>
      <c r="D59" s="500"/>
      <c r="E59" s="506"/>
      <c r="F59" s="507"/>
      <c r="G59" s="498"/>
      <c r="H59" s="506"/>
      <c r="I59" s="500"/>
      <c r="J59" s="500"/>
      <c r="K59" s="508"/>
      <c r="L59" s="509"/>
      <c r="M59" s="510"/>
      <c r="N59" s="335"/>
      <c r="O59" s="327"/>
    </row>
    <row r="60" spans="1:15" ht="15.5">
      <c r="A60" s="511">
        <v>10</v>
      </c>
      <c r="B60" s="493" t="s">
        <v>199</v>
      </c>
      <c r="C60" s="494"/>
      <c r="D60" s="494"/>
      <c r="E60" s="512">
        <f>+E58+E21</f>
        <v>221096</v>
      </c>
      <c r="F60" s="513">
        <f>+F58+F21</f>
        <v>1105865644</v>
      </c>
      <c r="G60" s="514"/>
      <c r="H60" s="515">
        <f>+H58+H21</f>
        <v>262956865.26999998</v>
      </c>
      <c r="I60" s="507"/>
      <c r="J60" s="500"/>
      <c r="K60" s="501"/>
      <c r="L60" s="502">
        <f>+L56+L53</f>
        <v>0</v>
      </c>
      <c r="M60" s="516">
        <f>+M58+M21</f>
        <v>-902918.18873148598</v>
      </c>
      <c r="N60" s="337">
        <f>+L60/H60</f>
        <v>0</v>
      </c>
      <c r="O60" s="327">
        <f t="shared" si="1"/>
        <v>-3.4337121710223606E-3</v>
      </c>
    </row>
    <row r="61" spans="1:15" ht="15.5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410"/>
      <c r="M61" s="351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FD0D-84AC-412D-8D6C-CFE16D67F116}">
  <dimension ref="A1:O36"/>
  <sheetViews>
    <sheetView zoomScaleNormal="100" workbookViewId="0">
      <selection activeCell="G15" sqref="G15"/>
    </sheetView>
  </sheetViews>
  <sheetFormatPr defaultColWidth="12" defaultRowHeight="10.5"/>
  <cols>
    <col min="1" max="1" width="7" style="338" customWidth="1"/>
    <col min="2" max="2" width="2.33203125" style="338" customWidth="1"/>
    <col min="3" max="4" width="12" style="338" customWidth="1"/>
    <col min="5" max="5" width="6.44140625" style="338" customWidth="1"/>
    <col min="6" max="6" width="5.109375" style="338" customWidth="1"/>
    <col min="7" max="7" width="12" style="338" customWidth="1"/>
    <col min="8" max="8" width="5.109375" style="338" customWidth="1"/>
    <col min="9" max="9" width="17.109375" style="338" customWidth="1"/>
    <col min="10" max="10" width="4.44140625" style="338" customWidth="1"/>
    <col min="11" max="11" width="16.109375" style="338" customWidth="1"/>
    <col min="12" max="12" width="4.77734375" style="338" customWidth="1"/>
    <col min="13" max="13" width="17.109375" style="338" customWidth="1"/>
    <col min="14" max="14" width="4.109375" style="338" customWidth="1"/>
    <col min="15" max="256" width="12" style="338"/>
    <col min="257" max="257" width="7" style="338" customWidth="1"/>
    <col min="258" max="258" width="2.33203125" style="338" customWidth="1"/>
    <col min="259" max="260" width="12" style="338" customWidth="1"/>
    <col min="261" max="261" width="6.44140625" style="338" customWidth="1"/>
    <col min="262" max="262" width="5.109375" style="338" customWidth="1"/>
    <col min="263" max="263" width="12" style="338" customWidth="1"/>
    <col min="264" max="264" width="5.109375" style="338" customWidth="1"/>
    <col min="265" max="265" width="17.109375" style="338" customWidth="1"/>
    <col min="266" max="266" width="4.44140625" style="338" customWidth="1"/>
    <col min="267" max="267" width="16.109375" style="338" customWidth="1"/>
    <col min="268" max="268" width="4.77734375" style="338" customWidth="1"/>
    <col min="269" max="269" width="17.109375" style="338" customWidth="1"/>
    <col min="270" max="270" width="4.109375" style="338" customWidth="1"/>
    <col min="271" max="512" width="12" style="338"/>
    <col min="513" max="513" width="7" style="338" customWidth="1"/>
    <col min="514" max="514" width="2.33203125" style="338" customWidth="1"/>
    <col min="515" max="516" width="12" style="338" customWidth="1"/>
    <col min="517" max="517" width="6.44140625" style="338" customWidth="1"/>
    <col min="518" max="518" width="5.109375" style="338" customWidth="1"/>
    <col min="519" max="519" width="12" style="338" customWidth="1"/>
    <col min="520" max="520" width="5.109375" style="338" customWidth="1"/>
    <col min="521" max="521" width="17.109375" style="338" customWidth="1"/>
    <col min="522" max="522" width="4.44140625" style="338" customWidth="1"/>
    <col min="523" max="523" width="16.109375" style="338" customWidth="1"/>
    <col min="524" max="524" width="4.77734375" style="338" customWidth="1"/>
    <col min="525" max="525" width="17.109375" style="338" customWidth="1"/>
    <col min="526" max="526" width="4.109375" style="338" customWidth="1"/>
    <col min="527" max="768" width="12" style="338"/>
    <col min="769" max="769" width="7" style="338" customWidth="1"/>
    <col min="770" max="770" width="2.33203125" style="338" customWidth="1"/>
    <col min="771" max="772" width="12" style="338" customWidth="1"/>
    <col min="773" max="773" width="6.44140625" style="338" customWidth="1"/>
    <col min="774" max="774" width="5.109375" style="338" customWidth="1"/>
    <col min="775" max="775" width="12" style="338" customWidth="1"/>
    <col min="776" max="776" width="5.109375" style="338" customWidth="1"/>
    <col min="777" max="777" width="17.109375" style="338" customWidth="1"/>
    <col min="778" max="778" width="4.44140625" style="338" customWidth="1"/>
    <col min="779" max="779" width="16.109375" style="338" customWidth="1"/>
    <col min="780" max="780" width="4.77734375" style="338" customWidth="1"/>
    <col min="781" max="781" width="17.109375" style="338" customWidth="1"/>
    <col min="782" max="782" width="4.109375" style="338" customWidth="1"/>
    <col min="783" max="1024" width="12" style="338"/>
    <col min="1025" max="1025" width="7" style="338" customWidth="1"/>
    <col min="1026" max="1026" width="2.33203125" style="338" customWidth="1"/>
    <col min="1027" max="1028" width="12" style="338" customWidth="1"/>
    <col min="1029" max="1029" width="6.44140625" style="338" customWidth="1"/>
    <col min="1030" max="1030" width="5.109375" style="338" customWidth="1"/>
    <col min="1031" max="1031" width="12" style="338" customWidth="1"/>
    <col min="1032" max="1032" width="5.109375" style="338" customWidth="1"/>
    <col min="1033" max="1033" width="17.109375" style="338" customWidth="1"/>
    <col min="1034" max="1034" width="4.44140625" style="338" customWidth="1"/>
    <col min="1035" max="1035" width="16.109375" style="338" customWidth="1"/>
    <col min="1036" max="1036" width="4.77734375" style="338" customWidth="1"/>
    <col min="1037" max="1037" width="17.109375" style="338" customWidth="1"/>
    <col min="1038" max="1038" width="4.109375" style="338" customWidth="1"/>
    <col min="1039" max="1280" width="12" style="338"/>
    <col min="1281" max="1281" width="7" style="338" customWidth="1"/>
    <col min="1282" max="1282" width="2.33203125" style="338" customWidth="1"/>
    <col min="1283" max="1284" width="12" style="338" customWidth="1"/>
    <col min="1285" max="1285" width="6.44140625" style="338" customWidth="1"/>
    <col min="1286" max="1286" width="5.109375" style="338" customWidth="1"/>
    <col min="1287" max="1287" width="12" style="338" customWidth="1"/>
    <col min="1288" max="1288" width="5.109375" style="338" customWidth="1"/>
    <col min="1289" max="1289" width="17.109375" style="338" customWidth="1"/>
    <col min="1290" max="1290" width="4.44140625" style="338" customWidth="1"/>
    <col min="1291" max="1291" width="16.109375" style="338" customWidth="1"/>
    <col min="1292" max="1292" width="4.77734375" style="338" customWidth="1"/>
    <col min="1293" max="1293" width="17.109375" style="338" customWidth="1"/>
    <col min="1294" max="1294" width="4.109375" style="338" customWidth="1"/>
    <col min="1295" max="1536" width="12" style="338"/>
    <col min="1537" max="1537" width="7" style="338" customWidth="1"/>
    <col min="1538" max="1538" width="2.33203125" style="338" customWidth="1"/>
    <col min="1539" max="1540" width="12" style="338" customWidth="1"/>
    <col min="1541" max="1541" width="6.44140625" style="338" customWidth="1"/>
    <col min="1542" max="1542" width="5.109375" style="338" customWidth="1"/>
    <col min="1543" max="1543" width="12" style="338" customWidth="1"/>
    <col min="1544" max="1544" width="5.109375" style="338" customWidth="1"/>
    <col min="1545" max="1545" width="17.109375" style="338" customWidth="1"/>
    <col min="1546" max="1546" width="4.44140625" style="338" customWidth="1"/>
    <col min="1547" max="1547" width="16.109375" style="338" customWidth="1"/>
    <col min="1548" max="1548" width="4.77734375" style="338" customWidth="1"/>
    <col min="1549" max="1549" width="17.109375" style="338" customWidth="1"/>
    <col min="1550" max="1550" width="4.109375" style="338" customWidth="1"/>
    <col min="1551" max="1792" width="12" style="338"/>
    <col min="1793" max="1793" width="7" style="338" customWidth="1"/>
    <col min="1794" max="1794" width="2.33203125" style="338" customWidth="1"/>
    <col min="1795" max="1796" width="12" style="338" customWidth="1"/>
    <col min="1797" max="1797" width="6.44140625" style="338" customWidth="1"/>
    <col min="1798" max="1798" width="5.109375" style="338" customWidth="1"/>
    <col min="1799" max="1799" width="12" style="338" customWidth="1"/>
    <col min="1800" max="1800" width="5.109375" style="338" customWidth="1"/>
    <col min="1801" max="1801" width="17.109375" style="338" customWidth="1"/>
    <col min="1802" max="1802" width="4.44140625" style="338" customWidth="1"/>
    <col min="1803" max="1803" width="16.109375" style="338" customWidth="1"/>
    <col min="1804" max="1804" width="4.77734375" style="338" customWidth="1"/>
    <col min="1805" max="1805" width="17.109375" style="338" customWidth="1"/>
    <col min="1806" max="1806" width="4.109375" style="338" customWidth="1"/>
    <col min="1807" max="2048" width="12" style="338"/>
    <col min="2049" max="2049" width="7" style="338" customWidth="1"/>
    <col min="2050" max="2050" width="2.33203125" style="338" customWidth="1"/>
    <col min="2051" max="2052" width="12" style="338" customWidth="1"/>
    <col min="2053" max="2053" width="6.44140625" style="338" customWidth="1"/>
    <col min="2054" max="2054" width="5.109375" style="338" customWidth="1"/>
    <col min="2055" max="2055" width="12" style="338" customWidth="1"/>
    <col min="2056" max="2056" width="5.109375" style="338" customWidth="1"/>
    <col min="2057" max="2057" width="17.109375" style="338" customWidth="1"/>
    <col min="2058" max="2058" width="4.44140625" style="338" customWidth="1"/>
    <col min="2059" max="2059" width="16.109375" style="338" customWidth="1"/>
    <col min="2060" max="2060" width="4.77734375" style="338" customWidth="1"/>
    <col min="2061" max="2061" width="17.109375" style="338" customWidth="1"/>
    <col min="2062" max="2062" width="4.109375" style="338" customWidth="1"/>
    <col min="2063" max="2304" width="12" style="338"/>
    <col min="2305" max="2305" width="7" style="338" customWidth="1"/>
    <col min="2306" max="2306" width="2.33203125" style="338" customWidth="1"/>
    <col min="2307" max="2308" width="12" style="338" customWidth="1"/>
    <col min="2309" max="2309" width="6.44140625" style="338" customWidth="1"/>
    <col min="2310" max="2310" width="5.109375" style="338" customWidth="1"/>
    <col min="2311" max="2311" width="12" style="338" customWidth="1"/>
    <col min="2312" max="2312" width="5.109375" style="338" customWidth="1"/>
    <col min="2313" max="2313" width="17.109375" style="338" customWidth="1"/>
    <col min="2314" max="2314" width="4.44140625" style="338" customWidth="1"/>
    <col min="2315" max="2315" width="16.109375" style="338" customWidth="1"/>
    <col min="2316" max="2316" width="4.77734375" style="338" customWidth="1"/>
    <col min="2317" max="2317" width="17.109375" style="338" customWidth="1"/>
    <col min="2318" max="2318" width="4.109375" style="338" customWidth="1"/>
    <col min="2319" max="2560" width="12" style="338"/>
    <col min="2561" max="2561" width="7" style="338" customWidth="1"/>
    <col min="2562" max="2562" width="2.33203125" style="338" customWidth="1"/>
    <col min="2563" max="2564" width="12" style="338" customWidth="1"/>
    <col min="2565" max="2565" width="6.44140625" style="338" customWidth="1"/>
    <col min="2566" max="2566" width="5.109375" style="338" customWidth="1"/>
    <col min="2567" max="2567" width="12" style="338" customWidth="1"/>
    <col min="2568" max="2568" width="5.109375" style="338" customWidth="1"/>
    <col min="2569" max="2569" width="17.109375" style="338" customWidth="1"/>
    <col min="2570" max="2570" width="4.44140625" style="338" customWidth="1"/>
    <col min="2571" max="2571" width="16.109375" style="338" customWidth="1"/>
    <col min="2572" max="2572" width="4.77734375" style="338" customWidth="1"/>
    <col min="2573" max="2573" width="17.109375" style="338" customWidth="1"/>
    <col min="2574" max="2574" width="4.109375" style="338" customWidth="1"/>
    <col min="2575" max="2816" width="12" style="338"/>
    <col min="2817" max="2817" width="7" style="338" customWidth="1"/>
    <col min="2818" max="2818" width="2.33203125" style="338" customWidth="1"/>
    <col min="2819" max="2820" width="12" style="338" customWidth="1"/>
    <col min="2821" max="2821" width="6.44140625" style="338" customWidth="1"/>
    <col min="2822" max="2822" width="5.109375" style="338" customWidth="1"/>
    <col min="2823" max="2823" width="12" style="338" customWidth="1"/>
    <col min="2824" max="2824" width="5.109375" style="338" customWidth="1"/>
    <col min="2825" max="2825" width="17.109375" style="338" customWidth="1"/>
    <col min="2826" max="2826" width="4.44140625" style="338" customWidth="1"/>
    <col min="2827" max="2827" width="16.109375" style="338" customWidth="1"/>
    <col min="2828" max="2828" width="4.77734375" style="338" customWidth="1"/>
    <col min="2829" max="2829" width="17.109375" style="338" customWidth="1"/>
    <col min="2830" max="2830" width="4.109375" style="338" customWidth="1"/>
    <col min="2831" max="3072" width="12" style="338"/>
    <col min="3073" max="3073" width="7" style="338" customWidth="1"/>
    <col min="3074" max="3074" width="2.33203125" style="338" customWidth="1"/>
    <col min="3075" max="3076" width="12" style="338" customWidth="1"/>
    <col min="3077" max="3077" width="6.44140625" style="338" customWidth="1"/>
    <col min="3078" max="3078" width="5.109375" style="338" customWidth="1"/>
    <col min="3079" max="3079" width="12" style="338" customWidth="1"/>
    <col min="3080" max="3080" width="5.109375" style="338" customWidth="1"/>
    <col min="3081" max="3081" width="17.109375" style="338" customWidth="1"/>
    <col min="3082" max="3082" width="4.44140625" style="338" customWidth="1"/>
    <col min="3083" max="3083" width="16.109375" style="338" customWidth="1"/>
    <col min="3084" max="3084" width="4.77734375" style="338" customWidth="1"/>
    <col min="3085" max="3085" width="17.109375" style="338" customWidth="1"/>
    <col min="3086" max="3086" width="4.109375" style="338" customWidth="1"/>
    <col min="3087" max="3328" width="12" style="338"/>
    <col min="3329" max="3329" width="7" style="338" customWidth="1"/>
    <col min="3330" max="3330" width="2.33203125" style="338" customWidth="1"/>
    <col min="3331" max="3332" width="12" style="338" customWidth="1"/>
    <col min="3333" max="3333" width="6.44140625" style="338" customWidth="1"/>
    <col min="3334" max="3334" width="5.109375" style="338" customWidth="1"/>
    <col min="3335" max="3335" width="12" style="338" customWidth="1"/>
    <col min="3336" max="3336" width="5.109375" style="338" customWidth="1"/>
    <col min="3337" max="3337" width="17.109375" style="338" customWidth="1"/>
    <col min="3338" max="3338" width="4.44140625" style="338" customWidth="1"/>
    <col min="3339" max="3339" width="16.109375" style="338" customWidth="1"/>
    <col min="3340" max="3340" width="4.77734375" style="338" customWidth="1"/>
    <col min="3341" max="3341" width="17.109375" style="338" customWidth="1"/>
    <col min="3342" max="3342" width="4.109375" style="338" customWidth="1"/>
    <col min="3343" max="3584" width="12" style="338"/>
    <col min="3585" max="3585" width="7" style="338" customWidth="1"/>
    <col min="3586" max="3586" width="2.33203125" style="338" customWidth="1"/>
    <col min="3587" max="3588" width="12" style="338" customWidth="1"/>
    <col min="3589" max="3589" width="6.44140625" style="338" customWidth="1"/>
    <col min="3590" max="3590" width="5.109375" style="338" customWidth="1"/>
    <col min="3591" max="3591" width="12" style="338" customWidth="1"/>
    <col min="3592" max="3592" width="5.109375" style="338" customWidth="1"/>
    <col min="3593" max="3593" width="17.109375" style="338" customWidth="1"/>
    <col min="3594" max="3594" width="4.44140625" style="338" customWidth="1"/>
    <col min="3595" max="3595" width="16.109375" style="338" customWidth="1"/>
    <col min="3596" max="3596" width="4.77734375" style="338" customWidth="1"/>
    <col min="3597" max="3597" width="17.109375" style="338" customWidth="1"/>
    <col min="3598" max="3598" width="4.109375" style="338" customWidth="1"/>
    <col min="3599" max="3840" width="12" style="338"/>
    <col min="3841" max="3841" width="7" style="338" customWidth="1"/>
    <col min="3842" max="3842" width="2.33203125" style="338" customWidth="1"/>
    <col min="3843" max="3844" width="12" style="338" customWidth="1"/>
    <col min="3845" max="3845" width="6.44140625" style="338" customWidth="1"/>
    <col min="3846" max="3846" width="5.109375" style="338" customWidth="1"/>
    <col min="3847" max="3847" width="12" style="338" customWidth="1"/>
    <col min="3848" max="3848" width="5.109375" style="338" customWidth="1"/>
    <col min="3849" max="3849" width="17.109375" style="338" customWidth="1"/>
    <col min="3850" max="3850" width="4.44140625" style="338" customWidth="1"/>
    <col min="3851" max="3851" width="16.109375" style="338" customWidth="1"/>
    <col min="3852" max="3852" width="4.77734375" style="338" customWidth="1"/>
    <col min="3853" max="3853" width="17.109375" style="338" customWidth="1"/>
    <col min="3854" max="3854" width="4.109375" style="338" customWidth="1"/>
    <col min="3855" max="4096" width="12" style="338"/>
    <col min="4097" max="4097" width="7" style="338" customWidth="1"/>
    <col min="4098" max="4098" width="2.33203125" style="338" customWidth="1"/>
    <col min="4099" max="4100" width="12" style="338" customWidth="1"/>
    <col min="4101" max="4101" width="6.44140625" style="338" customWidth="1"/>
    <col min="4102" max="4102" width="5.109375" style="338" customWidth="1"/>
    <col min="4103" max="4103" width="12" style="338" customWidth="1"/>
    <col min="4104" max="4104" width="5.109375" style="338" customWidth="1"/>
    <col min="4105" max="4105" width="17.109375" style="338" customWidth="1"/>
    <col min="4106" max="4106" width="4.44140625" style="338" customWidth="1"/>
    <col min="4107" max="4107" width="16.109375" style="338" customWidth="1"/>
    <col min="4108" max="4108" width="4.77734375" style="338" customWidth="1"/>
    <col min="4109" max="4109" width="17.109375" style="338" customWidth="1"/>
    <col min="4110" max="4110" width="4.109375" style="338" customWidth="1"/>
    <col min="4111" max="4352" width="12" style="338"/>
    <col min="4353" max="4353" width="7" style="338" customWidth="1"/>
    <col min="4354" max="4354" width="2.33203125" style="338" customWidth="1"/>
    <col min="4355" max="4356" width="12" style="338" customWidth="1"/>
    <col min="4357" max="4357" width="6.44140625" style="338" customWidth="1"/>
    <col min="4358" max="4358" width="5.109375" style="338" customWidth="1"/>
    <col min="4359" max="4359" width="12" style="338" customWidth="1"/>
    <col min="4360" max="4360" width="5.109375" style="338" customWidth="1"/>
    <col min="4361" max="4361" width="17.109375" style="338" customWidth="1"/>
    <col min="4362" max="4362" width="4.44140625" style="338" customWidth="1"/>
    <col min="4363" max="4363" width="16.109375" style="338" customWidth="1"/>
    <col min="4364" max="4364" width="4.77734375" style="338" customWidth="1"/>
    <col min="4365" max="4365" width="17.109375" style="338" customWidth="1"/>
    <col min="4366" max="4366" width="4.109375" style="338" customWidth="1"/>
    <col min="4367" max="4608" width="12" style="338"/>
    <col min="4609" max="4609" width="7" style="338" customWidth="1"/>
    <col min="4610" max="4610" width="2.33203125" style="338" customWidth="1"/>
    <col min="4611" max="4612" width="12" style="338" customWidth="1"/>
    <col min="4613" max="4613" width="6.44140625" style="338" customWidth="1"/>
    <col min="4614" max="4614" width="5.109375" style="338" customWidth="1"/>
    <col min="4615" max="4615" width="12" style="338" customWidth="1"/>
    <col min="4616" max="4616" width="5.109375" style="338" customWidth="1"/>
    <col min="4617" max="4617" width="17.109375" style="338" customWidth="1"/>
    <col min="4618" max="4618" width="4.44140625" style="338" customWidth="1"/>
    <col min="4619" max="4619" width="16.109375" style="338" customWidth="1"/>
    <col min="4620" max="4620" width="4.77734375" style="338" customWidth="1"/>
    <col min="4621" max="4621" width="17.109375" style="338" customWidth="1"/>
    <col min="4622" max="4622" width="4.109375" style="338" customWidth="1"/>
    <col min="4623" max="4864" width="12" style="338"/>
    <col min="4865" max="4865" width="7" style="338" customWidth="1"/>
    <col min="4866" max="4866" width="2.33203125" style="338" customWidth="1"/>
    <col min="4867" max="4868" width="12" style="338" customWidth="1"/>
    <col min="4869" max="4869" width="6.44140625" style="338" customWidth="1"/>
    <col min="4870" max="4870" width="5.109375" style="338" customWidth="1"/>
    <col min="4871" max="4871" width="12" style="338" customWidth="1"/>
    <col min="4872" max="4872" width="5.109375" style="338" customWidth="1"/>
    <col min="4873" max="4873" width="17.109375" style="338" customWidth="1"/>
    <col min="4874" max="4874" width="4.44140625" style="338" customWidth="1"/>
    <col min="4875" max="4875" width="16.109375" style="338" customWidth="1"/>
    <col min="4876" max="4876" width="4.77734375" style="338" customWidth="1"/>
    <col min="4877" max="4877" width="17.109375" style="338" customWidth="1"/>
    <col min="4878" max="4878" width="4.109375" style="338" customWidth="1"/>
    <col min="4879" max="5120" width="12" style="338"/>
    <col min="5121" max="5121" width="7" style="338" customWidth="1"/>
    <col min="5122" max="5122" width="2.33203125" style="338" customWidth="1"/>
    <col min="5123" max="5124" width="12" style="338" customWidth="1"/>
    <col min="5125" max="5125" width="6.44140625" style="338" customWidth="1"/>
    <col min="5126" max="5126" width="5.109375" style="338" customWidth="1"/>
    <col min="5127" max="5127" width="12" style="338" customWidth="1"/>
    <col min="5128" max="5128" width="5.109375" style="338" customWidth="1"/>
    <col min="5129" max="5129" width="17.109375" style="338" customWidth="1"/>
    <col min="5130" max="5130" width="4.44140625" style="338" customWidth="1"/>
    <col min="5131" max="5131" width="16.109375" style="338" customWidth="1"/>
    <col min="5132" max="5132" width="4.77734375" style="338" customWidth="1"/>
    <col min="5133" max="5133" width="17.109375" style="338" customWidth="1"/>
    <col min="5134" max="5134" width="4.109375" style="338" customWidth="1"/>
    <col min="5135" max="5376" width="12" style="338"/>
    <col min="5377" max="5377" width="7" style="338" customWidth="1"/>
    <col min="5378" max="5378" width="2.33203125" style="338" customWidth="1"/>
    <col min="5379" max="5380" width="12" style="338" customWidth="1"/>
    <col min="5381" max="5381" width="6.44140625" style="338" customWidth="1"/>
    <col min="5382" max="5382" width="5.109375" style="338" customWidth="1"/>
    <col min="5383" max="5383" width="12" style="338" customWidth="1"/>
    <col min="5384" max="5384" width="5.109375" style="338" customWidth="1"/>
    <col min="5385" max="5385" width="17.109375" style="338" customWidth="1"/>
    <col min="5386" max="5386" width="4.44140625" style="338" customWidth="1"/>
    <col min="5387" max="5387" width="16.109375" style="338" customWidth="1"/>
    <col min="5388" max="5388" width="4.77734375" style="338" customWidth="1"/>
    <col min="5389" max="5389" width="17.109375" style="338" customWidth="1"/>
    <col min="5390" max="5390" width="4.109375" style="338" customWidth="1"/>
    <col min="5391" max="5632" width="12" style="338"/>
    <col min="5633" max="5633" width="7" style="338" customWidth="1"/>
    <col min="5634" max="5634" width="2.33203125" style="338" customWidth="1"/>
    <col min="5635" max="5636" width="12" style="338" customWidth="1"/>
    <col min="5637" max="5637" width="6.44140625" style="338" customWidth="1"/>
    <col min="5638" max="5638" width="5.109375" style="338" customWidth="1"/>
    <col min="5639" max="5639" width="12" style="338" customWidth="1"/>
    <col min="5640" max="5640" width="5.109375" style="338" customWidth="1"/>
    <col min="5641" max="5641" width="17.109375" style="338" customWidth="1"/>
    <col min="5642" max="5642" width="4.44140625" style="338" customWidth="1"/>
    <col min="5643" max="5643" width="16.109375" style="338" customWidth="1"/>
    <col min="5644" max="5644" width="4.77734375" style="338" customWidth="1"/>
    <col min="5645" max="5645" width="17.109375" style="338" customWidth="1"/>
    <col min="5646" max="5646" width="4.109375" style="338" customWidth="1"/>
    <col min="5647" max="5888" width="12" style="338"/>
    <col min="5889" max="5889" width="7" style="338" customWidth="1"/>
    <col min="5890" max="5890" width="2.33203125" style="338" customWidth="1"/>
    <col min="5891" max="5892" width="12" style="338" customWidth="1"/>
    <col min="5893" max="5893" width="6.44140625" style="338" customWidth="1"/>
    <col min="5894" max="5894" width="5.109375" style="338" customWidth="1"/>
    <col min="5895" max="5895" width="12" style="338" customWidth="1"/>
    <col min="5896" max="5896" width="5.109375" style="338" customWidth="1"/>
    <col min="5897" max="5897" width="17.109375" style="338" customWidth="1"/>
    <col min="5898" max="5898" width="4.44140625" style="338" customWidth="1"/>
    <col min="5899" max="5899" width="16.109375" style="338" customWidth="1"/>
    <col min="5900" max="5900" width="4.77734375" style="338" customWidth="1"/>
    <col min="5901" max="5901" width="17.109375" style="338" customWidth="1"/>
    <col min="5902" max="5902" width="4.109375" style="338" customWidth="1"/>
    <col min="5903" max="6144" width="12" style="338"/>
    <col min="6145" max="6145" width="7" style="338" customWidth="1"/>
    <col min="6146" max="6146" width="2.33203125" style="338" customWidth="1"/>
    <col min="6147" max="6148" width="12" style="338" customWidth="1"/>
    <col min="6149" max="6149" width="6.44140625" style="338" customWidth="1"/>
    <col min="6150" max="6150" width="5.109375" style="338" customWidth="1"/>
    <col min="6151" max="6151" width="12" style="338" customWidth="1"/>
    <col min="6152" max="6152" width="5.109375" style="338" customWidth="1"/>
    <col min="6153" max="6153" width="17.109375" style="338" customWidth="1"/>
    <col min="6154" max="6154" width="4.44140625" style="338" customWidth="1"/>
    <col min="6155" max="6155" width="16.109375" style="338" customWidth="1"/>
    <col min="6156" max="6156" width="4.77734375" style="338" customWidth="1"/>
    <col min="6157" max="6157" width="17.109375" style="338" customWidth="1"/>
    <col min="6158" max="6158" width="4.109375" style="338" customWidth="1"/>
    <col min="6159" max="6400" width="12" style="338"/>
    <col min="6401" max="6401" width="7" style="338" customWidth="1"/>
    <col min="6402" max="6402" width="2.33203125" style="338" customWidth="1"/>
    <col min="6403" max="6404" width="12" style="338" customWidth="1"/>
    <col min="6405" max="6405" width="6.44140625" style="338" customWidth="1"/>
    <col min="6406" max="6406" width="5.109375" style="338" customWidth="1"/>
    <col min="6407" max="6407" width="12" style="338" customWidth="1"/>
    <col min="6408" max="6408" width="5.109375" style="338" customWidth="1"/>
    <col min="6409" max="6409" width="17.109375" style="338" customWidth="1"/>
    <col min="6410" max="6410" width="4.44140625" style="338" customWidth="1"/>
    <col min="6411" max="6411" width="16.109375" style="338" customWidth="1"/>
    <col min="6412" max="6412" width="4.77734375" style="338" customWidth="1"/>
    <col min="6413" max="6413" width="17.109375" style="338" customWidth="1"/>
    <col min="6414" max="6414" width="4.109375" style="338" customWidth="1"/>
    <col min="6415" max="6656" width="12" style="338"/>
    <col min="6657" max="6657" width="7" style="338" customWidth="1"/>
    <col min="6658" max="6658" width="2.33203125" style="338" customWidth="1"/>
    <col min="6659" max="6660" width="12" style="338" customWidth="1"/>
    <col min="6661" max="6661" width="6.44140625" style="338" customWidth="1"/>
    <col min="6662" max="6662" width="5.109375" style="338" customWidth="1"/>
    <col min="6663" max="6663" width="12" style="338" customWidth="1"/>
    <col min="6664" max="6664" width="5.109375" style="338" customWidth="1"/>
    <col min="6665" max="6665" width="17.109375" style="338" customWidth="1"/>
    <col min="6666" max="6666" width="4.44140625" style="338" customWidth="1"/>
    <col min="6667" max="6667" width="16.109375" style="338" customWidth="1"/>
    <col min="6668" max="6668" width="4.77734375" style="338" customWidth="1"/>
    <col min="6669" max="6669" width="17.109375" style="338" customWidth="1"/>
    <col min="6670" max="6670" width="4.109375" style="338" customWidth="1"/>
    <col min="6671" max="6912" width="12" style="338"/>
    <col min="6913" max="6913" width="7" style="338" customWidth="1"/>
    <col min="6914" max="6914" width="2.33203125" style="338" customWidth="1"/>
    <col min="6915" max="6916" width="12" style="338" customWidth="1"/>
    <col min="6917" max="6917" width="6.44140625" style="338" customWidth="1"/>
    <col min="6918" max="6918" width="5.109375" style="338" customWidth="1"/>
    <col min="6919" max="6919" width="12" style="338" customWidth="1"/>
    <col min="6920" max="6920" width="5.109375" style="338" customWidth="1"/>
    <col min="6921" max="6921" width="17.109375" style="338" customWidth="1"/>
    <col min="6922" max="6922" width="4.44140625" style="338" customWidth="1"/>
    <col min="6923" max="6923" width="16.109375" style="338" customWidth="1"/>
    <col min="6924" max="6924" width="4.77734375" style="338" customWidth="1"/>
    <col min="6925" max="6925" width="17.109375" style="338" customWidth="1"/>
    <col min="6926" max="6926" width="4.109375" style="338" customWidth="1"/>
    <col min="6927" max="7168" width="12" style="338"/>
    <col min="7169" max="7169" width="7" style="338" customWidth="1"/>
    <col min="7170" max="7170" width="2.33203125" style="338" customWidth="1"/>
    <col min="7171" max="7172" width="12" style="338" customWidth="1"/>
    <col min="7173" max="7173" width="6.44140625" style="338" customWidth="1"/>
    <col min="7174" max="7174" width="5.109375" style="338" customWidth="1"/>
    <col min="7175" max="7175" width="12" style="338" customWidth="1"/>
    <col min="7176" max="7176" width="5.109375" style="338" customWidth="1"/>
    <col min="7177" max="7177" width="17.109375" style="338" customWidth="1"/>
    <col min="7178" max="7178" width="4.44140625" style="338" customWidth="1"/>
    <col min="7179" max="7179" width="16.109375" style="338" customWidth="1"/>
    <col min="7180" max="7180" width="4.77734375" style="338" customWidth="1"/>
    <col min="7181" max="7181" width="17.109375" style="338" customWidth="1"/>
    <col min="7182" max="7182" width="4.109375" style="338" customWidth="1"/>
    <col min="7183" max="7424" width="12" style="338"/>
    <col min="7425" max="7425" width="7" style="338" customWidth="1"/>
    <col min="7426" max="7426" width="2.33203125" style="338" customWidth="1"/>
    <col min="7427" max="7428" width="12" style="338" customWidth="1"/>
    <col min="7429" max="7429" width="6.44140625" style="338" customWidth="1"/>
    <col min="7430" max="7430" width="5.109375" style="338" customWidth="1"/>
    <col min="7431" max="7431" width="12" style="338" customWidth="1"/>
    <col min="7432" max="7432" width="5.109375" style="338" customWidth="1"/>
    <col min="7433" max="7433" width="17.109375" style="338" customWidth="1"/>
    <col min="7434" max="7434" width="4.44140625" style="338" customWidth="1"/>
    <col min="7435" max="7435" width="16.109375" style="338" customWidth="1"/>
    <col min="7436" max="7436" width="4.77734375" style="338" customWidth="1"/>
    <col min="7437" max="7437" width="17.109375" style="338" customWidth="1"/>
    <col min="7438" max="7438" width="4.109375" style="338" customWidth="1"/>
    <col min="7439" max="7680" width="12" style="338"/>
    <col min="7681" max="7681" width="7" style="338" customWidth="1"/>
    <col min="7682" max="7682" width="2.33203125" style="338" customWidth="1"/>
    <col min="7683" max="7684" width="12" style="338" customWidth="1"/>
    <col min="7685" max="7685" width="6.44140625" style="338" customWidth="1"/>
    <col min="7686" max="7686" width="5.109375" style="338" customWidth="1"/>
    <col min="7687" max="7687" width="12" style="338" customWidth="1"/>
    <col min="7688" max="7688" width="5.109375" style="338" customWidth="1"/>
    <col min="7689" max="7689" width="17.109375" style="338" customWidth="1"/>
    <col min="7690" max="7690" width="4.44140625" style="338" customWidth="1"/>
    <col min="7691" max="7691" width="16.109375" style="338" customWidth="1"/>
    <col min="7692" max="7692" width="4.77734375" style="338" customWidth="1"/>
    <col min="7693" max="7693" width="17.109375" style="338" customWidth="1"/>
    <col min="7694" max="7694" width="4.109375" style="338" customWidth="1"/>
    <col min="7695" max="7936" width="12" style="338"/>
    <col min="7937" max="7937" width="7" style="338" customWidth="1"/>
    <col min="7938" max="7938" width="2.33203125" style="338" customWidth="1"/>
    <col min="7939" max="7940" width="12" style="338" customWidth="1"/>
    <col min="7941" max="7941" width="6.44140625" style="338" customWidth="1"/>
    <col min="7942" max="7942" width="5.109375" style="338" customWidth="1"/>
    <col min="7943" max="7943" width="12" style="338" customWidth="1"/>
    <col min="7944" max="7944" width="5.109375" style="338" customWidth="1"/>
    <col min="7945" max="7945" width="17.109375" style="338" customWidth="1"/>
    <col min="7946" max="7946" width="4.44140625" style="338" customWidth="1"/>
    <col min="7947" max="7947" width="16.109375" style="338" customWidth="1"/>
    <col min="7948" max="7948" width="4.77734375" style="338" customWidth="1"/>
    <col min="7949" max="7949" width="17.109375" style="338" customWidth="1"/>
    <col min="7950" max="7950" width="4.109375" style="338" customWidth="1"/>
    <col min="7951" max="8192" width="12" style="338"/>
    <col min="8193" max="8193" width="7" style="338" customWidth="1"/>
    <col min="8194" max="8194" width="2.33203125" style="338" customWidth="1"/>
    <col min="8195" max="8196" width="12" style="338" customWidth="1"/>
    <col min="8197" max="8197" width="6.44140625" style="338" customWidth="1"/>
    <col min="8198" max="8198" width="5.109375" style="338" customWidth="1"/>
    <col min="8199" max="8199" width="12" style="338" customWidth="1"/>
    <col min="8200" max="8200" width="5.109375" style="338" customWidth="1"/>
    <col min="8201" max="8201" width="17.109375" style="338" customWidth="1"/>
    <col min="8202" max="8202" width="4.44140625" style="338" customWidth="1"/>
    <col min="8203" max="8203" width="16.109375" style="338" customWidth="1"/>
    <col min="8204" max="8204" width="4.77734375" style="338" customWidth="1"/>
    <col min="8205" max="8205" width="17.109375" style="338" customWidth="1"/>
    <col min="8206" max="8206" width="4.109375" style="338" customWidth="1"/>
    <col min="8207" max="8448" width="12" style="338"/>
    <col min="8449" max="8449" width="7" style="338" customWidth="1"/>
    <col min="8450" max="8450" width="2.33203125" style="338" customWidth="1"/>
    <col min="8451" max="8452" width="12" style="338" customWidth="1"/>
    <col min="8453" max="8453" width="6.44140625" style="338" customWidth="1"/>
    <col min="8454" max="8454" width="5.109375" style="338" customWidth="1"/>
    <col min="8455" max="8455" width="12" style="338" customWidth="1"/>
    <col min="8456" max="8456" width="5.109375" style="338" customWidth="1"/>
    <col min="8457" max="8457" width="17.109375" style="338" customWidth="1"/>
    <col min="8458" max="8458" width="4.44140625" style="338" customWidth="1"/>
    <col min="8459" max="8459" width="16.109375" style="338" customWidth="1"/>
    <col min="8460" max="8460" width="4.77734375" style="338" customWidth="1"/>
    <col min="8461" max="8461" width="17.109375" style="338" customWidth="1"/>
    <col min="8462" max="8462" width="4.109375" style="338" customWidth="1"/>
    <col min="8463" max="8704" width="12" style="338"/>
    <col min="8705" max="8705" width="7" style="338" customWidth="1"/>
    <col min="8706" max="8706" width="2.33203125" style="338" customWidth="1"/>
    <col min="8707" max="8708" width="12" style="338" customWidth="1"/>
    <col min="8709" max="8709" width="6.44140625" style="338" customWidth="1"/>
    <col min="8710" max="8710" width="5.109375" style="338" customWidth="1"/>
    <col min="8711" max="8711" width="12" style="338" customWidth="1"/>
    <col min="8712" max="8712" width="5.109375" style="338" customWidth="1"/>
    <col min="8713" max="8713" width="17.109375" style="338" customWidth="1"/>
    <col min="8714" max="8714" width="4.44140625" style="338" customWidth="1"/>
    <col min="8715" max="8715" width="16.109375" style="338" customWidth="1"/>
    <col min="8716" max="8716" width="4.77734375" style="338" customWidth="1"/>
    <col min="8717" max="8717" width="17.109375" style="338" customWidth="1"/>
    <col min="8718" max="8718" width="4.109375" style="338" customWidth="1"/>
    <col min="8719" max="8960" width="12" style="338"/>
    <col min="8961" max="8961" width="7" style="338" customWidth="1"/>
    <col min="8962" max="8962" width="2.33203125" style="338" customWidth="1"/>
    <col min="8963" max="8964" width="12" style="338" customWidth="1"/>
    <col min="8965" max="8965" width="6.44140625" style="338" customWidth="1"/>
    <col min="8966" max="8966" width="5.109375" style="338" customWidth="1"/>
    <col min="8967" max="8967" width="12" style="338" customWidth="1"/>
    <col min="8968" max="8968" width="5.109375" style="338" customWidth="1"/>
    <col min="8969" max="8969" width="17.109375" style="338" customWidth="1"/>
    <col min="8970" max="8970" width="4.44140625" style="338" customWidth="1"/>
    <col min="8971" max="8971" width="16.109375" style="338" customWidth="1"/>
    <col min="8972" max="8972" width="4.77734375" style="338" customWidth="1"/>
    <col min="8973" max="8973" width="17.109375" style="338" customWidth="1"/>
    <col min="8974" max="8974" width="4.109375" style="338" customWidth="1"/>
    <col min="8975" max="9216" width="12" style="338"/>
    <col min="9217" max="9217" width="7" style="338" customWidth="1"/>
    <col min="9218" max="9218" width="2.33203125" style="338" customWidth="1"/>
    <col min="9219" max="9220" width="12" style="338" customWidth="1"/>
    <col min="9221" max="9221" width="6.44140625" style="338" customWidth="1"/>
    <col min="9222" max="9222" width="5.109375" style="338" customWidth="1"/>
    <col min="9223" max="9223" width="12" style="338" customWidth="1"/>
    <col min="9224" max="9224" width="5.109375" style="338" customWidth="1"/>
    <col min="9225" max="9225" width="17.109375" style="338" customWidth="1"/>
    <col min="9226" max="9226" width="4.44140625" style="338" customWidth="1"/>
    <col min="9227" max="9227" width="16.109375" style="338" customWidth="1"/>
    <col min="9228" max="9228" width="4.77734375" style="338" customWidth="1"/>
    <col min="9229" max="9229" width="17.109375" style="338" customWidth="1"/>
    <col min="9230" max="9230" width="4.109375" style="338" customWidth="1"/>
    <col min="9231" max="9472" width="12" style="338"/>
    <col min="9473" max="9473" width="7" style="338" customWidth="1"/>
    <col min="9474" max="9474" width="2.33203125" style="338" customWidth="1"/>
    <col min="9475" max="9476" width="12" style="338" customWidth="1"/>
    <col min="9477" max="9477" width="6.44140625" style="338" customWidth="1"/>
    <col min="9478" max="9478" width="5.109375" style="338" customWidth="1"/>
    <col min="9479" max="9479" width="12" style="338" customWidth="1"/>
    <col min="9480" max="9480" width="5.109375" style="338" customWidth="1"/>
    <col min="9481" max="9481" width="17.109375" style="338" customWidth="1"/>
    <col min="9482" max="9482" width="4.44140625" style="338" customWidth="1"/>
    <col min="9483" max="9483" width="16.109375" style="338" customWidth="1"/>
    <col min="9484" max="9484" width="4.77734375" style="338" customWidth="1"/>
    <col min="9485" max="9485" width="17.109375" style="338" customWidth="1"/>
    <col min="9486" max="9486" width="4.109375" style="338" customWidth="1"/>
    <col min="9487" max="9728" width="12" style="338"/>
    <col min="9729" max="9729" width="7" style="338" customWidth="1"/>
    <col min="9730" max="9730" width="2.33203125" style="338" customWidth="1"/>
    <col min="9731" max="9732" width="12" style="338" customWidth="1"/>
    <col min="9733" max="9733" width="6.44140625" style="338" customWidth="1"/>
    <col min="9734" max="9734" width="5.109375" style="338" customWidth="1"/>
    <col min="9735" max="9735" width="12" style="338" customWidth="1"/>
    <col min="9736" max="9736" width="5.109375" style="338" customWidth="1"/>
    <col min="9737" max="9737" width="17.109375" style="338" customWidth="1"/>
    <col min="9738" max="9738" width="4.44140625" style="338" customWidth="1"/>
    <col min="9739" max="9739" width="16.109375" style="338" customWidth="1"/>
    <col min="9740" max="9740" width="4.77734375" style="338" customWidth="1"/>
    <col min="9741" max="9741" width="17.109375" style="338" customWidth="1"/>
    <col min="9742" max="9742" width="4.109375" style="338" customWidth="1"/>
    <col min="9743" max="9984" width="12" style="338"/>
    <col min="9985" max="9985" width="7" style="338" customWidth="1"/>
    <col min="9986" max="9986" width="2.33203125" style="338" customWidth="1"/>
    <col min="9987" max="9988" width="12" style="338" customWidth="1"/>
    <col min="9989" max="9989" width="6.44140625" style="338" customWidth="1"/>
    <col min="9990" max="9990" width="5.109375" style="338" customWidth="1"/>
    <col min="9991" max="9991" width="12" style="338" customWidth="1"/>
    <col min="9992" max="9992" width="5.109375" style="338" customWidth="1"/>
    <col min="9993" max="9993" width="17.109375" style="338" customWidth="1"/>
    <col min="9994" max="9994" width="4.44140625" style="338" customWidth="1"/>
    <col min="9995" max="9995" width="16.109375" style="338" customWidth="1"/>
    <col min="9996" max="9996" width="4.77734375" style="338" customWidth="1"/>
    <col min="9997" max="9997" width="17.109375" style="338" customWidth="1"/>
    <col min="9998" max="9998" width="4.109375" style="338" customWidth="1"/>
    <col min="9999" max="10240" width="12" style="338"/>
    <col min="10241" max="10241" width="7" style="338" customWidth="1"/>
    <col min="10242" max="10242" width="2.33203125" style="338" customWidth="1"/>
    <col min="10243" max="10244" width="12" style="338" customWidth="1"/>
    <col min="10245" max="10245" width="6.44140625" style="338" customWidth="1"/>
    <col min="10246" max="10246" width="5.109375" style="338" customWidth="1"/>
    <col min="10247" max="10247" width="12" style="338" customWidth="1"/>
    <col min="10248" max="10248" width="5.109375" style="338" customWidth="1"/>
    <col min="10249" max="10249" width="17.109375" style="338" customWidth="1"/>
    <col min="10250" max="10250" width="4.44140625" style="338" customWidth="1"/>
    <col min="10251" max="10251" width="16.109375" style="338" customWidth="1"/>
    <col min="10252" max="10252" width="4.77734375" style="338" customWidth="1"/>
    <col min="10253" max="10253" width="17.109375" style="338" customWidth="1"/>
    <col min="10254" max="10254" width="4.109375" style="338" customWidth="1"/>
    <col min="10255" max="10496" width="12" style="338"/>
    <col min="10497" max="10497" width="7" style="338" customWidth="1"/>
    <col min="10498" max="10498" width="2.33203125" style="338" customWidth="1"/>
    <col min="10499" max="10500" width="12" style="338" customWidth="1"/>
    <col min="10501" max="10501" width="6.44140625" style="338" customWidth="1"/>
    <col min="10502" max="10502" width="5.109375" style="338" customWidth="1"/>
    <col min="10503" max="10503" width="12" style="338" customWidth="1"/>
    <col min="10504" max="10504" width="5.109375" style="338" customWidth="1"/>
    <col min="10505" max="10505" width="17.109375" style="338" customWidth="1"/>
    <col min="10506" max="10506" width="4.44140625" style="338" customWidth="1"/>
    <col min="10507" max="10507" width="16.109375" style="338" customWidth="1"/>
    <col min="10508" max="10508" width="4.77734375" style="338" customWidth="1"/>
    <col min="10509" max="10509" width="17.109375" style="338" customWidth="1"/>
    <col min="10510" max="10510" width="4.109375" style="338" customWidth="1"/>
    <col min="10511" max="10752" width="12" style="338"/>
    <col min="10753" max="10753" width="7" style="338" customWidth="1"/>
    <col min="10754" max="10754" width="2.33203125" style="338" customWidth="1"/>
    <col min="10755" max="10756" width="12" style="338" customWidth="1"/>
    <col min="10757" max="10757" width="6.44140625" style="338" customWidth="1"/>
    <col min="10758" max="10758" width="5.109375" style="338" customWidth="1"/>
    <col min="10759" max="10759" width="12" style="338" customWidth="1"/>
    <col min="10760" max="10760" width="5.109375" style="338" customWidth="1"/>
    <col min="10761" max="10761" width="17.109375" style="338" customWidth="1"/>
    <col min="10762" max="10762" width="4.44140625" style="338" customWidth="1"/>
    <col min="10763" max="10763" width="16.109375" style="338" customWidth="1"/>
    <col min="10764" max="10764" width="4.77734375" style="338" customWidth="1"/>
    <col min="10765" max="10765" width="17.109375" style="338" customWidth="1"/>
    <col min="10766" max="10766" width="4.109375" style="338" customWidth="1"/>
    <col min="10767" max="11008" width="12" style="338"/>
    <col min="11009" max="11009" width="7" style="338" customWidth="1"/>
    <col min="11010" max="11010" width="2.33203125" style="338" customWidth="1"/>
    <col min="11011" max="11012" width="12" style="338" customWidth="1"/>
    <col min="11013" max="11013" width="6.44140625" style="338" customWidth="1"/>
    <col min="11014" max="11014" width="5.109375" style="338" customWidth="1"/>
    <col min="11015" max="11015" width="12" style="338" customWidth="1"/>
    <col min="11016" max="11016" width="5.109375" style="338" customWidth="1"/>
    <col min="11017" max="11017" width="17.109375" style="338" customWidth="1"/>
    <col min="11018" max="11018" width="4.44140625" style="338" customWidth="1"/>
    <col min="11019" max="11019" width="16.109375" style="338" customWidth="1"/>
    <col min="11020" max="11020" width="4.77734375" style="338" customWidth="1"/>
    <col min="11021" max="11021" width="17.109375" style="338" customWidth="1"/>
    <col min="11022" max="11022" width="4.109375" style="338" customWidth="1"/>
    <col min="11023" max="11264" width="12" style="338"/>
    <col min="11265" max="11265" width="7" style="338" customWidth="1"/>
    <col min="11266" max="11266" width="2.33203125" style="338" customWidth="1"/>
    <col min="11267" max="11268" width="12" style="338" customWidth="1"/>
    <col min="11269" max="11269" width="6.44140625" style="338" customWidth="1"/>
    <col min="11270" max="11270" width="5.109375" style="338" customWidth="1"/>
    <col min="11271" max="11271" width="12" style="338" customWidth="1"/>
    <col min="11272" max="11272" width="5.109375" style="338" customWidth="1"/>
    <col min="11273" max="11273" width="17.109375" style="338" customWidth="1"/>
    <col min="11274" max="11274" width="4.44140625" style="338" customWidth="1"/>
    <col min="11275" max="11275" width="16.109375" style="338" customWidth="1"/>
    <col min="11276" max="11276" width="4.77734375" style="338" customWidth="1"/>
    <col min="11277" max="11277" width="17.109375" style="338" customWidth="1"/>
    <col min="11278" max="11278" width="4.109375" style="338" customWidth="1"/>
    <col min="11279" max="11520" width="12" style="338"/>
    <col min="11521" max="11521" width="7" style="338" customWidth="1"/>
    <col min="11522" max="11522" width="2.33203125" style="338" customWidth="1"/>
    <col min="11523" max="11524" width="12" style="338" customWidth="1"/>
    <col min="11525" max="11525" width="6.44140625" style="338" customWidth="1"/>
    <col min="11526" max="11526" width="5.109375" style="338" customWidth="1"/>
    <col min="11527" max="11527" width="12" style="338" customWidth="1"/>
    <col min="11528" max="11528" width="5.109375" style="338" customWidth="1"/>
    <col min="11529" max="11529" width="17.109375" style="338" customWidth="1"/>
    <col min="11530" max="11530" width="4.44140625" style="338" customWidth="1"/>
    <col min="11531" max="11531" width="16.109375" style="338" customWidth="1"/>
    <col min="11532" max="11532" width="4.77734375" style="338" customWidth="1"/>
    <col min="11533" max="11533" width="17.109375" style="338" customWidth="1"/>
    <col min="11534" max="11534" width="4.109375" style="338" customWidth="1"/>
    <col min="11535" max="11776" width="12" style="338"/>
    <col min="11777" max="11777" width="7" style="338" customWidth="1"/>
    <col min="11778" max="11778" width="2.33203125" style="338" customWidth="1"/>
    <col min="11779" max="11780" width="12" style="338" customWidth="1"/>
    <col min="11781" max="11781" width="6.44140625" style="338" customWidth="1"/>
    <col min="11782" max="11782" width="5.109375" style="338" customWidth="1"/>
    <col min="11783" max="11783" width="12" style="338" customWidth="1"/>
    <col min="11784" max="11784" width="5.109375" style="338" customWidth="1"/>
    <col min="11785" max="11785" width="17.109375" style="338" customWidth="1"/>
    <col min="11786" max="11786" width="4.44140625" style="338" customWidth="1"/>
    <col min="11787" max="11787" width="16.109375" style="338" customWidth="1"/>
    <col min="11788" max="11788" width="4.77734375" style="338" customWidth="1"/>
    <col min="11789" max="11789" width="17.109375" style="338" customWidth="1"/>
    <col min="11790" max="11790" width="4.109375" style="338" customWidth="1"/>
    <col min="11791" max="12032" width="12" style="338"/>
    <col min="12033" max="12033" width="7" style="338" customWidth="1"/>
    <col min="12034" max="12034" width="2.33203125" style="338" customWidth="1"/>
    <col min="12035" max="12036" width="12" style="338" customWidth="1"/>
    <col min="12037" max="12037" width="6.44140625" style="338" customWidth="1"/>
    <col min="12038" max="12038" width="5.109375" style="338" customWidth="1"/>
    <col min="12039" max="12039" width="12" style="338" customWidth="1"/>
    <col min="12040" max="12040" width="5.109375" style="338" customWidth="1"/>
    <col min="12041" max="12041" width="17.109375" style="338" customWidth="1"/>
    <col min="12042" max="12042" width="4.44140625" style="338" customWidth="1"/>
    <col min="12043" max="12043" width="16.109375" style="338" customWidth="1"/>
    <col min="12044" max="12044" width="4.77734375" style="338" customWidth="1"/>
    <col min="12045" max="12045" width="17.109375" style="338" customWidth="1"/>
    <col min="12046" max="12046" width="4.109375" style="338" customWidth="1"/>
    <col min="12047" max="12288" width="12" style="338"/>
    <col min="12289" max="12289" width="7" style="338" customWidth="1"/>
    <col min="12290" max="12290" width="2.33203125" style="338" customWidth="1"/>
    <col min="12291" max="12292" width="12" style="338" customWidth="1"/>
    <col min="12293" max="12293" width="6.44140625" style="338" customWidth="1"/>
    <col min="12294" max="12294" width="5.109375" style="338" customWidth="1"/>
    <col min="12295" max="12295" width="12" style="338" customWidth="1"/>
    <col min="12296" max="12296" width="5.109375" style="338" customWidth="1"/>
    <col min="12297" max="12297" width="17.109375" style="338" customWidth="1"/>
    <col min="12298" max="12298" width="4.44140625" style="338" customWidth="1"/>
    <col min="12299" max="12299" width="16.109375" style="338" customWidth="1"/>
    <col min="12300" max="12300" width="4.77734375" style="338" customWidth="1"/>
    <col min="12301" max="12301" width="17.109375" style="338" customWidth="1"/>
    <col min="12302" max="12302" width="4.109375" style="338" customWidth="1"/>
    <col min="12303" max="12544" width="12" style="338"/>
    <col min="12545" max="12545" width="7" style="338" customWidth="1"/>
    <col min="12546" max="12546" width="2.33203125" style="338" customWidth="1"/>
    <col min="12547" max="12548" width="12" style="338" customWidth="1"/>
    <col min="12549" max="12549" width="6.44140625" style="338" customWidth="1"/>
    <col min="12550" max="12550" width="5.109375" style="338" customWidth="1"/>
    <col min="12551" max="12551" width="12" style="338" customWidth="1"/>
    <col min="12552" max="12552" width="5.109375" style="338" customWidth="1"/>
    <col min="12553" max="12553" width="17.109375" style="338" customWidth="1"/>
    <col min="12554" max="12554" width="4.44140625" style="338" customWidth="1"/>
    <col min="12555" max="12555" width="16.109375" style="338" customWidth="1"/>
    <col min="12556" max="12556" width="4.77734375" style="338" customWidth="1"/>
    <col min="12557" max="12557" width="17.109375" style="338" customWidth="1"/>
    <col min="12558" max="12558" width="4.109375" style="338" customWidth="1"/>
    <col min="12559" max="12800" width="12" style="338"/>
    <col min="12801" max="12801" width="7" style="338" customWidth="1"/>
    <col min="12802" max="12802" width="2.33203125" style="338" customWidth="1"/>
    <col min="12803" max="12804" width="12" style="338" customWidth="1"/>
    <col min="12805" max="12805" width="6.44140625" style="338" customWidth="1"/>
    <col min="12806" max="12806" width="5.109375" style="338" customWidth="1"/>
    <col min="12807" max="12807" width="12" style="338" customWidth="1"/>
    <col min="12808" max="12808" width="5.109375" style="338" customWidth="1"/>
    <col min="12809" max="12809" width="17.109375" style="338" customWidth="1"/>
    <col min="12810" max="12810" width="4.44140625" style="338" customWidth="1"/>
    <col min="12811" max="12811" width="16.109375" style="338" customWidth="1"/>
    <col min="12812" max="12812" width="4.77734375" style="338" customWidth="1"/>
    <col min="12813" max="12813" width="17.109375" style="338" customWidth="1"/>
    <col min="12814" max="12814" width="4.109375" style="338" customWidth="1"/>
    <col min="12815" max="13056" width="12" style="338"/>
    <col min="13057" max="13057" width="7" style="338" customWidth="1"/>
    <col min="13058" max="13058" width="2.33203125" style="338" customWidth="1"/>
    <col min="13059" max="13060" width="12" style="338" customWidth="1"/>
    <col min="13061" max="13061" width="6.44140625" style="338" customWidth="1"/>
    <col min="13062" max="13062" width="5.109375" style="338" customWidth="1"/>
    <col min="13063" max="13063" width="12" style="338" customWidth="1"/>
    <col min="13064" max="13064" width="5.109375" style="338" customWidth="1"/>
    <col min="13065" max="13065" width="17.109375" style="338" customWidth="1"/>
    <col min="13066" max="13066" width="4.44140625" style="338" customWidth="1"/>
    <col min="13067" max="13067" width="16.109375" style="338" customWidth="1"/>
    <col min="13068" max="13068" width="4.77734375" style="338" customWidth="1"/>
    <col min="13069" max="13069" width="17.109375" style="338" customWidth="1"/>
    <col min="13070" max="13070" width="4.109375" style="338" customWidth="1"/>
    <col min="13071" max="13312" width="12" style="338"/>
    <col min="13313" max="13313" width="7" style="338" customWidth="1"/>
    <col min="13314" max="13314" width="2.33203125" style="338" customWidth="1"/>
    <col min="13315" max="13316" width="12" style="338" customWidth="1"/>
    <col min="13317" max="13317" width="6.44140625" style="338" customWidth="1"/>
    <col min="13318" max="13318" width="5.109375" style="338" customWidth="1"/>
    <col min="13319" max="13319" width="12" style="338" customWidth="1"/>
    <col min="13320" max="13320" width="5.109375" style="338" customWidth="1"/>
    <col min="13321" max="13321" width="17.109375" style="338" customWidth="1"/>
    <col min="13322" max="13322" width="4.44140625" style="338" customWidth="1"/>
    <col min="13323" max="13323" width="16.109375" style="338" customWidth="1"/>
    <col min="13324" max="13324" width="4.77734375" style="338" customWidth="1"/>
    <col min="13325" max="13325" width="17.109375" style="338" customWidth="1"/>
    <col min="13326" max="13326" width="4.109375" style="338" customWidth="1"/>
    <col min="13327" max="13568" width="12" style="338"/>
    <col min="13569" max="13569" width="7" style="338" customWidth="1"/>
    <col min="13570" max="13570" width="2.33203125" style="338" customWidth="1"/>
    <col min="13571" max="13572" width="12" style="338" customWidth="1"/>
    <col min="13573" max="13573" width="6.44140625" style="338" customWidth="1"/>
    <col min="13574" max="13574" width="5.109375" style="338" customWidth="1"/>
    <col min="13575" max="13575" width="12" style="338" customWidth="1"/>
    <col min="13576" max="13576" width="5.109375" style="338" customWidth="1"/>
    <col min="13577" max="13577" width="17.109375" style="338" customWidth="1"/>
    <col min="13578" max="13578" width="4.44140625" style="338" customWidth="1"/>
    <col min="13579" max="13579" width="16.109375" style="338" customWidth="1"/>
    <col min="13580" max="13580" width="4.77734375" style="338" customWidth="1"/>
    <col min="13581" max="13581" width="17.109375" style="338" customWidth="1"/>
    <col min="13582" max="13582" width="4.109375" style="338" customWidth="1"/>
    <col min="13583" max="13824" width="12" style="338"/>
    <col min="13825" max="13825" width="7" style="338" customWidth="1"/>
    <col min="13826" max="13826" width="2.33203125" style="338" customWidth="1"/>
    <col min="13827" max="13828" width="12" style="338" customWidth="1"/>
    <col min="13829" max="13829" width="6.44140625" style="338" customWidth="1"/>
    <col min="13830" max="13830" width="5.109375" style="338" customWidth="1"/>
    <col min="13831" max="13831" width="12" style="338" customWidth="1"/>
    <col min="13832" max="13832" width="5.109375" style="338" customWidth="1"/>
    <col min="13833" max="13833" width="17.109375" style="338" customWidth="1"/>
    <col min="13834" max="13834" width="4.44140625" style="338" customWidth="1"/>
    <col min="13835" max="13835" width="16.109375" style="338" customWidth="1"/>
    <col min="13836" max="13836" width="4.77734375" style="338" customWidth="1"/>
    <col min="13837" max="13837" width="17.109375" style="338" customWidth="1"/>
    <col min="13838" max="13838" width="4.109375" style="338" customWidth="1"/>
    <col min="13839" max="14080" width="12" style="338"/>
    <col min="14081" max="14081" width="7" style="338" customWidth="1"/>
    <col min="14082" max="14082" width="2.33203125" style="338" customWidth="1"/>
    <col min="14083" max="14084" width="12" style="338" customWidth="1"/>
    <col min="14085" max="14085" width="6.44140625" style="338" customWidth="1"/>
    <col min="14086" max="14086" width="5.109375" style="338" customWidth="1"/>
    <col min="14087" max="14087" width="12" style="338" customWidth="1"/>
    <col min="14088" max="14088" width="5.109375" style="338" customWidth="1"/>
    <col min="14089" max="14089" width="17.109375" style="338" customWidth="1"/>
    <col min="14090" max="14090" width="4.44140625" style="338" customWidth="1"/>
    <col min="14091" max="14091" width="16.109375" style="338" customWidth="1"/>
    <col min="14092" max="14092" width="4.77734375" style="338" customWidth="1"/>
    <col min="14093" max="14093" width="17.109375" style="338" customWidth="1"/>
    <col min="14094" max="14094" width="4.109375" style="338" customWidth="1"/>
    <col min="14095" max="14336" width="12" style="338"/>
    <col min="14337" max="14337" width="7" style="338" customWidth="1"/>
    <col min="14338" max="14338" width="2.33203125" style="338" customWidth="1"/>
    <col min="14339" max="14340" width="12" style="338" customWidth="1"/>
    <col min="14341" max="14341" width="6.44140625" style="338" customWidth="1"/>
    <col min="14342" max="14342" width="5.109375" style="338" customWidth="1"/>
    <col min="14343" max="14343" width="12" style="338" customWidth="1"/>
    <col min="14344" max="14344" width="5.109375" style="338" customWidth="1"/>
    <col min="14345" max="14345" width="17.109375" style="338" customWidth="1"/>
    <col min="14346" max="14346" width="4.44140625" style="338" customWidth="1"/>
    <col min="14347" max="14347" width="16.109375" style="338" customWidth="1"/>
    <col min="14348" max="14348" width="4.77734375" style="338" customWidth="1"/>
    <col min="14349" max="14349" width="17.109375" style="338" customWidth="1"/>
    <col min="14350" max="14350" width="4.109375" style="338" customWidth="1"/>
    <col min="14351" max="14592" width="12" style="338"/>
    <col min="14593" max="14593" width="7" style="338" customWidth="1"/>
    <col min="14594" max="14594" width="2.33203125" style="338" customWidth="1"/>
    <col min="14595" max="14596" width="12" style="338" customWidth="1"/>
    <col min="14597" max="14597" width="6.44140625" style="338" customWidth="1"/>
    <col min="14598" max="14598" width="5.109375" style="338" customWidth="1"/>
    <col min="14599" max="14599" width="12" style="338" customWidth="1"/>
    <col min="14600" max="14600" width="5.109375" style="338" customWidth="1"/>
    <col min="14601" max="14601" width="17.109375" style="338" customWidth="1"/>
    <col min="14602" max="14602" width="4.44140625" style="338" customWidth="1"/>
    <col min="14603" max="14603" width="16.109375" style="338" customWidth="1"/>
    <col min="14604" max="14604" width="4.77734375" style="338" customWidth="1"/>
    <col min="14605" max="14605" width="17.109375" style="338" customWidth="1"/>
    <col min="14606" max="14606" width="4.109375" style="338" customWidth="1"/>
    <col min="14607" max="14848" width="12" style="338"/>
    <col min="14849" max="14849" width="7" style="338" customWidth="1"/>
    <col min="14850" max="14850" width="2.33203125" style="338" customWidth="1"/>
    <col min="14851" max="14852" width="12" style="338" customWidth="1"/>
    <col min="14853" max="14853" width="6.44140625" style="338" customWidth="1"/>
    <col min="14854" max="14854" width="5.109375" style="338" customWidth="1"/>
    <col min="14855" max="14855" width="12" style="338" customWidth="1"/>
    <col min="14856" max="14856" width="5.109375" style="338" customWidth="1"/>
    <col min="14857" max="14857" width="17.109375" style="338" customWidth="1"/>
    <col min="14858" max="14858" width="4.44140625" style="338" customWidth="1"/>
    <col min="14859" max="14859" width="16.109375" style="338" customWidth="1"/>
    <col min="14860" max="14860" width="4.77734375" style="338" customWidth="1"/>
    <col min="14861" max="14861" width="17.109375" style="338" customWidth="1"/>
    <col min="14862" max="14862" width="4.109375" style="338" customWidth="1"/>
    <col min="14863" max="15104" width="12" style="338"/>
    <col min="15105" max="15105" width="7" style="338" customWidth="1"/>
    <col min="15106" max="15106" width="2.33203125" style="338" customWidth="1"/>
    <col min="15107" max="15108" width="12" style="338" customWidth="1"/>
    <col min="15109" max="15109" width="6.44140625" style="338" customWidth="1"/>
    <col min="15110" max="15110" width="5.109375" style="338" customWidth="1"/>
    <col min="15111" max="15111" width="12" style="338" customWidth="1"/>
    <col min="15112" max="15112" width="5.109375" style="338" customWidth="1"/>
    <col min="15113" max="15113" width="17.109375" style="338" customWidth="1"/>
    <col min="15114" max="15114" width="4.44140625" style="338" customWidth="1"/>
    <col min="15115" max="15115" width="16.109375" style="338" customWidth="1"/>
    <col min="15116" max="15116" width="4.77734375" style="338" customWidth="1"/>
    <col min="15117" max="15117" width="17.109375" style="338" customWidth="1"/>
    <col min="15118" max="15118" width="4.109375" style="338" customWidth="1"/>
    <col min="15119" max="15360" width="12" style="338"/>
    <col min="15361" max="15361" width="7" style="338" customWidth="1"/>
    <col min="15362" max="15362" width="2.33203125" style="338" customWidth="1"/>
    <col min="15363" max="15364" width="12" style="338" customWidth="1"/>
    <col min="15365" max="15365" width="6.44140625" style="338" customWidth="1"/>
    <col min="15366" max="15366" width="5.109375" style="338" customWidth="1"/>
    <col min="15367" max="15367" width="12" style="338" customWidth="1"/>
    <col min="15368" max="15368" width="5.109375" style="338" customWidth="1"/>
    <col min="15369" max="15369" width="17.109375" style="338" customWidth="1"/>
    <col min="15370" max="15370" width="4.44140625" style="338" customWidth="1"/>
    <col min="15371" max="15371" width="16.109375" style="338" customWidth="1"/>
    <col min="15372" max="15372" width="4.77734375" style="338" customWidth="1"/>
    <col min="15373" max="15373" width="17.109375" style="338" customWidth="1"/>
    <col min="15374" max="15374" width="4.109375" style="338" customWidth="1"/>
    <col min="15375" max="15616" width="12" style="338"/>
    <col min="15617" max="15617" width="7" style="338" customWidth="1"/>
    <col min="15618" max="15618" width="2.33203125" style="338" customWidth="1"/>
    <col min="15619" max="15620" width="12" style="338" customWidth="1"/>
    <col min="15621" max="15621" width="6.44140625" style="338" customWidth="1"/>
    <col min="15622" max="15622" width="5.109375" style="338" customWidth="1"/>
    <col min="15623" max="15623" width="12" style="338" customWidth="1"/>
    <col min="15624" max="15624" width="5.109375" style="338" customWidth="1"/>
    <col min="15625" max="15625" width="17.109375" style="338" customWidth="1"/>
    <col min="15626" max="15626" width="4.44140625" style="338" customWidth="1"/>
    <col min="15627" max="15627" width="16.109375" style="338" customWidth="1"/>
    <col min="15628" max="15628" width="4.77734375" style="338" customWidth="1"/>
    <col min="15629" max="15629" width="17.109375" style="338" customWidth="1"/>
    <col min="15630" max="15630" width="4.109375" style="338" customWidth="1"/>
    <col min="15631" max="15872" width="12" style="338"/>
    <col min="15873" max="15873" width="7" style="338" customWidth="1"/>
    <col min="15874" max="15874" width="2.33203125" style="338" customWidth="1"/>
    <col min="15875" max="15876" width="12" style="338" customWidth="1"/>
    <col min="15877" max="15877" width="6.44140625" style="338" customWidth="1"/>
    <col min="15878" max="15878" width="5.109375" style="338" customWidth="1"/>
    <col min="15879" max="15879" width="12" style="338" customWidth="1"/>
    <col min="15880" max="15880" width="5.109375" style="338" customWidth="1"/>
    <col min="15881" max="15881" width="17.109375" style="338" customWidth="1"/>
    <col min="15882" max="15882" width="4.44140625" style="338" customWidth="1"/>
    <col min="15883" max="15883" width="16.109375" style="338" customWidth="1"/>
    <col min="15884" max="15884" width="4.77734375" style="338" customWidth="1"/>
    <col min="15885" max="15885" width="17.109375" style="338" customWidth="1"/>
    <col min="15886" max="15886" width="4.109375" style="338" customWidth="1"/>
    <col min="15887" max="16128" width="12" style="338"/>
    <col min="16129" max="16129" width="7" style="338" customWidth="1"/>
    <col min="16130" max="16130" width="2.33203125" style="338" customWidth="1"/>
    <col min="16131" max="16132" width="12" style="338" customWidth="1"/>
    <col min="16133" max="16133" width="6.44140625" style="338" customWidth="1"/>
    <col min="16134" max="16134" width="5.109375" style="338" customWidth="1"/>
    <col min="16135" max="16135" width="12" style="338" customWidth="1"/>
    <col min="16136" max="16136" width="5.109375" style="338" customWidth="1"/>
    <col min="16137" max="16137" width="17.109375" style="338" customWidth="1"/>
    <col min="16138" max="16138" width="4.44140625" style="338" customWidth="1"/>
    <col min="16139" max="16139" width="16.109375" style="338" customWidth="1"/>
    <col min="16140" max="16140" width="4.77734375" style="338" customWidth="1"/>
    <col min="16141" max="16141" width="17.109375" style="338" customWidth="1"/>
    <col min="16142" max="16142" width="4.109375" style="338" customWidth="1"/>
    <col min="16143" max="16384" width="12" style="338"/>
  </cols>
  <sheetData>
    <row r="1" spans="1:15" ht="13">
      <c r="A1" s="795"/>
      <c r="M1" s="758" t="str">
        <f>+'PGA Demand Cost Allocation'!J2</f>
        <v>CNGC Advice W20-09-01</v>
      </c>
    </row>
    <row r="2" spans="1:15" ht="13">
      <c r="A2" s="795"/>
      <c r="M2" s="759" t="s">
        <v>289</v>
      </c>
    </row>
    <row r="3" spans="1:15" ht="13">
      <c r="A3" s="795"/>
      <c r="M3" s="759" t="s">
        <v>310</v>
      </c>
    </row>
    <row r="4" spans="1:15" ht="15.5">
      <c r="A4" s="796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797"/>
      <c r="O4" s="518"/>
    </row>
    <row r="5" spans="1:15" ht="15.5">
      <c r="A5" s="796"/>
      <c r="B5" s="518"/>
      <c r="C5" s="798" t="s">
        <v>52</v>
      </c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7"/>
      <c r="O5" s="518"/>
    </row>
    <row r="6" spans="1:15" ht="15.5">
      <c r="A6" s="518"/>
      <c r="B6" s="518"/>
      <c r="C6" s="832" t="s">
        <v>300</v>
      </c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95"/>
      <c r="O6" s="518"/>
    </row>
    <row r="7" spans="1:15" ht="15.5" hidden="1">
      <c r="A7" s="518"/>
      <c r="B7" s="518"/>
      <c r="C7" s="798" t="s">
        <v>267</v>
      </c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7"/>
      <c r="O7" s="518"/>
    </row>
    <row r="8" spans="1:15" ht="15.5">
      <c r="A8" s="518"/>
      <c r="B8" s="518"/>
      <c r="C8" s="798" t="s">
        <v>53</v>
      </c>
      <c r="D8" s="799"/>
      <c r="E8" s="799"/>
      <c r="F8" s="799"/>
      <c r="G8" s="800"/>
      <c r="H8" s="799"/>
      <c r="I8" s="799"/>
      <c r="J8" s="799"/>
      <c r="K8" s="799"/>
      <c r="L8" s="799"/>
      <c r="M8" s="799"/>
      <c r="N8" s="518"/>
      <c r="O8" s="518"/>
    </row>
    <row r="9" spans="1:15" ht="15.5">
      <c r="A9" s="518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</row>
    <row r="10" spans="1:15" ht="15.5">
      <c r="A10" s="518"/>
      <c r="B10" s="518"/>
      <c r="C10" s="518"/>
      <c r="D10" s="518"/>
      <c r="E10" s="518"/>
      <c r="F10" s="518"/>
      <c r="G10" s="517" t="s">
        <v>90</v>
      </c>
      <c r="H10" s="518"/>
      <c r="I10" s="518"/>
      <c r="J10" s="518"/>
      <c r="K10" s="800" t="s">
        <v>91</v>
      </c>
      <c r="L10" s="518"/>
      <c r="M10" s="518"/>
      <c r="N10" s="518"/>
      <c r="O10" s="518"/>
    </row>
    <row r="11" spans="1:15" ht="15.5">
      <c r="A11" s="801" t="s">
        <v>7</v>
      </c>
      <c r="B11" s="518"/>
      <c r="C11" s="518"/>
      <c r="D11" s="518"/>
      <c r="E11" s="518"/>
      <c r="F11" s="518"/>
      <c r="G11" s="517" t="s">
        <v>92</v>
      </c>
      <c r="H11" s="518"/>
      <c r="I11" s="517" t="s">
        <v>93</v>
      </c>
      <c r="J11" s="518"/>
      <c r="K11" s="800" t="s">
        <v>94</v>
      </c>
      <c r="L11" s="518"/>
      <c r="M11" s="517" t="s">
        <v>6</v>
      </c>
      <c r="N11" s="518"/>
      <c r="O11" s="800" t="s">
        <v>60</v>
      </c>
    </row>
    <row r="12" spans="1:15" ht="15.5">
      <c r="A12" s="801" t="s">
        <v>9</v>
      </c>
      <c r="B12" s="518"/>
      <c r="C12" s="797" t="s">
        <v>0</v>
      </c>
      <c r="D12" s="518"/>
      <c r="E12" s="518"/>
      <c r="F12" s="518"/>
      <c r="G12" s="517" t="s">
        <v>95</v>
      </c>
      <c r="H12" s="518"/>
      <c r="I12" s="517" t="s">
        <v>334</v>
      </c>
      <c r="J12" s="518"/>
      <c r="K12" s="800" t="s">
        <v>96</v>
      </c>
      <c r="L12" s="518"/>
      <c r="M12" s="517" t="s">
        <v>97</v>
      </c>
      <c r="N12" s="518"/>
      <c r="O12" s="800" t="s">
        <v>65</v>
      </c>
    </row>
    <row r="13" spans="1:15" ht="15.5">
      <c r="A13" s="518"/>
      <c r="B13" s="518"/>
      <c r="C13" s="517" t="s">
        <v>14</v>
      </c>
      <c r="D13" s="518"/>
      <c r="E13" s="518"/>
      <c r="F13" s="518"/>
      <c r="G13" s="517" t="s">
        <v>15</v>
      </c>
      <c r="H13" s="518"/>
      <c r="I13" s="517" t="s">
        <v>16</v>
      </c>
      <c r="J13" s="518"/>
      <c r="K13" s="517" t="s">
        <v>17</v>
      </c>
      <c r="L13" s="518"/>
      <c r="M13" s="517" t="s">
        <v>18</v>
      </c>
      <c r="N13" s="518"/>
      <c r="O13" s="517" t="s">
        <v>99</v>
      </c>
    </row>
    <row r="14" spans="1:15" ht="15.5">
      <c r="A14" s="518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</row>
    <row r="15" spans="1:15" ht="15.5">
      <c r="A15" s="796">
        <v>1</v>
      </c>
      <c r="B15" s="518"/>
      <c r="C15" s="797" t="s">
        <v>102</v>
      </c>
      <c r="D15" s="518"/>
      <c r="E15" s="518"/>
      <c r="F15" s="518"/>
      <c r="G15" s="519">
        <v>56</v>
      </c>
      <c r="H15" s="518"/>
      <c r="I15" s="520">
        <f>+'PGA Amount Change'!H16/'PGA Amount Change'!E16/12</f>
        <v>55.848106015618676</v>
      </c>
      <c r="J15" s="518"/>
      <c r="K15" s="520">
        <f>+G15*'PGA Proposed Rate Adj.'!G16</f>
        <v>-0.20567150800000211</v>
      </c>
      <c r="L15" s="518"/>
      <c r="M15" s="520">
        <f>I15+K15</f>
        <v>55.642434507618674</v>
      </c>
      <c r="N15" s="518"/>
      <c r="O15" s="802">
        <f>K15/I15</f>
        <v>-3.6826944129937601E-3</v>
      </c>
    </row>
    <row r="16" spans="1:15" ht="15.5">
      <c r="A16" s="518"/>
      <c r="B16" s="518"/>
      <c r="C16" s="518"/>
      <c r="D16" s="518"/>
      <c r="E16" s="518"/>
      <c r="F16" s="518"/>
      <c r="G16" s="519"/>
      <c r="H16" s="518"/>
      <c r="I16" s="521"/>
      <c r="J16" s="518"/>
      <c r="K16" s="520"/>
      <c r="L16" s="518"/>
      <c r="M16" s="518"/>
      <c r="N16" s="518"/>
      <c r="O16" s="518"/>
    </row>
    <row r="17" spans="1:15" ht="15.5">
      <c r="A17" s="796">
        <v>2</v>
      </c>
      <c r="B17" s="518"/>
      <c r="C17" s="797" t="s">
        <v>103</v>
      </c>
      <c r="D17" s="518"/>
      <c r="E17" s="518"/>
      <c r="F17" s="518"/>
      <c r="G17" s="519">
        <v>290</v>
      </c>
      <c r="H17" s="518"/>
      <c r="I17" s="520">
        <f>+'PGA Amount Change'!H17/'PGA Amount Change'!E17/12</f>
        <v>247.77542666991772</v>
      </c>
      <c r="J17" s="518"/>
      <c r="K17" s="520">
        <f>+G17*'PGA Proposed Rate Adj.'!H18</f>
        <v>-1.0263349809877929</v>
      </c>
      <c r="L17" s="518"/>
      <c r="M17" s="520">
        <f>I17+K17</f>
        <v>246.74909168892992</v>
      </c>
      <c r="N17" s="518"/>
      <c r="O17" s="802">
        <f>ROUND(K17/I17,5)</f>
        <v>-4.1399999999999996E-3</v>
      </c>
    </row>
    <row r="18" spans="1:15" ht="15.5">
      <c r="A18" s="518"/>
      <c r="B18" s="518"/>
      <c r="C18" s="518"/>
      <c r="D18" s="518"/>
      <c r="E18" s="518"/>
      <c r="F18" s="518"/>
      <c r="G18" s="519"/>
      <c r="H18" s="518"/>
      <c r="I18" s="521"/>
      <c r="J18" s="518"/>
      <c r="K18" s="520"/>
      <c r="L18" s="518"/>
      <c r="M18" s="518"/>
      <c r="N18" s="518"/>
      <c r="O18" s="518"/>
    </row>
    <row r="19" spans="1:15" ht="15.5">
      <c r="A19" s="796">
        <v>3</v>
      </c>
      <c r="B19" s="518"/>
      <c r="C19" s="797" t="s">
        <v>104</v>
      </c>
      <c r="D19" s="518"/>
      <c r="E19" s="518"/>
      <c r="F19" s="518"/>
      <c r="G19" s="767" t="s">
        <v>202</v>
      </c>
      <c r="H19" s="518"/>
      <c r="I19" s="522">
        <f>'PGA Amount Change'!H18/'PGA Amount Change'!F18</f>
        <v>0.66298992392633138</v>
      </c>
      <c r="J19" s="518"/>
      <c r="K19" s="522">
        <f>+'PGA Amount Change'!L18</f>
        <v>-2.8527055000000384E-3</v>
      </c>
      <c r="L19" s="518"/>
      <c r="M19" s="522">
        <f>I19+K19</f>
        <v>0.66013721842633133</v>
      </c>
      <c r="N19" s="518"/>
      <c r="O19" s="802">
        <f>K19/I19</f>
        <v>-4.3027886202340214E-3</v>
      </c>
    </row>
    <row r="20" spans="1:15" ht="15.5">
      <c r="A20" s="518"/>
      <c r="B20" s="518"/>
      <c r="C20" s="518"/>
      <c r="D20" s="518"/>
      <c r="E20" s="518"/>
      <c r="F20" s="518"/>
      <c r="G20" s="519"/>
      <c r="H20" s="518"/>
      <c r="I20" s="522"/>
      <c r="J20" s="518"/>
      <c r="K20" s="522"/>
      <c r="L20" s="518"/>
      <c r="M20" s="522"/>
      <c r="N20" s="518"/>
      <c r="O20" s="802"/>
    </row>
    <row r="21" spans="1:15" ht="15.5">
      <c r="A21" s="518">
        <v>4</v>
      </c>
      <c r="B21" s="518"/>
      <c r="C21" s="797" t="s">
        <v>105</v>
      </c>
      <c r="D21" s="518"/>
      <c r="E21" s="518"/>
      <c r="F21" s="518"/>
      <c r="G21" s="767" t="s">
        <v>202</v>
      </c>
      <c r="H21" s="518"/>
      <c r="I21" s="522">
        <f>'PGA Amount Change'!H19/'PGA Amount Change'!F19</f>
        <v>0.67471937672267113</v>
      </c>
      <c r="J21" s="803"/>
      <c r="K21" s="522">
        <f>+'PGA Amount Change'!L19</f>
        <v>-2.8527055000000384E-3</v>
      </c>
      <c r="L21" s="518"/>
      <c r="M21" s="522">
        <f>I21+K21</f>
        <v>0.67186667122267107</v>
      </c>
      <c r="N21" s="518"/>
      <c r="O21" s="802">
        <f>K21/I21</f>
        <v>-4.2279881064873903E-3</v>
      </c>
    </row>
    <row r="22" spans="1:15" ht="15.5">
      <c r="A22" s="518"/>
      <c r="B22" s="518"/>
      <c r="C22" s="518"/>
      <c r="D22" s="518"/>
      <c r="E22" s="518"/>
      <c r="F22" s="518"/>
      <c r="G22" s="519"/>
      <c r="H22" s="518"/>
      <c r="I22" s="522"/>
      <c r="J22" s="518"/>
      <c r="K22" s="522"/>
      <c r="L22" s="518"/>
      <c r="M22" s="522"/>
      <c r="N22" s="518"/>
      <c r="O22" s="518"/>
    </row>
    <row r="23" spans="1:15" ht="15.5">
      <c r="A23" s="796">
        <v>5</v>
      </c>
      <c r="B23" s="518"/>
      <c r="C23" s="797" t="s">
        <v>106</v>
      </c>
      <c r="D23" s="518"/>
      <c r="E23" s="518"/>
      <c r="F23" s="518"/>
      <c r="G23" s="767" t="s">
        <v>202</v>
      </c>
      <c r="H23" s="518"/>
      <c r="I23" s="522">
        <f>'PGA Amount Change'!H20/'PGA Amount Change'!F20</f>
        <v>0.62041738330371443</v>
      </c>
      <c r="J23" s="518"/>
      <c r="K23" s="522">
        <f>+'PGA Amount Change'!L20</f>
        <v>-2.1635042802546182E-3</v>
      </c>
      <c r="L23" s="803"/>
      <c r="M23" s="522">
        <f>I23+K23</f>
        <v>0.61825387902345985</v>
      </c>
      <c r="N23" s="518"/>
      <c r="O23" s="802">
        <f>K23/I23</f>
        <v>-3.4871754700585376E-3</v>
      </c>
    </row>
    <row r="24" spans="1:15" ht="15.5">
      <c r="A24" s="518"/>
      <c r="B24" s="518"/>
      <c r="C24" s="518"/>
      <c r="D24" s="518"/>
      <c r="E24" s="518"/>
      <c r="F24" s="518"/>
      <c r="G24" s="518"/>
      <c r="H24" s="518"/>
      <c r="I24" s="522"/>
      <c r="J24" s="518"/>
      <c r="K24" s="522"/>
      <c r="L24" s="518"/>
      <c r="M24" s="522"/>
      <c r="N24" s="518"/>
      <c r="O24" s="802"/>
    </row>
    <row r="25" spans="1:15" ht="15.5">
      <c r="A25" s="518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</row>
    <row r="26" spans="1:15" ht="15.5" hidden="1">
      <c r="A26" s="796">
        <v>7</v>
      </c>
      <c r="B26" s="518"/>
      <c r="C26" s="797" t="s">
        <v>201</v>
      </c>
      <c r="D26" s="518"/>
      <c r="E26" s="518"/>
      <c r="F26" s="518"/>
      <c r="G26" s="804" t="s">
        <v>98</v>
      </c>
      <c r="H26" s="518"/>
      <c r="I26" s="522">
        <f>+'[38]Ex1-p4'!K48/'[38]Ex1-p4'!G48</f>
        <v>0.15758731821267125</v>
      </c>
      <c r="J26" s="518"/>
      <c r="K26" s="522">
        <v>0</v>
      </c>
      <c r="L26" s="518"/>
      <c r="M26" s="522">
        <f>I26+K26</f>
        <v>0.15758731821267125</v>
      </c>
      <c r="N26" s="518"/>
      <c r="O26" s="802">
        <f>K26/I26</f>
        <v>0</v>
      </c>
    </row>
    <row r="27" spans="1:15" ht="15.5" hidden="1">
      <c r="A27" s="518"/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</row>
    <row r="28" spans="1:15" ht="15.5">
      <c r="A28" s="518"/>
      <c r="B28" s="797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</row>
    <row r="29" spans="1:15" ht="15.5">
      <c r="A29" s="518"/>
      <c r="B29" s="797"/>
      <c r="C29" s="518" t="s">
        <v>268</v>
      </c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</row>
    <row r="30" spans="1:15" ht="15.5">
      <c r="A30" s="518"/>
      <c r="B30" s="518"/>
      <c r="C30" s="518" t="s">
        <v>269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</row>
    <row r="31" spans="1:15" ht="15.5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</row>
    <row r="36" spans="15:15">
      <c r="O36" s="805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S38"/>
  <sheetViews>
    <sheetView view="pageBreakPreview" zoomScaleNormal="120" zoomScaleSheetLayoutView="100" workbookViewId="0">
      <selection activeCell="G27" sqref="G27"/>
    </sheetView>
  </sheetViews>
  <sheetFormatPr defaultRowHeight="10.5"/>
  <cols>
    <col min="1" max="1" width="7.109375" style="340" customWidth="1"/>
    <col min="2" max="2" width="4.109375" style="308" customWidth="1"/>
    <col min="3" max="5" width="9.33203125" style="308"/>
    <col min="6" max="6" width="36.77734375" style="308" customWidth="1"/>
    <col min="7" max="7" width="16.44140625" style="308" bestFit="1" customWidth="1"/>
    <col min="8" max="8" width="16" style="308" customWidth="1"/>
    <col min="9" max="9" width="15.77734375" style="308" customWidth="1"/>
    <col min="10" max="10" width="4.77734375" style="308" customWidth="1"/>
    <col min="11" max="11" width="18.6640625" style="308" customWidth="1"/>
    <col min="12" max="12" width="4.77734375" style="308" customWidth="1"/>
    <col min="13" max="13" width="14.44140625" style="308" hidden="1" customWidth="1"/>
    <col min="14" max="14" width="6" style="308" customWidth="1"/>
    <col min="15" max="15" width="14.44140625" style="308" customWidth="1"/>
    <col min="16" max="18" width="9.33203125" style="308"/>
    <col min="19" max="19" width="16.6640625" style="308" customWidth="1"/>
    <col min="20" max="256" width="9.33203125" style="308"/>
    <col min="257" max="257" width="7.109375" style="308" customWidth="1"/>
    <col min="258" max="258" width="4.109375" style="308" customWidth="1"/>
    <col min="259" max="262" width="9.33203125" style="308"/>
    <col min="263" max="263" width="14.44140625" style="308" customWidth="1"/>
    <col min="264" max="264" width="16" style="308" customWidth="1"/>
    <col min="265" max="265" width="15.77734375" style="308" customWidth="1"/>
    <col min="266" max="266" width="4.77734375" style="308" customWidth="1"/>
    <col min="267" max="267" width="18.44140625" style="308" customWidth="1"/>
    <col min="268" max="268" width="4.77734375" style="308" customWidth="1"/>
    <col min="269" max="269" width="0" style="308" hidden="1" customWidth="1"/>
    <col min="270" max="270" width="6" style="308" customWidth="1"/>
    <col min="271" max="271" width="14.44140625" style="308" customWidth="1"/>
    <col min="272" max="274" width="9.33203125" style="308"/>
    <col min="275" max="275" width="16.6640625" style="308" customWidth="1"/>
    <col min="276" max="512" width="9.33203125" style="308"/>
    <col min="513" max="513" width="7.109375" style="308" customWidth="1"/>
    <col min="514" max="514" width="4.109375" style="308" customWidth="1"/>
    <col min="515" max="518" width="9.33203125" style="308"/>
    <col min="519" max="519" width="14.44140625" style="308" customWidth="1"/>
    <col min="520" max="520" width="16" style="308" customWidth="1"/>
    <col min="521" max="521" width="15.77734375" style="308" customWidth="1"/>
    <col min="522" max="522" width="4.77734375" style="308" customWidth="1"/>
    <col min="523" max="523" width="18.44140625" style="308" customWidth="1"/>
    <col min="524" max="524" width="4.77734375" style="308" customWidth="1"/>
    <col min="525" max="525" width="0" style="308" hidden="1" customWidth="1"/>
    <col min="526" max="526" width="6" style="308" customWidth="1"/>
    <col min="527" max="527" width="14.44140625" style="308" customWidth="1"/>
    <col min="528" max="530" width="9.33203125" style="308"/>
    <col min="531" max="531" width="16.6640625" style="308" customWidth="1"/>
    <col min="532" max="768" width="9.33203125" style="308"/>
    <col min="769" max="769" width="7.109375" style="308" customWidth="1"/>
    <col min="770" max="770" width="4.109375" style="308" customWidth="1"/>
    <col min="771" max="774" width="9.33203125" style="308"/>
    <col min="775" max="775" width="14.44140625" style="308" customWidth="1"/>
    <col min="776" max="776" width="16" style="308" customWidth="1"/>
    <col min="777" max="777" width="15.77734375" style="308" customWidth="1"/>
    <col min="778" max="778" width="4.77734375" style="308" customWidth="1"/>
    <col min="779" max="779" width="18.44140625" style="308" customWidth="1"/>
    <col min="780" max="780" width="4.77734375" style="308" customWidth="1"/>
    <col min="781" max="781" width="0" style="308" hidden="1" customWidth="1"/>
    <col min="782" max="782" width="6" style="308" customWidth="1"/>
    <col min="783" max="783" width="14.44140625" style="308" customWidth="1"/>
    <col min="784" max="786" width="9.33203125" style="308"/>
    <col min="787" max="787" width="16.6640625" style="308" customWidth="1"/>
    <col min="788" max="1024" width="9.33203125" style="308"/>
    <col min="1025" max="1025" width="7.109375" style="308" customWidth="1"/>
    <col min="1026" max="1026" width="4.109375" style="308" customWidth="1"/>
    <col min="1027" max="1030" width="9.33203125" style="308"/>
    <col min="1031" max="1031" width="14.44140625" style="308" customWidth="1"/>
    <col min="1032" max="1032" width="16" style="308" customWidth="1"/>
    <col min="1033" max="1033" width="15.77734375" style="308" customWidth="1"/>
    <col min="1034" max="1034" width="4.77734375" style="308" customWidth="1"/>
    <col min="1035" max="1035" width="18.44140625" style="308" customWidth="1"/>
    <col min="1036" max="1036" width="4.77734375" style="308" customWidth="1"/>
    <col min="1037" max="1037" width="0" style="308" hidden="1" customWidth="1"/>
    <col min="1038" max="1038" width="6" style="308" customWidth="1"/>
    <col min="1039" max="1039" width="14.44140625" style="308" customWidth="1"/>
    <col min="1040" max="1042" width="9.33203125" style="308"/>
    <col min="1043" max="1043" width="16.6640625" style="308" customWidth="1"/>
    <col min="1044" max="1280" width="9.33203125" style="308"/>
    <col min="1281" max="1281" width="7.109375" style="308" customWidth="1"/>
    <col min="1282" max="1282" width="4.109375" style="308" customWidth="1"/>
    <col min="1283" max="1286" width="9.33203125" style="308"/>
    <col min="1287" max="1287" width="14.44140625" style="308" customWidth="1"/>
    <col min="1288" max="1288" width="16" style="308" customWidth="1"/>
    <col min="1289" max="1289" width="15.77734375" style="308" customWidth="1"/>
    <col min="1290" max="1290" width="4.77734375" style="308" customWidth="1"/>
    <col min="1291" max="1291" width="18.44140625" style="308" customWidth="1"/>
    <col min="1292" max="1292" width="4.77734375" style="308" customWidth="1"/>
    <col min="1293" max="1293" width="0" style="308" hidden="1" customWidth="1"/>
    <col min="1294" max="1294" width="6" style="308" customWidth="1"/>
    <col min="1295" max="1295" width="14.44140625" style="308" customWidth="1"/>
    <col min="1296" max="1298" width="9.33203125" style="308"/>
    <col min="1299" max="1299" width="16.6640625" style="308" customWidth="1"/>
    <col min="1300" max="1536" width="9.33203125" style="308"/>
    <col min="1537" max="1537" width="7.109375" style="308" customWidth="1"/>
    <col min="1538" max="1538" width="4.109375" style="308" customWidth="1"/>
    <col min="1539" max="1542" width="9.33203125" style="308"/>
    <col min="1543" max="1543" width="14.44140625" style="308" customWidth="1"/>
    <col min="1544" max="1544" width="16" style="308" customWidth="1"/>
    <col min="1545" max="1545" width="15.77734375" style="308" customWidth="1"/>
    <col min="1546" max="1546" width="4.77734375" style="308" customWidth="1"/>
    <col min="1547" max="1547" width="18.44140625" style="308" customWidth="1"/>
    <col min="1548" max="1548" width="4.77734375" style="308" customWidth="1"/>
    <col min="1549" max="1549" width="0" style="308" hidden="1" customWidth="1"/>
    <col min="1550" max="1550" width="6" style="308" customWidth="1"/>
    <col min="1551" max="1551" width="14.44140625" style="308" customWidth="1"/>
    <col min="1552" max="1554" width="9.33203125" style="308"/>
    <col min="1555" max="1555" width="16.6640625" style="308" customWidth="1"/>
    <col min="1556" max="1792" width="9.33203125" style="308"/>
    <col min="1793" max="1793" width="7.109375" style="308" customWidth="1"/>
    <col min="1794" max="1794" width="4.109375" style="308" customWidth="1"/>
    <col min="1795" max="1798" width="9.33203125" style="308"/>
    <col min="1799" max="1799" width="14.44140625" style="308" customWidth="1"/>
    <col min="1800" max="1800" width="16" style="308" customWidth="1"/>
    <col min="1801" max="1801" width="15.77734375" style="308" customWidth="1"/>
    <col min="1802" max="1802" width="4.77734375" style="308" customWidth="1"/>
    <col min="1803" max="1803" width="18.44140625" style="308" customWidth="1"/>
    <col min="1804" max="1804" width="4.77734375" style="308" customWidth="1"/>
    <col min="1805" max="1805" width="0" style="308" hidden="1" customWidth="1"/>
    <col min="1806" max="1806" width="6" style="308" customWidth="1"/>
    <col min="1807" max="1807" width="14.44140625" style="308" customWidth="1"/>
    <col min="1808" max="1810" width="9.33203125" style="308"/>
    <col min="1811" max="1811" width="16.6640625" style="308" customWidth="1"/>
    <col min="1812" max="2048" width="9.33203125" style="308"/>
    <col min="2049" max="2049" width="7.109375" style="308" customWidth="1"/>
    <col min="2050" max="2050" width="4.109375" style="308" customWidth="1"/>
    <col min="2051" max="2054" width="9.33203125" style="308"/>
    <col min="2055" max="2055" width="14.44140625" style="308" customWidth="1"/>
    <col min="2056" max="2056" width="16" style="308" customWidth="1"/>
    <col min="2057" max="2057" width="15.77734375" style="308" customWidth="1"/>
    <col min="2058" max="2058" width="4.77734375" style="308" customWidth="1"/>
    <col min="2059" max="2059" width="18.44140625" style="308" customWidth="1"/>
    <col min="2060" max="2060" width="4.77734375" style="308" customWidth="1"/>
    <col min="2061" max="2061" width="0" style="308" hidden="1" customWidth="1"/>
    <col min="2062" max="2062" width="6" style="308" customWidth="1"/>
    <col min="2063" max="2063" width="14.44140625" style="308" customWidth="1"/>
    <col min="2064" max="2066" width="9.33203125" style="308"/>
    <col min="2067" max="2067" width="16.6640625" style="308" customWidth="1"/>
    <col min="2068" max="2304" width="9.33203125" style="308"/>
    <col min="2305" max="2305" width="7.109375" style="308" customWidth="1"/>
    <col min="2306" max="2306" width="4.109375" style="308" customWidth="1"/>
    <col min="2307" max="2310" width="9.33203125" style="308"/>
    <col min="2311" max="2311" width="14.44140625" style="308" customWidth="1"/>
    <col min="2312" max="2312" width="16" style="308" customWidth="1"/>
    <col min="2313" max="2313" width="15.77734375" style="308" customWidth="1"/>
    <col min="2314" max="2314" width="4.77734375" style="308" customWidth="1"/>
    <col min="2315" max="2315" width="18.44140625" style="308" customWidth="1"/>
    <col min="2316" max="2316" width="4.77734375" style="308" customWidth="1"/>
    <col min="2317" max="2317" width="0" style="308" hidden="1" customWidth="1"/>
    <col min="2318" max="2318" width="6" style="308" customWidth="1"/>
    <col min="2319" max="2319" width="14.44140625" style="308" customWidth="1"/>
    <col min="2320" max="2322" width="9.33203125" style="308"/>
    <col min="2323" max="2323" width="16.6640625" style="308" customWidth="1"/>
    <col min="2324" max="2560" width="9.33203125" style="308"/>
    <col min="2561" max="2561" width="7.109375" style="308" customWidth="1"/>
    <col min="2562" max="2562" width="4.109375" style="308" customWidth="1"/>
    <col min="2563" max="2566" width="9.33203125" style="308"/>
    <col min="2567" max="2567" width="14.44140625" style="308" customWidth="1"/>
    <col min="2568" max="2568" width="16" style="308" customWidth="1"/>
    <col min="2569" max="2569" width="15.77734375" style="308" customWidth="1"/>
    <col min="2570" max="2570" width="4.77734375" style="308" customWidth="1"/>
    <col min="2571" max="2571" width="18.44140625" style="308" customWidth="1"/>
    <col min="2572" max="2572" width="4.77734375" style="308" customWidth="1"/>
    <col min="2573" max="2573" width="0" style="308" hidden="1" customWidth="1"/>
    <col min="2574" max="2574" width="6" style="308" customWidth="1"/>
    <col min="2575" max="2575" width="14.44140625" style="308" customWidth="1"/>
    <col min="2576" max="2578" width="9.33203125" style="308"/>
    <col min="2579" max="2579" width="16.6640625" style="308" customWidth="1"/>
    <col min="2580" max="2816" width="9.33203125" style="308"/>
    <col min="2817" max="2817" width="7.109375" style="308" customWidth="1"/>
    <col min="2818" max="2818" width="4.109375" style="308" customWidth="1"/>
    <col min="2819" max="2822" width="9.33203125" style="308"/>
    <col min="2823" max="2823" width="14.44140625" style="308" customWidth="1"/>
    <col min="2824" max="2824" width="16" style="308" customWidth="1"/>
    <col min="2825" max="2825" width="15.77734375" style="308" customWidth="1"/>
    <col min="2826" max="2826" width="4.77734375" style="308" customWidth="1"/>
    <col min="2827" max="2827" width="18.44140625" style="308" customWidth="1"/>
    <col min="2828" max="2828" width="4.77734375" style="308" customWidth="1"/>
    <col min="2829" max="2829" width="0" style="308" hidden="1" customWidth="1"/>
    <col min="2830" max="2830" width="6" style="308" customWidth="1"/>
    <col min="2831" max="2831" width="14.44140625" style="308" customWidth="1"/>
    <col min="2832" max="2834" width="9.33203125" style="308"/>
    <col min="2835" max="2835" width="16.6640625" style="308" customWidth="1"/>
    <col min="2836" max="3072" width="9.33203125" style="308"/>
    <col min="3073" max="3073" width="7.109375" style="308" customWidth="1"/>
    <col min="3074" max="3074" width="4.109375" style="308" customWidth="1"/>
    <col min="3075" max="3078" width="9.33203125" style="308"/>
    <col min="3079" max="3079" width="14.44140625" style="308" customWidth="1"/>
    <col min="3080" max="3080" width="16" style="308" customWidth="1"/>
    <col min="3081" max="3081" width="15.77734375" style="308" customWidth="1"/>
    <col min="3082" max="3082" width="4.77734375" style="308" customWidth="1"/>
    <col min="3083" max="3083" width="18.44140625" style="308" customWidth="1"/>
    <col min="3084" max="3084" width="4.77734375" style="308" customWidth="1"/>
    <col min="3085" max="3085" width="0" style="308" hidden="1" customWidth="1"/>
    <col min="3086" max="3086" width="6" style="308" customWidth="1"/>
    <col min="3087" max="3087" width="14.44140625" style="308" customWidth="1"/>
    <col min="3088" max="3090" width="9.33203125" style="308"/>
    <col min="3091" max="3091" width="16.6640625" style="308" customWidth="1"/>
    <col min="3092" max="3328" width="9.33203125" style="308"/>
    <col min="3329" max="3329" width="7.109375" style="308" customWidth="1"/>
    <col min="3330" max="3330" width="4.109375" style="308" customWidth="1"/>
    <col min="3331" max="3334" width="9.33203125" style="308"/>
    <col min="3335" max="3335" width="14.44140625" style="308" customWidth="1"/>
    <col min="3336" max="3336" width="16" style="308" customWidth="1"/>
    <col min="3337" max="3337" width="15.77734375" style="308" customWidth="1"/>
    <col min="3338" max="3338" width="4.77734375" style="308" customWidth="1"/>
    <col min="3339" max="3339" width="18.44140625" style="308" customWidth="1"/>
    <col min="3340" max="3340" width="4.77734375" style="308" customWidth="1"/>
    <col min="3341" max="3341" width="0" style="308" hidden="1" customWidth="1"/>
    <col min="3342" max="3342" width="6" style="308" customWidth="1"/>
    <col min="3343" max="3343" width="14.44140625" style="308" customWidth="1"/>
    <col min="3344" max="3346" width="9.33203125" style="308"/>
    <col min="3347" max="3347" width="16.6640625" style="308" customWidth="1"/>
    <col min="3348" max="3584" width="9.33203125" style="308"/>
    <col min="3585" max="3585" width="7.109375" style="308" customWidth="1"/>
    <col min="3586" max="3586" width="4.109375" style="308" customWidth="1"/>
    <col min="3587" max="3590" width="9.33203125" style="308"/>
    <col min="3591" max="3591" width="14.44140625" style="308" customWidth="1"/>
    <col min="3592" max="3592" width="16" style="308" customWidth="1"/>
    <col min="3593" max="3593" width="15.77734375" style="308" customWidth="1"/>
    <col min="3594" max="3594" width="4.77734375" style="308" customWidth="1"/>
    <col min="3595" max="3595" width="18.44140625" style="308" customWidth="1"/>
    <col min="3596" max="3596" width="4.77734375" style="308" customWidth="1"/>
    <col min="3597" max="3597" width="0" style="308" hidden="1" customWidth="1"/>
    <col min="3598" max="3598" width="6" style="308" customWidth="1"/>
    <col min="3599" max="3599" width="14.44140625" style="308" customWidth="1"/>
    <col min="3600" max="3602" width="9.33203125" style="308"/>
    <col min="3603" max="3603" width="16.6640625" style="308" customWidth="1"/>
    <col min="3604" max="3840" width="9.33203125" style="308"/>
    <col min="3841" max="3841" width="7.109375" style="308" customWidth="1"/>
    <col min="3842" max="3842" width="4.109375" style="308" customWidth="1"/>
    <col min="3843" max="3846" width="9.33203125" style="308"/>
    <col min="3847" max="3847" width="14.44140625" style="308" customWidth="1"/>
    <col min="3848" max="3848" width="16" style="308" customWidth="1"/>
    <col min="3849" max="3849" width="15.77734375" style="308" customWidth="1"/>
    <col min="3850" max="3850" width="4.77734375" style="308" customWidth="1"/>
    <col min="3851" max="3851" width="18.44140625" style="308" customWidth="1"/>
    <col min="3852" max="3852" width="4.77734375" style="308" customWidth="1"/>
    <col min="3853" max="3853" width="0" style="308" hidden="1" customWidth="1"/>
    <col min="3854" max="3854" width="6" style="308" customWidth="1"/>
    <col min="3855" max="3855" width="14.44140625" style="308" customWidth="1"/>
    <col min="3856" max="3858" width="9.33203125" style="308"/>
    <col min="3859" max="3859" width="16.6640625" style="308" customWidth="1"/>
    <col min="3860" max="4096" width="9.33203125" style="308"/>
    <col min="4097" max="4097" width="7.109375" style="308" customWidth="1"/>
    <col min="4098" max="4098" width="4.109375" style="308" customWidth="1"/>
    <col min="4099" max="4102" width="9.33203125" style="308"/>
    <col min="4103" max="4103" width="14.44140625" style="308" customWidth="1"/>
    <col min="4104" max="4104" width="16" style="308" customWidth="1"/>
    <col min="4105" max="4105" width="15.77734375" style="308" customWidth="1"/>
    <col min="4106" max="4106" width="4.77734375" style="308" customWidth="1"/>
    <col min="4107" max="4107" width="18.44140625" style="308" customWidth="1"/>
    <col min="4108" max="4108" width="4.77734375" style="308" customWidth="1"/>
    <col min="4109" max="4109" width="0" style="308" hidden="1" customWidth="1"/>
    <col min="4110" max="4110" width="6" style="308" customWidth="1"/>
    <col min="4111" max="4111" width="14.44140625" style="308" customWidth="1"/>
    <col min="4112" max="4114" width="9.33203125" style="308"/>
    <col min="4115" max="4115" width="16.6640625" style="308" customWidth="1"/>
    <col min="4116" max="4352" width="9.33203125" style="308"/>
    <col min="4353" max="4353" width="7.109375" style="308" customWidth="1"/>
    <col min="4354" max="4354" width="4.109375" style="308" customWidth="1"/>
    <col min="4355" max="4358" width="9.33203125" style="308"/>
    <col min="4359" max="4359" width="14.44140625" style="308" customWidth="1"/>
    <col min="4360" max="4360" width="16" style="308" customWidth="1"/>
    <col min="4361" max="4361" width="15.77734375" style="308" customWidth="1"/>
    <col min="4362" max="4362" width="4.77734375" style="308" customWidth="1"/>
    <col min="4363" max="4363" width="18.44140625" style="308" customWidth="1"/>
    <col min="4364" max="4364" width="4.77734375" style="308" customWidth="1"/>
    <col min="4365" max="4365" width="0" style="308" hidden="1" customWidth="1"/>
    <col min="4366" max="4366" width="6" style="308" customWidth="1"/>
    <col min="4367" max="4367" width="14.44140625" style="308" customWidth="1"/>
    <col min="4368" max="4370" width="9.33203125" style="308"/>
    <col min="4371" max="4371" width="16.6640625" style="308" customWidth="1"/>
    <col min="4372" max="4608" width="9.33203125" style="308"/>
    <col min="4609" max="4609" width="7.109375" style="308" customWidth="1"/>
    <col min="4610" max="4610" width="4.109375" style="308" customWidth="1"/>
    <col min="4611" max="4614" width="9.33203125" style="308"/>
    <col min="4615" max="4615" width="14.44140625" style="308" customWidth="1"/>
    <col min="4616" max="4616" width="16" style="308" customWidth="1"/>
    <col min="4617" max="4617" width="15.77734375" style="308" customWidth="1"/>
    <col min="4618" max="4618" width="4.77734375" style="308" customWidth="1"/>
    <col min="4619" max="4619" width="18.44140625" style="308" customWidth="1"/>
    <col min="4620" max="4620" width="4.77734375" style="308" customWidth="1"/>
    <col min="4621" max="4621" width="0" style="308" hidden="1" customWidth="1"/>
    <col min="4622" max="4622" width="6" style="308" customWidth="1"/>
    <col min="4623" max="4623" width="14.44140625" style="308" customWidth="1"/>
    <col min="4624" max="4626" width="9.33203125" style="308"/>
    <col min="4627" max="4627" width="16.6640625" style="308" customWidth="1"/>
    <col min="4628" max="4864" width="9.33203125" style="308"/>
    <col min="4865" max="4865" width="7.109375" style="308" customWidth="1"/>
    <col min="4866" max="4866" width="4.109375" style="308" customWidth="1"/>
    <col min="4867" max="4870" width="9.33203125" style="308"/>
    <col min="4871" max="4871" width="14.44140625" style="308" customWidth="1"/>
    <col min="4872" max="4872" width="16" style="308" customWidth="1"/>
    <col min="4873" max="4873" width="15.77734375" style="308" customWidth="1"/>
    <col min="4874" max="4874" width="4.77734375" style="308" customWidth="1"/>
    <col min="4875" max="4875" width="18.44140625" style="308" customWidth="1"/>
    <col min="4876" max="4876" width="4.77734375" style="308" customWidth="1"/>
    <col min="4877" max="4877" width="0" style="308" hidden="1" customWidth="1"/>
    <col min="4878" max="4878" width="6" style="308" customWidth="1"/>
    <col min="4879" max="4879" width="14.44140625" style="308" customWidth="1"/>
    <col min="4880" max="4882" width="9.33203125" style="308"/>
    <col min="4883" max="4883" width="16.6640625" style="308" customWidth="1"/>
    <col min="4884" max="5120" width="9.33203125" style="308"/>
    <col min="5121" max="5121" width="7.109375" style="308" customWidth="1"/>
    <col min="5122" max="5122" width="4.109375" style="308" customWidth="1"/>
    <col min="5123" max="5126" width="9.33203125" style="308"/>
    <col min="5127" max="5127" width="14.44140625" style="308" customWidth="1"/>
    <col min="5128" max="5128" width="16" style="308" customWidth="1"/>
    <col min="5129" max="5129" width="15.77734375" style="308" customWidth="1"/>
    <col min="5130" max="5130" width="4.77734375" style="308" customWidth="1"/>
    <col min="5131" max="5131" width="18.44140625" style="308" customWidth="1"/>
    <col min="5132" max="5132" width="4.77734375" style="308" customWidth="1"/>
    <col min="5133" max="5133" width="0" style="308" hidden="1" customWidth="1"/>
    <col min="5134" max="5134" width="6" style="308" customWidth="1"/>
    <col min="5135" max="5135" width="14.44140625" style="308" customWidth="1"/>
    <col min="5136" max="5138" width="9.33203125" style="308"/>
    <col min="5139" max="5139" width="16.6640625" style="308" customWidth="1"/>
    <col min="5140" max="5376" width="9.33203125" style="308"/>
    <col min="5377" max="5377" width="7.109375" style="308" customWidth="1"/>
    <col min="5378" max="5378" width="4.109375" style="308" customWidth="1"/>
    <col min="5379" max="5382" width="9.33203125" style="308"/>
    <col min="5383" max="5383" width="14.44140625" style="308" customWidth="1"/>
    <col min="5384" max="5384" width="16" style="308" customWidth="1"/>
    <col min="5385" max="5385" width="15.77734375" style="308" customWidth="1"/>
    <col min="5386" max="5386" width="4.77734375" style="308" customWidth="1"/>
    <col min="5387" max="5387" width="18.44140625" style="308" customWidth="1"/>
    <col min="5388" max="5388" width="4.77734375" style="308" customWidth="1"/>
    <col min="5389" max="5389" width="0" style="308" hidden="1" customWidth="1"/>
    <col min="5390" max="5390" width="6" style="308" customWidth="1"/>
    <col min="5391" max="5391" width="14.44140625" style="308" customWidth="1"/>
    <col min="5392" max="5394" width="9.33203125" style="308"/>
    <col min="5395" max="5395" width="16.6640625" style="308" customWidth="1"/>
    <col min="5396" max="5632" width="9.33203125" style="308"/>
    <col min="5633" max="5633" width="7.109375" style="308" customWidth="1"/>
    <col min="5634" max="5634" width="4.109375" style="308" customWidth="1"/>
    <col min="5635" max="5638" width="9.33203125" style="308"/>
    <col min="5639" max="5639" width="14.44140625" style="308" customWidth="1"/>
    <col min="5640" max="5640" width="16" style="308" customWidth="1"/>
    <col min="5641" max="5641" width="15.77734375" style="308" customWidth="1"/>
    <col min="5642" max="5642" width="4.77734375" style="308" customWidth="1"/>
    <col min="5643" max="5643" width="18.44140625" style="308" customWidth="1"/>
    <col min="5644" max="5644" width="4.77734375" style="308" customWidth="1"/>
    <col min="5645" max="5645" width="0" style="308" hidden="1" customWidth="1"/>
    <col min="5646" max="5646" width="6" style="308" customWidth="1"/>
    <col min="5647" max="5647" width="14.44140625" style="308" customWidth="1"/>
    <col min="5648" max="5650" width="9.33203125" style="308"/>
    <col min="5651" max="5651" width="16.6640625" style="308" customWidth="1"/>
    <col min="5652" max="5888" width="9.33203125" style="308"/>
    <col min="5889" max="5889" width="7.109375" style="308" customWidth="1"/>
    <col min="5890" max="5890" width="4.109375" style="308" customWidth="1"/>
    <col min="5891" max="5894" width="9.33203125" style="308"/>
    <col min="5895" max="5895" width="14.44140625" style="308" customWidth="1"/>
    <col min="5896" max="5896" width="16" style="308" customWidth="1"/>
    <col min="5897" max="5897" width="15.77734375" style="308" customWidth="1"/>
    <col min="5898" max="5898" width="4.77734375" style="308" customWidth="1"/>
    <col min="5899" max="5899" width="18.44140625" style="308" customWidth="1"/>
    <col min="5900" max="5900" width="4.77734375" style="308" customWidth="1"/>
    <col min="5901" max="5901" width="0" style="308" hidden="1" customWidth="1"/>
    <col min="5902" max="5902" width="6" style="308" customWidth="1"/>
    <col min="5903" max="5903" width="14.44140625" style="308" customWidth="1"/>
    <col min="5904" max="5906" width="9.33203125" style="308"/>
    <col min="5907" max="5907" width="16.6640625" style="308" customWidth="1"/>
    <col min="5908" max="6144" width="9.33203125" style="308"/>
    <col min="6145" max="6145" width="7.109375" style="308" customWidth="1"/>
    <col min="6146" max="6146" width="4.109375" style="308" customWidth="1"/>
    <col min="6147" max="6150" width="9.33203125" style="308"/>
    <col min="6151" max="6151" width="14.44140625" style="308" customWidth="1"/>
    <col min="6152" max="6152" width="16" style="308" customWidth="1"/>
    <col min="6153" max="6153" width="15.77734375" style="308" customWidth="1"/>
    <col min="6154" max="6154" width="4.77734375" style="308" customWidth="1"/>
    <col min="6155" max="6155" width="18.44140625" style="308" customWidth="1"/>
    <col min="6156" max="6156" width="4.77734375" style="308" customWidth="1"/>
    <col min="6157" max="6157" width="0" style="308" hidden="1" customWidth="1"/>
    <col min="6158" max="6158" width="6" style="308" customWidth="1"/>
    <col min="6159" max="6159" width="14.44140625" style="308" customWidth="1"/>
    <col min="6160" max="6162" width="9.33203125" style="308"/>
    <col min="6163" max="6163" width="16.6640625" style="308" customWidth="1"/>
    <col min="6164" max="6400" width="9.33203125" style="308"/>
    <col min="6401" max="6401" width="7.109375" style="308" customWidth="1"/>
    <col min="6402" max="6402" width="4.109375" style="308" customWidth="1"/>
    <col min="6403" max="6406" width="9.33203125" style="308"/>
    <col min="6407" max="6407" width="14.44140625" style="308" customWidth="1"/>
    <col min="6408" max="6408" width="16" style="308" customWidth="1"/>
    <col min="6409" max="6409" width="15.77734375" style="308" customWidth="1"/>
    <col min="6410" max="6410" width="4.77734375" style="308" customWidth="1"/>
    <col min="6411" max="6411" width="18.44140625" style="308" customWidth="1"/>
    <col min="6412" max="6412" width="4.77734375" style="308" customWidth="1"/>
    <col min="6413" max="6413" width="0" style="308" hidden="1" customWidth="1"/>
    <col min="6414" max="6414" width="6" style="308" customWidth="1"/>
    <col min="6415" max="6415" width="14.44140625" style="308" customWidth="1"/>
    <col min="6416" max="6418" width="9.33203125" style="308"/>
    <col min="6419" max="6419" width="16.6640625" style="308" customWidth="1"/>
    <col min="6420" max="6656" width="9.33203125" style="308"/>
    <col min="6657" max="6657" width="7.109375" style="308" customWidth="1"/>
    <col min="6658" max="6658" width="4.109375" style="308" customWidth="1"/>
    <col min="6659" max="6662" width="9.33203125" style="308"/>
    <col min="6663" max="6663" width="14.44140625" style="308" customWidth="1"/>
    <col min="6664" max="6664" width="16" style="308" customWidth="1"/>
    <col min="6665" max="6665" width="15.77734375" style="308" customWidth="1"/>
    <col min="6666" max="6666" width="4.77734375" style="308" customWidth="1"/>
    <col min="6667" max="6667" width="18.44140625" style="308" customWidth="1"/>
    <col min="6668" max="6668" width="4.77734375" style="308" customWidth="1"/>
    <col min="6669" max="6669" width="0" style="308" hidden="1" customWidth="1"/>
    <col min="6670" max="6670" width="6" style="308" customWidth="1"/>
    <col min="6671" max="6671" width="14.44140625" style="308" customWidth="1"/>
    <col min="6672" max="6674" width="9.33203125" style="308"/>
    <col min="6675" max="6675" width="16.6640625" style="308" customWidth="1"/>
    <col min="6676" max="6912" width="9.33203125" style="308"/>
    <col min="6913" max="6913" width="7.109375" style="308" customWidth="1"/>
    <col min="6914" max="6914" width="4.109375" style="308" customWidth="1"/>
    <col min="6915" max="6918" width="9.33203125" style="308"/>
    <col min="6919" max="6919" width="14.44140625" style="308" customWidth="1"/>
    <col min="6920" max="6920" width="16" style="308" customWidth="1"/>
    <col min="6921" max="6921" width="15.77734375" style="308" customWidth="1"/>
    <col min="6922" max="6922" width="4.77734375" style="308" customWidth="1"/>
    <col min="6923" max="6923" width="18.44140625" style="308" customWidth="1"/>
    <col min="6924" max="6924" width="4.77734375" style="308" customWidth="1"/>
    <col min="6925" max="6925" width="0" style="308" hidden="1" customWidth="1"/>
    <col min="6926" max="6926" width="6" style="308" customWidth="1"/>
    <col min="6927" max="6927" width="14.44140625" style="308" customWidth="1"/>
    <col min="6928" max="6930" width="9.33203125" style="308"/>
    <col min="6931" max="6931" width="16.6640625" style="308" customWidth="1"/>
    <col min="6932" max="7168" width="9.33203125" style="308"/>
    <col min="7169" max="7169" width="7.109375" style="308" customWidth="1"/>
    <col min="7170" max="7170" width="4.109375" style="308" customWidth="1"/>
    <col min="7171" max="7174" width="9.33203125" style="308"/>
    <col min="7175" max="7175" width="14.44140625" style="308" customWidth="1"/>
    <col min="7176" max="7176" width="16" style="308" customWidth="1"/>
    <col min="7177" max="7177" width="15.77734375" style="308" customWidth="1"/>
    <col min="7178" max="7178" width="4.77734375" style="308" customWidth="1"/>
    <col min="7179" max="7179" width="18.44140625" style="308" customWidth="1"/>
    <col min="7180" max="7180" width="4.77734375" style="308" customWidth="1"/>
    <col min="7181" max="7181" width="0" style="308" hidden="1" customWidth="1"/>
    <col min="7182" max="7182" width="6" style="308" customWidth="1"/>
    <col min="7183" max="7183" width="14.44140625" style="308" customWidth="1"/>
    <col min="7184" max="7186" width="9.33203125" style="308"/>
    <col min="7187" max="7187" width="16.6640625" style="308" customWidth="1"/>
    <col min="7188" max="7424" width="9.33203125" style="308"/>
    <col min="7425" max="7425" width="7.109375" style="308" customWidth="1"/>
    <col min="7426" max="7426" width="4.109375" style="308" customWidth="1"/>
    <col min="7427" max="7430" width="9.33203125" style="308"/>
    <col min="7431" max="7431" width="14.44140625" style="308" customWidth="1"/>
    <col min="7432" max="7432" width="16" style="308" customWidth="1"/>
    <col min="7433" max="7433" width="15.77734375" style="308" customWidth="1"/>
    <col min="7434" max="7434" width="4.77734375" style="308" customWidth="1"/>
    <col min="7435" max="7435" width="18.44140625" style="308" customWidth="1"/>
    <col min="7436" max="7436" width="4.77734375" style="308" customWidth="1"/>
    <col min="7437" max="7437" width="0" style="308" hidden="1" customWidth="1"/>
    <col min="7438" max="7438" width="6" style="308" customWidth="1"/>
    <col min="7439" max="7439" width="14.44140625" style="308" customWidth="1"/>
    <col min="7440" max="7442" width="9.33203125" style="308"/>
    <col min="7443" max="7443" width="16.6640625" style="308" customWidth="1"/>
    <col min="7444" max="7680" width="9.33203125" style="308"/>
    <col min="7681" max="7681" width="7.109375" style="308" customWidth="1"/>
    <col min="7682" max="7682" width="4.109375" style="308" customWidth="1"/>
    <col min="7683" max="7686" width="9.33203125" style="308"/>
    <col min="7687" max="7687" width="14.44140625" style="308" customWidth="1"/>
    <col min="7688" max="7688" width="16" style="308" customWidth="1"/>
    <col min="7689" max="7689" width="15.77734375" style="308" customWidth="1"/>
    <col min="7690" max="7690" width="4.77734375" style="308" customWidth="1"/>
    <col min="7691" max="7691" width="18.44140625" style="308" customWidth="1"/>
    <col min="7692" max="7692" width="4.77734375" style="308" customWidth="1"/>
    <col min="7693" max="7693" width="0" style="308" hidden="1" customWidth="1"/>
    <col min="7694" max="7694" width="6" style="308" customWidth="1"/>
    <col min="7695" max="7695" width="14.44140625" style="308" customWidth="1"/>
    <col min="7696" max="7698" width="9.33203125" style="308"/>
    <col min="7699" max="7699" width="16.6640625" style="308" customWidth="1"/>
    <col min="7700" max="7936" width="9.33203125" style="308"/>
    <col min="7937" max="7937" width="7.109375" style="308" customWidth="1"/>
    <col min="7938" max="7938" width="4.109375" style="308" customWidth="1"/>
    <col min="7939" max="7942" width="9.33203125" style="308"/>
    <col min="7943" max="7943" width="14.44140625" style="308" customWidth="1"/>
    <col min="7944" max="7944" width="16" style="308" customWidth="1"/>
    <col min="7945" max="7945" width="15.77734375" style="308" customWidth="1"/>
    <col min="7946" max="7946" width="4.77734375" style="308" customWidth="1"/>
    <col min="7947" max="7947" width="18.44140625" style="308" customWidth="1"/>
    <col min="7948" max="7948" width="4.77734375" style="308" customWidth="1"/>
    <col min="7949" max="7949" width="0" style="308" hidden="1" customWidth="1"/>
    <col min="7950" max="7950" width="6" style="308" customWidth="1"/>
    <col min="7951" max="7951" width="14.44140625" style="308" customWidth="1"/>
    <col min="7952" max="7954" width="9.33203125" style="308"/>
    <col min="7955" max="7955" width="16.6640625" style="308" customWidth="1"/>
    <col min="7956" max="8192" width="9.33203125" style="308"/>
    <col min="8193" max="8193" width="7.109375" style="308" customWidth="1"/>
    <col min="8194" max="8194" width="4.109375" style="308" customWidth="1"/>
    <col min="8195" max="8198" width="9.33203125" style="308"/>
    <col min="8199" max="8199" width="14.44140625" style="308" customWidth="1"/>
    <col min="8200" max="8200" width="16" style="308" customWidth="1"/>
    <col min="8201" max="8201" width="15.77734375" style="308" customWidth="1"/>
    <col min="8202" max="8202" width="4.77734375" style="308" customWidth="1"/>
    <col min="8203" max="8203" width="18.44140625" style="308" customWidth="1"/>
    <col min="8204" max="8204" width="4.77734375" style="308" customWidth="1"/>
    <col min="8205" max="8205" width="0" style="308" hidden="1" customWidth="1"/>
    <col min="8206" max="8206" width="6" style="308" customWidth="1"/>
    <col min="8207" max="8207" width="14.44140625" style="308" customWidth="1"/>
    <col min="8208" max="8210" width="9.33203125" style="308"/>
    <col min="8211" max="8211" width="16.6640625" style="308" customWidth="1"/>
    <col min="8212" max="8448" width="9.33203125" style="308"/>
    <col min="8449" max="8449" width="7.109375" style="308" customWidth="1"/>
    <col min="8450" max="8450" width="4.109375" style="308" customWidth="1"/>
    <col min="8451" max="8454" width="9.33203125" style="308"/>
    <col min="8455" max="8455" width="14.44140625" style="308" customWidth="1"/>
    <col min="8456" max="8456" width="16" style="308" customWidth="1"/>
    <col min="8457" max="8457" width="15.77734375" style="308" customWidth="1"/>
    <col min="8458" max="8458" width="4.77734375" style="308" customWidth="1"/>
    <col min="8459" max="8459" width="18.44140625" style="308" customWidth="1"/>
    <col min="8460" max="8460" width="4.77734375" style="308" customWidth="1"/>
    <col min="8461" max="8461" width="0" style="308" hidden="1" customWidth="1"/>
    <col min="8462" max="8462" width="6" style="308" customWidth="1"/>
    <col min="8463" max="8463" width="14.44140625" style="308" customWidth="1"/>
    <col min="8464" max="8466" width="9.33203125" style="308"/>
    <col min="8467" max="8467" width="16.6640625" style="308" customWidth="1"/>
    <col min="8468" max="8704" width="9.33203125" style="308"/>
    <col min="8705" max="8705" width="7.109375" style="308" customWidth="1"/>
    <col min="8706" max="8706" width="4.109375" style="308" customWidth="1"/>
    <col min="8707" max="8710" width="9.33203125" style="308"/>
    <col min="8711" max="8711" width="14.44140625" style="308" customWidth="1"/>
    <col min="8712" max="8712" width="16" style="308" customWidth="1"/>
    <col min="8713" max="8713" width="15.77734375" style="308" customWidth="1"/>
    <col min="8714" max="8714" width="4.77734375" style="308" customWidth="1"/>
    <col min="8715" max="8715" width="18.44140625" style="308" customWidth="1"/>
    <col min="8716" max="8716" width="4.77734375" style="308" customWidth="1"/>
    <col min="8717" max="8717" width="0" style="308" hidden="1" customWidth="1"/>
    <col min="8718" max="8718" width="6" style="308" customWidth="1"/>
    <col min="8719" max="8719" width="14.44140625" style="308" customWidth="1"/>
    <col min="8720" max="8722" width="9.33203125" style="308"/>
    <col min="8723" max="8723" width="16.6640625" style="308" customWidth="1"/>
    <col min="8724" max="8960" width="9.33203125" style="308"/>
    <col min="8961" max="8961" width="7.109375" style="308" customWidth="1"/>
    <col min="8962" max="8962" width="4.109375" style="308" customWidth="1"/>
    <col min="8963" max="8966" width="9.33203125" style="308"/>
    <col min="8967" max="8967" width="14.44140625" style="308" customWidth="1"/>
    <col min="8968" max="8968" width="16" style="308" customWidth="1"/>
    <col min="8969" max="8969" width="15.77734375" style="308" customWidth="1"/>
    <col min="8970" max="8970" width="4.77734375" style="308" customWidth="1"/>
    <col min="8971" max="8971" width="18.44140625" style="308" customWidth="1"/>
    <col min="8972" max="8972" width="4.77734375" style="308" customWidth="1"/>
    <col min="8973" max="8973" width="0" style="308" hidden="1" customWidth="1"/>
    <col min="8974" max="8974" width="6" style="308" customWidth="1"/>
    <col min="8975" max="8975" width="14.44140625" style="308" customWidth="1"/>
    <col min="8976" max="8978" width="9.33203125" style="308"/>
    <col min="8979" max="8979" width="16.6640625" style="308" customWidth="1"/>
    <col min="8980" max="9216" width="9.33203125" style="308"/>
    <col min="9217" max="9217" width="7.109375" style="308" customWidth="1"/>
    <col min="9218" max="9218" width="4.109375" style="308" customWidth="1"/>
    <col min="9219" max="9222" width="9.33203125" style="308"/>
    <col min="9223" max="9223" width="14.44140625" style="308" customWidth="1"/>
    <col min="9224" max="9224" width="16" style="308" customWidth="1"/>
    <col min="9225" max="9225" width="15.77734375" style="308" customWidth="1"/>
    <col min="9226" max="9226" width="4.77734375" style="308" customWidth="1"/>
    <col min="9227" max="9227" width="18.44140625" style="308" customWidth="1"/>
    <col min="9228" max="9228" width="4.77734375" style="308" customWidth="1"/>
    <col min="9229" max="9229" width="0" style="308" hidden="1" customWidth="1"/>
    <col min="9230" max="9230" width="6" style="308" customWidth="1"/>
    <col min="9231" max="9231" width="14.44140625" style="308" customWidth="1"/>
    <col min="9232" max="9234" width="9.33203125" style="308"/>
    <col min="9235" max="9235" width="16.6640625" style="308" customWidth="1"/>
    <col min="9236" max="9472" width="9.33203125" style="308"/>
    <col min="9473" max="9473" width="7.109375" style="308" customWidth="1"/>
    <col min="9474" max="9474" width="4.109375" style="308" customWidth="1"/>
    <col min="9475" max="9478" width="9.33203125" style="308"/>
    <col min="9479" max="9479" width="14.44140625" style="308" customWidth="1"/>
    <col min="9480" max="9480" width="16" style="308" customWidth="1"/>
    <col min="9481" max="9481" width="15.77734375" style="308" customWidth="1"/>
    <col min="9482" max="9482" width="4.77734375" style="308" customWidth="1"/>
    <col min="9483" max="9483" width="18.44140625" style="308" customWidth="1"/>
    <col min="9484" max="9484" width="4.77734375" style="308" customWidth="1"/>
    <col min="9485" max="9485" width="0" style="308" hidden="1" customWidth="1"/>
    <col min="9486" max="9486" width="6" style="308" customWidth="1"/>
    <col min="9487" max="9487" width="14.44140625" style="308" customWidth="1"/>
    <col min="9488" max="9490" width="9.33203125" style="308"/>
    <col min="9491" max="9491" width="16.6640625" style="308" customWidth="1"/>
    <col min="9492" max="9728" width="9.33203125" style="308"/>
    <col min="9729" max="9729" width="7.109375" style="308" customWidth="1"/>
    <col min="9730" max="9730" width="4.109375" style="308" customWidth="1"/>
    <col min="9731" max="9734" width="9.33203125" style="308"/>
    <col min="9735" max="9735" width="14.44140625" style="308" customWidth="1"/>
    <col min="9736" max="9736" width="16" style="308" customWidth="1"/>
    <col min="9737" max="9737" width="15.77734375" style="308" customWidth="1"/>
    <col min="9738" max="9738" width="4.77734375" style="308" customWidth="1"/>
    <col min="9739" max="9739" width="18.44140625" style="308" customWidth="1"/>
    <col min="9740" max="9740" width="4.77734375" style="308" customWidth="1"/>
    <col min="9741" max="9741" width="0" style="308" hidden="1" customWidth="1"/>
    <col min="9742" max="9742" width="6" style="308" customWidth="1"/>
    <col min="9743" max="9743" width="14.44140625" style="308" customWidth="1"/>
    <col min="9744" max="9746" width="9.33203125" style="308"/>
    <col min="9747" max="9747" width="16.6640625" style="308" customWidth="1"/>
    <col min="9748" max="9984" width="9.33203125" style="308"/>
    <col min="9985" max="9985" width="7.109375" style="308" customWidth="1"/>
    <col min="9986" max="9986" width="4.109375" style="308" customWidth="1"/>
    <col min="9987" max="9990" width="9.33203125" style="308"/>
    <col min="9991" max="9991" width="14.44140625" style="308" customWidth="1"/>
    <col min="9992" max="9992" width="16" style="308" customWidth="1"/>
    <col min="9993" max="9993" width="15.77734375" style="308" customWidth="1"/>
    <col min="9994" max="9994" width="4.77734375" style="308" customWidth="1"/>
    <col min="9995" max="9995" width="18.44140625" style="308" customWidth="1"/>
    <col min="9996" max="9996" width="4.77734375" style="308" customWidth="1"/>
    <col min="9997" max="9997" width="0" style="308" hidden="1" customWidth="1"/>
    <col min="9998" max="9998" width="6" style="308" customWidth="1"/>
    <col min="9999" max="9999" width="14.44140625" style="308" customWidth="1"/>
    <col min="10000" max="10002" width="9.33203125" style="308"/>
    <col min="10003" max="10003" width="16.6640625" style="308" customWidth="1"/>
    <col min="10004" max="10240" width="9.33203125" style="308"/>
    <col min="10241" max="10241" width="7.109375" style="308" customWidth="1"/>
    <col min="10242" max="10242" width="4.109375" style="308" customWidth="1"/>
    <col min="10243" max="10246" width="9.33203125" style="308"/>
    <col min="10247" max="10247" width="14.44140625" style="308" customWidth="1"/>
    <col min="10248" max="10248" width="16" style="308" customWidth="1"/>
    <col min="10249" max="10249" width="15.77734375" style="308" customWidth="1"/>
    <col min="10250" max="10250" width="4.77734375" style="308" customWidth="1"/>
    <col min="10251" max="10251" width="18.44140625" style="308" customWidth="1"/>
    <col min="10252" max="10252" width="4.77734375" style="308" customWidth="1"/>
    <col min="10253" max="10253" width="0" style="308" hidden="1" customWidth="1"/>
    <col min="10254" max="10254" width="6" style="308" customWidth="1"/>
    <col min="10255" max="10255" width="14.44140625" style="308" customWidth="1"/>
    <col min="10256" max="10258" width="9.33203125" style="308"/>
    <col min="10259" max="10259" width="16.6640625" style="308" customWidth="1"/>
    <col min="10260" max="10496" width="9.33203125" style="308"/>
    <col min="10497" max="10497" width="7.109375" style="308" customWidth="1"/>
    <col min="10498" max="10498" width="4.109375" style="308" customWidth="1"/>
    <col min="10499" max="10502" width="9.33203125" style="308"/>
    <col min="10503" max="10503" width="14.44140625" style="308" customWidth="1"/>
    <col min="10504" max="10504" width="16" style="308" customWidth="1"/>
    <col min="10505" max="10505" width="15.77734375" style="308" customWidth="1"/>
    <col min="10506" max="10506" width="4.77734375" style="308" customWidth="1"/>
    <col min="10507" max="10507" width="18.44140625" style="308" customWidth="1"/>
    <col min="10508" max="10508" width="4.77734375" style="308" customWidth="1"/>
    <col min="10509" max="10509" width="0" style="308" hidden="1" customWidth="1"/>
    <col min="10510" max="10510" width="6" style="308" customWidth="1"/>
    <col min="10511" max="10511" width="14.44140625" style="308" customWidth="1"/>
    <col min="10512" max="10514" width="9.33203125" style="308"/>
    <col min="10515" max="10515" width="16.6640625" style="308" customWidth="1"/>
    <col min="10516" max="10752" width="9.33203125" style="308"/>
    <col min="10753" max="10753" width="7.109375" style="308" customWidth="1"/>
    <col min="10754" max="10754" width="4.109375" style="308" customWidth="1"/>
    <col min="10755" max="10758" width="9.33203125" style="308"/>
    <col min="10759" max="10759" width="14.44140625" style="308" customWidth="1"/>
    <col min="10760" max="10760" width="16" style="308" customWidth="1"/>
    <col min="10761" max="10761" width="15.77734375" style="308" customWidth="1"/>
    <col min="10762" max="10762" width="4.77734375" style="308" customWidth="1"/>
    <col min="10763" max="10763" width="18.44140625" style="308" customWidth="1"/>
    <col min="10764" max="10764" width="4.77734375" style="308" customWidth="1"/>
    <col min="10765" max="10765" width="0" style="308" hidden="1" customWidth="1"/>
    <col min="10766" max="10766" width="6" style="308" customWidth="1"/>
    <col min="10767" max="10767" width="14.44140625" style="308" customWidth="1"/>
    <col min="10768" max="10770" width="9.33203125" style="308"/>
    <col min="10771" max="10771" width="16.6640625" style="308" customWidth="1"/>
    <col min="10772" max="11008" width="9.33203125" style="308"/>
    <col min="11009" max="11009" width="7.109375" style="308" customWidth="1"/>
    <col min="11010" max="11010" width="4.109375" style="308" customWidth="1"/>
    <col min="11011" max="11014" width="9.33203125" style="308"/>
    <col min="11015" max="11015" width="14.44140625" style="308" customWidth="1"/>
    <col min="11016" max="11016" width="16" style="308" customWidth="1"/>
    <col min="11017" max="11017" width="15.77734375" style="308" customWidth="1"/>
    <col min="11018" max="11018" width="4.77734375" style="308" customWidth="1"/>
    <col min="11019" max="11019" width="18.44140625" style="308" customWidth="1"/>
    <col min="11020" max="11020" width="4.77734375" style="308" customWidth="1"/>
    <col min="11021" max="11021" width="0" style="308" hidden="1" customWidth="1"/>
    <col min="11022" max="11022" width="6" style="308" customWidth="1"/>
    <col min="11023" max="11023" width="14.44140625" style="308" customWidth="1"/>
    <col min="11024" max="11026" width="9.33203125" style="308"/>
    <col min="11027" max="11027" width="16.6640625" style="308" customWidth="1"/>
    <col min="11028" max="11264" width="9.33203125" style="308"/>
    <col min="11265" max="11265" width="7.109375" style="308" customWidth="1"/>
    <col min="11266" max="11266" width="4.109375" style="308" customWidth="1"/>
    <col min="11267" max="11270" width="9.33203125" style="308"/>
    <col min="11271" max="11271" width="14.44140625" style="308" customWidth="1"/>
    <col min="11272" max="11272" width="16" style="308" customWidth="1"/>
    <col min="11273" max="11273" width="15.77734375" style="308" customWidth="1"/>
    <col min="11274" max="11274" width="4.77734375" style="308" customWidth="1"/>
    <col min="11275" max="11275" width="18.44140625" style="308" customWidth="1"/>
    <col min="11276" max="11276" width="4.77734375" style="308" customWidth="1"/>
    <col min="11277" max="11277" width="0" style="308" hidden="1" customWidth="1"/>
    <col min="11278" max="11278" width="6" style="308" customWidth="1"/>
    <col min="11279" max="11279" width="14.44140625" style="308" customWidth="1"/>
    <col min="11280" max="11282" width="9.33203125" style="308"/>
    <col min="11283" max="11283" width="16.6640625" style="308" customWidth="1"/>
    <col min="11284" max="11520" width="9.33203125" style="308"/>
    <col min="11521" max="11521" width="7.109375" style="308" customWidth="1"/>
    <col min="11522" max="11522" width="4.109375" style="308" customWidth="1"/>
    <col min="11523" max="11526" width="9.33203125" style="308"/>
    <col min="11527" max="11527" width="14.44140625" style="308" customWidth="1"/>
    <col min="11528" max="11528" width="16" style="308" customWidth="1"/>
    <col min="11529" max="11529" width="15.77734375" style="308" customWidth="1"/>
    <col min="11530" max="11530" width="4.77734375" style="308" customWidth="1"/>
    <col min="11531" max="11531" width="18.44140625" style="308" customWidth="1"/>
    <col min="11532" max="11532" width="4.77734375" style="308" customWidth="1"/>
    <col min="11533" max="11533" width="0" style="308" hidden="1" customWidth="1"/>
    <col min="11534" max="11534" width="6" style="308" customWidth="1"/>
    <col min="11535" max="11535" width="14.44140625" style="308" customWidth="1"/>
    <col min="11536" max="11538" width="9.33203125" style="308"/>
    <col min="11539" max="11539" width="16.6640625" style="308" customWidth="1"/>
    <col min="11540" max="11776" width="9.33203125" style="308"/>
    <col min="11777" max="11777" width="7.109375" style="308" customWidth="1"/>
    <col min="11778" max="11778" width="4.109375" style="308" customWidth="1"/>
    <col min="11779" max="11782" width="9.33203125" style="308"/>
    <col min="11783" max="11783" width="14.44140625" style="308" customWidth="1"/>
    <col min="11784" max="11784" width="16" style="308" customWidth="1"/>
    <col min="11785" max="11785" width="15.77734375" style="308" customWidth="1"/>
    <col min="11786" max="11786" width="4.77734375" style="308" customWidth="1"/>
    <col min="11787" max="11787" width="18.44140625" style="308" customWidth="1"/>
    <col min="11788" max="11788" width="4.77734375" style="308" customWidth="1"/>
    <col min="11789" max="11789" width="0" style="308" hidden="1" customWidth="1"/>
    <col min="11790" max="11790" width="6" style="308" customWidth="1"/>
    <col min="11791" max="11791" width="14.44140625" style="308" customWidth="1"/>
    <col min="11792" max="11794" width="9.33203125" style="308"/>
    <col min="11795" max="11795" width="16.6640625" style="308" customWidth="1"/>
    <col min="11796" max="12032" width="9.33203125" style="308"/>
    <col min="12033" max="12033" width="7.109375" style="308" customWidth="1"/>
    <col min="12034" max="12034" width="4.109375" style="308" customWidth="1"/>
    <col min="12035" max="12038" width="9.33203125" style="308"/>
    <col min="12039" max="12039" width="14.44140625" style="308" customWidth="1"/>
    <col min="12040" max="12040" width="16" style="308" customWidth="1"/>
    <col min="12041" max="12041" width="15.77734375" style="308" customWidth="1"/>
    <col min="12042" max="12042" width="4.77734375" style="308" customWidth="1"/>
    <col min="12043" max="12043" width="18.44140625" style="308" customWidth="1"/>
    <col min="12044" max="12044" width="4.77734375" style="308" customWidth="1"/>
    <col min="12045" max="12045" width="0" style="308" hidden="1" customWidth="1"/>
    <col min="12046" max="12046" width="6" style="308" customWidth="1"/>
    <col min="12047" max="12047" width="14.44140625" style="308" customWidth="1"/>
    <col min="12048" max="12050" width="9.33203125" style="308"/>
    <col min="12051" max="12051" width="16.6640625" style="308" customWidth="1"/>
    <col min="12052" max="12288" width="9.33203125" style="308"/>
    <col min="12289" max="12289" width="7.109375" style="308" customWidth="1"/>
    <col min="12290" max="12290" width="4.109375" style="308" customWidth="1"/>
    <col min="12291" max="12294" width="9.33203125" style="308"/>
    <col min="12295" max="12295" width="14.44140625" style="308" customWidth="1"/>
    <col min="12296" max="12296" width="16" style="308" customWidth="1"/>
    <col min="12297" max="12297" width="15.77734375" style="308" customWidth="1"/>
    <col min="12298" max="12298" width="4.77734375" style="308" customWidth="1"/>
    <col min="12299" max="12299" width="18.44140625" style="308" customWidth="1"/>
    <col min="12300" max="12300" width="4.77734375" style="308" customWidth="1"/>
    <col min="12301" max="12301" width="0" style="308" hidden="1" customWidth="1"/>
    <col min="12302" max="12302" width="6" style="308" customWidth="1"/>
    <col min="12303" max="12303" width="14.44140625" style="308" customWidth="1"/>
    <col min="12304" max="12306" width="9.33203125" style="308"/>
    <col min="12307" max="12307" width="16.6640625" style="308" customWidth="1"/>
    <col min="12308" max="12544" width="9.33203125" style="308"/>
    <col min="12545" max="12545" width="7.109375" style="308" customWidth="1"/>
    <col min="12546" max="12546" width="4.109375" style="308" customWidth="1"/>
    <col min="12547" max="12550" width="9.33203125" style="308"/>
    <col min="12551" max="12551" width="14.44140625" style="308" customWidth="1"/>
    <col min="12552" max="12552" width="16" style="308" customWidth="1"/>
    <col min="12553" max="12553" width="15.77734375" style="308" customWidth="1"/>
    <col min="12554" max="12554" width="4.77734375" style="308" customWidth="1"/>
    <col min="12555" max="12555" width="18.44140625" style="308" customWidth="1"/>
    <col min="12556" max="12556" width="4.77734375" style="308" customWidth="1"/>
    <col min="12557" max="12557" width="0" style="308" hidden="1" customWidth="1"/>
    <col min="12558" max="12558" width="6" style="308" customWidth="1"/>
    <col min="12559" max="12559" width="14.44140625" style="308" customWidth="1"/>
    <col min="12560" max="12562" width="9.33203125" style="308"/>
    <col min="12563" max="12563" width="16.6640625" style="308" customWidth="1"/>
    <col min="12564" max="12800" width="9.33203125" style="308"/>
    <col min="12801" max="12801" width="7.109375" style="308" customWidth="1"/>
    <col min="12802" max="12802" width="4.109375" style="308" customWidth="1"/>
    <col min="12803" max="12806" width="9.33203125" style="308"/>
    <col min="12807" max="12807" width="14.44140625" style="308" customWidth="1"/>
    <col min="12808" max="12808" width="16" style="308" customWidth="1"/>
    <col min="12809" max="12809" width="15.77734375" style="308" customWidth="1"/>
    <col min="12810" max="12810" width="4.77734375" style="308" customWidth="1"/>
    <col min="12811" max="12811" width="18.44140625" style="308" customWidth="1"/>
    <col min="12812" max="12812" width="4.77734375" style="308" customWidth="1"/>
    <col min="12813" max="12813" width="0" style="308" hidden="1" customWidth="1"/>
    <col min="12814" max="12814" width="6" style="308" customWidth="1"/>
    <col min="12815" max="12815" width="14.44140625" style="308" customWidth="1"/>
    <col min="12816" max="12818" width="9.33203125" style="308"/>
    <col min="12819" max="12819" width="16.6640625" style="308" customWidth="1"/>
    <col min="12820" max="13056" width="9.33203125" style="308"/>
    <col min="13057" max="13057" width="7.109375" style="308" customWidth="1"/>
    <col min="13058" max="13058" width="4.109375" style="308" customWidth="1"/>
    <col min="13059" max="13062" width="9.33203125" style="308"/>
    <col min="13063" max="13063" width="14.44140625" style="308" customWidth="1"/>
    <col min="13064" max="13064" width="16" style="308" customWidth="1"/>
    <col min="13065" max="13065" width="15.77734375" style="308" customWidth="1"/>
    <col min="13066" max="13066" width="4.77734375" style="308" customWidth="1"/>
    <col min="13067" max="13067" width="18.44140625" style="308" customWidth="1"/>
    <col min="13068" max="13068" width="4.77734375" style="308" customWidth="1"/>
    <col min="13069" max="13069" width="0" style="308" hidden="1" customWidth="1"/>
    <col min="13070" max="13070" width="6" style="308" customWidth="1"/>
    <col min="13071" max="13071" width="14.44140625" style="308" customWidth="1"/>
    <col min="13072" max="13074" width="9.33203125" style="308"/>
    <col min="13075" max="13075" width="16.6640625" style="308" customWidth="1"/>
    <col min="13076" max="13312" width="9.33203125" style="308"/>
    <col min="13313" max="13313" width="7.109375" style="308" customWidth="1"/>
    <col min="13314" max="13314" width="4.109375" style="308" customWidth="1"/>
    <col min="13315" max="13318" width="9.33203125" style="308"/>
    <col min="13319" max="13319" width="14.44140625" style="308" customWidth="1"/>
    <col min="13320" max="13320" width="16" style="308" customWidth="1"/>
    <col min="13321" max="13321" width="15.77734375" style="308" customWidth="1"/>
    <col min="13322" max="13322" width="4.77734375" style="308" customWidth="1"/>
    <col min="13323" max="13323" width="18.44140625" style="308" customWidth="1"/>
    <col min="13324" max="13324" width="4.77734375" style="308" customWidth="1"/>
    <col min="13325" max="13325" width="0" style="308" hidden="1" customWidth="1"/>
    <col min="13326" max="13326" width="6" style="308" customWidth="1"/>
    <col min="13327" max="13327" width="14.44140625" style="308" customWidth="1"/>
    <col min="13328" max="13330" width="9.33203125" style="308"/>
    <col min="13331" max="13331" width="16.6640625" style="308" customWidth="1"/>
    <col min="13332" max="13568" width="9.33203125" style="308"/>
    <col min="13569" max="13569" width="7.109375" style="308" customWidth="1"/>
    <col min="13570" max="13570" width="4.109375" style="308" customWidth="1"/>
    <col min="13571" max="13574" width="9.33203125" style="308"/>
    <col min="13575" max="13575" width="14.44140625" style="308" customWidth="1"/>
    <col min="13576" max="13576" width="16" style="308" customWidth="1"/>
    <col min="13577" max="13577" width="15.77734375" style="308" customWidth="1"/>
    <col min="13578" max="13578" width="4.77734375" style="308" customWidth="1"/>
    <col min="13579" max="13579" width="18.44140625" style="308" customWidth="1"/>
    <col min="13580" max="13580" width="4.77734375" style="308" customWidth="1"/>
    <col min="13581" max="13581" width="0" style="308" hidden="1" customWidth="1"/>
    <col min="13582" max="13582" width="6" style="308" customWidth="1"/>
    <col min="13583" max="13583" width="14.44140625" style="308" customWidth="1"/>
    <col min="13584" max="13586" width="9.33203125" style="308"/>
    <col min="13587" max="13587" width="16.6640625" style="308" customWidth="1"/>
    <col min="13588" max="13824" width="9.33203125" style="308"/>
    <col min="13825" max="13825" width="7.109375" style="308" customWidth="1"/>
    <col min="13826" max="13826" width="4.109375" style="308" customWidth="1"/>
    <col min="13827" max="13830" width="9.33203125" style="308"/>
    <col min="13831" max="13831" width="14.44140625" style="308" customWidth="1"/>
    <col min="13832" max="13832" width="16" style="308" customWidth="1"/>
    <col min="13833" max="13833" width="15.77734375" style="308" customWidth="1"/>
    <col min="13834" max="13834" width="4.77734375" style="308" customWidth="1"/>
    <col min="13835" max="13835" width="18.44140625" style="308" customWidth="1"/>
    <col min="13836" max="13836" width="4.77734375" style="308" customWidth="1"/>
    <col min="13837" max="13837" width="0" style="308" hidden="1" customWidth="1"/>
    <col min="13838" max="13838" width="6" style="308" customWidth="1"/>
    <col min="13839" max="13839" width="14.44140625" style="308" customWidth="1"/>
    <col min="13840" max="13842" width="9.33203125" style="308"/>
    <col min="13843" max="13843" width="16.6640625" style="308" customWidth="1"/>
    <col min="13844" max="14080" width="9.33203125" style="308"/>
    <col min="14081" max="14081" width="7.109375" style="308" customWidth="1"/>
    <col min="14082" max="14082" width="4.109375" style="308" customWidth="1"/>
    <col min="14083" max="14086" width="9.33203125" style="308"/>
    <col min="14087" max="14087" width="14.44140625" style="308" customWidth="1"/>
    <col min="14088" max="14088" width="16" style="308" customWidth="1"/>
    <col min="14089" max="14089" width="15.77734375" style="308" customWidth="1"/>
    <col min="14090" max="14090" width="4.77734375" style="308" customWidth="1"/>
    <col min="14091" max="14091" width="18.44140625" style="308" customWidth="1"/>
    <col min="14092" max="14092" width="4.77734375" style="308" customWidth="1"/>
    <col min="14093" max="14093" width="0" style="308" hidden="1" customWidth="1"/>
    <col min="14094" max="14094" width="6" style="308" customWidth="1"/>
    <col min="14095" max="14095" width="14.44140625" style="308" customWidth="1"/>
    <col min="14096" max="14098" width="9.33203125" style="308"/>
    <col min="14099" max="14099" width="16.6640625" style="308" customWidth="1"/>
    <col min="14100" max="14336" width="9.33203125" style="308"/>
    <col min="14337" max="14337" width="7.109375" style="308" customWidth="1"/>
    <col min="14338" max="14338" width="4.109375" style="308" customWidth="1"/>
    <col min="14339" max="14342" width="9.33203125" style="308"/>
    <col min="14343" max="14343" width="14.44140625" style="308" customWidth="1"/>
    <col min="14344" max="14344" width="16" style="308" customWidth="1"/>
    <col min="14345" max="14345" width="15.77734375" style="308" customWidth="1"/>
    <col min="14346" max="14346" width="4.77734375" style="308" customWidth="1"/>
    <col min="14347" max="14347" width="18.44140625" style="308" customWidth="1"/>
    <col min="14348" max="14348" width="4.77734375" style="308" customWidth="1"/>
    <col min="14349" max="14349" width="0" style="308" hidden="1" customWidth="1"/>
    <col min="14350" max="14350" width="6" style="308" customWidth="1"/>
    <col min="14351" max="14351" width="14.44140625" style="308" customWidth="1"/>
    <col min="14352" max="14354" width="9.33203125" style="308"/>
    <col min="14355" max="14355" width="16.6640625" style="308" customWidth="1"/>
    <col min="14356" max="14592" width="9.33203125" style="308"/>
    <col min="14593" max="14593" width="7.109375" style="308" customWidth="1"/>
    <col min="14594" max="14594" width="4.109375" style="308" customWidth="1"/>
    <col min="14595" max="14598" width="9.33203125" style="308"/>
    <col min="14599" max="14599" width="14.44140625" style="308" customWidth="1"/>
    <col min="14600" max="14600" width="16" style="308" customWidth="1"/>
    <col min="14601" max="14601" width="15.77734375" style="308" customWidth="1"/>
    <col min="14602" max="14602" width="4.77734375" style="308" customWidth="1"/>
    <col min="14603" max="14603" width="18.44140625" style="308" customWidth="1"/>
    <col min="14604" max="14604" width="4.77734375" style="308" customWidth="1"/>
    <col min="14605" max="14605" width="0" style="308" hidden="1" customWidth="1"/>
    <col min="14606" max="14606" width="6" style="308" customWidth="1"/>
    <col min="14607" max="14607" width="14.44140625" style="308" customWidth="1"/>
    <col min="14608" max="14610" width="9.33203125" style="308"/>
    <col min="14611" max="14611" width="16.6640625" style="308" customWidth="1"/>
    <col min="14612" max="14848" width="9.33203125" style="308"/>
    <col min="14849" max="14849" width="7.109375" style="308" customWidth="1"/>
    <col min="14850" max="14850" width="4.109375" style="308" customWidth="1"/>
    <col min="14851" max="14854" width="9.33203125" style="308"/>
    <col min="14855" max="14855" width="14.44140625" style="308" customWidth="1"/>
    <col min="14856" max="14856" width="16" style="308" customWidth="1"/>
    <col min="14857" max="14857" width="15.77734375" style="308" customWidth="1"/>
    <col min="14858" max="14858" width="4.77734375" style="308" customWidth="1"/>
    <col min="14859" max="14859" width="18.44140625" style="308" customWidth="1"/>
    <col min="14860" max="14860" width="4.77734375" style="308" customWidth="1"/>
    <col min="14861" max="14861" width="0" style="308" hidden="1" customWidth="1"/>
    <col min="14862" max="14862" width="6" style="308" customWidth="1"/>
    <col min="14863" max="14863" width="14.44140625" style="308" customWidth="1"/>
    <col min="14864" max="14866" width="9.33203125" style="308"/>
    <col min="14867" max="14867" width="16.6640625" style="308" customWidth="1"/>
    <col min="14868" max="15104" width="9.33203125" style="308"/>
    <col min="15105" max="15105" width="7.109375" style="308" customWidth="1"/>
    <col min="15106" max="15106" width="4.109375" style="308" customWidth="1"/>
    <col min="15107" max="15110" width="9.33203125" style="308"/>
    <col min="15111" max="15111" width="14.44140625" style="308" customWidth="1"/>
    <col min="15112" max="15112" width="16" style="308" customWidth="1"/>
    <col min="15113" max="15113" width="15.77734375" style="308" customWidth="1"/>
    <col min="15114" max="15114" width="4.77734375" style="308" customWidth="1"/>
    <col min="15115" max="15115" width="18.44140625" style="308" customWidth="1"/>
    <col min="15116" max="15116" width="4.77734375" style="308" customWidth="1"/>
    <col min="15117" max="15117" width="0" style="308" hidden="1" customWidth="1"/>
    <col min="15118" max="15118" width="6" style="308" customWidth="1"/>
    <col min="15119" max="15119" width="14.44140625" style="308" customWidth="1"/>
    <col min="15120" max="15122" width="9.33203125" style="308"/>
    <col min="15123" max="15123" width="16.6640625" style="308" customWidth="1"/>
    <col min="15124" max="15360" width="9.33203125" style="308"/>
    <col min="15361" max="15361" width="7.109375" style="308" customWidth="1"/>
    <col min="15362" max="15362" width="4.109375" style="308" customWidth="1"/>
    <col min="15363" max="15366" width="9.33203125" style="308"/>
    <col min="15367" max="15367" width="14.44140625" style="308" customWidth="1"/>
    <col min="15368" max="15368" width="16" style="308" customWidth="1"/>
    <col min="15369" max="15369" width="15.77734375" style="308" customWidth="1"/>
    <col min="15370" max="15370" width="4.77734375" style="308" customWidth="1"/>
    <col min="15371" max="15371" width="18.44140625" style="308" customWidth="1"/>
    <col min="15372" max="15372" width="4.77734375" style="308" customWidth="1"/>
    <col min="15373" max="15373" width="0" style="308" hidden="1" customWidth="1"/>
    <col min="15374" max="15374" width="6" style="308" customWidth="1"/>
    <col min="15375" max="15375" width="14.44140625" style="308" customWidth="1"/>
    <col min="15376" max="15378" width="9.33203125" style="308"/>
    <col min="15379" max="15379" width="16.6640625" style="308" customWidth="1"/>
    <col min="15380" max="15616" width="9.33203125" style="308"/>
    <col min="15617" max="15617" width="7.109375" style="308" customWidth="1"/>
    <col min="15618" max="15618" width="4.109375" style="308" customWidth="1"/>
    <col min="15619" max="15622" width="9.33203125" style="308"/>
    <col min="15623" max="15623" width="14.44140625" style="308" customWidth="1"/>
    <col min="15624" max="15624" width="16" style="308" customWidth="1"/>
    <col min="15625" max="15625" width="15.77734375" style="308" customWidth="1"/>
    <col min="15626" max="15626" width="4.77734375" style="308" customWidth="1"/>
    <col min="15627" max="15627" width="18.44140625" style="308" customWidth="1"/>
    <col min="15628" max="15628" width="4.77734375" style="308" customWidth="1"/>
    <col min="15629" max="15629" width="0" style="308" hidden="1" customWidth="1"/>
    <col min="15630" max="15630" width="6" style="308" customWidth="1"/>
    <col min="15631" max="15631" width="14.44140625" style="308" customWidth="1"/>
    <col min="15632" max="15634" width="9.33203125" style="308"/>
    <col min="15635" max="15635" width="16.6640625" style="308" customWidth="1"/>
    <col min="15636" max="15872" width="9.33203125" style="308"/>
    <col min="15873" max="15873" width="7.109375" style="308" customWidth="1"/>
    <col min="15874" max="15874" width="4.109375" style="308" customWidth="1"/>
    <col min="15875" max="15878" width="9.33203125" style="308"/>
    <col min="15879" max="15879" width="14.44140625" style="308" customWidth="1"/>
    <col min="15880" max="15880" width="16" style="308" customWidth="1"/>
    <col min="15881" max="15881" width="15.77734375" style="308" customWidth="1"/>
    <col min="15882" max="15882" width="4.77734375" style="308" customWidth="1"/>
    <col min="15883" max="15883" width="18.44140625" style="308" customWidth="1"/>
    <col min="15884" max="15884" width="4.77734375" style="308" customWidth="1"/>
    <col min="15885" max="15885" width="0" style="308" hidden="1" customWidth="1"/>
    <col min="15886" max="15886" width="6" style="308" customWidth="1"/>
    <col min="15887" max="15887" width="14.44140625" style="308" customWidth="1"/>
    <col min="15888" max="15890" width="9.33203125" style="308"/>
    <col min="15891" max="15891" width="16.6640625" style="308" customWidth="1"/>
    <col min="15892" max="16128" width="9.33203125" style="308"/>
    <col min="16129" max="16129" width="7.109375" style="308" customWidth="1"/>
    <col min="16130" max="16130" width="4.109375" style="308" customWidth="1"/>
    <col min="16131" max="16134" width="9.33203125" style="308"/>
    <col min="16135" max="16135" width="14.44140625" style="308" customWidth="1"/>
    <col min="16136" max="16136" width="16" style="308" customWidth="1"/>
    <col min="16137" max="16137" width="15.77734375" style="308" customWidth="1"/>
    <col min="16138" max="16138" width="4.77734375" style="308" customWidth="1"/>
    <col min="16139" max="16139" width="18.44140625" style="308" customWidth="1"/>
    <col min="16140" max="16140" width="4.77734375" style="308" customWidth="1"/>
    <col min="16141" max="16141" width="0" style="308" hidden="1" customWidth="1"/>
    <col min="16142" max="16142" width="6" style="308" customWidth="1"/>
    <col min="16143" max="16143" width="14.44140625" style="308" customWidth="1"/>
    <col min="16144" max="16146" width="9.33203125" style="308"/>
    <col min="16147" max="16147" width="16.6640625" style="308" customWidth="1"/>
    <col min="16148" max="16384" width="9.33203125" style="308"/>
  </cols>
  <sheetData>
    <row r="1" spans="1:19" ht="13">
      <c r="A1" s="339"/>
      <c r="K1" s="758" t="str">
        <f>+'PGA Demand Cost Allocation'!J2</f>
        <v>CNGC Advice W20-09-01</v>
      </c>
      <c r="M1" s="338"/>
      <c r="O1" s="315"/>
    </row>
    <row r="2" spans="1:19" ht="15.5">
      <c r="A2" s="350"/>
      <c r="B2" s="351"/>
      <c r="C2" s="351"/>
      <c r="D2" s="352"/>
      <c r="E2" s="353"/>
      <c r="F2" s="353"/>
      <c r="G2" s="353"/>
      <c r="H2" s="353"/>
      <c r="I2" s="353"/>
      <c r="J2" s="353"/>
      <c r="K2" s="759" t="s">
        <v>289</v>
      </c>
      <c r="M2" s="338"/>
      <c r="N2" s="341"/>
      <c r="O2" s="315"/>
    </row>
    <row r="3" spans="1:19" ht="15.5">
      <c r="A3" s="350"/>
      <c r="B3" s="351"/>
      <c r="C3" s="351"/>
      <c r="F3" s="798" t="s">
        <v>52</v>
      </c>
      <c r="G3" s="798"/>
      <c r="H3" s="798"/>
      <c r="I3" s="798"/>
      <c r="K3" s="759" t="s">
        <v>311</v>
      </c>
      <c r="M3" s="338"/>
      <c r="N3" s="341"/>
    </row>
    <row r="4" spans="1:19" ht="15.5">
      <c r="A4" s="350"/>
      <c r="B4" s="351"/>
      <c r="C4" s="351"/>
      <c r="D4" s="833" t="s">
        <v>301</v>
      </c>
      <c r="E4" s="833"/>
      <c r="F4" s="833"/>
      <c r="G4" s="833"/>
      <c r="H4" s="833"/>
      <c r="I4" s="833"/>
      <c r="J4" s="833"/>
      <c r="K4" s="833"/>
      <c r="L4" s="341"/>
      <c r="M4" s="341"/>
      <c r="N4" s="341"/>
    </row>
    <row r="5" spans="1:19" ht="15.5">
      <c r="A5" s="350"/>
      <c r="B5" s="351"/>
      <c r="C5" s="351"/>
      <c r="E5" s="782"/>
      <c r="F5" s="833" t="s">
        <v>53</v>
      </c>
      <c r="G5" s="833"/>
      <c r="H5" s="833"/>
      <c r="I5" s="833"/>
      <c r="J5" s="782"/>
      <c r="K5" s="782"/>
      <c r="L5" s="341"/>
      <c r="M5" s="341"/>
      <c r="N5" s="341"/>
    </row>
    <row r="6" spans="1:19" ht="15.5">
      <c r="A6" s="350"/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19" ht="15.5">
      <c r="A7" s="350"/>
      <c r="B7" s="351"/>
      <c r="C7" s="351"/>
      <c r="D7" s="351" t="s">
        <v>270</v>
      </c>
      <c r="E7" s="351"/>
      <c r="F7" s="351"/>
      <c r="G7" s="354" t="s">
        <v>72</v>
      </c>
      <c r="H7" s="354" t="s">
        <v>74</v>
      </c>
      <c r="I7" s="350" t="s">
        <v>221</v>
      </c>
      <c r="J7" s="351"/>
      <c r="K7" s="350">
        <v>570</v>
      </c>
      <c r="M7" s="342" t="s">
        <v>271</v>
      </c>
      <c r="O7" s="343"/>
    </row>
    <row r="8" spans="1:19" ht="15.5">
      <c r="A8" s="355" t="s">
        <v>7</v>
      </c>
      <c r="B8" s="351"/>
      <c r="C8" s="351"/>
      <c r="D8" s="351"/>
      <c r="E8" s="351"/>
      <c r="F8" s="351"/>
      <c r="G8" s="355" t="s">
        <v>71</v>
      </c>
      <c r="H8" s="350" t="s">
        <v>73</v>
      </c>
      <c r="I8" s="355" t="s">
        <v>272</v>
      </c>
      <c r="J8" s="351"/>
      <c r="K8" s="355" t="s">
        <v>12</v>
      </c>
      <c r="M8" s="339" t="s">
        <v>273</v>
      </c>
      <c r="O8" s="339"/>
    </row>
    <row r="9" spans="1:19" ht="15.5">
      <c r="A9" s="356" t="s">
        <v>9</v>
      </c>
      <c r="B9" s="351"/>
      <c r="C9" s="357" t="s">
        <v>274</v>
      </c>
      <c r="D9" s="358"/>
      <c r="E9" s="358"/>
      <c r="F9" s="358"/>
      <c r="G9" s="356" t="s">
        <v>275</v>
      </c>
      <c r="H9" s="356" t="s">
        <v>275</v>
      </c>
      <c r="I9" s="356" t="s">
        <v>275</v>
      </c>
      <c r="J9" s="351"/>
      <c r="K9" s="356" t="s">
        <v>275</v>
      </c>
      <c r="M9" s="344" t="s">
        <v>275</v>
      </c>
      <c r="O9" s="344"/>
    </row>
    <row r="10" spans="1:19" ht="15.5">
      <c r="A10" s="350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9" ht="15.5">
      <c r="A11" s="359" t="s">
        <v>276</v>
      </c>
      <c r="B11" s="351"/>
      <c r="C11" s="360" t="s">
        <v>354</v>
      </c>
      <c r="D11" s="351"/>
      <c r="E11" s="351"/>
      <c r="F11" s="351"/>
      <c r="G11" s="361">
        <v>0.43833</v>
      </c>
      <c r="H11" s="361">
        <v>0.43558000000000002</v>
      </c>
      <c r="I11" s="361">
        <v>0.42197000000000001</v>
      </c>
      <c r="J11" s="361"/>
      <c r="K11" s="361">
        <v>0.40839999999999999</v>
      </c>
      <c r="L11" s="345"/>
      <c r="M11" s="345">
        <v>0</v>
      </c>
      <c r="O11" s="345"/>
      <c r="S11" s="345"/>
    </row>
    <row r="12" spans="1:19" ht="15.5">
      <c r="A12" s="359"/>
      <c r="B12" s="351"/>
      <c r="C12" s="360"/>
      <c r="D12" s="351"/>
      <c r="E12" s="351"/>
      <c r="F12" s="351"/>
      <c r="G12" s="361"/>
      <c r="H12" s="361"/>
      <c r="I12" s="361"/>
      <c r="J12" s="361"/>
      <c r="K12" s="361"/>
      <c r="L12" s="345"/>
      <c r="M12" s="345"/>
      <c r="O12" s="345"/>
      <c r="S12" s="345"/>
    </row>
    <row r="13" spans="1:19" ht="15.5">
      <c r="A13" s="362"/>
      <c r="B13" s="351"/>
      <c r="C13" s="351"/>
      <c r="D13" s="351"/>
      <c r="E13" s="351"/>
      <c r="F13" s="351"/>
      <c r="G13" s="351"/>
      <c r="H13" s="351"/>
      <c r="I13" s="351"/>
      <c r="J13" s="351"/>
      <c r="K13" s="351"/>
    </row>
    <row r="14" spans="1:19" ht="15.5">
      <c r="A14" s="362"/>
      <c r="B14" s="351"/>
      <c r="C14" s="363" t="s">
        <v>277</v>
      </c>
      <c r="D14" s="364"/>
      <c r="E14" s="364"/>
      <c r="F14" s="364"/>
      <c r="G14" s="351"/>
      <c r="H14" s="351"/>
      <c r="I14" s="351"/>
      <c r="J14" s="351"/>
      <c r="K14" s="351"/>
    </row>
    <row r="15" spans="1:19" ht="15.5">
      <c r="A15" s="362"/>
      <c r="B15" s="351"/>
      <c r="C15" s="351"/>
      <c r="D15" s="351"/>
      <c r="E15" s="351"/>
      <c r="F15" s="351"/>
      <c r="G15" s="351"/>
      <c r="H15" s="351"/>
      <c r="I15" s="351"/>
      <c r="J15" s="351"/>
      <c r="K15" s="351"/>
    </row>
    <row r="16" spans="1:19" ht="15.5">
      <c r="A16" s="359" t="s">
        <v>278</v>
      </c>
      <c r="B16" s="351"/>
      <c r="C16" s="360" t="s">
        <v>279</v>
      </c>
      <c r="D16" s="351"/>
      <c r="E16" s="351"/>
      <c r="F16" s="351"/>
      <c r="G16" s="361">
        <f>+'PGA Amount Change'!L16</f>
        <v>-3.672705500000038E-3</v>
      </c>
      <c r="H16" s="361"/>
      <c r="I16" s="361"/>
      <c r="J16" s="361"/>
      <c r="K16" s="361"/>
      <c r="L16" s="345"/>
      <c r="M16" s="345"/>
      <c r="O16" s="345"/>
    </row>
    <row r="17" spans="1:15" ht="15.5">
      <c r="A17" s="359"/>
      <c r="B17" s="351"/>
      <c r="C17" s="365"/>
      <c r="D17" s="351"/>
      <c r="E17" s="351"/>
      <c r="F17" s="351"/>
      <c r="G17" s="361"/>
      <c r="H17" s="361"/>
      <c r="I17" s="361"/>
      <c r="J17" s="361"/>
      <c r="K17" s="361"/>
      <c r="L17" s="345"/>
      <c r="M17" s="345"/>
      <c r="O17" s="345"/>
    </row>
    <row r="18" spans="1:15" ht="15.5">
      <c r="A18" s="359" t="s">
        <v>280</v>
      </c>
      <c r="B18" s="351"/>
      <c r="C18" s="360" t="s">
        <v>281</v>
      </c>
      <c r="D18" s="351"/>
      <c r="E18" s="351"/>
      <c r="F18" s="351"/>
      <c r="G18" s="361"/>
      <c r="H18" s="361">
        <f>+'PGA Amount Change'!L17</f>
        <v>-3.5390861413372166E-3</v>
      </c>
      <c r="I18" s="361"/>
      <c r="J18" s="361"/>
      <c r="K18" s="361"/>
      <c r="L18" s="345"/>
      <c r="M18" s="345"/>
      <c r="O18" s="345"/>
    </row>
    <row r="19" spans="1:15" ht="15.5">
      <c r="A19" s="362"/>
      <c r="B19" s="351"/>
      <c r="C19" s="351"/>
      <c r="D19" s="351"/>
      <c r="E19" s="351"/>
      <c r="F19" s="351"/>
      <c r="G19" s="361"/>
      <c r="H19" s="361"/>
      <c r="I19" s="361"/>
      <c r="J19" s="361"/>
      <c r="K19" s="361"/>
      <c r="L19" s="345"/>
      <c r="M19" s="345"/>
      <c r="O19" s="345"/>
    </row>
    <row r="20" spans="1:15" ht="15.5">
      <c r="A20" s="359" t="s">
        <v>282</v>
      </c>
      <c r="B20" s="351"/>
      <c r="C20" s="360" t="s">
        <v>283</v>
      </c>
      <c r="D20" s="351"/>
      <c r="E20" s="351"/>
      <c r="F20" s="351"/>
      <c r="G20" s="361"/>
      <c r="H20" s="361"/>
      <c r="I20" s="361">
        <f>+'PGA Amount Change'!L18</f>
        <v>-2.8527055000000384E-3</v>
      </c>
      <c r="J20" s="361"/>
      <c r="K20" s="361"/>
      <c r="L20" s="345"/>
      <c r="M20" s="345"/>
      <c r="O20" s="345"/>
    </row>
    <row r="21" spans="1:15" ht="15.5">
      <c r="A21" s="362"/>
      <c r="B21" s="351"/>
      <c r="C21" s="351"/>
      <c r="D21" s="351"/>
      <c r="E21" s="351"/>
      <c r="F21" s="351"/>
      <c r="G21" s="361"/>
      <c r="H21" s="361"/>
      <c r="I21" s="361"/>
      <c r="J21" s="361"/>
      <c r="K21" s="361"/>
      <c r="L21" s="345"/>
      <c r="M21" s="345"/>
      <c r="O21" s="345"/>
    </row>
    <row r="22" spans="1:15" ht="15.5">
      <c r="A22" s="359" t="s">
        <v>284</v>
      </c>
      <c r="B22" s="351"/>
      <c r="C22" s="365" t="s">
        <v>285</v>
      </c>
      <c r="D22" s="351"/>
      <c r="E22" s="351"/>
      <c r="F22" s="351"/>
      <c r="G22" s="361"/>
      <c r="H22" s="361"/>
      <c r="I22" s="361"/>
      <c r="J22" s="361"/>
      <c r="K22" s="361">
        <f>+'PGA Amount Change'!L20</f>
        <v>-2.1635042802546182E-3</v>
      </c>
      <c r="L22" s="345"/>
      <c r="M22" s="345"/>
      <c r="O22" s="345"/>
    </row>
    <row r="23" spans="1:15" ht="15.5">
      <c r="A23" s="362"/>
      <c r="B23" s="351"/>
      <c r="C23" s="351"/>
      <c r="D23" s="351"/>
      <c r="E23" s="351"/>
      <c r="F23" s="351"/>
      <c r="G23" s="361"/>
      <c r="H23" s="361"/>
      <c r="I23" s="361"/>
      <c r="J23" s="361"/>
      <c r="K23" s="361"/>
      <c r="L23" s="345"/>
      <c r="M23" s="345"/>
      <c r="O23" s="345"/>
    </row>
    <row r="24" spans="1:15" ht="15.5">
      <c r="A24" s="359" t="s">
        <v>286</v>
      </c>
      <c r="B24" s="351"/>
      <c r="C24" s="360" t="s">
        <v>287</v>
      </c>
      <c r="D24" s="351"/>
      <c r="E24" s="351"/>
      <c r="F24" s="351"/>
      <c r="G24" s="361"/>
      <c r="H24" s="361"/>
      <c r="I24" s="361"/>
      <c r="J24" s="361"/>
      <c r="K24" s="361"/>
      <c r="L24" s="345"/>
      <c r="M24" s="345">
        <v>0</v>
      </c>
    </row>
    <row r="25" spans="1:15" ht="15.5">
      <c r="A25" s="362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O25" s="309"/>
    </row>
    <row r="26" spans="1:15" ht="15.5">
      <c r="A26" s="359">
        <v>7</v>
      </c>
      <c r="B26" s="351"/>
      <c r="C26" s="360" t="s">
        <v>288</v>
      </c>
      <c r="D26" s="351"/>
      <c r="E26" s="351"/>
      <c r="F26" s="351"/>
      <c r="G26" s="366">
        <f>G16+G11+G12</f>
        <v>0.43465729449999996</v>
      </c>
      <c r="H26" s="366">
        <f>H18+H11+H12</f>
        <v>0.43204091385866283</v>
      </c>
      <c r="I26" s="366">
        <f>I20+I11+I12</f>
        <v>0.41911729449999996</v>
      </c>
      <c r="J26" s="366"/>
      <c r="K26" s="366">
        <f>K22+K11+K12</f>
        <v>0.40623649571974535</v>
      </c>
      <c r="M26" s="346">
        <f>M24+M11</f>
        <v>0</v>
      </c>
      <c r="O26" s="347"/>
    </row>
    <row r="27" spans="1:15" ht="15.5">
      <c r="A27" s="350"/>
      <c r="B27" s="351"/>
      <c r="C27" s="351"/>
      <c r="D27" s="351"/>
      <c r="E27" s="351"/>
      <c r="F27" s="351"/>
      <c r="G27" s="351"/>
      <c r="H27" s="351"/>
      <c r="I27" s="351"/>
      <c r="J27" s="351"/>
      <c r="K27" s="351"/>
    </row>
    <row r="28" spans="1:15" ht="15.5">
      <c r="C28" s="365" t="s">
        <v>324</v>
      </c>
      <c r="G28" s="766">
        <f>+G12+G16</f>
        <v>-3.672705500000038E-3</v>
      </c>
      <c r="H28" s="766">
        <f>+H12+H18</f>
        <v>-3.5390861413372166E-3</v>
      </c>
      <c r="I28" s="766">
        <f>+I12+I20</f>
        <v>-2.8527055000000384E-3</v>
      </c>
      <c r="J28" s="766"/>
      <c r="K28" s="766">
        <f>+K12+K22</f>
        <v>-2.1635042802546182E-3</v>
      </c>
    </row>
    <row r="29" spans="1:15">
      <c r="C29" s="315"/>
      <c r="G29" s="348"/>
      <c r="H29" s="348"/>
      <c r="I29" s="348"/>
      <c r="J29" s="348"/>
      <c r="K29" s="348"/>
    </row>
    <row r="31" spans="1:15">
      <c r="C31" s="315"/>
    </row>
    <row r="33" spans="3:17">
      <c r="C33" s="315"/>
    </row>
    <row r="35" spans="3:17">
      <c r="C35" s="315"/>
    </row>
    <row r="37" spans="3:17">
      <c r="C37" s="315"/>
    </row>
    <row r="38" spans="3:17">
      <c r="C38" s="315"/>
      <c r="Q38" s="349"/>
    </row>
  </sheetData>
  <mergeCells count="2">
    <mergeCell ref="D4:K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O39"/>
  <sheetViews>
    <sheetView zoomScaleNormal="100" workbookViewId="0">
      <selection activeCell="E31" sqref="E31"/>
    </sheetView>
  </sheetViews>
  <sheetFormatPr defaultColWidth="9.77734375" defaultRowHeight="15" customHeight="1"/>
  <cols>
    <col min="1" max="1" width="5.44140625" style="812" bestFit="1" customWidth="1"/>
    <col min="2" max="2" width="24.109375" style="165" bestFit="1" customWidth="1"/>
    <col min="3" max="3" width="17" style="165" customWidth="1"/>
    <col min="4" max="4" width="17.6640625" style="165" bestFit="1" customWidth="1"/>
    <col min="5" max="5" width="15.6640625" style="165" bestFit="1" customWidth="1"/>
    <col min="6" max="6" width="15" style="165" bestFit="1" customWidth="1"/>
    <col min="7" max="7" width="19" style="165" bestFit="1" customWidth="1"/>
    <col min="8" max="8" width="2.33203125" style="165" customWidth="1"/>
    <col min="9" max="9" width="13.77734375" style="165" customWidth="1"/>
    <col min="10" max="10" width="14" style="12" customWidth="1"/>
    <col min="11" max="11" width="17.77734375" style="165" customWidth="1"/>
    <col min="12" max="12" width="2.33203125" style="165" customWidth="1"/>
    <col min="13" max="13" width="11.44140625" style="165" bestFit="1" customWidth="1"/>
    <col min="14" max="14" width="2.33203125" style="165" customWidth="1"/>
    <col min="15" max="15" width="24.109375" style="165" bestFit="1" customWidth="1"/>
    <col min="16" max="16" width="11.109375" style="165" customWidth="1"/>
    <col min="17" max="17" width="13" style="165" customWidth="1"/>
    <col min="18" max="16384" width="9.77734375" style="165"/>
  </cols>
  <sheetData>
    <row r="1" spans="1:15" ht="15" customHeight="1">
      <c r="N1" s="758" t="str">
        <f>+'PGA Demand Cost Allocation'!J2</f>
        <v>CNGC Advice W20-09-01</v>
      </c>
    </row>
    <row r="2" spans="1:15" ht="15" customHeight="1">
      <c r="A2" s="6"/>
      <c r="C2" s="523"/>
      <c r="D2" s="523"/>
      <c r="E2" s="523"/>
      <c r="F2" s="523"/>
      <c r="G2" s="523"/>
      <c r="H2" s="523"/>
      <c r="I2" s="523"/>
      <c r="J2" s="524"/>
      <c r="K2" s="523"/>
      <c r="L2" s="523"/>
      <c r="N2" s="759" t="s">
        <v>290</v>
      </c>
    </row>
    <row r="3" spans="1:15" ht="15" customHeight="1">
      <c r="C3" s="523"/>
      <c r="E3" s="840" t="s">
        <v>52</v>
      </c>
      <c r="F3" s="840"/>
      <c r="G3" s="840"/>
      <c r="H3" s="840"/>
      <c r="I3" s="840"/>
      <c r="J3" s="840"/>
      <c r="K3" s="840"/>
      <c r="L3" s="741"/>
      <c r="N3" s="759" t="s">
        <v>312</v>
      </c>
    </row>
    <row r="4" spans="1:15" ht="15" customHeight="1">
      <c r="C4" s="523"/>
      <c r="D4" s="834" t="s">
        <v>302</v>
      </c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525"/>
    </row>
    <row r="5" spans="1:15" ht="15" customHeight="1">
      <c r="C5" s="523"/>
      <c r="D5" s="523"/>
      <c r="E5" s="811"/>
      <c r="F5" s="811"/>
      <c r="G5" s="811"/>
      <c r="H5" s="811" t="s">
        <v>53</v>
      </c>
      <c r="I5" s="811"/>
      <c r="J5" s="811"/>
      <c r="K5" s="811"/>
      <c r="L5" s="811"/>
      <c r="M5" s="811"/>
      <c r="N5" s="811"/>
      <c r="O5" s="525"/>
    </row>
    <row r="6" spans="1:15" ht="15" customHeight="1" thickBot="1">
      <c r="C6" s="523"/>
      <c r="D6" s="526"/>
      <c r="E6" s="527"/>
      <c r="F6" s="527"/>
      <c r="G6" s="527"/>
      <c r="H6" s="527"/>
      <c r="I6" s="527"/>
      <c r="J6" s="528"/>
      <c r="K6" s="527"/>
      <c r="L6" s="527"/>
      <c r="M6" s="527"/>
      <c r="N6" s="527"/>
      <c r="O6" s="529"/>
    </row>
    <row r="7" spans="1:15" ht="5.25" customHeight="1">
      <c r="C7" s="523"/>
      <c r="D7" s="523"/>
      <c r="E7" s="530"/>
      <c r="F7" s="531"/>
      <c r="G7" s="523"/>
      <c r="H7" s="523"/>
      <c r="I7" s="532"/>
      <c r="J7" s="533"/>
      <c r="K7" s="534"/>
      <c r="L7" s="523"/>
      <c r="M7" s="523"/>
      <c r="N7" s="523"/>
      <c r="O7" s="529"/>
    </row>
    <row r="8" spans="1:15" s="812" customFormat="1" ht="15" customHeight="1">
      <c r="C8" s="535"/>
      <c r="D8" s="536"/>
      <c r="E8" s="537"/>
      <c r="F8" s="535"/>
      <c r="G8" s="535"/>
      <c r="H8" s="535"/>
      <c r="I8" s="835" t="s">
        <v>180</v>
      </c>
      <c r="J8" s="836"/>
      <c r="K8" s="837"/>
      <c r="L8" s="535"/>
      <c r="M8" s="535"/>
      <c r="N8" s="535"/>
      <c r="O8" s="536"/>
    </row>
    <row r="9" spans="1:15" s="812" customFormat="1" ht="15.5">
      <c r="C9" s="535"/>
      <c r="D9" s="535"/>
      <c r="E9" s="535"/>
      <c r="F9" s="535"/>
      <c r="G9" s="538"/>
      <c r="H9" s="535"/>
      <c r="I9" s="838" t="s">
        <v>4</v>
      </c>
      <c r="J9" s="839"/>
      <c r="K9" s="539" t="s">
        <v>49</v>
      </c>
      <c r="L9" s="540"/>
      <c r="M9" s="536"/>
      <c r="N9" s="536"/>
      <c r="O9" s="535"/>
    </row>
    <row r="10" spans="1:15" s="812" customFormat="1" ht="77.5">
      <c r="A10" s="63" t="s">
        <v>178</v>
      </c>
      <c r="B10" s="63" t="s">
        <v>177</v>
      </c>
      <c r="C10" s="538" t="s">
        <v>335</v>
      </c>
      <c r="D10" s="538" t="s">
        <v>336</v>
      </c>
      <c r="E10" s="541" t="s">
        <v>176</v>
      </c>
      <c r="F10" s="542" t="s">
        <v>179</v>
      </c>
      <c r="G10" s="540" t="s">
        <v>11</v>
      </c>
      <c r="H10" s="540"/>
      <c r="I10" s="543" t="s">
        <v>120</v>
      </c>
      <c r="J10" s="544" t="s">
        <v>126</v>
      </c>
      <c r="K10" s="573" t="s">
        <v>125</v>
      </c>
      <c r="L10" s="540"/>
      <c r="M10" s="545" t="s">
        <v>181</v>
      </c>
      <c r="N10" s="540"/>
      <c r="O10" s="540" t="s">
        <v>13</v>
      </c>
    </row>
    <row r="11" spans="1:15" ht="15" customHeight="1">
      <c r="A11" s="171"/>
      <c r="B11" s="62" t="s">
        <v>14</v>
      </c>
      <c r="C11" s="546" t="s">
        <v>15</v>
      </c>
      <c r="D11" s="546" t="s">
        <v>16</v>
      </c>
      <c r="E11" s="546" t="s">
        <v>17</v>
      </c>
      <c r="F11" s="546" t="s">
        <v>18</v>
      </c>
      <c r="G11" s="546" t="s">
        <v>19</v>
      </c>
      <c r="H11" s="546"/>
      <c r="I11" s="547" t="s">
        <v>20</v>
      </c>
      <c r="J11" s="546" t="s">
        <v>21</v>
      </c>
      <c r="K11" s="574" t="s">
        <v>50</v>
      </c>
      <c r="L11" s="546"/>
      <c r="M11" s="546" t="s">
        <v>22</v>
      </c>
      <c r="N11" s="546"/>
      <c r="O11" s="546" t="s">
        <v>23</v>
      </c>
    </row>
    <row r="12" spans="1:15" ht="15" customHeight="1">
      <c r="B12" s="8"/>
      <c r="C12" s="540"/>
      <c r="D12" s="548"/>
      <c r="E12" s="540"/>
      <c r="F12" s="540"/>
      <c r="G12" s="540"/>
      <c r="H12" s="540"/>
      <c r="I12" s="549"/>
      <c r="J12" s="540"/>
      <c r="K12" s="575"/>
      <c r="L12" s="540"/>
      <c r="M12" s="540"/>
      <c r="N12" s="540"/>
      <c r="O12" s="540"/>
    </row>
    <row r="13" spans="1:15" ht="15" customHeight="1">
      <c r="A13" s="4">
        <v>1</v>
      </c>
      <c r="B13" s="7" t="s">
        <v>211</v>
      </c>
      <c r="C13" s="550">
        <f>+'Balances at TTA 7-31-2020'!D17</f>
        <v>37208317.57</v>
      </c>
      <c r="D13" s="551">
        <f>+'TTA EstimatedBalances'!H21</f>
        <v>-1838638.3646699991</v>
      </c>
      <c r="E13" s="552">
        <f>((C13+D13)/(1-0.04362))-(C13+D13)</f>
        <v>1613192.8803786114</v>
      </c>
      <c r="F13" s="551">
        <f>+'TTA Int during Amort'!AE35</f>
        <v>1105593.5610928766</v>
      </c>
      <c r="G13" s="551">
        <f>SUM(C13:F13)</f>
        <v>38088465.646801487</v>
      </c>
      <c r="H13" s="553"/>
      <c r="I13" s="549"/>
      <c r="J13" s="540"/>
      <c r="K13" s="575"/>
      <c r="L13" s="540"/>
      <c r="M13" s="540"/>
      <c r="N13" s="540"/>
      <c r="O13" s="523" t="s">
        <v>187</v>
      </c>
    </row>
    <row r="14" spans="1:15" ht="15" customHeight="1">
      <c r="A14" s="4">
        <v>2</v>
      </c>
      <c r="B14" s="8"/>
      <c r="C14" s="550"/>
      <c r="D14" s="551"/>
      <c r="E14" s="548"/>
      <c r="F14" s="554" t="s">
        <v>35</v>
      </c>
      <c r="G14" s="555">
        <f>+'Test Period Volumes'!I47</f>
        <v>520653708</v>
      </c>
      <c r="H14" s="556"/>
      <c r="I14" s="557">
        <f>ROUND(G13/G14,5)</f>
        <v>7.3160000000000003E-2</v>
      </c>
      <c r="J14" s="558">
        <f>ROUND(G13/G14,5)</f>
        <v>7.3160000000000003E-2</v>
      </c>
      <c r="K14" s="576"/>
      <c r="L14" s="540"/>
      <c r="M14" s="536" t="s">
        <v>347</v>
      </c>
      <c r="N14" s="536"/>
      <c r="O14" s="554" t="s">
        <v>36</v>
      </c>
    </row>
    <row r="15" spans="1:15" ht="15" customHeight="1">
      <c r="A15" s="4"/>
      <c r="B15" s="8"/>
      <c r="C15" s="550"/>
      <c r="D15" s="551"/>
      <c r="E15" s="548"/>
      <c r="F15" s="554"/>
      <c r="G15" s="556"/>
      <c r="H15" s="556"/>
      <c r="I15" s="557"/>
      <c r="J15" s="558"/>
      <c r="K15" s="576"/>
      <c r="L15" s="540"/>
      <c r="M15" s="536"/>
      <c r="N15" s="536"/>
      <c r="O15" s="554"/>
    </row>
    <row r="16" spans="1:15" ht="15" customHeight="1">
      <c r="A16" s="4">
        <v>3</v>
      </c>
      <c r="B16" s="7"/>
      <c r="C16" s="550"/>
      <c r="D16" s="551"/>
      <c r="E16" s="551"/>
      <c r="F16" s="551"/>
      <c r="G16" s="551"/>
      <c r="H16" s="553"/>
      <c r="I16" s="559"/>
      <c r="J16" s="560"/>
      <c r="K16" s="577"/>
      <c r="L16" s="523"/>
      <c r="M16" s="523"/>
      <c r="N16" s="523"/>
      <c r="O16" s="523"/>
    </row>
    <row r="17" spans="1:15" ht="15" customHeight="1">
      <c r="A17" s="4">
        <v>4</v>
      </c>
      <c r="C17" s="561"/>
      <c r="D17" s="562"/>
      <c r="E17" s="562"/>
      <c r="F17" s="563"/>
      <c r="G17" s="564"/>
      <c r="H17" s="556"/>
      <c r="I17" s="557"/>
      <c r="J17" s="558"/>
      <c r="K17" s="578"/>
      <c r="L17" s="523"/>
      <c r="M17" s="536"/>
      <c r="N17" s="536"/>
      <c r="O17" s="554"/>
    </row>
    <row r="18" spans="1:15" ht="15" customHeight="1">
      <c r="A18" s="4"/>
      <c r="C18" s="561"/>
      <c r="D18" s="562"/>
      <c r="E18" s="562"/>
      <c r="F18" s="563"/>
      <c r="G18" s="556"/>
      <c r="H18" s="556"/>
      <c r="I18" s="557"/>
      <c r="J18" s="558"/>
      <c r="K18" s="577"/>
      <c r="L18" s="523"/>
      <c r="M18" s="536"/>
      <c r="N18" s="536"/>
      <c r="O18" s="554"/>
    </row>
    <row r="19" spans="1:15" ht="15" customHeight="1">
      <c r="A19" s="4">
        <v>5</v>
      </c>
      <c r="B19" s="7"/>
      <c r="C19" s="550"/>
      <c r="D19" s="551"/>
      <c r="E19" s="551"/>
      <c r="F19" s="551"/>
      <c r="G19" s="551"/>
      <c r="H19" s="556"/>
      <c r="I19" s="557"/>
      <c r="J19" s="558"/>
      <c r="K19" s="577"/>
      <c r="L19" s="523"/>
      <c r="M19" s="536"/>
      <c r="N19" s="536"/>
      <c r="O19" s="554"/>
    </row>
    <row r="20" spans="1:15" ht="15" customHeight="1">
      <c r="A20" s="4">
        <v>6</v>
      </c>
      <c r="B20" s="7"/>
      <c r="C20" s="561"/>
      <c r="D20" s="551"/>
      <c r="E20" s="551"/>
      <c r="F20" s="563"/>
      <c r="G20" s="564"/>
      <c r="H20" s="556"/>
      <c r="I20" s="557"/>
      <c r="J20" s="524"/>
      <c r="K20" s="578"/>
      <c r="L20" s="523"/>
      <c r="M20" s="536"/>
      <c r="N20" s="536"/>
      <c r="O20" s="554"/>
    </row>
    <row r="21" spans="1:15" ht="15" customHeight="1">
      <c r="A21" s="4"/>
      <c r="B21" s="7"/>
      <c r="C21" s="561"/>
      <c r="D21" s="551"/>
      <c r="E21" s="551"/>
      <c r="F21" s="563"/>
      <c r="G21" s="556"/>
      <c r="H21" s="556"/>
      <c r="I21" s="557"/>
      <c r="J21" s="558"/>
      <c r="K21" s="577"/>
      <c r="L21" s="523"/>
      <c r="M21" s="536"/>
      <c r="N21" s="536"/>
      <c r="O21" s="554"/>
    </row>
    <row r="22" spans="1:15" ht="22.5" customHeight="1">
      <c r="A22" s="4">
        <v>9</v>
      </c>
      <c r="B22" s="11" t="s">
        <v>119</v>
      </c>
      <c r="C22" s="565">
        <f>SUM(C13:C21)</f>
        <v>37208317.57</v>
      </c>
      <c r="D22" s="565">
        <f>SUM(D13:D21)</f>
        <v>-1838638.3646699991</v>
      </c>
      <c r="E22" s="565">
        <f>SUM(E13:E21)</f>
        <v>1613192.8803786114</v>
      </c>
      <c r="F22" s="565">
        <f>SUM(F13:F21)</f>
        <v>1105593.5610928766</v>
      </c>
      <c r="G22" s="565">
        <f>+G13+G16+G19</f>
        <v>38088465.646801487</v>
      </c>
      <c r="H22" s="566"/>
      <c r="I22" s="567">
        <f>SUM(I14:I21)</f>
        <v>7.3160000000000003E-2</v>
      </c>
      <c r="J22" s="568">
        <f>SUM(J13:J21)</f>
        <v>7.3160000000000003E-2</v>
      </c>
      <c r="K22" s="579">
        <f>SUM(K13:K21)</f>
        <v>0</v>
      </c>
      <c r="L22" s="569"/>
      <c r="M22" s="523"/>
      <c r="N22" s="523"/>
      <c r="O22" s="523"/>
    </row>
    <row r="23" spans="1:15" ht="5.25" customHeight="1" thickBot="1">
      <c r="A23" s="4"/>
      <c r="C23" s="523"/>
      <c r="D23" s="523"/>
      <c r="E23" s="523"/>
      <c r="F23" s="523"/>
      <c r="G23" s="523"/>
      <c r="H23" s="523"/>
      <c r="I23" s="570"/>
      <c r="J23" s="571"/>
      <c r="K23" s="572"/>
      <c r="L23" s="523"/>
      <c r="M23" s="523"/>
      <c r="N23" s="523"/>
      <c r="O23" s="523"/>
    </row>
    <row r="24" spans="1:15" ht="15" customHeight="1">
      <c r="A24" s="4"/>
      <c r="C24" s="523"/>
      <c r="D24" s="523"/>
      <c r="E24" s="524"/>
      <c r="F24" s="523"/>
      <c r="G24" s="523"/>
      <c r="H24" s="523"/>
      <c r="I24" s="523"/>
      <c r="J24" s="524"/>
      <c r="K24" s="523"/>
      <c r="L24" s="523"/>
      <c r="M24" s="523"/>
      <c r="N24" s="523"/>
      <c r="O24" s="523"/>
    </row>
    <row r="25" spans="1:15" ht="15" customHeight="1">
      <c r="C25" s="523"/>
      <c r="D25" s="523"/>
      <c r="E25" s="523"/>
      <c r="F25" s="523"/>
      <c r="G25" s="523"/>
      <c r="H25" s="523"/>
      <c r="I25" s="523"/>
      <c r="J25" s="524"/>
      <c r="K25" s="523"/>
      <c r="L25" s="523"/>
      <c r="M25" s="523"/>
      <c r="N25" s="523"/>
      <c r="O25" s="523"/>
    </row>
    <row r="26" spans="1:15" ht="15" customHeight="1">
      <c r="C26" s="523"/>
      <c r="D26" s="523"/>
      <c r="E26" s="524"/>
      <c r="F26" s="523"/>
      <c r="G26" s="523"/>
      <c r="H26" s="523"/>
      <c r="I26" s="523"/>
      <c r="J26" s="524"/>
      <c r="K26" s="523"/>
      <c r="L26" s="523"/>
      <c r="M26" s="523"/>
      <c r="N26" s="523"/>
      <c r="O26" s="523"/>
    </row>
    <row r="27" spans="1:15" ht="15" customHeight="1">
      <c r="A27" s="4"/>
    </row>
    <row r="28" spans="1:15" ht="15" customHeight="1">
      <c r="J28" s="297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32"/>
  <sheetViews>
    <sheetView tabSelected="1" zoomScaleNormal="100" workbookViewId="0">
      <selection activeCell="I22" sqref="I22"/>
    </sheetView>
  </sheetViews>
  <sheetFormatPr defaultColWidth="10.6640625" defaultRowHeight="14.5"/>
  <cols>
    <col min="1" max="1" width="3.77734375" style="173" customWidth="1"/>
    <col min="2" max="2" width="51.77734375" style="173" bestFit="1" customWidth="1"/>
    <col min="3" max="3" width="10.33203125" style="173" bestFit="1" customWidth="1"/>
    <col min="4" max="4" width="15.77734375" style="173" bestFit="1" customWidth="1"/>
    <col min="5" max="5" width="13" style="173" bestFit="1" customWidth="1"/>
    <col min="6" max="6" width="16.109375" style="173" customWidth="1"/>
    <col min="7" max="7" width="21.33203125" style="173" customWidth="1"/>
    <col min="8" max="8" width="16.109375" style="173" customWidth="1"/>
    <col min="9" max="9" width="18" style="173" customWidth="1"/>
    <col min="10" max="10" width="16.109375" style="176" customWidth="1"/>
    <col min="11" max="12" width="13.77734375" style="173" customWidth="1"/>
    <col min="13" max="13" width="14.77734375" style="173" customWidth="1"/>
    <col min="14" max="14" width="13.33203125" style="173" customWidth="1"/>
    <col min="15" max="15" width="19.6640625" style="173" customWidth="1"/>
    <col min="16" max="17" width="13.33203125" style="173" customWidth="1"/>
    <col min="18" max="18" width="16" style="173" customWidth="1"/>
    <col min="19" max="19" width="14.109375" style="173" customWidth="1"/>
    <col min="20" max="20" width="17" style="173" customWidth="1"/>
    <col min="21" max="21" width="14.109375" style="173" customWidth="1"/>
    <col min="22" max="16384" width="10.6640625" style="173"/>
  </cols>
  <sheetData>
    <row r="1" spans="1:15" ht="15.75" customHeight="1">
      <c r="A1" s="580"/>
      <c r="B1" s="580"/>
      <c r="G1" s="758" t="str">
        <f>+'TTA Summary of Def. Accts.'!N1</f>
        <v>CNGC Advice W20-09-01</v>
      </c>
      <c r="H1" s="580"/>
    </row>
    <row r="2" spans="1:15" ht="15.75" customHeight="1">
      <c r="A2" s="580"/>
      <c r="B2" s="580"/>
      <c r="G2" s="759" t="s">
        <v>290</v>
      </c>
      <c r="H2" s="580"/>
    </row>
    <row r="3" spans="1:15" ht="15.75" customHeight="1">
      <c r="A3" s="580"/>
      <c r="B3" s="580"/>
      <c r="G3" s="759" t="s">
        <v>313</v>
      </c>
      <c r="H3" s="580"/>
    </row>
    <row r="4" spans="1:15" s="174" customFormat="1" ht="15.75" customHeight="1">
      <c r="A4" s="581"/>
      <c r="B4" s="581"/>
      <c r="C4" s="625" t="s">
        <v>52</v>
      </c>
      <c r="D4" s="625"/>
      <c r="E4" s="625"/>
      <c r="F4" s="625"/>
      <c r="G4" s="582"/>
      <c r="H4" s="582"/>
      <c r="I4" s="175"/>
      <c r="J4" s="181"/>
      <c r="K4" s="175"/>
      <c r="L4" s="175"/>
      <c r="M4" s="175"/>
      <c r="N4" s="175"/>
      <c r="O4" s="175"/>
    </row>
    <row r="5" spans="1:15" s="174" customFormat="1" ht="15.75" customHeight="1">
      <c r="A5" s="581"/>
      <c r="B5" s="832" t="s">
        <v>303</v>
      </c>
      <c r="C5" s="832"/>
      <c r="D5" s="832"/>
      <c r="E5" s="832"/>
      <c r="F5" s="832"/>
      <c r="G5" s="832"/>
      <c r="H5" s="582"/>
      <c r="I5" s="175"/>
      <c r="J5" s="181"/>
      <c r="K5" s="175"/>
      <c r="L5" s="175"/>
      <c r="M5" s="175"/>
      <c r="N5" s="175"/>
      <c r="O5" s="175"/>
    </row>
    <row r="6" spans="1:15" s="174" customFormat="1" ht="15.75" customHeight="1">
      <c r="A6" s="581"/>
      <c r="B6" s="832" t="s">
        <v>357</v>
      </c>
      <c r="C6" s="832"/>
      <c r="D6" s="832"/>
      <c r="E6" s="832"/>
      <c r="F6" s="832"/>
      <c r="G6" s="832"/>
      <c r="H6" s="582"/>
      <c r="I6" s="175"/>
      <c r="J6" s="181"/>
      <c r="K6" s="175"/>
      <c r="L6" s="175"/>
      <c r="M6" s="175"/>
      <c r="N6" s="175"/>
      <c r="O6" s="175"/>
    </row>
    <row r="7" spans="1:15" s="174" customFormat="1" ht="15.75" customHeight="1">
      <c r="A7" s="581"/>
      <c r="B7" s="832" t="s">
        <v>53</v>
      </c>
      <c r="C7" s="832"/>
      <c r="D7" s="832"/>
      <c r="E7" s="832"/>
      <c r="F7" s="832"/>
      <c r="G7" s="832"/>
      <c r="H7" s="582"/>
      <c r="I7" s="175"/>
      <c r="J7" s="181"/>
      <c r="K7" s="175"/>
      <c r="L7" s="175"/>
      <c r="M7" s="175"/>
      <c r="N7" s="175"/>
      <c r="O7" s="175"/>
    </row>
    <row r="8" spans="1:15" ht="15.5">
      <c r="A8" s="580"/>
      <c r="B8" s="583"/>
      <c r="G8" s="580"/>
      <c r="H8" s="580"/>
    </row>
    <row r="9" spans="1:15" s="179" customFormat="1" ht="62">
      <c r="A9" s="585"/>
      <c r="B9" s="586" t="s">
        <v>0</v>
      </c>
      <c r="C9" s="587" t="s">
        <v>182</v>
      </c>
      <c r="D9" s="586" t="s">
        <v>188</v>
      </c>
      <c r="E9" s="588" t="s">
        <v>189</v>
      </c>
      <c r="F9" s="586" t="s">
        <v>355</v>
      </c>
      <c r="G9" s="586" t="s">
        <v>356</v>
      </c>
      <c r="H9" s="589"/>
      <c r="I9" s="178"/>
      <c r="J9" s="296"/>
      <c r="K9" s="178"/>
    </row>
    <row r="10" spans="1:15" ht="15.5">
      <c r="A10" s="580"/>
      <c r="B10" s="590" t="s">
        <v>14</v>
      </c>
      <c r="C10" s="591" t="s">
        <v>15</v>
      </c>
      <c r="D10" s="821" t="s">
        <v>16</v>
      </c>
      <c r="E10" s="592" t="s">
        <v>17</v>
      </c>
      <c r="F10" s="593" t="s">
        <v>18</v>
      </c>
      <c r="G10" s="593" t="s">
        <v>99</v>
      </c>
      <c r="H10" s="584"/>
      <c r="I10" s="177"/>
      <c r="J10" s="180"/>
      <c r="K10" s="177"/>
    </row>
    <row r="11" spans="1:15" ht="16.5" customHeight="1">
      <c r="A11" s="580"/>
      <c r="B11" s="594" t="s">
        <v>100</v>
      </c>
      <c r="C11" s="595"/>
      <c r="D11" s="595"/>
      <c r="E11" s="595"/>
      <c r="F11" s="596"/>
      <c r="G11" s="595"/>
      <c r="H11" s="580"/>
      <c r="K11" s="823"/>
    </row>
    <row r="12" spans="1:15" ht="16.5" customHeight="1">
      <c r="A12" s="580"/>
      <c r="B12" s="597"/>
      <c r="C12" s="598"/>
      <c r="D12" s="599"/>
      <c r="E12" s="599"/>
      <c r="F12" s="600"/>
      <c r="G12" s="601"/>
      <c r="H12" s="602"/>
      <c r="I12" s="176"/>
    </row>
    <row r="13" spans="1:15" ht="15.5">
      <c r="A13" s="580"/>
      <c r="B13" s="603" t="s">
        <v>71</v>
      </c>
      <c r="C13" s="604">
        <v>503</v>
      </c>
      <c r="D13" s="599">
        <v>-5.9150000000000001E-2</v>
      </c>
      <c r="E13" s="599">
        <f>+'TTA Summary of Def. Accts.'!I22</f>
        <v>7.3160000000000003E-2</v>
      </c>
      <c r="F13" s="600">
        <f t="shared" ref="F13:F17" si="0">SUM(D13:E13)</f>
        <v>1.4010000000000002E-2</v>
      </c>
      <c r="G13" s="605">
        <f t="shared" ref="G13:G17" si="1">+E13</f>
        <v>7.3160000000000003E-2</v>
      </c>
      <c r="H13" s="602"/>
      <c r="I13" s="68"/>
      <c r="J13" s="68"/>
      <c r="K13" s="32"/>
    </row>
    <row r="14" spans="1:15" ht="15.5">
      <c r="A14" s="580"/>
      <c r="B14" s="603" t="s">
        <v>73</v>
      </c>
      <c r="C14" s="604">
        <v>504</v>
      </c>
      <c r="D14" s="599">
        <f>+D13</f>
        <v>-5.9150000000000001E-2</v>
      </c>
      <c r="E14" s="599">
        <f t="shared" ref="E14:E16" si="2">E13</f>
        <v>7.3160000000000003E-2</v>
      </c>
      <c r="F14" s="600">
        <f t="shared" si="0"/>
        <v>1.4010000000000002E-2</v>
      </c>
      <c r="G14" s="605">
        <f t="shared" si="1"/>
        <v>7.3160000000000003E-2</v>
      </c>
      <c r="H14" s="602"/>
      <c r="I14" s="68"/>
      <c r="J14" s="68"/>
      <c r="K14" s="32"/>
    </row>
    <row r="15" spans="1:15" ht="15.5">
      <c r="A15" s="580"/>
      <c r="B15" s="603" t="s">
        <v>184</v>
      </c>
      <c r="C15" s="606">
        <v>511</v>
      </c>
      <c r="D15" s="599">
        <f>+D13</f>
        <v>-5.9150000000000001E-2</v>
      </c>
      <c r="E15" s="599">
        <f>+'TTA Summary of Def. Accts.'!J22</f>
        <v>7.3160000000000003E-2</v>
      </c>
      <c r="F15" s="600">
        <f t="shared" si="0"/>
        <v>1.4010000000000002E-2</v>
      </c>
      <c r="G15" s="605">
        <f t="shared" si="1"/>
        <v>7.3160000000000003E-2</v>
      </c>
      <c r="H15" s="602"/>
      <c r="I15" s="68"/>
      <c r="J15" s="68"/>
      <c r="K15" s="32"/>
    </row>
    <row r="16" spans="1:15" ht="15.5">
      <c r="A16" s="580"/>
      <c r="B16" s="603" t="s">
        <v>77</v>
      </c>
      <c r="C16" s="606">
        <v>505</v>
      </c>
      <c r="D16" s="599">
        <f>+D13</f>
        <v>-5.9150000000000001E-2</v>
      </c>
      <c r="E16" s="599">
        <f t="shared" si="2"/>
        <v>7.3160000000000003E-2</v>
      </c>
      <c r="F16" s="600">
        <f t="shared" si="0"/>
        <v>1.4010000000000002E-2</v>
      </c>
      <c r="G16" s="605">
        <f t="shared" si="1"/>
        <v>7.3160000000000003E-2</v>
      </c>
      <c r="H16" s="602"/>
      <c r="I16" s="68"/>
      <c r="J16" s="68"/>
      <c r="K16" s="32"/>
    </row>
    <row r="17" spans="1:22" ht="15.5">
      <c r="A17" s="580"/>
      <c r="B17" s="603" t="s">
        <v>101</v>
      </c>
      <c r="C17" s="606">
        <v>570</v>
      </c>
      <c r="D17" s="599">
        <f>+D13</f>
        <v>-5.9150000000000001E-2</v>
      </c>
      <c r="E17" s="599">
        <f>'TTA Summary of Def. Accts.'!J22</f>
        <v>7.3160000000000003E-2</v>
      </c>
      <c r="F17" s="600">
        <f t="shared" si="0"/>
        <v>1.4010000000000002E-2</v>
      </c>
      <c r="G17" s="605">
        <f t="shared" si="1"/>
        <v>7.3160000000000003E-2</v>
      </c>
      <c r="H17" s="602"/>
      <c r="I17" s="68"/>
      <c r="J17" s="68"/>
      <c r="K17" s="32"/>
    </row>
    <row r="18" spans="1:22" ht="15.5">
      <c r="A18" s="580"/>
      <c r="B18" s="607"/>
      <c r="C18" s="608"/>
      <c r="D18" s="608"/>
      <c r="E18" s="608"/>
      <c r="F18" s="609"/>
      <c r="G18" s="608"/>
      <c r="H18" s="560"/>
      <c r="I18" s="68"/>
      <c r="J18" s="68"/>
      <c r="K18" s="32"/>
    </row>
    <row r="19" spans="1:22" ht="15.75" customHeight="1">
      <c r="A19" s="580"/>
      <c r="B19" s="594" t="s">
        <v>318</v>
      </c>
      <c r="C19" s="595"/>
      <c r="D19" s="595"/>
      <c r="E19" s="595"/>
      <c r="F19" s="595"/>
      <c r="G19" s="610"/>
      <c r="H19" s="611"/>
      <c r="I19" s="32"/>
      <c r="J19" s="68"/>
      <c r="K19" s="32"/>
    </row>
    <row r="20" spans="1:22" ht="15.5">
      <c r="A20" s="580"/>
      <c r="B20" s="612" t="s">
        <v>190</v>
      </c>
      <c r="C20" s="613">
        <v>663</v>
      </c>
      <c r="D20" s="614">
        <v>0</v>
      </c>
      <c r="E20" s="599">
        <f>+'TTA Summary of Def. Accts.'!K22</f>
        <v>0</v>
      </c>
      <c r="F20" s="615">
        <f>SUM(D20:E20)</f>
        <v>0</v>
      </c>
      <c r="G20" s="605">
        <f>+E20</f>
        <v>0</v>
      </c>
      <c r="H20" s="611"/>
      <c r="I20" s="32"/>
      <c r="J20" s="68"/>
      <c r="K20" s="32"/>
    </row>
    <row r="21" spans="1:22" ht="15.5">
      <c r="A21" s="580"/>
      <c r="B21" s="612" t="s">
        <v>191</v>
      </c>
      <c r="C21" s="613" t="s">
        <v>46</v>
      </c>
      <c r="D21" s="599">
        <v>0</v>
      </c>
      <c r="E21" s="599">
        <v>0</v>
      </c>
      <c r="F21" s="600">
        <f>SUM(D21:E21)</f>
        <v>0</v>
      </c>
      <c r="G21" s="605">
        <f>+E21</f>
        <v>0</v>
      </c>
      <c r="H21" s="611"/>
      <c r="I21" s="32"/>
      <c r="J21" s="68"/>
      <c r="K21" s="32"/>
    </row>
    <row r="22" spans="1:22" ht="15.5">
      <c r="A22" s="580"/>
      <c r="B22" s="616" t="s">
        <v>192</v>
      </c>
      <c r="C22" s="617" t="s">
        <v>193</v>
      </c>
      <c r="D22" s="618">
        <v>0</v>
      </c>
      <c r="E22" s="619">
        <v>0</v>
      </c>
      <c r="F22" s="620">
        <f>SUM(E22:E22)</f>
        <v>0</v>
      </c>
      <c r="G22" s="621">
        <f>+E22</f>
        <v>0</v>
      </c>
      <c r="H22" s="611"/>
      <c r="I22" s="32"/>
      <c r="J22" s="68"/>
      <c r="K22" s="32"/>
    </row>
    <row r="23" spans="1:22" s="176" customFormat="1" ht="15.5">
      <c r="A23" s="583"/>
      <c r="B23" s="622"/>
      <c r="C23" s="583"/>
      <c r="D23" s="583"/>
      <c r="E23" s="583"/>
      <c r="F23" s="583"/>
      <c r="G23" s="560"/>
      <c r="H23" s="560"/>
      <c r="I23" s="68"/>
      <c r="J23" s="68"/>
      <c r="K23" s="68"/>
    </row>
    <row r="24" spans="1:22" ht="15.5">
      <c r="A24" s="580"/>
      <c r="B24" s="623" t="s">
        <v>333</v>
      </c>
      <c r="C24" s="580"/>
      <c r="D24" s="580"/>
      <c r="E24" s="580"/>
      <c r="F24" s="580"/>
      <c r="G24" s="624"/>
      <c r="H24" s="580"/>
      <c r="Q24" s="32"/>
      <c r="R24" s="32"/>
      <c r="S24" s="32"/>
      <c r="T24" s="32"/>
      <c r="U24" s="32"/>
      <c r="V24" s="32"/>
    </row>
    <row r="25" spans="1:22" ht="15.5">
      <c r="A25" s="580"/>
      <c r="B25" s="623" t="s">
        <v>323</v>
      </c>
      <c r="C25" s="580"/>
      <c r="D25" s="580"/>
      <c r="E25" s="580"/>
      <c r="F25" s="613"/>
      <c r="G25" s="624"/>
      <c r="H25" s="580"/>
      <c r="Q25" s="32"/>
      <c r="R25" s="32"/>
      <c r="S25" s="32"/>
      <c r="T25" s="32"/>
      <c r="U25" s="32"/>
    </row>
    <row r="26" spans="1:22" ht="15.5">
      <c r="A26" s="580"/>
      <c r="B26" s="623"/>
      <c r="C26" s="580"/>
      <c r="D26" s="580"/>
      <c r="E26" s="580"/>
      <c r="F26" s="613"/>
      <c r="G26" s="624"/>
      <c r="H26" s="580"/>
      <c r="Q26" s="32"/>
      <c r="R26" s="32"/>
      <c r="S26" s="32"/>
      <c r="T26" s="32"/>
      <c r="U26" s="32"/>
    </row>
    <row r="27" spans="1:22">
      <c r="B27" s="182"/>
      <c r="F27" s="181"/>
      <c r="G27" s="14"/>
    </row>
    <row r="28" spans="1:22">
      <c r="B28" s="182"/>
      <c r="F28" s="181"/>
      <c r="G28" s="71"/>
      <c r="H28" s="71"/>
      <c r="I28" s="71"/>
    </row>
    <row r="29" spans="1:22">
      <c r="F29" s="183"/>
      <c r="K29" s="71"/>
    </row>
    <row r="30" spans="1:22">
      <c r="F30" s="184"/>
      <c r="K30" s="71"/>
    </row>
    <row r="31" spans="1:22">
      <c r="K31" s="71"/>
    </row>
    <row r="32" spans="1:22">
      <c r="K32" s="71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26"/>
  <sheetViews>
    <sheetView zoomScaleNormal="100" workbookViewId="0">
      <selection activeCell="Q24" sqref="Q24"/>
    </sheetView>
  </sheetViews>
  <sheetFormatPr defaultRowHeight="14.5" outlineLevelCol="1"/>
  <cols>
    <col min="1" max="1" width="5.44140625" style="52" bestFit="1" customWidth="1"/>
    <col min="2" max="2" width="9.33203125" style="168"/>
    <col min="3" max="3" width="19.44140625" style="168" customWidth="1"/>
    <col min="4" max="4" width="19.77734375" style="168" customWidth="1"/>
    <col min="5" max="5" width="11.44140625" style="168" bestFit="1" customWidth="1"/>
    <col min="6" max="6" width="18.4414062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44140625" style="168" customWidth="1"/>
    <col min="13" max="13" width="11.33203125" style="168" hidden="1" customWidth="1" outlineLevel="1"/>
    <col min="14" max="14" width="12.6640625" style="168" customWidth="1" collapsed="1"/>
    <col min="15" max="16" width="9.33203125" style="168"/>
    <col min="17" max="17" width="15.44140625" style="168" bestFit="1" customWidth="1"/>
    <col min="18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44140625" style="168" customWidth="1"/>
    <col min="256" max="256" width="10.44140625" style="168" customWidth="1"/>
    <col min="257" max="257" width="15.109375" style="168" customWidth="1"/>
    <col min="258" max="258" width="3.6640625" style="168" customWidth="1"/>
    <col min="259" max="259" width="13.109375" style="168" customWidth="1"/>
    <col min="260" max="260" width="3.7773437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7773437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44140625" style="168" customWidth="1"/>
    <col min="512" max="512" width="10.44140625" style="168" customWidth="1"/>
    <col min="513" max="513" width="15.109375" style="168" customWidth="1"/>
    <col min="514" max="514" width="3.6640625" style="168" customWidth="1"/>
    <col min="515" max="515" width="13.109375" style="168" customWidth="1"/>
    <col min="516" max="516" width="3.7773437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7773437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44140625" style="168" customWidth="1"/>
    <col min="768" max="768" width="10.44140625" style="168" customWidth="1"/>
    <col min="769" max="769" width="15.109375" style="168" customWidth="1"/>
    <col min="770" max="770" width="3.6640625" style="168" customWidth="1"/>
    <col min="771" max="771" width="13.109375" style="168" customWidth="1"/>
    <col min="772" max="772" width="3.7773437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7773437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44140625" style="168" customWidth="1"/>
    <col min="1024" max="1024" width="10.44140625" style="168" customWidth="1"/>
    <col min="1025" max="1025" width="15.109375" style="168" customWidth="1"/>
    <col min="1026" max="1026" width="3.6640625" style="168" customWidth="1"/>
    <col min="1027" max="1027" width="13.109375" style="168" customWidth="1"/>
    <col min="1028" max="1028" width="3.7773437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7773437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44140625" style="168" customWidth="1"/>
    <col min="1280" max="1280" width="10.44140625" style="168" customWidth="1"/>
    <col min="1281" max="1281" width="15.109375" style="168" customWidth="1"/>
    <col min="1282" max="1282" width="3.6640625" style="168" customWidth="1"/>
    <col min="1283" max="1283" width="13.109375" style="168" customWidth="1"/>
    <col min="1284" max="1284" width="3.7773437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7773437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44140625" style="168" customWidth="1"/>
    <col min="1536" max="1536" width="10.44140625" style="168" customWidth="1"/>
    <col min="1537" max="1537" width="15.109375" style="168" customWidth="1"/>
    <col min="1538" max="1538" width="3.6640625" style="168" customWidth="1"/>
    <col min="1539" max="1539" width="13.109375" style="168" customWidth="1"/>
    <col min="1540" max="1540" width="3.7773437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7773437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44140625" style="168" customWidth="1"/>
    <col min="1792" max="1792" width="10.44140625" style="168" customWidth="1"/>
    <col min="1793" max="1793" width="15.109375" style="168" customWidth="1"/>
    <col min="1794" max="1794" width="3.6640625" style="168" customWidth="1"/>
    <col min="1795" max="1795" width="13.109375" style="168" customWidth="1"/>
    <col min="1796" max="1796" width="3.7773437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7773437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44140625" style="168" customWidth="1"/>
    <col min="2048" max="2048" width="10.44140625" style="168" customWidth="1"/>
    <col min="2049" max="2049" width="15.109375" style="168" customWidth="1"/>
    <col min="2050" max="2050" width="3.6640625" style="168" customWidth="1"/>
    <col min="2051" max="2051" width="13.109375" style="168" customWidth="1"/>
    <col min="2052" max="2052" width="3.7773437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7773437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44140625" style="168" customWidth="1"/>
    <col min="2304" max="2304" width="10.44140625" style="168" customWidth="1"/>
    <col min="2305" max="2305" width="15.109375" style="168" customWidth="1"/>
    <col min="2306" max="2306" width="3.6640625" style="168" customWidth="1"/>
    <col min="2307" max="2307" width="13.109375" style="168" customWidth="1"/>
    <col min="2308" max="2308" width="3.7773437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7773437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44140625" style="168" customWidth="1"/>
    <col min="2560" max="2560" width="10.44140625" style="168" customWidth="1"/>
    <col min="2561" max="2561" width="15.109375" style="168" customWidth="1"/>
    <col min="2562" max="2562" width="3.6640625" style="168" customWidth="1"/>
    <col min="2563" max="2563" width="13.109375" style="168" customWidth="1"/>
    <col min="2564" max="2564" width="3.7773437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7773437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44140625" style="168" customWidth="1"/>
    <col min="2816" max="2816" width="10.44140625" style="168" customWidth="1"/>
    <col min="2817" max="2817" width="15.109375" style="168" customWidth="1"/>
    <col min="2818" max="2818" width="3.6640625" style="168" customWidth="1"/>
    <col min="2819" max="2819" width="13.109375" style="168" customWidth="1"/>
    <col min="2820" max="2820" width="3.7773437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7773437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44140625" style="168" customWidth="1"/>
    <col min="3072" max="3072" width="10.44140625" style="168" customWidth="1"/>
    <col min="3073" max="3073" width="15.109375" style="168" customWidth="1"/>
    <col min="3074" max="3074" width="3.6640625" style="168" customWidth="1"/>
    <col min="3075" max="3075" width="13.109375" style="168" customWidth="1"/>
    <col min="3076" max="3076" width="3.7773437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7773437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44140625" style="168" customWidth="1"/>
    <col min="3328" max="3328" width="10.44140625" style="168" customWidth="1"/>
    <col min="3329" max="3329" width="15.109375" style="168" customWidth="1"/>
    <col min="3330" max="3330" width="3.6640625" style="168" customWidth="1"/>
    <col min="3331" max="3331" width="13.109375" style="168" customWidth="1"/>
    <col min="3332" max="3332" width="3.7773437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7773437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44140625" style="168" customWidth="1"/>
    <col min="3584" max="3584" width="10.44140625" style="168" customWidth="1"/>
    <col min="3585" max="3585" width="15.109375" style="168" customWidth="1"/>
    <col min="3586" max="3586" width="3.6640625" style="168" customWidth="1"/>
    <col min="3587" max="3587" width="13.109375" style="168" customWidth="1"/>
    <col min="3588" max="3588" width="3.7773437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7773437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44140625" style="168" customWidth="1"/>
    <col min="3840" max="3840" width="10.44140625" style="168" customWidth="1"/>
    <col min="3841" max="3841" width="15.109375" style="168" customWidth="1"/>
    <col min="3842" max="3842" width="3.6640625" style="168" customWidth="1"/>
    <col min="3843" max="3843" width="13.109375" style="168" customWidth="1"/>
    <col min="3844" max="3844" width="3.7773437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7773437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44140625" style="168" customWidth="1"/>
    <col min="4096" max="4096" width="10.44140625" style="168" customWidth="1"/>
    <col min="4097" max="4097" width="15.109375" style="168" customWidth="1"/>
    <col min="4098" max="4098" width="3.6640625" style="168" customWidth="1"/>
    <col min="4099" max="4099" width="13.109375" style="168" customWidth="1"/>
    <col min="4100" max="4100" width="3.7773437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7773437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44140625" style="168" customWidth="1"/>
    <col min="4352" max="4352" width="10.44140625" style="168" customWidth="1"/>
    <col min="4353" max="4353" width="15.109375" style="168" customWidth="1"/>
    <col min="4354" max="4354" width="3.6640625" style="168" customWidth="1"/>
    <col min="4355" max="4355" width="13.109375" style="168" customWidth="1"/>
    <col min="4356" max="4356" width="3.7773437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7773437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44140625" style="168" customWidth="1"/>
    <col min="4608" max="4608" width="10.44140625" style="168" customWidth="1"/>
    <col min="4609" max="4609" width="15.109375" style="168" customWidth="1"/>
    <col min="4610" max="4610" width="3.6640625" style="168" customWidth="1"/>
    <col min="4611" max="4611" width="13.109375" style="168" customWidth="1"/>
    <col min="4612" max="4612" width="3.7773437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7773437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44140625" style="168" customWidth="1"/>
    <col min="4864" max="4864" width="10.44140625" style="168" customWidth="1"/>
    <col min="4865" max="4865" width="15.109375" style="168" customWidth="1"/>
    <col min="4866" max="4866" width="3.6640625" style="168" customWidth="1"/>
    <col min="4867" max="4867" width="13.109375" style="168" customWidth="1"/>
    <col min="4868" max="4868" width="3.7773437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7773437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44140625" style="168" customWidth="1"/>
    <col min="5120" max="5120" width="10.44140625" style="168" customWidth="1"/>
    <col min="5121" max="5121" width="15.109375" style="168" customWidth="1"/>
    <col min="5122" max="5122" width="3.6640625" style="168" customWidth="1"/>
    <col min="5123" max="5123" width="13.109375" style="168" customWidth="1"/>
    <col min="5124" max="5124" width="3.7773437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7773437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44140625" style="168" customWidth="1"/>
    <col min="5376" max="5376" width="10.44140625" style="168" customWidth="1"/>
    <col min="5377" max="5377" width="15.109375" style="168" customWidth="1"/>
    <col min="5378" max="5378" width="3.6640625" style="168" customWidth="1"/>
    <col min="5379" max="5379" width="13.109375" style="168" customWidth="1"/>
    <col min="5380" max="5380" width="3.7773437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7773437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44140625" style="168" customWidth="1"/>
    <col min="5632" max="5632" width="10.44140625" style="168" customWidth="1"/>
    <col min="5633" max="5633" width="15.109375" style="168" customWidth="1"/>
    <col min="5634" max="5634" width="3.6640625" style="168" customWidth="1"/>
    <col min="5635" max="5635" width="13.109375" style="168" customWidth="1"/>
    <col min="5636" max="5636" width="3.7773437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7773437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44140625" style="168" customWidth="1"/>
    <col min="5888" max="5888" width="10.44140625" style="168" customWidth="1"/>
    <col min="5889" max="5889" width="15.109375" style="168" customWidth="1"/>
    <col min="5890" max="5890" width="3.6640625" style="168" customWidth="1"/>
    <col min="5891" max="5891" width="13.109375" style="168" customWidth="1"/>
    <col min="5892" max="5892" width="3.7773437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7773437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44140625" style="168" customWidth="1"/>
    <col min="6144" max="6144" width="10.44140625" style="168" customWidth="1"/>
    <col min="6145" max="6145" width="15.109375" style="168" customWidth="1"/>
    <col min="6146" max="6146" width="3.6640625" style="168" customWidth="1"/>
    <col min="6147" max="6147" width="13.109375" style="168" customWidth="1"/>
    <col min="6148" max="6148" width="3.7773437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7773437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44140625" style="168" customWidth="1"/>
    <col min="6400" max="6400" width="10.44140625" style="168" customWidth="1"/>
    <col min="6401" max="6401" width="15.109375" style="168" customWidth="1"/>
    <col min="6402" max="6402" width="3.6640625" style="168" customWidth="1"/>
    <col min="6403" max="6403" width="13.109375" style="168" customWidth="1"/>
    <col min="6404" max="6404" width="3.7773437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7773437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44140625" style="168" customWidth="1"/>
    <col min="6656" max="6656" width="10.44140625" style="168" customWidth="1"/>
    <col min="6657" max="6657" width="15.109375" style="168" customWidth="1"/>
    <col min="6658" max="6658" width="3.6640625" style="168" customWidth="1"/>
    <col min="6659" max="6659" width="13.109375" style="168" customWidth="1"/>
    <col min="6660" max="6660" width="3.7773437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7773437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44140625" style="168" customWidth="1"/>
    <col min="6912" max="6912" width="10.44140625" style="168" customWidth="1"/>
    <col min="6913" max="6913" width="15.109375" style="168" customWidth="1"/>
    <col min="6914" max="6914" width="3.6640625" style="168" customWidth="1"/>
    <col min="6915" max="6915" width="13.109375" style="168" customWidth="1"/>
    <col min="6916" max="6916" width="3.7773437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7773437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44140625" style="168" customWidth="1"/>
    <col min="7168" max="7168" width="10.44140625" style="168" customWidth="1"/>
    <col min="7169" max="7169" width="15.109375" style="168" customWidth="1"/>
    <col min="7170" max="7170" width="3.6640625" style="168" customWidth="1"/>
    <col min="7171" max="7171" width="13.109375" style="168" customWidth="1"/>
    <col min="7172" max="7172" width="3.7773437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7773437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44140625" style="168" customWidth="1"/>
    <col min="7424" max="7424" width="10.44140625" style="168" customWidth="1"/>
    <col min="7425" max="7425" width="15.109375" style="168" customWidth="1"/>
    <col min="7426" max="7426" width="3.6640625" style="168" customWidth="1"/>
    <col min="7427" max="7427" width="13.109375" style="168" customWidth="1"/>
    <col min="7428" max="7428" width="3.7773437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7773437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44140625" style="168" customWidth="1"/>
    <col min="7680" max="7680" width="10.44140625" style="168" customWidth="1"/>
    <col min="7681" max="7681" width="15.109375" style="168" customWidth="1"/>
    <col min="7682" max="7682" width="3.6640625" style="168" customWidth="1"/>
    <col min="7683" max="7683" width="13.109375" style="168" customWidth="1"/>
    <col min="7684" max="7684" width="3.7773437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7773437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44140625" style="168" customWidth="1"/>
    <col min="7936" max="7936" width="10.44140625" style="168" customWidth="1"/>
    <col min="7937" max="7937" width="15.109375" style="168" customWidth="1"/>
    <col min="7938" max="7938" width="3.6640625" style="168" customWidth="1"/>
    <col min="7939" max="7939" width="13.109375" style="168" customWidth="1"/>
    <col min="7940" max="7940" width="3.7773437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7773437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44140625" style="168" customWidth="1"/>
    <col min="8192" max="8192" width="10.44140625" style="168" customWidth="1"/>
    <col min="8193" max="8193" width="15.109375" style="168" customWidth="1"/>
    <col min="8194" max="8194" width="3.6640625" style="168" customWidth="1"/>
    <col min="8195" max="8195" width="13.109375" style="168" customWidth="1"/>
    <col min="8196" max="8196" width="3.7773437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7773437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44140625" style="168" customWidth="1"/>
    <col min="8448" max="8448" width="10.44140625" style="168" customWidth="1"/>
    <col min="8449" max="8449" width="15.109375" style="168" customWidth="1"/>
    <col min="8450" max="8450" width="3.6640625" style="168" customWidth="1"/>
    <col min="8451" max="8451" width="13.109375" style="168" customWidth="1"/>
    <col min="8452" max="8452" width="3.7773437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7773437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44140625" style="168" customWidth="1"/>
    <col min="8704" max="8704" width="10.44140625" style="168" customWidth="1"/>
    <col min="8705" max="8705" width="15.109375" style="168" customWidth="1"/>
    <col min="8706" max="8706" width="3.6640625" style="168" customWidth="1"/>
    <col min="8707" max="8707" width="13.109375" style="168" customWidth="1"/>
    <col min="8708" max="8708" width="3.7773437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7773437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44140625" style="168" customWidth="1"/>
    <col min="8960" max="8960" width="10.44140625" style="168" customWidth="1"/>
    <col min="8961" max="8961" width="15.109375" style="168" customWidth="1"/>
    <col min="8962" max="8962" width="3.6640625" style="168" customWidth="1"/>
    <col min="8963" max="8963" width="13.109375" style="168" customWidth="1"/>
    <col min="8964" max="8964" width="3.7773437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7773437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44140625" style="168" customWidth="1"/>
    <col min="9216" max="9216" width="10.44140625" style="168" customWidth="1"/>
    <col min="9217" max="9217" width="15.109375" style="168" customWidth="1"/>
    <col min="9218" max="9218" width="3.6640625" style="168" customWidth="1"/>
    <col min="9219" max="9219" width="13.109375" style="168" customWidth="1"/>
    <col min="9220" max="9220" width="3.7773437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7773437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44140625" style="168" customWidth="1"/>
    <col min="9472" max="9472" width="10.44140625" style="168" customWidth="1"/>
    <col min="9473" max="9473" width="15.109375" style="168" customWidth="1"/>
    <col min="9474" max="9474" width="3.6640625" style="168" customWidth="1"/>
    <col min="9475" max="9475" width="13.109375" style="168" customWidth="1"/>
    <col min="9476" max="9476" width="3.7773437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7773437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44140625" style="168" customWidth="1"/>
    <col min="9728" max="9728" width="10.44140625" style="168" customWidth="1"/>
    <col min="9729" max="9729" width="15.109375" style="168" customWidth="1"/>
    <col min="9730" max="9730" width="3.6640625" style="168" customWidth="1"/>
    <col min="9731" max="9731" width="13.109375" style="168" customWidth="1"/>
    <col min="9732" max="9732" width="3.7773437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7773437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44140625" style="168" customWidth="1"/>
    <col min="9984" max="9984" width="10.44140625" style="168" customWidth="1"/>
    <col min="9985" max="9985" width="15.109375" style="168" customWidth="1"/>
    <col min="9986" max="9986" width="3.6640625" style="168" customWidth="1"/>
    <col min="9987" max="9987" width="13.109375" style="168" customWidth="1"/>
    <col min="9988" max="9988" width="3.7773437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7773437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44140625" style="168" customWidth="1"/>
    <col min="10240" max="10240" width="10.44140625" style="168" customWidth="1"/>
    <col min="10241" max="10241" width="15.109375" style="168" customWidth="1"/>
    <col min="10242" max="10242" width="3.6640625" style="168" customWidth="1"/>
    <col min="10243" max="10243" width="13.109375" style="168" customWidth="1"/>
    <col min="10244" max="10244" width="3.7773437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7773437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44140625" style="168" customWidth="1"/>
    <col min="10496" max="10496" width="10.44140625" style="168" customWidth="1"/>
    <col min="10497" max="10497" width="15.109375" style="168" customWidth="1"/>
    <col min="10498" max="10498" width="3.6640625" style="168" customWidth="1"/>
    <col min="10499" max="10499" width="13.109375" style="168" customWidth="1"/>
    <col min="10500" max="10500" width="3.7773437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7773437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44140625" style="168" customWidth="1"/>
    <col min="10752" max="10752" width="10.44140625" style="168" customWidth="1"/>
    <col min="10753" max="10753" width="15.109375" style="168" customWidth="1"/>
    <col min="10754" max="10754" width="3.6640625" style="168" customWidth="1"/>
    <col min="10755" max="10755" width="13.109375" style="168" customWidth="1"/>
    <col min="10756" max="10756" width="3.7773437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7773437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44140625" style="168" customWidth="1"/>
    <col min="11008" max="11008" width="10.44140625" style="168" customWidth="1"/>
    <col min="11009" max="11009" width="15.109375" style="168" customWidth="1"/>
    <col min="11010" max="11010" width="3.6640625" style="168" customWidth="1"/>
    <col min="11011" max="11011" width="13.109375" style="168" customWidth="1"/>
    <col min="11012" max="11012" width="3.7773437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7773437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44140625" style="168" customWidth="1"/>
    <col min="11264" max="11264" width="10.44140625" style="168" customWidth="1"/>
    <col min="11265" max="11265" width="15.109375" style="168" customWidth="1"/>
    <col min="11266" max="11266" width="3.6640625" style="168" customWidth="1"/>
    <col min="11267" max="11267" width="13.109375" style="168" customWidth="1"/>
    <col min="11268" max="11268" width="3.7773437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7773437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44140625" style="168" customWidth="1"/>
    <col min="11520" max="11520" width="10.44140625" style="168" customWidth="1"/>
    <col min="11521" max="11521" width="15.109375" style="168" customWidth="1"/>
    <col min="11522" max="11522" width="3.6640625" style="168" customWidth="1"/>
    <col min="11523" max="11523" width="13.109375" style="168" customWidth="1"/>
    <col min="11524" max="11524" width="3.7773437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7773437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44140625" style="168" customWidth="1"/>
    <col min="11776" max="11776" width="10.44140625" style="168" customWidth="1"/>
    <col min="11777" max="11777" width="15.109375" style="168" customWidth="1"/>
    <col min="11778" max="11778" width="3.6640625" style="168" customWidth="1"/>
    <col min="11779" max="11779" width="13.109375" style="168" customWidth="1"/>
    <col min="11780" max="11780" width="3.7773437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7773437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44140625" style="168" customWidth="1"/>
    <col min="12032" max="12032" width="10.44140625" style="168" customWidth="1"/>
    <col min="12033" max="12033" width="15.109375" style="168" customWidth="1"/>
    <col min="12034" max="12034" width="3.6640625" style="168" customWidth="1"/>
    <col min="12035" max="12035" width="13.109375" style="168" customWidth="1"/>
    <col min="12036" max="12036" width="3.7773437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7773437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44140625" style="168" customWidth="1"/>
    <col min="12288" max="12288" width="10.44140625" style="168" customWidth="1"/>
    <col min="12289" max="12289" width="15.109375" style="168" customWidth="1"/>
    <col min="12290" max="12290" width="3.6640625" style="168" customWidth="1"/>
    <col min="12291" max="12291" width="13.109375" style="168" customWidth="1"/>
    <col min="12292" max="12292" width="3.7773437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7773437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44140625" style="168" customWidth="1"/>
    <col min="12544" max="12544" width="10.44140625" style="168" customWidth="1"/>
    <col min="12545" max="12545" width="15.109375" style="168" customWidth="1"/>
    <col min="12546" max="12546" width="3.6640625" style="168" customWidth="1"/>
    <col min="12547" max="12547" width="13.109375" style="168" customWidth="1"/>
    <col min="12548" max="12548" width="3.7773437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7773437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44140625" style="168" customWidth="1"/>
    <col min="12800" max="12800" width="10.44140625" style="168" customWidth="1"/>
    <col min="12801" max="12801" width="15.109375" style="168" customWidth="1"/>
    <col min="12802" max="12802" width="3.6640625" style="168" customWidth="1"/>
    <col min="12803" max="12803" width="13.109375" style="168" customWidth="1"/>
    <col min="12804" max="12804" width="3.7773437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7773437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44140625" style="168" customWidth="1"/>
    <col min="13056" max="13056" width="10.44140625" style="168" customWidth="1"/>
    <col min="13057" max="13057" width="15.109375" style="168" customWidth="1"/>
    <col min="13058" max="13058" width="3.6640625" style="168" customWidth="1"/>
    <col min="13059" max="13059" width="13.109375" style="168" customWidth="1"/>
    <col min="13060" max="13060" width="3.7773437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7773437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44140625" style="168" customWidth="1"/>
    <col min="13312" max="13312" width="10.44140625" style="168" customWidth="1"/>
    <col min="13313" max="13313" width="15.109375" style="168" customWidth="1"/>
    <col min="13314" max="13314" width="3.6640625" style="168" customWidth="1"/>
    <col min="13315" max="13315" width="13.109375" style="168" customWidth="1"/>
    <col min="13316" max="13316" width="3.7773437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7773437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44140625" style="168" customWidth="1"/>
    <col min="13568" max="13568" width="10.44140625" style="168" customWidth="1"/>
    <col min="13569" max="13569" width="15.109375" style="168" customWidth="1"/>
    <col min="13570" max="13570" width="3.6640625" style="168" customWidth="1"/>
    <col min="13571" max="13571" width="13.109375" style="168" customWidth="1"/>
    <col min="13572" max="13572" width="3.7773437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7773437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44140625" style="168" customWidth="1"/>
    <col min="13824" max="13824" width="10.44140625" style="168" customWidth="1"/>
    <col min="13825" max="13825" width="15.109375" style="168" customWidth="1"/>
    <col min="13826" max="13826" width="3.6640625" style="168" customWidth="1"/>
    <col min="13827" max="13827" width="13.109375" style="168" customWidth="1"/>
    <col min="13828" max="13828" width="3.7773437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7773437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44140625" style="168" customWidth="1"/>
    <col min="14080" max="14080" width="10.44140625" style="168" customWidth="1"/>
    <col min="14081" max="14081" width="15.109375" style="168" customWidth="1"/>
    <col min="14082" max="14082" width="3.6640625" style="168" customWidth="1"/>
    <col min="14083" max="14083" width="13.109375" style="168" customWidth="1"/>
    <col min="14084" max="14084" width="3.7773437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7773437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44140625" style="168" customWidth="1"/>
    <col min="14336" max="14336" width="10.44140625" style="168" customWidth="1"/>
    <col min="14337" max="14337" width="15.109375" style="168" customWidth="1"/>
    <col min="14338" max="14338" width="3.6640625" style="168" customWidth="1"/>
    <col min="14339" max="14339" width="13.109375" style="168" customWidth="1"/>
    <col min="14340" max="14340" width="3.7773437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7773437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44140625" style="168" customWidth="1"/>
    <col min="14592" max="14592" width="10.44140625" style="168" customWidth="1"/>
    <col min="14593" max="14593" width="15.109375" style="168" customWidth="1"/>
    <col min="14594" max="14594" width="3.6640625" style="168" customWidth="1"/>
    <col min="14595" max="14595" width="13.109375" style="168" customWidth="1"/>
    <col min="14596" max="14596" width="3.7773437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7773437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44140625" style="168" customWidth="1"/>
    <col min="14848" max="14848" width="10.44140625" style="168" customWidth="1"/>
    <col min="14849" max="14849" width="15.109375" style="168" customWidth="1"/>
    <col min="14850" max="14850" width="3.6640625" style="168" customWidth="1"/>
    <col min="14851" max="14851" width="13.109375" style="168" customWidth="1"/>
    <col min="14852" max="14852" width="3.7773437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7773437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44140625" style="168" customWidth="1"/>
    <col min="15104" max="15104" width="10.44140625" style="168" customWidth="1"/>
    <col min="15105" max="15105" width="15.109375" style="168" customWidth="1"/>
    <col min="15106" max="15106" width="3.6640625" style="168" customWidth="1"/>
    <col min="15107" max="15107" width="13.109375" style="168" customWidth="1"/>
    <col min="15108" max="15108" width="3.7773437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7773437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44140625" style="168" customWidth="1"/>
    <col min="15360" max="15360" width="10.44140625" style="168" customWidth="1"/>
    <col min="15361" max="15361" width="15.109375" style="168" customWidth="1"/>
    <col min="15362" max="15362" width="3.6640625" style="168" customWidth="1"/>
    <col min="15363" max="15363" width="13.109375" style="168" customWidth="1"/>
    <col min="15364" max="15364" width="3.7773437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7773437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44140625" style="168" customWidth="1"/>
    <col min="15616" max="15616" width="10.44140625" style="168" customWidth="1"/>
    <col min="15617" max="15617" width="15.109375" style="168" customWidth="1"/>
    <col min="15618" max="15618" width="3.6640625" style="168" customWidth="1"/>
    <col min="15619" max="15619" width="13.109375" style="168" customWidth="1"/>
    <col min="15620" max="15620" width="3.7773437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7773437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44140625" style="168" customWidth="1"/>
    <col min="15872" max="15872" width="10.44140625" style="168" customWidth="1"/>
    <col min="15873" max="15873" width="15.109375" style="168" customWidth="1"/>
    <col min="15874" max="15874" width="3.6640625" style="168" customWidth="1"/>
    <col min="15875" max="15875" width="13.109375" style="168" customWidth="1"/>
    <col min="15876" max="15876" width="3.7773437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7773437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44140625" style="168" customWidth="1"/>
    <col min="16128" max="16128" width="10.44140625" style="168" customWidth="1"/>
    <col min="16129" max="16129" width="15.109375" style="168" customWidth="1"/>
    <col min="16130" max="16130" width="3.6640625" style="168" customWidth="1"/>
    <col min="16131" max="16131" width="13.109375" style="168" customWidth="1"/>
    <col min="16132" max="16132" width="3.7773437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77734375" style="168" customWidth="1"/>
    <col min="16141" max="16384" width="9.33203125" style="168"/>
  </cols>
  <sheetData>
    <row r="1" spans="1:18" ht="15.5">
      <c r="A1" s="626"/>
      <c r="B1" s="627"/>
      <c r="C1" s="627"/>
      <c r="D1" s="627"/>
      <c r="E1" s="627"/>
      <c r="F1" s="627"/>
      <c r="G1" s="628"/>
      <c r="H1" s="627"/>
      <c r="I1" s="628"/>
      <c r="J1" s="628"/>
      <c r="K1" s="629"/>
      <c r="L1" s="758" t="str">
        <f>+'TTA Proposed Rate 590'!G1</f>
        <v>CNGC Advice W20-09-01</v>
      </c>
      <c r="M1" s="627"/>
      <c r="N1" s="627"/>
    </row>
    <row r="2" spans="1:18" ht="15.5">
      <c r="A2" s="627"/>
      <c r="B2" s="630"/>
      <c r="C2" s="630"/>
      <c r="D2" s="841" t="s">
        <v>52</v>
      </c>
      <c r="E2" s="841"/>
      <c r="F2" s="841"/>
      <c r="G2" s="841"/>
      <c r="H2" s="841"/>
      <c r="I2" s="841"/>
      <c r="J2" s="841"/>
      <c r="K2" s="631"/>
      <c r="L2" s="759" t="s">
        <v>290</v>
      </c>
      <c r="M2" s="627"/>
      <c r="N2" s="627"/>
    </row>
    <row r="3" spans="1:18" ht="15.5">
      <c r="A3" s="627"/>
      <c r="B3" s="630"/>
      <c r="C3" s="630"/>
      <c r="D3" s="842" t="s">
        <v>304</v>
      </c>
      <c r="E3" s="841"/>
      <c r="F3" s="841"/>
      <c r="G3" s="841"/>
      <c r="H3" s="841"/>
      <c r="I3" s="841"/>
      <c r="J3" s="841"/>
      <c r="K3" s="631"/>
      <c r="L3" s="759" t="s">
        <v>314</v>
      </c>
      <c r="M3" s="627"/>
      <c r="N3" s="627"/>
    </row>
    <row r="4" spans="1:18" ht="15.5">
      <c r="A4" s="627"/>
      <c r="B4" s="630"/>
      <c r="C4" s="630"/>
      <c r="D4" s="842" t="s">
        <v>346</v>
      </c>
      <c r="E4" s="841"/>
      <c r="F4" s="841"/>
      <c r="G4" s="841"/>
      <c r="H4" s="841"/>
      <c r="I4" s="841"/>
      <c r="J4" s="841"/>
      <c r="K4" s="632"/>
      <c r="L4" s="627"/>
      <c r="M4" s="633" t="s">
        <v>54</v>
      </c>
      <c r="N4" s="627"/>
    </row>
    <row r="5" spans="1:18" ht="15.5">
      <c r="A5" s="627"/>
      <c r="B5" s="630"/>
      <c r="C5" s="630"/>
      <c r="D5" s="841" t="s">
        <v>53</v>
      </c>
      <c r="E5" s="841"/>
      <c r="F5" s="841"/>
      <c r="G5" s="841"/>
      <c r="H5" s="841"/>
      <c r="I5" s="841"/>
      <c r="J5" s="841"/>
      <c r="K5" s="631"/>
      <c r="L5" s="630" t="s">
        <v>173</v>
      </c>
      <c r="M5" s="633" t="s">
        <v>54</v>
      </c>
      <c r="N5" s="627"/>
    </row>
    <row r="6" spans="1:18" ht="15.5">
      <c r="A6" s="626"/>
      <c r="B6" s="627"/>
      <c r="C6" s="627"/>
      <c r="D6" s="627"/>
      <c r="E6" s="627"/>
      <c r="F6" s="627"/>
      <c r="G6" s="628"/>
      <c r="H6" s="627"/>
      <c r="I6" s="628"/>
      <c r="J6" s="628"/>
      <c r="K6" s="629"/>
      <c r="L6" s="627"/>
      <c r="M6" s="627"/>
      <c r="N6" s="627"/>
    </row>
    <row r="7" spans="1:18" ht="15.5">
      <c r="A7" s="634"/>
      <c r="B7" s="635"/>
      <c r="C7" s="636"/>
      <c r="D7" s="636"/>
      <c r="E7" s="783"/>
      <c r="F7" s="637"/>
      <c r="G7" s="638"/>
      <c r="H7" s="637"/>
      <c r="I7" s="638"/>
      <c r="J7" s="628"/>
      <c r="K7" s="639" t="s">
        <v>55</v>
      </c>
      <c r="L7" s="636"/>
      <c r="M7" s="636"/>
      <c r="N7" s="640"/>
    </row>
    <row r="8" spans="1:18" ht="15.5">
      <c r="A8" s="641" t="s">
        <v>7</v>
      </c>
      <c r="B8" s="628"/>
      <c r="C8" s="642"/>
      <c r="D8" s="643" t="s">
        <v>51</v>
      </c>
      <c r="E8" s="784" t="s">
        <v>56</v>
      </c>
      <c r="F8" s="641" t="s">
        <v>319</v>
      </c>
      <c r="G8" s="638"/>
      <c r="H8" s="641" t="s">
        <v>58</v>
      </c>
      <c r="I8" s="638"/>
      <c r="J8" s="628"/>
      <c r="K8" s="644" t="s">
        <v>194</v>
      </c>
      <c r="L8" s="645" t="s">
        <v>59</v>
      </c>
      <c r="M8" s="643" t="s">
        <v>60</v>
      </c>
      <c r="N8" s="646" t="s">
        <v>214</v>
      </c>
    </row>
    <row r="9" spans="1:18" ht="15.5">
      <c r="A9" s="641" t="s">
        <v>9</v>
      </c>
      <c r="B9" s="647" t="s">
        <v>0</v>
      </c>
      <c r="C9" s="645"/>
      <c r="D9" s="643" t="s">
        <v>61</v>
      </c>
      <c r="E9" s="784" t="s">
        <v>62</v>
      </c>
      <c r="F9" s="641" t="s">
        <v>63</v>
      </c>
      <c r="G9" s="638"/>
      <c r="H9" s="641" t="s">
        <v>64</v>
      </c>
      <c r="I9" s="638"/>
      <c r="J9" s="628"/>
      <c r="K9" s="644" t="s">
        <v>65</v>
      </c>
      <c r="L9" s="645" t="s">
        <v>65</v>
      </c>
      <c r="M9" s="645" t="s">
        <v>65</v>
      </c>
      <c r="N9" s="646" t="s">
        <v>65</v>
      </c>
    </row>
    <row r="10" spans="1:18" s="52" customFormat="1" ht="15.5">
      <c r="A10" s="646"/>
      <c r="B10" s="843" t="s">
        <v>14</v>
      </c>
      <c r="C10" s="844"/>
      <c r="D10" s="643" t="s">
        <v>15</v>
      </c>
      <c r="E10" s="784" t="s">
        <v>16</v>
      </c>
      <c r="F10" s="648" t="s">
        <v>17</v>
      </c>
      <c r="G10" s="649"/>
      <c r="H10" s="648" t="s">
        <v>66</v>
      </c>
      <c r="I10" s="649"/>
      <c r="J10" s="650"/>
      <c r="K10" s="651" t="s">
        <v>99</v>
      </c>
      <c r="L10" s="643" t="s">
        <v>67</v>
      </c>
      <c r="M10" s="643" t="s">
        <v>69</v>
      </c>
      <c r="N10" s="652" t="s">
        <v>68</v>
      </c>
    </row>
    <row r="11" spans="1:18" ht="15.5">
      <c r="A11" s="653"/>
      <c r="B11" s="654" t="s">
        <v>70</v>
      </c>
      <c r="C11" s="655"/>
      <c r="D11" s="655"/>
      <c r="E11" s="655"/>
      <c r="F11" s="655"/>
      <c r="G11" s="628"/>
      <c r="H11" s="656"/>
      <c r="I11" s="628"/>
      <c r="J11" s="628"/>
      <c r="K11" s="657"/>
      <c r="L11" s="655"/>
      <c r="M11" s="658"/>
      <c r="N11" s="627"/>
    </row>
    <row r="12" spans="1:18" ht="15.5">
      <c r="A12" s="641">
        <v>1</v>
      </c>
      <c r="B12" s="659" t="s">
        <v>121</v>
      </c>
      <c r="C12" s="666"/>
      <c r="D12" s="643" t="s">
        <v>72</v>
      </c>
      <c r="E12" s="564">
        <f>+'Bills-Therms-Revs'!F12</f>
        <v>193657</v>
      </c>
      <c r="F12" s="660">
        <f>+'Test Period Volumes'!C48</f>
        <v>127118966.08439983</v>
      </c>
      <c r="G12" s="667"/>
      <c r="H12" s="660">
        <f>+'Bills-Therms-Revs'!I16</f>
        <v>129784520</v>
      </c>
      <c r="I12" s="638"/>
      <c r="J12" s="668"/>
      <c r="K12" s="662">
        <f>+'TTA Proposed Rate 590'!F13</f>
        <v>1.4010000000000002E-2</v>
      </c>
      <c r="L12" s="663">
        <f>F12*K12</f>
        <v>1780936.714842442</v>
      </c>
      <c r="M12" s="664" t="e">
        <f>L12/#REF!</f>
        <v>#REF!</v>
      </c>
      <c r="N12" s="824">
        <f t="shared" ref="N12:N16" si="0">+L12/H12</f>
        <v>1.3722258362110072E-2</v>
      </c>
      <c r="R12" s="15"/>
    </row>
    <row r="13" spans="1:18" ht="15.5">
      <c r="A13" s="641">
        <v>2</v>
      </c>
      <c r="B13" s="659" t="s">
        <v>122</v>
      </c>
      <c r="C13" s="638"/>
      <c r="D13" s="643" t="s">
        <v>74</v>
      </c>
      <c r="E13" s="564">
        <f>+'Bills-Therms-Revs'!F18</f>
        <v>26658</v>
      </c>
      <c r="F13" s="660">
        <f>+'Test Period Volumes'!D48</f>
        <v>88299944.040802553</v>
      </c>
      <c r="G13" s="638"/>
      <c r="H13" s="660">
        <f>+'Bills-Therms-Revs'!I18+'Bills-Therms-Revs'!I21+'Bills-Therms-Revs'!I22</f>
        <v>79262367.890000001</v>
      </c>
      <c r="I13" s="638"/>
      <c r="J13" s="628"/>
      <c r="K13" s="662">
        <f>+'TTA Proposed Rate 590'!F14</f>
        <v>1.4010000000000002E-2</v>
      </c>
      <c r="L13" s="663">
        <f>ROUND(F13*K13,0)</f>
        <v>1237082</v>
      </c>
      <c r="M13" s="664" t="e">
        <f>ROUND(L13/#REF!,4)</f>
        <v>#REF!</v>
      </c>
      <c r="N13" s="669">
        <f t="shared" si="0"/>
        <v>1.5607431785495198E-2</v>
      </c>
      <c r="R13" s="15"/>
    </row>
    <row r="14" spans="1:18" ht="15.5">
      <c r="A14" s="641">
        <v>3</v>
      </c>
      <c r="B14" s="659" t="s">
        <v>123</v>
      </c>
      <c r="C14" s="666"/>
      <c r="D14" s="643" t="s">
        <v>78</v>
      </c>
      <c r="E14" s="564">
        <f>+'Bills-Therms-Revs'!F28</f>
        <v>480</v>
      </c>
      <c r="F14" s="660">
        <f>+'Test Period Volumes'!E48</f>
        <v>14482049.656409066</v>
      </c>
      <c r="G14" s="638"/>
      <c r="H14" s="660">
        <f>+'Bills-Therms-Revs'!I28</f>
        <v>9601453</v>
      </c>
      <c r="I14" s="638"/>
      <c r="J14" s="628"/>
      <c r="K14" s="662">
        <f>+'TTA Proposed Rate 590'!F16</f>
        <v>1.4010000000000002E-2</v>
      </c>
      <c r="L14" s="663">
        <f t="shared" ref="L14:L16" si="1">F14*K14</f>
        <v>202893.51568629104</v>
      </c>
      <c r="M14" s="664" t="e">
        <f>L14/#REF!</f>
        <v>#REF!</v>
      </c>
      <c r="N14" s="669">
        <f t="shared" si="0"/>
        <v>2.1131542870260474E-2</v>
      </c>
      <c r="R14" s="15"/>
    </row>
    <row r="15" spans="1:18" ht="15.5">
      <c r="A15" s="641">
        <v>4</v>
      </c>
      <c r="B15" s="659" t="s">
        <v>75</v>
      </c>
      <c r="C15" s="638"/>
      <c r="D15" s="643" t="s">
        <v>76</v>
      </c>
      <c r="E15" s="564">
        <f>+'Bills-Therms-Revs'!F19+'Bills-Therms-Revs'!F29</f>
        <v>98</v>
      </c>
      <c r="F15" s="660">
        <f>+'Test Period Volumes'!F48</f>
        <v>27088723.120386221</v>
      </c>
      <c r="G15" s="667"/>
      <c r="H15" s="660">
        <f>+'Bills-Therms-Revs'!I19+'Bills-Therms-Revs'!I23+'Bills-Therms-Revs'!I24+'Bills-Therms-Revs'!I29</f>
        <v>18277286.380000003</v>
      </c>
      <c r="I15" s="667"/>
      <c r="J15" s="668"/>
      <c r="K15" s="662">
        <f>+'TTA Proposed Rate 590'!F15</f>
        <v>1.4010000000000002E-2</v>
      </c>
      <c r="L15" s="663">
        <f t="shared" si="1"/>
        <v>379513.01091661101</v>
      </c>
      <c r="M15" s="664" t="e">
        <f>L15/#REF!</f>
        <v>#REF!</v>
      </c>
      <c r="N15" s="669">
        <f t="shared" si="0"/>
        <v>2.0764188021472087E-2</v>
      </c>
    </row>
    <row r="16" spans="1:18" ht="15.5">
      <c r="A16" s="641">
        <v>5</v>
      </c>
      <c r="B16" s="659" t="s">
        <v>124</v>
      </c>
      <c r="C16" s="638"/>
      <c r="D16" s="643" t="s">
        <v>79</v>
      </c>
      <c r="E16" s="564">
        <f>+'Bills-Therms-Revs'!F34</f>
        <v>8</v>
      </c>
      <c r="F16" s="660">
        <f>+'Test Period Volumes'!G48</f>
        <v>2291417.0980023355</v>
      </c>
      <c r="G16" s="667"/>
      <c r="H16" s="660">
        <f>+'Bills-Therms-Revs'!I39</f>
        <v>1421635</v>
      </c>
      <c r="I16" s="638"/>
      <c r="J16" s="668"/>
      <c r="K16" s="662">
        <f>+'TTA Proposed Rate 590'!F17</f>
        <v>1.4010000000000002E-2</v>
      </c>
      <c r="L16" s="663">
        <f t="shared" si="1"/>
        <v>32102.753543012725</v>
      </c>
      <c r="M16" s="664" t="e">
        <f>L16/#REF!</f>
        <v>#REF!</v>
      </c>
      <c r="N16" s="678">
        <f t="shared" si="0"/>
        <v>2.2581572304433081E-2</v>
      </c>
      <c r="R16" s="15"/>
    </row>
    <row r="17" spans="1:18" s="50" customFormat="1" ht="15.5">
      <c r="A17" s="648">
        <v>6</v>
      </c>
      <c r="B17" s="654" t="s">
        <v>318</v>
      </c>
      <c r="C17" s="670"/>
      <c r="D17" s="671"/>
      <c r="E17" s="785">
        <f>SUM(E12:E16)</f>
        <v>220901</v>
      </c>
      <c r="F17" s="672">
        <f>SUM(F12:F16)</f>
        <v>259281100</v>
      </c>
      <c r="G17" s="673"/>
      <c r="H17" s="672">
        <f>SUM(H12:H16)</f>
        <v>238347262.26999998</v>
      </c>
      <c r="I17" s="673"/>
      <c r="J17" s="674"/>
      <c r="K17" s="675"/>
      <c r="L17" s="676">
        <f>SUM(L12:L16)</f>
        <v>3632527.9949883567</v>
      </c>
      <c r="M17" s="677" t="e">
        <f>L17/#REF!</f>
        <v>#REF!</v>
      </c>
      <c r="N17" s="678"/>
    </row>
    <row r="18" spans="1:18" s="17" customFormat="1" ht="15.5">
      <c r="A18" s="679"/>
      <c r="B18" s="680" t="s">
        <v>81</v>
      </c>
      <c r="C18" s="681"/>
      <c r="D18" s="681"/>
      <c r="E18" s="682"/>
      <c r="F18" s="682"/>
      <c r="G18" s="668"/>
      <c r="H18" s="786"/>
      <c r="I18" s="628"/>
      <c r="J18" s="668"/>
      <c r="K18" s="683"/>
      <c r="L18" s="684"/>
      <c r="M18" s="685"/>
      <c r="N18" s="686"/>
    </row>
    <row r="19" spans="1:18" ht="15.5">
      <c r="A19" s="687">
        <v>7</v>
      </c>
      <c r="B19" s="688" t="s">
        <v>195</v>
      </c>
      <c r="C19" s="635"/>
      <c r="D19" s="637" t="s">
        <v>46</v>
      </c>
      <c r="E19" s="787"/>
      <c r="F19" s="661">
        <f>'Bills-Therms-Revs'!G42</f>
        <v>0</v>
      </c>
      <c r="G19" s="628"/>
      <c r="H19" s="787">
        <f>'Bills-Therms-Revs'!I42</f>
        <v>0</v>
      </c>
      <c r="I19" s="628"/>
      <c r="J19" s="628"/>
      <c r="K19" s="689">
        <f>'TTA Proposed Rate 590'!F21</f>
        <v>0</v>
      </c>
      <c r="L19" s="690">
        <f>+F19*K19</f>
        <v>0</v>
      </c>
      <c r="M19" s="691"/>
      <c r="N19" s="824"/>
    </row>
    <row r="20" spans="1:18" ht="15.5">
      <c r="A20" s="687">
        <v>8</v>
      </c>
      <c r="B20" s="692" t="s">
        <v>196</v>
      </c>
      <c r="C20" s="628"/>
      <c r="D20" s="641" t="s">
        <v>82</v>
      </c>
      <c r="E20" s="660">
        <f>+'Bills-Therms-Revs'!F44</f>
        <v>188</v>
      </c>
      <c r="F20" s="660">
        <f>+'Bills-Therms-Revs'!G44</f>
        <v>629818145</v>
      </c>
      <c r="G20" s="668"/>
      <c r="H20" s="660">
        <f>+'Bills-Therms-Revs'!I44</f>
        <v>20168203</v>
      </c>
      <c r="I20" s="659"/>
      <c r="J20" s="668"/>
      <c r="K20" s="693">
        <f>+'TTA Proposed Rate 590'!F20</f>
        <v>0</v>
      </c>
      <c r="L20" s="694">
        <f>F20*K20</f>
        <v>0</v>
      </c>
      <c r="M20" s="691"/>
      <c r="N20" s="669">
        <f>+L20/H20</f>
        <v>0</v>
      </c>
    </row>
    <row r="21" spans="1:18" ht="15.5">
      <c r="A21" s="687">
        <v>9</v>
      </c>
      <c r="B21" s="692" t="s">
        <v>197</v>
      </c>
      <c r="C21" s="628"/>
      <c r="D21" s="648" t="s">
        <v>193</v>
      </c>
      <c r="E21" s="695">
        <f>+'Bills-Therms-Revs'!F45</f>
        <v>7</v>
      </c>
      <c r="F21" s="695">
        <f>+'Bills-Therms-Revs'!G45</f>
        <v>216766399</v>
      </c>
      <c r="G21" s="628"/>
      <c r="H21" s="660">
        <f>+'Bills-Therms-Revs'!I45</f>
        <v>4441400</v>
      </c>
      <c r="I21" s="628"/>
      <c r="J21" s="628"/>
      <c r="K21" s="693"/>
      <c r="L21" s="694"/>
      <c r="M21" s="685"/>
      <c r="N21" s="825"/>
    </row>
    <row r="22" spans="1:18" s="50" customFormat="1" ht="15.5">
      <c r="A22" s="697">
        <v>10</v>
      </c>
      <c r="B22" s="698" t="s">
        <v>198</v>
      </c>
      <c r="C22" s="670"/>
      <c r="D22" s="671"/>
      <c r="E22" s="699">
        <f>SUM(E19:E21)</f>
        <v>195</v>
      </c>
      <c r="F22" s="699">
        <f>SUM(F19:F21)</f>
        <v>846584544</v>
      </c>
      <c r="G22" s="700"/>
      <c r="H22" s="699">
        <f>SUM(H19:H21)</f>
        <v>24609603</v>
      </c>
      <c r="I22" s="700"/>
      <c r="J22" s="700"/>
      <c r="K22" s="701"/>
      <c r="L22" s="702">
        <f>+L20+L19</f>
        <v>0</v>
      </c>
      <c r="M22" s="703"/>
      <c r="N22" s="704"/>
    </row>
    <row r="23" spans="1:18" s="195" customFormat="1" ht="15.5">
      <c r="A23" s="650"/>
      <c r="B23" s="705"/>
      <c r="C23" s="700"/>
      <c r="D23" s="700"/>
      <c r="E23" s="788"/>
      <c r="F23" s="706"/>
      <c r="G23" s="700"/>
      <c r="H23" s="788"/>
      <c r="I23" s="700"/>
      <c r="J23" s="700"/>
      <c r="K23" s="707"/>
      <c r="L23" s="708"/>
      <c r="M23" s="709"/>
      <c r="N23" s="700"/>
    </row>
    <row r="24" spans="1:18" s="50" customFormat="1" ht="15.5">
      <c r="A24" s="653">
        <v>11</v>
      </c>
      <c r="B24" s="698" t="s">
        <v>199</v>
      </c>
      <c r="C24" s="670"/>
      <c r="D24" s="670"/>
      <c r="E24" s="699">
        <f>+E22+E17</f>
        <v>221096</v>
      </c>
      <c r="F24" s="699">
        <f>+F22+F17</f>
        <v>1105865644</v>
      </c>
      <c r="G24" s="706"/>
      <c r="H24" s="699">
        <f>+H22+H17</f>
        <v>262956865.26999998</v>
      </c>
      <c r="I24" s="706"/>
      <c r="J24" s="700"/>
      <c r="K24" s="701"/>
      <c r="L24" s="702">
        <f>+L20+L17</f>
        <v>3632527.9949883567</v>
      </c>
      <c r="M24" s="710"/>
      <c r="N24" s="711">
        <f>+L24/H24</f>
        <v>1.3814159182566061E-2</v>
      </c>
      <c r="Q24" s="826"/>
      <c r="R24" s="53"/>
    </row>
    <row r="26" spans="1:18">
      <c r="B26" s="77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Q74"/>
  <sheetViews>
    <sheetView zoomScaleNormal="100" workbookViewId="0">
      <selection activeCell="B6" sqref="B6:H6"/>
    </sheetView>
  </sheetViews>
  <sheetFormatPr defaultColWidth="12" defaultRowHeight="14.5"/>
  <cols>
    <col min="1" max="1" width="5.33203125" style="47" customWidth="1"/>
    <col min="2" max="2" width="29.33203125" style="34" bestFit="1" customWidth="1"/>
    <col min="3" max="3" width="18.77734375" style="34" customWidth="1"/>
    <col min="4" max="4" width="1.77734375" style="34" customWidth="1"/>
    <col min="5" max="5" width="20" style="34" customWidth="1"/>
    <col min="6" max="6" width="1.77734375" style="34" customWidth="1"/>
    <col min="7" max="7" width="21" style="34" customWidth="1"/>
    <col min="8" max="8" width="14.6640625" style="34" customWidth="1"/>
    <col min="9" max="9" width="12.33203125" style="34" customWidth="1"/>
    <col min="10" max="10" width="5.77734375" style="40" customWidth="1"/>
    <col min="11" max="16384" width="12" style="34"/>
  </cols>
  <sheetData>
    <row r="1" spans="1:17" ht="15" customHeight="1">
      <c r="A1" s="712"/>
      <c r="B1" s="713"/>
      <c r="C1" s="713"/>
      <c r="D1" s="713"/>
      <c r="E1" s="713"/>
      <c r="F1" s="713"/>
      <c r="G1" s="713"/>
      <c r="H1" s="713"/>
      <c r="I1" s="758" t="str">
        <f>+'TTA Amount of Change'!L1</f>
        <v>CNGC Advice W20-09-01</v>
      </c>
      <c r="J1" s="714"/>
      <c r="K1" s="713"/>
    </row>
    <row r="2" spans="1:17" ht="15" customHeight="1">
      <c r="A2" s="713"/>
      <c r="B2" s="715"/>
      <c r="H2" s="715"/>
      <c r="I2" s="759" t="s">
        <v>290</v>
      </c>
      <c r="J2" s="714"/>
      <c r="K2" s="713"/>
    </row>
    <row r="3" spans="1:17" ht="15" customHeight="1">
      <c r="A3" s="713"/>
      <c r="B3" s="832" t="s">
        <v>52</v>
      </c>
      <c r="C3" s="832"/>
      <c r="D3" s="832"/>
      <c r="E3" s="832"/>
      <c r="F3" s="832"/>
      <c r="G3" s="832"/>
      <c r="H3" s="832"/>
      <c r="I3" s="759" t="s">
        <v>315</v>
      </c>
      <c r="J3" s="714"/>
      <c r="K3" s="713"/>
    </row>
    <row r="4" spans="1:17" ht="15" customHeight="1">
      <c r="A4" s="713"/>
      <c r="B4" s="832" t="s">
        <v>305</v>
      </c>
      <c r="C4" s="832"/>
      <c r="D4" s="832"/>
      <c r="E4" s="832"/>
      <c r="F4" s="832"/>
      <c r="G4" s="832"/>
      <c r="H4" s="832"/>
      <c r="I4" s="713"/>
      <c r="J4" s="714"/>
      <c r="K4" s="713"/>
    </row>
    <row r="5" spans="1:17" ht="15" customHeight="1">
      <c r="A5" s="713"/>
      <c r="B5" s="832" t="s">
        <v>339</v>
      </c>
      <c r="C5" s="832"/>
      <c r="D5" s="832"/>
      <c r="E5" s="832"/>
      <c r="F5" s="832"/>
      <c r="G5" s="832"/>
      <c r="H5" s="832"/>
      <c r="I5" s="625"/>
      <c r="J5" s="714"/>
      <c r="K5" s="713"/>
    </row>
    <row r="6" spans="1:17" ht="15.5">
      <c r="A6" s="712"/>
      <c r="B6" s="832" t="s">
        <v>53</v>
      </c>
      <c r="C6" s="832"/>
      <c r="D6" s="832"/>
      <c r="E6" s="832"/>
      <c r="F6" s="832"/>
      <c r="G6" s="832"/>
      <c r="H6" s="832"/>
      <c r="I6" s="713"/>
      <c r="J6" s="714"/>
      <c r="K6" s="713"/>
    </row>
    <row r="7" spans="1:17" ht="15.5">
      <c r="A7" s="712"/>
      <c r="B7" s="713"/>
      <c r="C7" s="713"/>
      <c r="D7" s="713"/>
      <c r="E7" s="713"/>
      <c r="F7" s="713"/>
      <c r="G7" s="713"/>
      <c r="H7" s="713"/>
      <c r="I7" s="713"/>
      <c r="J7" s="714"/>
      <c r="K7" s="713"/>
    </row>
    <row r="8" spans="1:17" ht="15.5">
      <c r="A8" s="712"/>
      <c r="B8" s="713"/>
      <c r="C8" s="713"/>
      <c r="D8" s="713"/>
      <c r="E8" s="713"/>
      <c r="F8" s="713"/>
      <c r="G8" s="716" t="s">
        <v>55</v>
      </c>
      <c r="H8" s="713"/>
      <c r="I8" s="713"/>
      <c r="J8" s="714"/>
      <c r="K8" s="713"/>
    </row>
    <row r="9" spans="1:17" ht="15.5">
      <c r="A9" s="716" t="s">
        <v>7</v>
      </c>
      <c r="B9" s="713"/>
      <c r="C9" s="713"/>
      <c r="D9" s="713"/>
      <c r="E9" s="717" t="s">
        <v>88</v>
      </c>
      <c r="F9" s="713"/>
      <c r="G9" s="716" t="s">
        <v>51</v>
      </c>
      <c r="H9" s="716" t="s">
        <v>59</v>
      </c>
      <c r="I9" s="716" t="s">
        <v>60</v>
      </c>
      <c r="J9" s="714"/>
      <c r="K9" s="713"/>
    </row>
    <row r="10" spans="1:17" s="47" customFormat="1" ht="15.5">
      <c r="A10" s="716" t="s">
        <v>9</v>
      </c>
      <c r="B10" s="716" t="s">
        <v>0</v>
      </c>
      <c r="C10" s="716" t="s">
        <v>89</v>
      </c>
      <c r="D10" s="712"/>
      <c r="E10" s="718" t="s">
        <v>345</v>
      </c>
      <c r="F10" s="712"/>
      <c r="G10" s="716" t="s">
        <v>65</v>
      </c>
      <c r="H10" s="716" t="s">
        <v>65</v>
      </c>
      <c r="I10" s="716" t="s">
        <v>65</v>
      </c>
      <c r="J10" s="719"/>
      <c r="K10" s="712"/>
    </row>
    <row r="11" spans="1:17" s="47" customFormat="1" ht="15.5">
      <c r="A11" s="720"/>
      <c r="B11" s="721" t="s">
        <v>14</v>
      </c>
      <c r="C11" s="721" t="s">
        <v>15</v>
      </c>
      <c r="D11" s="720"/>
      <c r="E11" s="721" t="s">
        <v>16</v>
      </c>
      <c r="F11" s="720"/>
      <c r="G11" s="721" t="s">
        <v>17</v>
      </c>
      <c r="H11" s="721" t="s">
        <v>18</v>
      </c>
      <c r="I11" s="721" t="s">
        <v>99</v>
      </c>
      <c r="J11" s="719"/>
      <c r="K11" s="712"/>
    </row>
    <row r="12" spans="1:17" ht="8.25" customHeight="1">
      <c r="A12" s="712"/>
      <c r="B12" s="713"/>
      <c r="C12" s="713"/>
      <c r="D12" s="713"/>
      <c r="E12" s="713"/>
      <c r="F12" s="713"/>
      <c r="G12" s="713"/>
      <c r="H12" s="713"/>
      <c r="I12" s="713"/>
      <c r="J12" s="714"/>
      <c r="K12" s="713"/>
    </row>
    <row r="13" spans="1:17" ht="15.5">
      <c r="A13" s="716">
        <v>1</v>
      </c>
      <c r="B13" s="722" t="s">
        <v>102</v>
      </c>
      <c r="C13" s="555">
        <f>+'TTA Amount of Change'!F12</f>
        <v>127118966.08439983</v>
      </c>
      <c r="D13" s="624"/>
      <c r="E13" s="555">
        <f>+'TTA Amount of Change'!H12</f>
        <v>129784520</v>
      </c>
      <c r="F13" s="713"/>
      <c r="G13" s="723">
        <f>+'TTA Amount of Change'!K12</f>
        <v>1.4010000000000002E-2</v>
      </c>
      <c r="H13" s="724">
        <f>+G13*C13</f>
        <v>1780936.714842442</v>
      </c>
      <c r="I13" s="725">
        <f t="shared" ref="I13:I19" si="0">+H13/E13</f>
        <v>1.3722258362110072E-2</v>
      </c>
      <c r="J13" s="714"/>
      <c r="K13" s="713"/>
      <c r="Q13" s="168"/>
    </row>
    <row r="14" spans="1:17" ht="15.5">
      <c r="A14" s="712"/>
      <c r="B14" s="713"/>
      <c r="C14" s="555"/>
      <c r="D14" s="624"/>
      <c r="E14" s="555"/>
      <c r="F14" s="713"/>
      <c r="G14" s="723"/>
      <c r="H14" s="724"/>
      <c r="I14" s="725"/>
      <c r="J14" s="714"/>
      <c r="K14" s="713"/>
      <c r="Q14" s="168"/>
    </row>
    <row r="15" spans="1:17" ht="15.5">
      <c r="A15" s="716">
        <v>2</v>
      </c>
      <c r="B15" s="722" t="s">
        <v>103</v>
      </c>
      <c r="C15" s="555">
        <f>+'TTA Amount of Change'!F13</f>
        <v>88299944.040802553</v>
      </c>
      <c r="D15" s="624"/>
      <c r="E15" s="555">
        <f>+'TTA Amount of Change'!H13</f>
        <v>79262367.890000001</v>
      </c>
      <c r="F15" s="713"/>
      <c r="G15" s="723">
        <f>+'TTA Amount of Change'!K13</f>
        <v>1.4010000000000002E-2</v>
      </c>
      <c r="H15" s="724">
        <f>+G15*C15</f>
        <v>1237082.2160116439</v>
      </c>
      <c r="I15" s="725">
        <f t="shared" si="0"/>
        <v>1.5607434510768865E-2</v>
      </c>
      <c r="J15" s="714"/>
      <c r="K15" s="713"/>
      <c r="Q15" s="168"/>
    </row>
    <row r="16" spans="1:17" ht="15.5">
      <c r="A16" s="712"/>
      <c r="B16" s="713"/>
      <c r="C16" s="555"/>
      <c r="D16" s="624"/>
      <c r="E16" s="555"/>
      <c r="F16" s="713"/>
      <c r="G16" s="723"/>
      <c r="H16" s="724"/>
      <c r="I16" s="725"/>
      <c r="J16" s="714"/>
      <c r="K16" s="713"/>
      <c r="Q16" s="168"/>
    </row>
    <row r="17" spans="1:17" ht="15.5">
      <c r="A17" s="716">
        <v>3</v>
      </c>
      <c r="B17" s="722" t="s">
        <v>104</v>
      </c>
      <c r="C17" s="555">
        <f>+'TTA Amount of Change'!F14</f>
        <v>14482049.656409066</v>
      </c>
      <c r="D17" s="624"/>
      <c r="E17" s="555">
        <f>+'TTA Amount of Change'!H14</f>
        <v>9601453</v>
      </c>
      <c r="F17" s="713"/>
      <c r="G17" s="723">
        <f>+'TTA Amount of Change'!K14</f>
        <v>1.4010000000000002E-2</v>
      </c>
      <c r="H17" s="724">
        <f>+G17*C17</f>
        <v>202893.51568629104</v>
      </c>
      <c r="I17" s="725">
        <f t="shared" si="0"/>
        <v>2.1131542870260474E-2</v>
      </c>
      <c r="J17" s="714"/>
      <c r="K17" s="713"/>
      <c r="Q17" s="168"/>
    </row>
    <row r="18" spans="1:17" ht="15.5">
      <c r="A18" s="712"/>
      <c r="B18" s="713"/>
      <c r="C18" s="555"/>
      <c r="D18" s="624"/>
      <c r="E18" s="555"/>
      <c r="F18" s="713"/>
      <c r="G18" s="723"/>
      <c r="H18" s="724"/>
      <c r="I18" s="725"/>
      <c r="J18" s="714"/>
      <c r="K18" s="713"/>
      <c r="Q18" s="168"/>
    </row>
    <row r="19" spans="1:17" ht="15.5">
      <c r="A19" s="712">
        <v>4</v>
      </c>
      <c r="B19" s="713" t="s">
        <v>105</v>
      </c>
      <c r="C19" s="555">
        <f>+'TTA Amount of Change'!F15</f>
        <v>27088723.120386221</v>
      </c>
      <c r="D19" s="624"/>
      <c r="E19" s="555">
        <f>+'TTA Amount of Change'!H15</f>
        <v>18277286.380000003</v>
      </c>
      <c r="F19" s="713"/>
      <c r="G19" s="723">
        <f>+'TTA Amount of Change'!K15</f>
        <v>1.4010000000000002E-2</v>
      </c>
      <c r="H19" s="724">
        <f>+G19*C19</f>
        <v>379513.01091661101</v>
      </c>
      <c r="I19" s="725">
        <f t="shared" si="0"/>
        <v>2.0764188021472087E-2</v>
      </c>
      <c r="J19" s="714"/>
      <c r="K19" s="713"/>
      <c r="Q19" s="168"/>
    </row>
    <row r="20" spans="1:17" ht="15.5">
      <c r="A20" s="712"/>
      <c r="B20" s="713"/>
      <c r="C20" s="555"/>
      <c r="D20" s="624"/>
      <c r="E20" s="555"/>
      <c r="F20" s="713"/>
      <c r="G20" s="723"/>
      <c r="H20" s="724"/>
      <c r="I20" s="725"/>
      <c r="J20" s="714"/>
      <c r="K20" s="713"/>
      <c r="Q20" s="168"/>
    </row>
    <row r="21" spans="1:17" ht="15.5">
      <c r="A21" s="716">
        <v>5</v>
      </c>
      <c r="B21" s="722" t="s">
        <v>106</v>
      </c>
      <c r="C21" s="555">
        <f>+'TTA Amount of Change'!F16</f>
        <v>2291417.0980023355</v>
      </c>
      <c r="D21" s="624"/>
      <c r="E21" s="555">
        <f>+'TTA Amount of Change'!H16</f>
        <v>1421635</v>
      </c>
      <c r="F21" s="713"/>
      <c r="G21" s="723">
        <f>+'TTA Amount of Change'!K16</f>
        <v>1.4010000000000002E-2</v>
      </c>
      <c r="H21" s="724">
        <f>+G21*C21</f>
        <v>32102.753543012725</v>
      </c>
      <c r="I21" s="725">
        <f>+H21/E21</f>
        <v>2.2581572304433081E-2</v>
      </c>
      <c r="J21" s="714"/>
      <c r="K21" s="713"/>
      <c r="Q21" s="168"/>
    </row>
    <row r="22" spans="1:17" ht="15.5">
      <c r="A22" s="712"/>
      <c r="B22" s="713"/>
      <c r="C22" s="624"/>
      <c r="D22" s="624"/>
      <c r="E22" s="624"/>
      <c r="F22" s="713"/>
      <c r="G22" s="611"/>
      <c r="H22" s="713"/>
      <c r="I22" s="725"/>
      <c r="J22" s="714"/>
      <c r="K22" s="713"/>
    </row>
    <row r="23" spans="1:17" ht="15.5">
      <c r="A23" s="716">
        <v>6</v>
      </c>
      <c r="B23" s="713" t="s">
        <v>200</v>
      </c>
      <c r="C23" s="624">
        <f>+'TTA Amount of Change'!F20</f>
        <v>629818145</v>
      </c>
      <c r="D23" s="624"/>
      <c r="E23" s="624">
        <f>+'TTA Amount of Change'!H20</f>
        <v>20168203</v>
      </c>
      <c r="F23" s="713"/>
      <c r="G23" s="723">
        <f>+'TTA Amount of Change'!K20</f>
        <v>0</v>
      </c>
      <c r="H23" s="724">
        <f>+G23*C23</f>
        <v>0</v>
      </c>
      <c r="I23" s="725">
        <f>+H23/E23</f>
        <v>0</v>
      </c>
      <c r="J23" s="714"/>
      <c r="K23" s="713"/>
    </row>
    <row r="24" spans="1:17" ht="15.5">
      <c r="A24" s="712"/>
      <c r="B24" s="713"/>
      <c r="C24" s="624"/>
      <c r="D24" s="624"/>
      <c r="E24" s="624"/>
      <c r="F24" s="713"/>
      <c r="G24" s="611"/>
      <c r="H24" s="713"/>
      <c r="I24" s="725"/>
      <c r="J24" s="714"/>
      <c r="K24" s="713"/>
    </row>
    <row r="25" spans="1:17" ht="15.5">
      <c r="A25" s="716"/>
      <c r="B25" s="726"/>
      <c r="C25" s="555"/>
      <c r="D25" s="727"/>
      <c r="E25" s="555"/>
      <c r="F25" s="713"/>
      <c r="G25" s="723"/>
      <c r="H25" s="728"/>
      <c r="I25" s="729"/>
      <c r="J25" s="714"/>
      <c r="K25" s="713"/>
    </row>
    <row r="26" spans="1:17" ht="22.5" customHeight="1">
      <c r="A26" s="719"/>
      <c r="B26" s="714"/>
      <c r="C26" s="714"/>
      <c r="D26" s="714"/>
      <c r="E26" s="714"/>
      <c r="F26" s="714"/>
      <c r="G26" s="714"/>
      <c r="H26" s="714"/>
      <c r="I26" s="730"/>
      <c r="J26" s="714"/>
      <c r="K26" s="714"/>
      <c r="L26" s="40"/>
      <c r="M26" s="40"/>
    </row>
    <row r="27" spans="1:17" ht="15.5">
      <c r="A27" s="731"/>
      <c r="B27" s="845"/>
      <c r="C27" s="845"/>
      <c r="D27" s="845"/>
      <c r="E27" s="845"/>
      <c r="F27" s="845"/>
      <c r="G27" s="845"/>
      <c r="H27" s="845"/>
      <c r="I27" s="845"/>
      <c r="J27" s="714"/>
      <c r="K27" s="714"/>
      <c r="L27" s="40"/>
      <c r="M27" s="40"/>
    </row>
    <row r="28" spans="1:17" ht="15.5">
      <c r="A28" s="719"/>
      <c r="B28" s="714"/>
      <c r="C28" s="714"/>
      <c r="D28" s="714"/>
      <c r="E28" s="714"/>
      <c r="F28" s="714"/>
      <c r="G28" s="714"/>
      <c r="H28" s="714"/>
      <c r="I28" s="714"/>
      <c r="J28" s="714"/>
      <c r="K28" s="714"/>
      <c r="L28" s="40"/>
      <c r="M28" s="40"/>
    </row>
    <row r="29" spans="1:17" ht="15.5">
      <c r="A29" s="712"/>
      <c r="B29" s="713"/>
      <c r="C29" s="713"/>
      <c r="D29" s="713"/>
      <c r="E29" s="713"/>
      <c r="F29" s="713"/>
      <c r="G29" s="713"/>
      <c r="H29" s="713"/>
      <c r="I29" s="713"/>
      <c r="J29" s="714"/>
      <c r="K29" s="713"/>
    </row>
    <row r="30" spans="1:17" ht="15.5">
      <c r="A30" s="712"/>
      <c r="B30" s="713"/>
      <c r="C30" s="713"/>
      <c r="D30" s="713"/>
      <c r="E30" s="713"/>
      <c r="F30" s="713"/>
      <c r="G30" s="713"/>
      <c r="H30" s="713"/>
      <c r="I30" s="713"/>
      <c r="J30" s="714"/>
      <c r="K30" s="713"/>
    </row>
    <row r="62" spans="1:9">
      <c r="A62" s="34"/>
      <c r="G62" s="44"/>
    </row>
    <row r="63" spans="1:9">
      <c r="A63" s="34"/>
      <c r="H63" s="44"/>
    </row>
    <row r="64" spans="1:9">
      <c r="A64" s="34"/>
      <c r="E64" s="14"/>
      <c r="G64" s="14"/>
      <c r="H64" s="14"/>
      <c r="I64" s="14"/>
    </row>
    <row r="65" spans="1:9">
      <c r="A65" s="34"/>
      <c r="E65" s="14"/>
      <c r="G65" s="14"/>
      <c r="H65" s="14"/>
      <c r="I65" s="14"/>
    </row>
    <row r="66" spans="1:9">
      <c r="A66" s="34"/>
      <c r="E66" s="14"/>
      <c r="G66" s="14"/>
      <c r="H66" s="14"/>
      <c r="I66" s="14"/>
    </row>
    <row r="67" spans="1:9">
      <c r="A67" s="34"/>
      <c r="E67" s="14"/>
      <c r="G67" s="14"/>
      <c r="H67" s="14"/>
      <c r="I67" s="14"/>
    </row>
    <row r="68" spans="1:9">
      <c r="A68" s="34"/>
      <c r="E68" s="14"/>
      <c r="G68" s="14"/>
      <c r="H68" s="14"/>
      <c r="I68" s="14"/>
    </row>
    <row r="69" spans="1:9">
      <c r="A69" s="34"/>
      <c r="E69" s="14"/>
      <c r="G69" s="14"/>
      <c r="H69" s="14"/>
      <c r="I69" s="14"/>
    </row>
    <row r="70" spans="1:9">
      <c r="A70" s="34"/>
      <c r="E70" s="14"/>
      <c r="G70" s="14"/>
      <c r="H70" s="14"/>
      <c r="I70" s="14"/>
    </row>
    <row r="74" spans="1:9">
      <c r="A74" s="34"/>
      <c r="B74" s="44"/>
    </row>
  </sheetData>
  <mergeCells count="5">
    <mergeCell ref="B27:I27"/>
    <mergeCell ref="B4:H4"/>
    <mergeCell ref="B3:H3"/>
    <mergeCell ref="B5:H5"/>
    <mergeCell ref="B6:H6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2020-09-15T07:00:00+00:00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710392-5678-4114-AA50-8013EC4571BC}"/>
</file>

<file path=customXml/itemProps2.xml><?xml version="1.0" encoding="utf-8"?>
<ds:datastoreItem xmlns:ds="http://schemas.openxmlformats.org/officeDocument/2006/customXml" ds:itemID="{9DC7B6D3-EC4F-4EE5-B82F-17FD4F1EE0F3}"/>
</file>

<file path=customXml/itemProps3.xml><?xml version="1.0" encoding="utf-8"?>
<ds:datastoreItem xmlns:ds="http://schemas.openxmlformats.org/officeDocument/2006/customXml" ds:itemID="{8439123C-F29C-4006-90E6-061A54D321A0}"/>
</file>

<file path=customXml/itemProps4.xml><?xml version="1.0" encoding="utf-8"?>
<ds:datastoreItem xmlns:ds="http://schemas.openxmlformats.org/officeDocument/2006/customXml" ds:itemID="{32E65B23-6393-4D4F-BD1A-9C88B5769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13</vt:i4>
      </vt:variant>
    </vt:vector>
  </HeadingPairs>
  <TitlesOfParts>
    <vt:vector size="34" baseType="lpstr">
      <vt:lpstr>Table of Content</vt:lpstr>
      <vt:lpstr>PGA Demand Cost Allocation</vt:lpstr>
      <vt:lpstr>PGA Amount Change</vt:lpstr>
      <vt:lpstr>PGA Proposed Typical Bill</vt:lpstr>
      <vt:lpstr>PGA Proposed Rate Adj.</vt:lpstr>
      <vt:lpstr>TTA Summary of Def. Accts.</vt:lpstr>
      <vt:lpstr>TTA Proposed Rate 590</vt:lpstr>
      <vt:lpstr>TTA Amount of Change</vt:lpstr>
      <vt:lpstr>TTA Cost by Class</vt:lpstr>
      <vt:lpstr>TTA Proposed Typical Bill</vt:lpstr>
      <vt:lpstr>Workpapers---&gt;</vt:lpstr>
      <vt:lpstr>Combined PGA &amp; TTA</vt:lpstr>
      <vt:lpstr>Balances at TTA 7-31-2020</vt:lpstr>
      <vt:lpstr>TTA Int calc thru 10-31-2020</vt:lpstr>
      <vt:lpstr>TTA Int during Amort</vt:lpstr>
      <vt:lpstr>TTA Amort Calc thru 10-31-2020</vt:lpstr>
      <vt:lpstr>TTA EstimatedBalances</vt:lpstr>
      <vt:lpstr>Test Period Volumes</vt:lpstr>
      <vt:lpstr>Bills-Therms-Revs</vt:lpstr>
      <vt:lpstr>proposed WA Rates 11-1-20</vt:lpstr>
      <vt:lpstr>Sheet1</vt:lpstr>
      <vt:lpstr>'Balances at TTA 7-31-2020'!BalancesJuly</vt:lpstr>
      <vt:lpstr>'Balances at TTA 7-31-2020'!EstimatedBalances</vt:lpstr>
      <vt:lpstr>'Balances at TTA 7-31-2020'!InterestDuringAmort</vt:lpstr>
      <vt:lpstr>'Bills-Therms-Revs'!Print_Area</vt:lpstr>
      <vt:lpstr>'PGA Amount Change'!Print_Area</vt:lpstr>
      <vt:lpstr>'PGA Demand Cost Allocation'!Print_Area</vt:lpstr>
      <vt:lpstr>'PGA Proposed Rate Adj.'!Print_Area</vt:lpstr>
      <vt:lpstr>'proposed WA Rates 11-1-20'!Print_Area</vt:lpstr>
      <vt:lpstr>'Test Period Volumes'!Print_Area</vt:lpstr>
      <vt:lpstr>'TTA Int during Amort'!Print_Area</vt:lpstr>
      <vt:lpstr>'TTA Proposed Rate 590'!Print_Area</vt:lpstr>
      <vt:lpstr>'TTA Summary of Def. Accts.'!Print_Area</vt:lpstr>
      <vt:lpstr>'TTA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2020-09-09T21:29:44Z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