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N56" i="11"/>
  <c r="M56"/>
  <c r="L56"/>
  <c r="K56"/>
  <c r="J56"/>
  <c r="I56"/>
  <c r="H56"/>
  <c r="G56"/>
  <c r="F56"/>
  <c r="N55"/>
  <c r="M55"/>
  <c r="L55"/>
  <c r="K55"/>
  <c r="J55"/>
  <c r="I55"/>
  <c r="H55"/>
  <c r="G55"/>
  <c r="F55"/>
  <c r="E56"/>
  <c r="E55"/>
  <c r="E54"/>
  <c r="G20" i="12"/>
  <c r="G31"/>
  <c r="G17"/>
  <c r="G27"/>
  <c r="G22"/>
  <c r="G25"/>
  <c r="N74" i="14" l="1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N55"/>
  <c r="M55"/>
  <c r="L55"/>
  <c r="K55"/>
  <c r="J55"/>
  <c r="I55"/>
  <c r="H55"/>
  <c r="G55"/>
  <c r="F55"/>
  <c r="N54"/>
  <c r="N68" s="1"/>
  <c r="M54"/>
  <c r="M68" s="1"/>
  <c r="L54"/>
  <c r="L68" s="1"/>
  <c r="K54"/>
  <c r="K68" s="1"/>
  <c r="J54"/>
  <c r="J68" s="1"/>
  <c r="I54"/>
  <c r="I68" s="1"/>
  <c r="H54"/>
  <c r="H68" s="1"/>
  <c r="G54"/>
  <c r="G68" s="1"/>
  <c r="F54"/>
  <c r="F68" s="1"/>
  <c r="D67"/>
  <c r="N74" i="19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N55"/>
  <c r="M55"/>
  <c r="L55"/>
  <c r="K55"/>
  <c r="J55"/>
  <c r="I55"/>
  <c r="H55"/>
  <c r="G55"/>
  <c r="F55"/>
  <c r="N54"/>
  <c r="N68" s="1"/>
  <c r="M54"/>
  <c r="M68" s="1"/>
  <c r="L54"/>
  <c r="L68" s="1"/>
  <c r="K54"/>
  <c r="K68" s="1"/>
  <c r="J54"/>
  <c r="J68" s="1"/>
  <c r="I54"/>
  <c r="I68" s="1"/>
  <c r="H54"/>
  <c r="H68" s="1"/>
  <c r="G54"/>
  <c r="G68" s="1"/>
  <c r="F54"/>
  <c r="F68" s="1"/>
  <c r="D67"/>
  <c r="N74" i="11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8"/>
  <c r="M68"/>
  <c r="L68"/>
  <c r="K68"/>
  <c r="J68"/>
  <c r="I68"/>
  <c r="H68"/>
  <c r="G68"/>
  <c r="F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D67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4"/>
  <c r="M54"/>
  <c r="L54"/>
  <c r="K54"/>
  <c r="J54"/>
  <c r="I54"/>
  <c r="H54"/>
  <c r="G54"/>
  <c r="F54"/>
  <c r="N74" i="10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8"/>
  <c r="M68"/>
  <c r="L68"/>
  <c r="K68"/>
  <c r="J68"/>
  <c r="I68"/>
  <c r="H68"/>
  <c r="G68"/>
  <c r="F68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N55"/>
  <c r="M55"/>
  <c r="L55"/>
  <c r="K55"/>
  <c r="J55"/>
  <c r="I55"/>
  <c r="H55"/>
  <c r="G55"/>
  <c r="F55"/>
  <c r="N54"/>
  <c r="M54"/>
  <c r="L54"/>
  <c r="K54"/>
  <c r="J54"/>
  <c r="I54"/>
  <c r="H54"/>
  <c r="G54"/>
  <c r="F54"/>
  <c r="C15" i="12"/>
  <c r="C26"/>
  <c r="C21"/>
  <c r="C16"/>
  <c r="C22"/>
  <c r="C19" i="14" l="1"/>
  <c r="C24"/>
  <c r="C23"/>
  <c r="C22"/>
  <c r="C18"/>
  <c r="C17"/>
  <c r="C9"/>
  <c r="C8"/>
  <c r="C7"/>
  <c r="C23" i="19"/>
  <c r="C24"/>
  <c r="C22"/>
  <c r="C19"/>
  <c r="C18"/>
  <c r="C17"/>
  <c r="C9"/>
  <c r="C8"/>
  <c r="C7"/>
  <c r="C23" i="11"/>
  <c r="C24"/>
  <c r="C22"/>
  <c r="C19"/>
  <c r="C18"/>
  <c r="C17"/>
  <c r="C9"/>
  <c r="C8"/>
  <c r="C7"/>
  <c r="C24" i="10"/>
  <c r="C23"/>
  <c r="C22"/>
  <c r="C19" l="1"/>
  <c r="C18"/>
  <c r="C17"/>
  <c r="C9"/>
  <c r="C8"/>
  <c r="C7"/>
  <c r="C28" i="12" l="1"/>
  <c r="D16" l="1"/>
  <c r="D8" i="14" l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C70" l="1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O46"/>
  <c r="D23" l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C70" i="11"/>
  <c r="O46"/>
  <c r="D23"/>
  <c r="D9"/>
  <c r="E9" s="1"/>
  <c r="F9" s="1"/>
  <c r="G9" s="1"/>
  <c r="D8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D7"/>
  <c r="E7" s="1"/>
  <c r="F7" s="1"/>
  <c r="G7" s="1"/>
  <c r="H7" s="1"/>
  <c r="I7" s="1"/>
  <c r="J7" s="1"/>
  <c r="K7" s="1"/>
  <c r="L7" s="1"/>
  <c r="M7" s="1"/>
  <c r="N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2" i="12"/>
  <c r="E2" s="1"/>
  <c r="F2" s="1"/>
  <c r="G2" s="1"/>
  <c r="H2" s="1"/>
  <c r="I2" s="1"/>
  <c r="J2" s="1"/>
  <c r="K2" s="1"/>
  <c r="L2" s="1"/>
  <c r="M2" s="1"/>
  <c r="N2" s="1"/>
  <c r="I3" i="19" l="1"/>
  <c r="J3" s="1"/>
  <c r="K3" s="1"/>
  <c r="L3" s="1"/>
  <c r="M3" s="1"/>
  <c r="N3" s="1"/>
  <c r="E23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E19"/>
  <c r="C70"/>
  <c r="G23" l="1"/>
  <c r="F23" i="19"/>
  <c r="F23" i="11"/>
  <c r="F19" i="10"/>
  <c r="H23" l="1"/>
  <c r="I23" s="1"/>
  <c r="G23" i="19"/>
  <c r="G23" i="11"/>
  <c r="G19" i="10"/>
  <c r="H23" i="19" l="1"/>
  <c r="H23" i="11"/>
  <c r="H19" i="10"/>
  <c r="J23"/>
  <c r="B12" i="24"/>
  <c r="B5" i="23"/>
  <c r="B6" s="1"/>
  <c r="B12"/>
  <c r="I23" i="19" l="1"/>
  <c r="I23" i="11"/>
  <c r="I19" i="10"/>
  <c r="K23"/>
  <c r="B5" i="22"/>
  <c r="B6" s="1"/>
  <c r="B12"/>
  <c r="B12" i="21"/>
  <c r="G21" i="12"/>
  <c r="G23"/>
  <c r="G26"/>
  <c r="G28"/>
  <c r="J23" i="19" l="1"/>
  <c r="J23" i="11"/>
  <c r="J19" i="10"/>
  <c r="L23"/>
  <c r="K23" i="19" l="1"/>
  <c r="K23" i="11"/>
  <c r="K19" i="10"/>
  <c r="M23"/>
  <c r="L23" i="19" l="1"/>
  <c r="L23" i="11"/>
  <c r="L19" i="10"/>
  <c r="N23"/>
  <c r="M23" i="19" l="1"/>
  <c r="M23" i="11"/>
  <c r="M19" i="10"/>
  <c r="O23"/>
  <c r="N23" i="19" l="1"/>
  <c r="N23" i="11"/>
  <c r="N19" i="10"/>
  <c r="O23" i="19" l="1"/>
  <c r="O23" i="11"/>
  <c r="G30" i="12"/>
  <c r="F48" i="19" l="1"/>
  <c r="F37"/>
  <c r="F50" l="1"/>
  <c r="I31" i="12"/>
  <c r="I30"/>
  <c r="I28"/>
  <c r="I26"/>
  <c r="I23"/>
  <c r="I22"/>
  <c r="I21"/>
  <c r="G16"/>
  <c r="I16" s="1"/>
  <c r="I17"/>
  <c r="G18"/>
  <c r="I18" s="1"/>
  <c r="G15"/>
  <c r="G32"/>
  <c r="E32"/>
  <c r="C27"/>
  <c r="I27" s="1"/>
  <c r="E28"/>
  <c r="E26"/>
  <c r="E16"/>
  <c r="E17"/>
  <c r="E18"/>
  <c r="E21"/>
  <c r="E22"/>
  <c r="E23"/>
  <c r="I32" l="1"/>
  <c r="E27"/>
  <c r="C68" i="19" l="1"/>
  <c r="C67"/>
  <c r="C66"/>
  <c r="D60"/>
  <c r="C60"/>
  <c r="D59"/>
  <c r="C59"/>
  <c r="D58"/>
  <c r="C58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C71"/>
  <c r="C69"/>
  <c r="O21"/>
  <c r="O20"/>
  <c r="O19"/>
  <c r="C65"/>
  <c r="N25"/>
  <c r="M25"/>
  <c r="L25"/>
  <c r="K25"/>
  <c r="J25"/>
  <c r="I25"/>
  <c r="H25"/>
  <c r="G25"/>
  <c r="F25"/>
  <c r="C64"/>
  <c r="O13"/>
  <c r="O12"/>
  <c r="O11"/>
  <c r="O10"/>
  <c r="C56"/>
  <c r="C55"/>
  <c r="N14"/>
  <c r="M14"/>
  <c r="L14"/>
  <c r="K14"/>
  <c r="J14"/>
  <c r="I14"/>
  <c r="H14"/>
  <c r="G14"/>
  <c r="F14"/>
  <c r="C54"/>
  <c r="G27" l="1"/>
  <c r="G50"/>
  <c r="K50"/>
  <c r="L27"/>
  <c r="C50"/>
  <c r="H50"/>
  <c r="L50"/>
  <c r="E50"/>
  <c r="J50"/>
  <c r="N50"/>
  <c r="D50"/>
  <c r="I50"/>
  <c r="M50"/>
  <c r="I27"/>
  <c r="M27"/>
  <c r="H27"/>
  <c r="K27"/>
  <c r="F27"/>
  <c r="J27"/>
  <c r="N27"/>
  <c r="O60"/>
  <c r="O58"/>
  <c r="O67"/>
  <c r="O48"/>
  <c r="O37"/>
  <c r="P40"/>
  <c r="P48" s="1"/>
  <c r="O57"/>
  <c r="O59"/>
  <c r="O7"/>
  <c r="O9"/>
  <c r="D14"/>
  <c r="O17"/>
  <c r="O24"/>
  <c r="D25"/>
  <c r="P30"/>
  <c r="P37" s="1"/>
  <c r="O8"/>
  <c r="C14"/>
  <c r="C61" s="1"/>
  <c r="E14"/>
  <c r="O18"/>
  <c r="O22"/>
  <c r="C25"/>
  <c r="E25"/>
  <c r="E72" l="1"/>
  <c r="E70"/>
  <c r="E65"/>
  <c r="E61"/>
  <c r="E55"/>
  <c r="E74"/>
  <c r="E71"/>
  <c r="E69"/>
  <c r="E66"/>
  <c r="E64"/>
  <c r="E56"/>
  <c r="E54"/>
  <c r="E68" s="1"/>
  <c r="D72"/>
  <c r="D66"/>
  <c r="O66" s="1"/>
  <c r="D64"/>
  <c r="D54"/>
  <c r="D65"/>
  <c r="D74"/>
  <c r="D69"/>
  <c r="O69" s="1"/>
  <c r="D55"/>
  <c r="O55" s="1"/>
  <c r="D71"/>
  <c r="D70"/>
  <c r="O70" s="1"/>
  <c r="D56"/>
  <c r="O56" s="1"/>
  <c r="D61"/>
  <c r="O50"/>
  <c r="C72"/>
  <c r="C27"/>
  <c r="C74" s="1"/>
  <c r="E27"/>
  <c r="D27"/>
  <c r="P50"/>
  <c r="O14"/>
  <c r="O25"/>
  <c r="O71" l="1"/>
  <c r="O65"/>
  <c r="O64"/>
  <c r="D68"/>
  <c r="O68" s="1"/>
  <c r="O54"/>
  <c r="O61" s="1"/>
  <c r="O27"/>
  <c r="O72" l="1"/>
  <c r="O74"/>
  <c r="C69" i="14"/>
  <c r="C68"/>
  <c r="C67"/>
  <c r="C66"/>
  <c r="D60"/>
  <c r="C60"/>
  <c r="D59"/>
  <c r="C59"/>
  <c r="D58"/>
  <c r="C58"/>
  <c r="D57"/>
  <c r="C57"/>
  <c r="C69" i="11"/>
  <c r="C68"/>
  <c r="C67"/>
  <c r="C66"/>
  <c r="D60"/>
  <c r="C60"/>
  <c r="D59"/>
  <c r="C59"/>
  <c r="D58"/>
  <c r="C58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C67"/>
  <c r="C66"/>
  <c r="D60"/>
  <c r="D59"/>
  <c r="D58"/>
  <c r="D57"/>
  <c r="C57"/>
  <c r="C58"/>
  <c r="C59"/>
  <c r="O59" s="1"/>
  <c r="C60"/>
  <c r="C71" i="14"/>
  <c r="C65"/>
  <c r="C64"/>
  <c r="C56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E50" i="10" l="1"/>
  <c r="F50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C72" i="14"/>
  <c r="C61"/>
  <c r="O60"/>
  <c r="O58"/>
  <c r="O60" i="11"/>
  <c r="O57" i="10"/>
  <c r="O58"/>
  <c r="O60"/>
  <c r="O48"/>
  <c r="O37"/>
  <c r="P37" i="14"/>
  <c r="O57"/>
  <c r="O59"/>
  <c r="O67"/>
  <c r="O57" i="11"/>
  <c r="O59"/>
  <c r="O67"/>
  <c r="P37" i="10"/>
  <c r="P48" i="14"/>
  <c r="O7"/>
  <c r="O9"/>
  <c r="D14"/>
  <c r="F14"/>
  <c r="H14"/>
  <c r="J14"/>
  <c r="L14"/>
  <c r="N14"/>
  <c r="O17"/>
  <c r="O24"/>
  <c r="D25"/>
  <c r="F25"/>
  <c r="H25"/>
  <c r="J25"/>
  <c r="L25"/>
  <c r="N25"/>
  <c r="O8"/>
  <c r="O18"/>
  <c r="O20"/>
  <c r="O22"/>
  <c r="P48" i="10"/>
  <c r="O48" i="11"/>
  <c r="O37"/>
  <c r="E74" i="14" l="1"/>
  <c r="E71"/>
  <c r="E69"/>
  <c r="E66"/>
  <c r="E64"/>
  <c r="E56"/>
  <c r="E54"/>
  <c r="E68" s="1"/>
  <c r="E72"/>
  <c r="E70"/>
  <c r="E65"/>
  <c r="E61"/>
  <c r="E55"/>
  <c r="E68" i="11"/>
  <c r="E72"/>
  <c r="E70"/>
  <c r="E66"/>
  <c r="E64"/>
  <c r="E61"/>
  <c r="E74"/>
  <c r="E71"/>
  <c r="E69"/>
  <c r="E65"/>
  <c r="E72" i="10"/>
  <c r="E68"/>
  <c r="E64"/>
  <c r="E56"/>
  <c r="E71"/>
  <c r="E69"/>
  <c r="E65"/>
  <c r="E61"/>
  <c r="E55"/>
  <c r="E54"/>
  <c r="E74"/>
  <c r="E70"/>
  <c r="D72" i="14"/>
  <c r="D66"/>
  <c r="O66" s="1"/>
  <c r="D64"/>
  <c r="O64" s="1"/>
  <c r="D54"/>
  <c r="D74"/>
  <c r="D69"/>
  <c r="O69" s="1"/>
  <c r="D55"/>
  <c r="O55" s="1"/>
  <c r="D70"/>
  <c r="O70" s="1"/>
  <c r="D56"/>
  <c r="O56" s="1"/>
  <c r="D71"/>
  <c r="O71" s="1"/>
  <c r="D65"/>
  <c r="D61"/>
  <c r="D54" i="11"/>
  <c r="D68" s="1"/>
  <c r="D70"/>
  <c r="O70" s="1"/>
  <c r="D64"/>
  <c r="D66"/>
  <c r="D71"/>
  <c r="D65"/>
  <c r="D55"/>
  <c r="D72"/>
  <c r="D74"/>
  <c r="D69"/>
  <c r="O69" s="1"/>
  <c r="D61"/>
  <c r="D56"/>
  <c r="D74" i="10"/>
  <c r="M67"/>
  <c r="I67"/>
  <c r="E67"/>
  <c r="K66"/>
  <c r="G66"/>
  <c r="D70"/>
  <c r="O70" s="1"/>
  <c r="D64"/>
  <c r="D72"/>
  <c r="N67"/>
  <c r="J67"/>
  <c r="F67"/>
  <c r="L66"/>
  <c r="H66"/>
  <c r="D71"/>
  <c r="D65"/>
  <c r="D54"/>
  <c r="D61"/>
  <c r="K67"/>
  <c r="G67"/>
  <c r="M66"/>
  <c r="I66"/>
  <c r="E66"/>
  <c r="D68"/>
  <c r="O68" s="1"/>
  <c r="D55"/>
  <c r="D66"/>
  <c r="L67"/>
  <c r="H67"/>
  <c r="N66"/>
  <c r="J66"/>
  <c r="F66"/>
  <c r="D69"/>
  <c r="D56"/>
  <c r="D67"/>
  <c r="O50"/>
  <c r="O50" i="11"/>
  <c r="L27" i="14"/>
  <c r="N27"/>
  <c r="H27"/>
  <c r="J27"/>
  <c r="D27"/>
  <c r="F27"/>
  <c r="P50"/>
  <c r="C74"/>
  <c r="P50" i="10"/>
  <c r="O25" i="14"/>
  <c r="O14"/>
  <c r="N4" i="12"/>
  <c r="M4"/>
  <c r="L4"/>
  <c r="K4"/>
  <c r="J4"/>
  <c r="I4"/>
  <c r="H4"/>
  <c r="G4"/>
  <c r="F4"/>
  <c r="E4"/>
  <c r="D4"/>
  <c r="C4"/>
  <c r="O9"/>
  <c r="O5"/>
  <c r="O6" s="1"/>
  <c r="C71" i="11"/>
  <c r="C65"/>
  <c r="C6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M14"/>
  <c r="L14"/>
  <c r="K14"/>
  <c r="J14"/>
  <c r="I14"/>
  <c r="H14"/>
  <c r="G14"/>
  <c r="F14"/>
  <c r="E14"/>
  <c r="D14"/>
  <c r="O68" l="1"/>
  <c r="O65" i="14"/>
  <c r="O66" i="11"/>
  <c r="D68" i="14"/>
  <c r="O68" s="1"/>
  <c r="O72" s="1"/>
  <c r="O54"/>
  <c r="O61" s="1"/>
  <c r="O67" i="10"/>
  <c r="O66"/>
  <c r="O27" i="14"/>
  <c r="G27" i="11"/>
  <c r="I27"/>
  <c r="C72"/>
  <c r="E27"/>
  <c r="M27"/>
  <c r="D27"/>
  <c r="H27"/>
  <c r="L27"/>
  <c r="K27"/>
  <c r="F27"/>
  <c r="J27"/>
  <c r="N27"/>
  <c r="O64"/>
  <c r="O54"/>
  <c r="O56"/>
  <c r="O71"/>
  <c r="O55"/>
  <c r="O65"/>
  <c r="O9"/>
  <c r="C14"/>
  <c r="C61" s="1"/>
  <c r="O7"/>
  <c r="O17"/>
  <c r="O25" s="1"/>
  <c r="O74" i="14" l="1"/>
  <c r="C27" i="11"/>
  <c r="O14"/>
  <c r="O27" s="1"/>
  <c r="C74"/>
  <c r="O61"/>
  <c r="O72"/>
  <c r="O74" l="1"/>
  <c r="C71" i="10" l="1"/>
  <c r="C69"/>
  <c r="C65"/>
  <c r="O21"/>
  <c r="O20"/>
  <c r="O19"/>
  <c r="C25"/>
  <c r="M25"/>
  <c r="K25"/>
  <c r="I25"/>
  <c r="E25"/>
  <c r="C56"/>
  <c r="O13"/>
  <c r="O12"/>
  <c r="O11"/>
  <c r="O10"/>
  <c r="C55"/>
  <c r="B5" i="24" l="1"/>
  <c r="B6" s="1"/>
  <c r="C72" i="10"/>
  <c r="O22"/>
  <c r="O65"/>
  <c r="G14"/>
  <c r="I14"/>
  <c r="N14"/>
  <c r="O55"/>
  <c r="G25"/>
  <c r="K14"/>
  <c r="F25"/>
  <c r="J25"/>
  <c r="N25"/>
  <c r="O56"/>
  <c r="O18"/>
  <c r="M14"/>
  <c r="H25"/>
  <c r="L25"/>
  <c r="C14"/>
  <c r="C61" s="1"/>
  <c r="C54"/>
  <c r="E14"/>
  <c r="O17"/>
  <c r="C64"/>
  <c r="O64" s="1"/>
  <c r="D14"/>
  <c r="O8"/>
  <c r="F14"/>
  <c r="H14"/>
  <c r="J14"/>
  <c r="L14"/>
  <c r="O9"/>
  <c r="D25"/>
  <c r="O24"/>
  <c r="O71"/>
  <c r="O7"/>
  <c r="L27" l="1"/>
  <c r="N27"/>
  <c r="J27"/>
  <c r="D27"/>
  <c r="K27"/>
  <c r="C27"/>
  <c r="I27"/>
  <c r="H27"/>
  <c r="F27"/>
  <c r="G27"/>
  <c r="M27"/>
  <c r="E27"/>
  <c r="O25"/>
  <c r="O14"/>
  <c r="O69"/>
  <c r="O72" s="1"/>
  <c r="O54"/>
  <c r="O61" s="1"/>
  <c r="O74" l="1"/>
  <c r="O27"/>
  <c r="C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  <c r="I15" l="1"/>
  <c r="E15"/>
  <c r="I20"/>
  <c r="I25" l="1"/>
  <c r="E25"/>
  <c r="E20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2012 Business Plan
p. 55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18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3/31/12 WA kWh
low income 173803
nonres 6877434
res 964541
CFL res 4590
2nd refrig res 92508
simple steps res 2399214
Home Energy Audits 29580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2012.
Gas sales forecast (Randy Barcus)
WA 187,570,017
ID 80,857,820
WA % =
187,570,017(187,570,017+80,857,820)
= 69.8773%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3/31/12 WA therm
low income 4644
nonres 71557
res 95975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3/31/12 ID kWh
low income 0
nonres 2910881
res 513777
CFL res 1500
2nd refrig res 46632
simple steps res 1028234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3/31/12 ID therm
low income 0
nonres 20525
res 45966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3/31/12
res 89866+140724
LI 57258+102120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<sst xmlns="http://schemas.openxmlformats.org/spreadsheetml/2006/main" count="776" uniqueCount="130">
  <si>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</si>
  <si>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</si>
  <si>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</si>
  <si>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</si>
  <si>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</si>
  <si>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</si>
  <si>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</si>
  <si>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</si>
  <si>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</si>
  <si>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</si>
  <si>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</si>
  <si>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</si>
  <si>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</si>
  <si>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</si>
  <si>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</si>
  <si>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</si>
  <si>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</si>
  <si>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</si>
  <si>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</si>
  <si>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</si>
  <si>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</si>
  <si>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</si>
  <si>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</si>
  <si>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</si>
  <si>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</si>
  <si>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</si>
  <si>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</si>
  <si>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</si>
  <si>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</si>
  <si>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</si>
  <si>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</si>
  <si>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</si>
  <si>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</si>
  <si>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</si>
  <si>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</si>
  <si>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</si>
  <si>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</si>
  <si>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</si>
  <si>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</si>
  <si>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</si>
  <si>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</si>
  <si>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</si>
  <si>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</si>
  <si>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</si>
  <si>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</si>
  <si>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</si>
  <si>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</si>
  <si>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</si>
  <si>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</si>
  <si>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</si>
  <si>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</si>
  <si>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</si>
  <si>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</si>
  <si>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</si>
  <si>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</si>
  <si>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</si>
  <si>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</si>
  <si>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</si>
  <si>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</si>
  <si>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</si>
  <si>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</si>
  <si>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</si>
  <si>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</si>
  <si>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</si>
  <si>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</si>
  <si>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</si>
  <si>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</si>
  <si>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</si>
  <si>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</si>
  <si>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</si>
  <si>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</si>
  <si>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</si>
  <si>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</si>
  <si>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</si>
  <si>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</si>
  <si>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</si>
  <si>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</si>
  <si>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</si>
  <si>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</si>
  <si>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</si>
  <si>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</si>
  <si>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</si>
  <si>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</si>
  <si>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</si>
  <si>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</si>
  <si>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</si>
  <si>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Non-Incentive Funding:</t>
  </si>
  <si>
    <t>Total Budget-Non-Incentive Funding</t>
  </si>
  <si>
    <t>1) DSM expenditures are budgeted on a annual basis and spread monthly on an equal basis.  This timing difference between budget vs actual could attribute to some variances</t>
  </si>
  <si>
    <t>2011 Aggregate DSM Budget</t>
  </si>
  <si>
    <t>2011 Aggregate DSM Actual</t>
  </si>
  <si>
    <t xml:space="preserve">  </t>
  </si>
  <si>
    <t>Total 2012</t>
  </si>
  <si>
    <t>2012 I-937 electric target (WA) 6th Plan</t>
  </si>
  <si>
    <t xml:space="preserve">2012 I-937 electric target (WA) </t>
  </si>
  <si>
    <t>2012 IRP natural gas target (ID</t>
  </si>
  <si>
    <t>2012 IRP natural gas target (WA)</t>
  </si>
  <si>
    <t>2012 IRP natural gas target</t>
  </si>
  <si>
    <t>2012 business plan electric target</t>
  </si>
  <si>
    <t>2012 b-plan electric target (WA)</t>
  </si>
  <si>
    <t>2012 b-plan electric target (ID)</t>
  </si>
  <si>
    <t>2012 business plan natural gas target</t>
  </si>
  <si>
    <t>2012 b-plan natural gas target (WA)</t>
  </si>
  <si>
    <t>2012 b-plan natural gas target (ID)</t>
  </si>
  <si>
    <t>2012 IRP electric target</t>
  </si>
  <si>
    <t>2012 IRP electric target (WA)</t>
  </si>
  <si>
    <t>2012 IRP electric target (ID)</t>
  </si>
  <si>
    <t>Jan - $99k unfavorable variance due to processing more rebates</t>
  </si>
  <si>
    <t>Jan - $55k favorable variance due to processing less rebates</t>
  </si>
  <si>
    <t>Jan - $85k favorable variance primarily due to less implementation costs than budgeted</t>
  </si>
  <si>
    <t>Jan - $23k favorable variance due to less rebates</t>
  </si>
  <si>
    <t>Jan - Revenue was significantly higher than expenditures.</t>
  </si>
  <si>
    <t>Jan - Expenses were significantly lower than budgeted.</t>
  </si>
  <si>
    <t>Feb - $83k unfavorable variance due to more implementation costs (mostly regional)</t>
  </si>
  <si>
    <t>Feb - $141k favorable variance due to processing less rebates</t>
  </si>
  <si>
    <t>Feb - $235k unfavorable variance due to processing more rebates and more implementation costs than budgeted</t>
  </si>
  <si>
    <t>Feb - $61k favorable variance due to less rebates</t>
  </si>
  <si>
    <t>Feb - Revenue continues to be significantly higher than expenditures.</t>
  </si>
  <si>
    <t>Feb - Revenue is higher than expenses and now it is over funded.</t>
  </si>
  <si>
    <t>Jan - Revenue is higher than expenses but the balance is now closer to zero.</t>
  </si>
  <si>
    <t>Feb - Revenue and expenses were close this month with revenue slightly higher resulting in an increase to the balance.</t>
  </si>
  <si>
    <t>Mar - $183k favorable variance due less implementation costs</t>
  </si>
  <si>
    <t>Mar - $33k favorable variance due to processing less rebates</t>
  </si>
  <si>
    <t>Mar - $44k unfavorable variance due to processing more rebates than budgeted</t>
  </si>
  <si>
    <t>Mar - $5k favorable variance due to less rebates</t>
  </si>
  <si>
    <t>Mar - Revenue continues to be higher than expenditures and expenditures are below budget.</t>
  </si>
  <si>
    <t>Mar - Revenue is higher than expenses and expenditures are below budget.</t>
  </si>
  <si>
    <t>Mar - Revenue was higher than expenses.</t>
  </si>
  <si>
    <t>Feb - Expenses were significantly lower than revenue resulting in an increase to the balance.</t>
  </si>
  <si>
    <t>Mar - Expenses were lower than revenue.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</si>
</sst>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0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A11" sqref="A11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2.5703125" bestFit="1" customWidth="1"/>
    <col min="10" max="13" width="11.5703125" bestFit="1" customWidth="1"/>
    <col min="15" max="15" width="13.28515625" bestFit="1" customWidth="1"/>
  </cols>
  <sheetData>
    <row r="1" spans="2:56">
      <c r="B1" t="s">
        <v>48</v>
      </c>
    </row>
    <row r="2" spans="2:56">
      <c r="C2" s="8">
        <v>2012</v>
      </c>
      <c r="D2" s="8">
        <f>C2</f>
        <v>2012</v>
      </c>
      <c r="E2" s="8">
        <f t="shared" ref="E2:N2" si="0">D2</f>
        <v>2012</v>
      </c>
      <c r="F2" s="8">
        <f t="shared" si="0"/>
        <v>2012</v>
      </c>
      <c r="G2" s="8">
        <f t="shared" si="0"/>
        <v>2012</v>
      </c>
      <c r="H2" s="8">
        <f t="shared" si="0"/>
        <v>2012</v>
      </c>
      <c r="I2" s="8">
        <f t="shared" si="0"/>
        <v>2012</v>
      </c>
      <c r="J2" s="8">
        <f t="shared" si="0"/>
        <v>2012</v>
      </c>
      <c r="K2" s="8">
        <f t="shared" si="0"/>
        <v>2012</v>
      </c>
      <c r="L2" s="8">
        <f t="shared" si="0"/>
        <v>2012</v>
      </c>
      <c r="M2" s="8">
        <f t="shared" si="0"/>
        <v>2012</v>
      </c>
      <c r="N2" s="8">
        <f t="shared" si="0"/>
        <v>2012</v>
      </c>
      <c r="O2" s="8" t="s">
        <v>92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42</v>
      </c>
      <c r="C4" s="3">
        <f>$O$4/12</f>
        <v>5900235.666666667</v>
      </c>
      <c r="D4" s="3">
        <f t="shared" ref="D4:N4" si="1">$O$4/12</f>
        <v>5900235.666666667</v>
      </c>
      <c r="E4" s="3">
        <f t="shared" si="1"/>
        <v>5900235.666666667</v>
      </c>
      <c r="F4" s="3">
        <f t="shared" si="1"/>
        <v>5900235.666666667</v>
      </c>
      <c r="G4" s="3">
        <f t="shared" si="1"/>
        <v>5900235.666666667</v>
      </c>
      <c r="H4" s="3">
        <f t="shared" si="1"/>
        <v>5900235.666666667</v>
      </c>
      <c r="I4" s="3">
        <f t="shared" si="1"/>
        <v>5900235.666666667</v>
      </c>
      <c r="J4" s="3">
        <f t="shared" si="1"/>
        <v>5900235.666666667</v>
      </c>
      <c r="K4" s="3">
        <f t="shared" si="1"/>
        <v>5900235.666666667</v>
      </c>
      <c r="L4" s="3">
        <f t="shared" si="1"/>
        <v>5900235.666666667</v>
      </c>
      <c r="M4" s="3">
        <f t="shared" si="1"/>
        <v>5900235.666666667</v>
      </c>
      <c r="N4" s="3">
        <f t="shared" si="1"/>
        <v>5900235.666666667</v>
      </c>
      <c r="O4" s="3">
        <v>70802828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43</v>
      </c>
      <c r="C5" s="1">
        <v>5030105</v>
      </c>
      <c r="D5" s="1">
        <v>6388251</v>
      </c>
      <c r="E5" s="1">
        <v>3624338</v>
      </c>
      <c r="F5" s="1"/>
      <c r="G5" s="1"/>
      <c r="H5" s="1"/>
      <c r="I5" s="1"/>
      <c r="J5" s="1"/>
      <c r="K5" s="1"/>
      <c r="L5" s="1"/>
      <c r="M5" s="1"/>
      <c r="N5" s="1"/>
      <c r="O5" s="3">
        <f>SUM(C5:N5)</f>
        <v>15042694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44</v>
      </c>
      <c r="C6" s="28">
        <f>(C5-C4)/C4</f>
        <v>-0.14747388338782177</v>
      </c>
      <c r="D6" s="28">
        <f t="shared" ref="D6:O6" si="2">(D5-D4)/D4</f>
        <v>8.2711159503402826E-2</v>
      </c>
      <c r="E6" s="28">
        <f t="shared" si="2"/>
        <v>-0.38572995982589853</v>
      </c>
      <c r="F6" s="28">
        <f t="shared" si="2"/>
        <v>-1</v>
      </c>
      <c r="G6" s="28">
        <f t="shared" si="2"/>
        <v>-1</v>
      </c>
      <c r="H6" s="28">
        <f t="shared" si="2"/>
        <v>-1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-0.78754105697585974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46</v>
      </c>
      <c r="C8" s="1">
        <f>$O$8/12</f>
        <v>101409.16666666667</v>
      </c>
      <c r="D8" s="1">
        <f t="shared" ref="D8:N8" si="3">$O$8/12</f>
        <v>101409.16666666667</v>
      </c>
      <c r="E8" s="1">
        <f t="shared" si="3"/>
        <v>101409.16666666667</v>
      </c>
      <c r="F8" s="1">
        <f t="shared" si="3"/>
        <v>101409.16666666667</v>
      </c>
      <c r="G8" s="1">
        <f t="shared" si="3"/>
        <v>101409.16666666667</v>
      </c>
      <c r="H8" s="1">
        <f t="shared" si="3"/>
        <v>101409.16666666667</v>
      </c>
      <c r="I8" s="1">
        <f t="shared" si="3"/>
        <v>101409.16666666667</v>
      </c>
      <c r="J8" s="1">
        <f t="shared" si="3"/>
        <v>101409.16666666667</v>
      </c>
      <c r="K8" s="1">
        <f t="shared" si="3"/>
        <v>101409.16666666667</v>
      </c>
      <c r="L8" s="1">
        <f t="shared" si="3"/>
        <v>101409.16666666667</v>
      </c>
      <c r="M8" s="1">
        <f t="shared" si="3"/>
        <v>101409.16666666667</v>
      </c>
      <c r="N8" s="1">
        <f t="shared" si="3"/>
        <v>101409.16666666667</v>
      </c>
      <c r="O8" s="1">
        <v>1216910</v>
      </c>
    </row>
    <row r="9" spans="2:56">
      <c r="B9" s="40" t="s">
        <v>45</v>
      </c>
      <c r="C9" s="1">
        <v>89412</v>
      </c>
      <c r="D9" s="1">
        <v>47551</v>
      </c>
      <c r="E9" s="1">
        <v>101703</v>
      </c>
      <c r="F9" s="1"/>
      <c r="G9" s="1"/>
      <c r="H9" s="1"/>
      <c r="I9" s="1"/>
      <c r="J9" s="1"/>
      <c r="K9" s="1"/>
      <c r="L9" s="1"/>
      <c r="M9" s="1"/>
      <c r="N9" s="1"/>
      <c r="O9" s="1">
        <f>SUM(C9:N9)</f>
        <v>238666</v>
      </c>
      <c r="P9" s="1"/>
    </row>
    <row r="10" spans="2:56">
      <c r="B10" s="40" t="s">
        <v>44</v>
      </c>
      <c r="C10" s="28">
        <f>(C9-C8)/C8</f>
        <v>-0.11830455826642895</v>
      </c>
      <c r="D10" s="28">
        <f t="shared" ref="D10" si="4">(D9-D8)/D8</f>
        <v>-0.5310976160932197</v>
      </c>
      <c r="E10" s="28">
        <f t="shared" ref="E10" si="5">(E9-E8)/E8</f>
        <v>2.8975026912425256E-3</v>
      </c>
      <c r="F10" s="28">
        <f t="shared" ref="F10" si="6">(F9-F8)/F8</f>
        <v>-1</v>
      </c>
      <c r="G10" s="28">
        <f t="shared" ref="G10" si="7">(G9-G8)/G8</f>
        <v>-1</v>
      </c>
      <c r="H10" s="28">
        <f t="shared" ref="H10" si="8">(H9-H8)/H8</f>
        <v>-1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-0.80387538930570046</v>
      </c>
    </row>
    <row r="13" spans="2:56" ht="15.75" thickBot="1">
      <c r="B13" s="41" t="s">
        <v>76</v>
      </c>
    </row>
    <row r="14" spans="2:56" ht="60">
      <c r="B14" s="64"/>
      <c r="C14" s="65" t="s">
        <v>64</v>
      </c>
      <c r="D14" s="65" t="s">
        <v>62</v>
      </c>
      <c r="E14" s="65" t="s">
        <v>63</v>
      </c>
      <c r="F14" s="65"/>
      <c r="G14" s="81" t="s">
        <v>66</v>
      </c>
      <c r="H14" s="65"/>
      <c r="I14" s="66" t="s">
        <v>67</v>
      </c>
    </row>
    <row r="15" spans="2:56">
      <c r="B15" s="67" t="s">
        <v>104</v>
      </c>
      <c r="C15" s="29">
        <f>C20+C25</f>
        <v>49844000</v>
      </c>
      <c r="D15" s="29" t="s">
        <v>52</v>
      </c>
      <c r="E15" s="29">
        <f>SUM(C15:D15)</f>
        <v>49844000</v>
      </c>
      <c r="F15" s="68" t="s">
        <v>60</v>
      </c>
      <c r="G15" s="86">
        <f>G20+G25</f>
        <v>15042694</v>
      </c>
      <c r="H15" s="29" t="s">
        <v>60</v>
      </c>
      <c r="I15" s="69">
        <f>G15/C15</f>
        <v>0.30179548190353905</v>
      </c>
    </row>
    <row r="16" spans="2:56">
      <c r="B16" s="67" t="s">
        <v>98</v>
      </c>
      <c r="C16" s="29">
        <f>70802828-(7358400+3153600)</f>
        <v>60290828</v>
      </c>
      <c r="D16" s="29">
        <f>7358400+3153600</f>
        <v>10512000</v>
      </c>
      <c r="E16" s="29">
        <f t="shared" ref="E16:E23" si="16">SUM(C16:D16)</f>
        <v>70802828</v>
      </c>
      <c r="F16" s="68" t="s">
        <v>60</v>
      </c>
      <c r="G16" s="86">
        <f t="shared" ref="G16:G18" si="17">G21+G26</f>
        <v>15042694</v>
      </c>
      <c r="H16" s="29" t="s">
        <v>60</v>
      </c>
      <c r="I16" s="69">
        <f t="shared" ref="I16:I18" si="18">G16/C16</f>
        <v>0.24950219625446179</v>
      </c>
    </row>
    <row r="17" spans="2:9">
      <c r="B17" s="70" t="s">
        <v>97</v>
      </c>
      <c r="C17" s="71">
        <v>2489094</v>
      </c>
      <c r="D17" s="71">
        <v>0</v>
      </c>
      <c r="E17" s="71">
        <f t="shared" si="16"/>
        <v>2489094</v>
      </c>
      <c r="F17" s="72" t="s">
        <v>61</v>
      </c>
      <c r="G17" s="87">
        <f>G22+G27-1</f>
        <v>238666</v>
      </c>
      <c r="H17" s="71" t="s">
        <v>61</v>
      </c>
      <c r="I17" s="73">
        <f t="shared" si="18"/>
        <v>9.5884687360139872E-2</v>
      </c>
    </row>
    <row r="18" spans="2:9">
      <c r="B18" s="70" t="s">
        <v>101</v>
      </c>
      <c r="C18" s="71">
        <v>1216910</v>
      </c>
      <c r="D18" s="71">
        <v>0</v>
      </c>
      <c r="E18" s="71">
        <f t="shared" si="16"/>
        <v>1216910</v>
      </c>
      <c r="F18" s="72" t="s">
        <v>61</v>
      </c>
      <c r="G18" s="87">
        <f t="shared" si="17"/>
        <v>238667</v>
      </c>
      <c r="H18" s="71" t="s">
        <v>61</v>
      </c>
      <c r="I18" s="73">
        <f t="shared" si="18"/>
        <v>0.19612543244775701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105</v>
      </c>
      <c r="C20" s="29">
        <v>32762000</v>
      </c>
      <c r="D20" s="29" t="s">
        <v>52</v>
      </c>
      <c r="E20" s="29">
        <f t="shared" si="16"/>
        <v>32762000</v>
      </c>
      <c r="F20" s="68" t="s">
        <v>60</v>
      </c>
      <c r="G20" s="82">
        <f>173803+6877434+964541+4590+92508+2399214+29580</f>
        <v>10541670</v>
      </c>
      <c r="H20" s="29" t="s">
        <v>60</v>
      </c>
      <c r="I20" s="69">
        <f>G20/C20</f>
        <v>0.32176515475245709</v>
      </c>
    </row>
    <row r="21" spans="2:9">
      <c r="B21" s="67" t="s">
        <v>99</v>
      </c>
      <c r="C21" s="29">
        <f>49661908-7358400</f>
        <v>42303508</v>
      </c>
      <c r="D21" s="29">
        <v>7358400</v>
      </c>
      <c r="E21" s="29">
        <f t="shared" si="16"/>
        <v>49661908</v>
      </c>
      <c r="F21" s="68" t="s">
        <v>60</v>
      </c>
      <c r="G21" s="86">
        <f>G20</f>
        <v>10541670</v>
      </c>
      <c r="H21" s="29" t="s">
        <v>60</v>
      </c>
      <c r="I21" s="69">
        <f t="shared" ref="I21:I23" si="19">G21/C21</f>
        <v>0.24919139093618431</v>
      </c>
    </row>
    <row r="22" spans="2:9">
      <c r="B22" s="70" t="s">
        <v>96</v>
      </c>
      <c r="C22" s="71">
        <f>C17*0.698773</f>
        <v>1739311.681662</v>
      </c>
      <c r="D22" s="71">
        <v>0</v>
      </c>
      <c r="E22" s="71">
        <f t="shared" si="16"/>
        <v>1739311.681662</v>
      </c>
      <c r="F22" s="72" t="s">
        <v>61</v>
      </c>
      <c r="G22" s="83">
        <f>4644+71557+95975</f>
        <v>172176</v>
      </c>
      <c r="H22" s="71" t="s">
        <v>61</v>
      </c>
      <c r="I22" s="73">
        <f t="shared" si="19"/>
        <v>9.8990883471487504E-2</v>
      </c>
    </row>
    <row r="23" spans="2:9">
      <c r="B23" s="70" t="s">
        <v>102</v>
      </c>
      <c r="C23" s="71">
        <v>853764</v>
      </c>
      <c r="D23" s="71">
        <v>0</v>
      </c>
      <c r="E23" s="71">
        <f t="shared" si="16"/>
        <v>853764</v>
      </c>
      <c r="F23" s="72" t="s">
        <v>61</v>
      </c>
      <c r="G23" s="87">
        <f>G22</f>
        <v>172176</v>
      </c>
      <c r="H23" s="71" t="s">
        <v>61</v>
      </c>
      <c r="I23" s="73">
        <f t="shared" si="19"/>
        <v>0.20166697120047225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106</v>
      </c>
      <c r="C25" s="29">
        <v>17082000</v>
      </c>
      <c r="D25" s="29" t="s">
        <v>52</v>
      </c>
      <c r="E25" s="29">
        <f t="shared" ref="E25:E28" si="20">SUM(C25:D25)</f>
        <v>17082000</v>
      </c>
      <c r="F25" s="68" t="s">
        <v>60</v>
      </c>
      <c r="G25" s="83">
        <f>0+2910881+513777+1500+46632+1028234</f>
        <v>4501024</v>
      </c>
      <c r="H25" s="29" t="s">
        <v>60</v>
      </c>
      <c r="I25" s="69">
        <f>G25/C25</f>
        <v>0.26349514108418221</v>
      </c>
    </row>
    <row r="26" spans="2:9">
      <c r="B26" s="67" t="s">
        <v>100</v>
      </c>
      <c r="C26" s="29">
        <f>21140920-3153600</f>
        <v>17987320</v>
      </c>
      <c r="D26" s="29">
        <v>3153600</v>
      </c>
      <c r="E26" s="29">
        <f t="shared" si="20"/>
        <v>21140920</v>
      </c>
      <c r="F26" s="68" t="s">
        <v>60</v>
      </c>
      <c r="G26" s="87">
        <f>G25</f>
        <v>4501024</v>
      </c>
      <c r="H26" s="29" t="s">
        <v>60</v>
      </c>
      <c r="I26" s="69">
        <f t="shared" ref="I26:I28" si="21">G26/C26</f>
        <v>0.25023316425126146</v>
      </c>
    </row>
    <row r="27" spans="2:9">
      <c r="B27" s="67" t="s">
        <v>95</v>
      </c>
      <c r="C27" s="29">
        <f>C17-C22</f>
        <v>749782.31833799998</v>
      </c>
      <c r="D27" s="29">
        <v>0</v>
      </c>
      <c r="E27" s="29">
        <f t="shared" si="20"/>
        <v>749782.31833799998</v>
      </c>
      <c r="F27" s="68" t="s">
        <v>61</v>
      </c>
      <c r="G27" s="83">
        <f>0+20525+45966</f>
        <v>66491</v>
      </c>
      <c r="H27" s="29" t="s">
        <v>61</v>
      </c>
      <c r="I27" s="69">
        <f t="shared" si="21"/>
        <v>8.8680405464064332E-2</v>
      </c>
    </row>
    <row r="28" spans="2:9">
      <c r="B28" s="67" t="s">
        <v>103</v>
      </c>
      <c r="C28" s="29">
        <f>C18-C23</f>
        <v>363146</v>
      </c>
      <c r="D28" s="29">
        <v>0</v>
      </c>
      <c r="E28" s="29">
        <f t="shared" si="20"/>
        <v>363146</v>
      </c>
      <c r="F28" s="68" t="s">
        <v>61</v>
      </c>
      <c r="G28" s="86">
        <f>G27</f>
        <v>66491</v>
      </c>
      <c r="H28" s="29" t="s">
        <v>61</v>
      </c>
      <c r="I28" s="69">
        <f t="shared" si="21"/>
        <v>0.18309715651556124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93</v>
      </c>
      <c r="C30" s="29"/>
      <c r="D30" s="68"/>
      <c r="E30" s="29">
        <v>71989500</v>
      </c>
      <c r="F30" s="68" t="s">
        <v>60</v>
      </c>
      <c r="G30" s="87">
        <f>G20-G31</f>
        <v>10151702</v>
      </c>
      <c r="H30" s="29" t="s">
        <v>60</v>
      </c>
      <c r="I30" s="69">
        <f>G30/E30</f>
        <v>0.14101642600657041</v>
      </c>
    </row>
    <row r="31" spans="2:9">
      <c r="B31" s="67" t="s">
        <v>65</v>
      </c>
      <c r="C31" s="29"/>
      <c r="D31" s="68"/>
      <c r="E31" s="29">
        <v>1273447</v>
      </c>
      <c r="F31" s="68" t="s">
        <v>60</v>
      </c>
      <c r="G31" s="83">
        <f>89866+140724+57258+102120</f>
        <v>389968</v>
      </c>
      <c r="H31" s="29" t="s">
        <v>60</v>
      </c>
      <c r="I31" s="69">
        <f t="shared" ref="I31:I32" si="22">G31/E31</f>
        <v>0.30623025536202136</v>
      </c>
    </row>
    <row r="32" spans="2:9" ht="15.75" thickBot="1">
      <c r="B32" s="75" t="s">
        <v>94</v>
      </c>
      <c r="C32" s="76"/>
      <c r="D32" s="76"/>
      <c r="E32" s="77">
        <f>SUM(E30:E31)</f>
        <v>73262947</v>
      </c>
      <c r="F32" s="76" t="s">
        <v>60</v>
      </c>
      <c r="G32" s="88">
        <f>SUM(G30:G31)</f>
        <v>10541670</v>
      </c>
      <c r="H32" s="77" t="s">
        <v>60</v>
      </c>
      <c r="I32" s="78">
        <f t="shared" si="22"/>
        <v>0.14388815126424004</v>
      </c>
    </row>
  </sheetData>
  <pageMargins left="0.7" right="0.7" top="0.75" bottom="0.75" header="0.3" footer="0.3"/>
  <pageSetup scale="6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91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1775568/12</f>
        <v>147964</v>
      </c>
      <c r="D7" s="18">
        <f>C7</f>
        <v>147964</v>
      </c>
      <c r="E7" s="18">
        <f t="shared" ref="E7:N7" si="1">D7</f>
        <v>147964</v>
      </c>
      <c r="F7" s="18">
        <f t="shared" si="1"/>
        <v>147964</v>
      </c>
      <c r="G7" s="18">
        <f t="shared" si="1"/>
        <v>147964</v>
      </c>
      <c r="H7" s="18">
        <f t="shared" si="1"/>
        <v>147964</v>
      </c>
      <c r="I7" s="18">
        <f t="shared" si="1"/>
        <v>147964</v>
      </c>
      <c r="J7" s="18">
        <f t="shared" si="1"/>
        <v>147964</v>
      </c>
      <c r="K7" s="18">
        <f t="shared" si="1"/>
        <v>147964</v>
      </c>
      <c r="L7" s="18">
        <f t="shared" si="1"/>
        <v>147964</v>
      </c>
      <c r="M7" s="18">
        <f t="shared" si="1"/>
        <v>147964</v>
      </c>
      <c r="N7" s="18">
        <f t="shared" si="1"/>
        <v>147964</v>
      </c>
      <c r="O7" s="52">
        <f t="shared" ref="O7:O13" si="2">SUM(C7:N7)</f>
        <v>1775568</v>
      </c>
    </row>
    <row r="8" spans="1:28">
      <c r="B8" s="5" t="s">
        <v>32</v>
      </c>
      <c r="C8" s="18">
        <f>528925/12</f>
        <v>44077.083333333336</v>
      </c>
      <c r="D8" s="18">
        <f t="shared" ref="D8:N9" si="3">C8</f>
        <v>44077.083333333336</v>
      </c>
      <c r="E8" s="18">
        <f t="shared" si="3"/>
        <v>44077.083333333336</v>
      </c>
      <c r="F8" s="18">
        <f t="shared" si="3"/>
        <v>44077.083333333336</v>
      </c>
      <c r="G8" s="18">
        <f t="shared" si="3"/>
        <v>44077.083333333336</v>
      </c>
      <c r="H8" s="18">
        <f t="shared" si="3"/>
        <v>44077.083333333336</v>
      </c>
      <c r="I8" s="18">
        <f t="shared" si="3"/>
        <v>44077.083333333336</v>
      </c>
      <c r="J8" s="18">
        <f t="shared" si="3"/>
        <v>44077.083333333336</v>
      </c>
      <c r="K8" s="18">
        <f t="shared" si="3"/>
        <v>44077.083333333336</v>
      </c>
      <c r="L8" s="18">
        <f t="shared" si="3"/>
        <v>44077.083333333336</v>
      </c>
      <c r="M8" s="18">
        <f t="shared" si="3"/>
        <v>44077.083333333336</v>
      </c>
      <c r="N8" s="18">
        <f t="shared" si="3"/>
        <v>44077.083333333336</v>
      </c>
      <c r="O8" s="52">
        <f t="shared" si="2"/>
        <v>528924.99999999988</v>
      </c>
    </row>
    <row r="9" spans="1:28">
      <c r="B9" s="5" t="s">
        <v>75</v>
      </c>
      <c r="C9" s="18">
        <f>475834/12</f>
        <v>39652.833333333336</v>
      </c>
      <c r="D9" s="18">
        <f t="shared" si="3"/>
        <v>39652.833333333336</v>
      </c>
      <c r="E9" s="18">
        <f t="shared" si="3"/>
        <v>39652.833333333336</v>
      </c>
      <c r="F9" s="18">
        <f t="shared" si="3"/>
        <v>39652.833333333336</v>
      </c>
      <c r="G9" s="18">
        <f t="shared" si="3"/>
        <v>39652.833333333336</v>
      </c>
      <c r="H9" s="18">
        <f t="shared" si="3"/>
        <v>39652.833333333336</v>
      </c>
      <c r="I9" s="18">
        <f t="shared" si="3"/>
        <v>39652.833333333336</v>
      </c>
      <c r="J9" s="18">
        <f t="shared" si="3"/>
        <v>39652.833333333336</v>
      </c>
      <c r="K9" s="18">
        <f t="shared" si="3"/>
        <v>39652.833333333336</v>
      </c>
      <c r="L9" s="18">
        <f t="shared" si="3"/>
        <v>39652.833333333336</v>
      </c>
      <c r="M9" s="18">
        <f t="shared" si="3"/>
        <v>39652.833333333336</v>
      </c>
      <c r="N9" s="18">
        <f t="shared" si="3"/>
        <v>39652.833333333336</v>
      </c>
      <c r="O9" s="52">
        <f t="shared" si="2"/>
        <v>475833.99999999994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231693.91666666669</v>
      </c>
      <c r="D14" s="19">
        <f t="shared" ref="D14:N14" si="4">SUM(D7:D13)</f>
        <v>231693.91666666669</v>
      </c>
      <c r="E14" s="19">
        <f t="shared" si="4"/>
        <v>231693.91666666669</v>
      </c>
      <c r="F14" s="19">
        <f t="shared" si="4"/>
        <v>231693.91666666669</v>
      </c>
      <c r="G14" s="19">
        <f t="shared" si="4"/>
        <v>231693.91666666669</v>
      </c>
      <c r="H14" s="19">
        <f t="shared" si="4"/>
        <v>231693.91666666669</v>
      </c>
      <c r="I14" s="19">
        <f t="shared" si="4"/>
        <v>231693.91666666669</v>
      </c>
      <c r="J14" s="19">
        <f t="shared" si="4"/>
        <v>231693.91666666669</v>
      </c>
      <c r="K14" s="19">
        <f t="shared" si="4"/>
        <v>231693.91666666669</v>
      </c>
      <c r="L14" s="19">
        <f t="shared" si="4"/>
        <v>231693.91666666669</v>
      </c>
      <c r="M14" s="19">
        <f t="shared" si="4"/>
        <v>231693.91666666669</v>
      </c>
      <c r="N14" s="19">
        <f t="shared" si="4"/>
        <v>231693.91666666669</v>
      </c>
      <c r="O14" s="53">
        <f>SUM(O7:O13)</f>
        <v>2780327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(362436)/12</f>
        <v>30203</v>
      </c>
      <c r="D17" s="18">
        <f t="shared" ref="D17:N24" si="5">C17</f>
        <v>30203</v>
      </c>
      <c r="E17" s="18">
        <f t="shared" si="5"/>
        <v>30203</v>
      </c>
      <c r="F17" s="18">
        <f t="shared" si="5"/>
        <v>30203</v>
      </c>
      <c r="G17" s="18">
        <f t="shared" si="5"/>
        <v>30203</v>
      </c>
      <c r="H17" s="18">
        <f t="shared" si="5"/>
        <v>30203</v>
      </c>
      <c r="I17" s="18">
        <f t="shared" si="5"/>
        <v>30203</v>
      </c>
      <c r="J17" s="18">
        <f t="shared" si="5"/>
        <v>30203</v>
      </c>
      <c r="K17" s="18">
        <f t="shared" si="5"/>
        <v>30203</v>
      </c>
      <c r="L17" s="18">
        <f t="shared" si="5"/>
        <v>30203</v>
      </c>
      <c r="M17" s="18">
        <f t="shared" si="5"/>
        <v>30203</v>
      </c>
      <c r="N17" s="18">
        <f t="shared" si="5"/>
        <v>30203</v>
      </c>
      <c r="O17" s="52">
        <f t="shared" ref="O17:O24" si="6">SUM(C17:N17)</f>
        <v>362436</v>
      </c>
    </row>
    <row r="18" spans="1:16">
      <c r="B18" s="5" t="s">
        <v>32</v>
      </c>
      <c r="C18" s="18">
        <f>(89250+83415)/12</f>
        <v>14388.75</v>
      </c>
      <c r="D18" s="18">
        <f t="shared" si="5"/>
        <v>14388.75</v>
      </c>
      <c r="E18" s="18">
        <f t="shared" si="5"/>
        <v>14388.75</v>
      </c>
      <c r="F18" s="18">
        <f t="shared" si="5"/>
        <v>14388.75</v>
      </c>
      <c r="G18" s="18">
        <f t="shared" si="5"/>
        <v>14388.75</v>
      </c>
      <c r="H18" s="18">
        <f t="shared" si="5"/>
        <v>14388.75</v>
      </c>
      <c r="I18" s="18">
        <f t="shared" si="5"/>
        <v>14388.75</v>
      </c>
      <c r="J18" s="18">
        <f t="shared" si="5"/>
        <v>14388.75</v>
      </c>
      <c r="K18" s="18">
        <f t="shared" si="5"/>
        <v>14388.75</v>
      </c>
      <c r="L18" s="18">
        <f t="shared" si="5"/>
        <v>14388.75</v>
      </c>
      <c r="M18" s="18">
        <f t="shared" si="5"/>
        <v>14388.75</v>
      </c>
      <c r="N18" s="18">
        <f t="shared" si="5"/>
        <v>14388.75</v>
      </c>
      <c r="O18" s="52">
        <f t="shared" si="6"/>
        <v>172665</v>
      </c>
    </row>
    <row r="19" spans="1:16">
      <c r="B19" s="5" t="s">
        <v>75</v>
      </c>
      <c r="C19" s="18">
        <f>(33988+3655)/12</f>
        <v>3136.9166666666665</v>
      </c>
      <c r="D19" s="18">
        <f t="shared" si="5"/>
        <v>3136.9166666666665</v>
      </c>
      <c r="E19" s="18">
        <f t="shared" si="5"/>
        <v>3136.9166666666665</v>
      </c>
      <c r="F19" s="18">
        <f t="shared" si="5"/>
        <v>3136.9166666666665</v>
      </c>
      <c r="G19" s="18">
        <f t="shared" si="5"/>
        <v>3136.9166666666665</v>
      </c>
      <c r="H19" s="18">
        <f t="shared" si="5"/>
        <v>3136.9166666666665</v>
      </c>
      <c r="I19" s="18">
        <f t="shared" si="5"/>
        <v>3136.9166666666665</v>
      </c>
      <c r="J19" s="18">
        <f t="shared" si="5"/>
        <v>3136.9166666666665</v>
      </c>
      <c r="K19" s="18">
        <f t="shared" si="5"/>
        <v>3136.9166666666665</v>
      </c>
      <c r="L19" s="18">
        <f t="shared" si="5"/>
        <v>3136.9166666666665</v>
      </c>
      <c r="M19" s="18">
        <f t="shared" si="5"/>
        <v>3136.9166666666665</v>
      </c>
      <c r="N19" s="18">
        <f t="shared" si="5"/>
        <v>3136.9166666666665</v>
      </c>
      <c r="O19" s="52">
        <f t="shared" si="6"/>
        <v>37643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644420/12</f>
        <v>53701.666666666664</v>
      </c>
      <c r="D22" s="18">
        <f t="shared" si="5"/>
        <v>53701.666666666664</v>
      </c>
      <c r="E22" s="18">
        <f t="shared" si="5"/>
        <v>53701.666666666664</v>
      </c>
      <c r="F22" s="18">
        <f t="shared" si="5"/>
        <v>53701.666666666664</v>
      </c>
      <c r="G22" s="18">
        <f t="shared" si="5"/>
        <v>53701.666666666664</v>
      </c>
      <c r="H22" s="18">
        <f t="shared" si="5"/>
        <v>53701.666666666664</v>
      </c>
      <c r="I22" s="18">
        <f t="shared" si="5"/>
        <v>53701.666666666664</v>
      </c>
      <c r="J22" s="18">
        <f t="shared" si="5"/>
        <v>53701.666666666664</v>
      </c>
      <c r="K22" s="18">
        <f t="shared" si="5"/>
        <v>53701.666666666664</v>
      </c>
      <c r="L22" s="18">
        <f t="shared" si="5"/>
        <v>53701.666666666664</v>
      </c>
      <c r="M22" s="18">
        <f t="shared" si="5"/>
        <v>53701.666666666664</v>
      </c>
      <c r="N22" s="18">
        <f t="shared" si="5"/>
        <v>53701.666666666664</v>
      </c>
      <c r="O22" s="52">
        <f t="shared" si="6"/>
        <v>644420</v>
      </c>
    </row>
    <row r="23" spans="1:16">
      <c r="B23" s="5" t="s">
        <v>77</v>
      </c>
      <c r="C23" s="18">
        <f>(307772)/12</f>
        <v>25647.666666666668</v>
      </c>
      <c r="D23" s="18">
        <f t="shared" si="5"/>
        <v>25647.666666666668</v>
      </c>
      <c r="E23" s="18">
        <f t="shared" si="5"/>
        <v>25647.666666666668</v>
      </c>
      <c r="F23" s="18">
        <f t="shared" si="5"/>
        <v>25647.666666666668</v>
      </c>
      <c r="G23" s="18">
        <f t="shared" si="5"/>
        <v>25647.666666666668</v>
      </c>
      <c r="H23" s="18">
        <f t="shared" si="5"/>
        <v>25647.666666666668</v>
      </c>
      <c r="I23" s="18">
        <f t="shared" si="5"/>
        <v>25647.666666666668</v>
      </c>
      <c r="J23" s="18">
        <f t="shared" si="5"/>
        <v>25647.666666666668</v>
      </c>
      <c r="K23" s="18">
        <f t="shared" si="5"/>
        <v>25647.666666666668</v>
      </c>
      <c r="L23" s="18">
        <f t="shared" si="5"/>
        <v>25647.666666666668</v>
      </c>
      <c r="M23" s="18">
        <f t="shared" si="5"/>
        <v>25647.666666666668</v>
      </c>
      <c r="N23" s="18">
        <f t="shared" si="5"/>
        <v>25647.666666666668</v>
      </c>
      <c r="O23" s="52">
        <f t="shared" ref="O23" si="7">SUM(C23:N23)</f>
        <v>307772</v>
      </c>
    </row>
    <row r="24" spans="1:16">
      <c r="B24" s="5" t="s">
        <v>36</v>
      </c>
      <c r="C24" s="18">
        <f>((24000+1920+168000+12000+12000+4800+1500+76261)+(40687+89364))/12</f>
        <v>35877.666666666664</v>
      </c>
      <c r="D24" s="18">
        <f t="shared" si="5"/>
        <v>35877.666666666664</v>
      </c>
      <c r="E24" s="18">
        <f t="shared" si="5"/>
        <v>35877.666666666664</v>
      </c>
      <c r="F24" s="18">
        <f t="shared" si="5"/>
        <v>35877.666666666664</v>
      </c>
      <c r="G24" s="18">
        <f t="shared" si="5"/>
        <v>35877.666666666664</v>
      </c>
      <c r="H24" s="18">
        <f t="shared" si="5"/>
        <v>35877.666666666664</v>
      </c>
      <c r="I24" s="18">
        <f t="shared" si="5"/>
        <v>35877.666666666664</v>
      </c>
      <c r="J24" s="18">
        <f t="shared" si="5"/>
        <v>35877.666666666664</v>
      </c>
      <c r="K24" s="18">
        <f t="shared" si="5"/>
        <v>35877.666666666664</v>
      </c>
      <c r="L24" s="18">
        <f t="shared" si="5"/>
        <v>35877.666666666664</v>
      </c>
      <c r="M24" s="18">
        <f t="shared" si="5"/>
        <v>35877.666666666664</v>
      </c>
      <c r="N24" s="18">
        <f t="shared" si="5"/>
        <v>35877.666666666664</v>
      </c>
      <c r="O24" s="52">
        <f t="shared" si="6"/>
        <v>430532.00000000006</v>
      </c>
    </row>
    <row r="25" spans="1:16">
      <c r="A25" t="s">
        <v>21</v>
      </c>
      <c r="B25" s="9" t="s">
        <v>79</v>
      </c>
      <c r="C25" s="19">
        <f t="shared" ref="C25:N25" si="8">SUM(C17:C24)</f>
        <v>162955.66666666666</v>
      </c>
      <c r="D25" s="19">
        <f t="shared" si="8"/>
        <v>162955.66666666666</v>
      </c>
      <c r="E25" s="19">
        <f t="shared" si="8"/>
        <v>162955.66666666666</v>
      </c>
      <c r="F25" s="19">
        <f t="shared" si="8"/>
        <v>162955.66666666666</v>
      </c>
      <c r="G25" s="19">
        <f t="shared" si="8"/>
        <v>162955.66666666666</v>
      </c>
      <c r="H25" s="19">
        <f t="shared" si="8"/>
        <v>162955.66666666666</v>
      </c>
      <c r="I25" s="19">
        <f t="shared" si="8"/>
        <v>162955.66666666666</v>
      </c>
      <c r="J25" s="19">
        <f t="shared" si="8"/>
        <v>162955.66666666666</v>
      </c>
      <c r="K25" s="19">
        <f t="shared" si="8"/>
        <v>162955.66666666666</v>
      </c>
      <c r="L25" s="19">
        <f t="shared" si="8"/>
        <v>162955.66666666666</v>
      </c>
      <c r="M25" s="19">
        <f t="shared" si="8"/>
        <v>162955.66666666666</v>
      </c>
      <c r="N25" s="19">
        <f t="shared" si="8"/>
        <v>162955.66666666666</v>
      </c>
      <c r="O25" s="53">
        <f>SUM(O17:O24)</f>
        <v>1955468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89</v>
      </c>
      <c r="C27" s="21">
        <f>C25+C14</f>
        <v>394649.58333333337</v>
      </c>
      <c r="D27" s="21">
        <f t="shared" ref="D27:O27" si="9">D25+D14</f>
        <v>394649.58333333337</v>
      </c>
      <c r="E27" s="21">
        <f t="shared" si="9"/>
        <v>394649.58333333337</v>
      </c>
      <c r="F27" s="21">
        <f t="shared" si="9"/>
        <v>394649.58333333337</v>
      </c>
      <c r="G27" s="21">
        <f t="shared" si="9"/>
        <v>394649.58333333337</v>
      </c>
      <c r="H27" s="21">
        <f t="shared" si="9"/>
        <v>394649.58333333337</v>
      </c>
      <c r="I27" s="21">
        <f t="shared" si="9"/>
        <v>394649.58333333337</v>
      </c>
      <c r="J27" s="21">
        <f t="shared" si="9"/>
        <v>394649.58333333337</v>
      </c>
      <c r="K27" s="21">
        <f t="shared" si="9"/>
        <v>394649.58333333337</v>
      </c>
      <c r="L27" s="21">
        <f t="shared" si="9"/>
        <v>394649.58333333337</v>
      </c>
      <c r="M27" s="21">
        <f t="shared" si="9"/>
        <v>394649.58333333337</v>
      </c>
      <c r="N27" s="21">
        <f t="shared" si="9"/>
        <v>394649.58333333337</v>
      </c>
      <c r="O27" s="21">
        <f t="shared" si="9"/>
        <v>4735795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132819.87</v>
      </c>
      <c r="D30" s="18">
        <v>310407.35000000003</v>
      </c>
      <c r="E30" s="18">
        <v>162410.26</v>
      </c>
      <c r="F30" s="18"/>
      <c r="G30" s="18"/>
      <c r="H30" s="18"/>
      <c r="I30" s="18"/>
      <c r="J30" s="18"/>
      <c r="K30" s="18"/>
      <c r="L30" s="18"/>
      <c r="M30" s="18"/>
      <c r="N30" s="18"/>
      <c r="O30" s="52">
        <f t="shared" ref="O30:O36" si="10">SUM(C30:N30)</f>
        <v>605637.48</v>
      </c>
      <c r="P30" s="16">
        <f t="shared" ref="P30:P36" si="11">SUM(D30:O30)</f>
        <v>1078455.0900000001</v>
      </c>
    </row>
    <row r="31" spans="1:16">
      <c r="B31" s="6" t="s">
        <v>32</v>
      </c>
      <c r="C31" s="18">
        <v>71744.44</v>
      </c>
      <c r="D31" s="18">
        <v>36408.800000000003</v>
      </c>
      <c r="E31" s="18">
        <v>116394.43000000001</v>
      </c>
      <c r="F31" s="18"/>
      <c r="G31" s="18"/>
      <c r="H31" s="18"/>
      <c r="I31" s="18"/>
      <c r="J31" s="18"/>
      <c r="K31" s="18"/>
      <c r="L31" s="18"/>
      <c r="M31" s="18"/>
      <c r="N31" s="18"/>
      <c r="O31" s="52">
        <f t="shared" si="10"/>
        <v>224547.67</v>
      </c>
      <c r="P31" s="16">
        <f t="shared" si="11"/>
        <v>377350.9</v>
      </c>
    </row>
    <row r="32" spans="1:16">
      <c r="B32" s="6" t="s">
        <v>75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52">
        <f t="shared" si="10"/>
        <v>0</v>
      </c>
      <c r="P32" s="16">
        <f t="shared" si="11"/>
        <v>0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204564.31</v>
      </c>
      <c r="D37" s="19">
        <f t="shared" ref="D37:N37" si="12">SUM(D30:D36)</f>
        <v>346816.15</v>
      </c>
      <c r="E37" s="19">
        <f t="shared" si="12"/>
        <v>278804.69</v>
      </c>
      <c r="F37" s="19">
        <f t="shared" si="12"/>
        <v>0</v>
      </c>
      <c r="G37" s="19">
        <f t="shared" si="12"/>
        <v>0</v>
      </c>
      <c r="H37" s="19">
        <f t="shared" si="12"/>
        <v>0</v>
      </c>
      <c r="I37" s="19">
        <f t="shared" si="12"/>
        <v>0</v>
      </c>
      <c r="J37" s="19">
        <f t="shared" si="12"/>
        <v>0</v>
      </c>
      <c r="K37" s="19">
        <f t="shared" si="12"/>
        <v>0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830185.15</v>
      </c>
      <c r="P37" s="19">
        <f>SUM(P30:P36)</f>
        <v>1455805.9900000002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v>31358.27</v>
      </c>
      <c r="D40" s="18">
        <v>37038.939999999995</v>
      </c>
      <c r="E40" s="18">
        <v>54577.77</v>
      </c>
      <c r="F40" s="18"/>
      <c r="G40" s="18"/>
      <c r="H40" s="18"/>
      <c r="I40" s="18"/>
      <c r="J40" s="18"/>
      <c r="K40" s="18"/>
      <c r="L40" s="18"/>
      <c r="M40" s="18"/>
      <c r="N40" s="18"/>
      <c r="O40" s="52">
        <f t="shared" ref="O40:O47" si="14">SUM(C40:N40)</f>
        <v>122974.97999999998</v>
      </c>
      <c r="P40" s="16">
        <f t="shared" ref="P40:P47" si="15">SUM(D40:O40)</f>
        <v>214591.68999999997</v>
      </c>
    </row>
    <row r="41" spans="1:16">
      <c r="B41" s="6" t="s">
        <v>32</v>
      </c>
      <c r="C41" s="18">
        <v>8549.1</v>
      </c>
      <c r="D41" s="18">
        <v>10212.11</v>
      </c>
      <c r="E41" s="18">
        <v>33053.160000000003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si="14"/>
        <v>51814.37</v>
      </c>
      <c r="P41" s="16">
        <f t="shared" si="15"/>
        <v>95079.640000000014</v>
      </c>
    </row>
    <row r="42" spans="1:16">
      <c r="B42" s="6" t="s">
        <v>75</v>
      </c>
      <c r="C42" s="18">
        <v>953.14</v>
      </c>
      <c r="D42" s="18">
        <v>9448.3799999999992</v>
      </c>
      <c r="E42" s="18">
        <v>584.15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4"/>
        <v>10985.669999999998</v>
      </c>
      <c r="P42" s="16">
        <f t="shared" si="15"/>
        <v>21018.199999999997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>
        <v>148205.70000000001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148205.70000000001</v>
      </c>
      <c r="P45" s="16">
        <f t="shared" si="15"/>
        <v>296411.40000000002</v>
      </c>
    </row>
    <row r="46" spans="1:16">
      <c r="B46" s="6" t="s">
        <v>77</v>
      </c>
      <c r="C46" s="18">
        <v>22956.47</v>
      </c>
      <c r="D46" s="18">
        <v>24579.15</v>
      </c>
      <c r="E46" s="18">
        <v>19986.920000000002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ref="O46" si="16">SUM(C46:N46)</f>
        <v>67522.540000000008</v>
      </c>
      <c r="P46" s="16"/>
    </row>
    <row r="47" spans="1:16">
      <c r="B47" s="6" t="s">
        <v>36</v>
      </c>
      <c r="C47" s="18">
        <v>40959.440000000002</v>
      </c>
      <c r="D47" s="18">
        <v>52887.61</v>
      </c>
      <c r="E47" s="18">
        <v>52021.450000000004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4"/>
        <v>145868.5</v>
      </c>
      <c r="P47" s="16">
        <f t="shared" si="15"/>
        <v>250777.56</v>
      </c>
    </row>
    <row r="48" spans="1:16">
      <c r="A48" t="s">
        <v>24</v>
      </c>
      <c r="B48" s="10" t="s">
        <v>83</v>
      </c>
      <c r="C48" s="19">
        <f t="shared" ref="C48:O48" si="17">SUM(C40:C47)</f>
        <v>104776.42000000001</v>
      </c>
      <c r="D48" s="19">
        <f t="shared" si="17"/>
        <v>282371.89</v>
      </c>
      <c r="E48" s="19">
        <f t="shared" si="17"/>
        <v>160223.44999999998</v>
      </c>
      <c r="F48" s="19">
        <f t="shared" si="17"/>
        <v>0</v>
      </c>
      <c r="G48" s="19">
        <f t="shared" si="17"/>
        <v>0</v>
      </c>
      <c r="H48" s="19">
        <f t="shared" si="17"/>
        <v>0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547371.76</v>
      </c>
      <c r="P48" s="19">
        <f>SUM(P40:P47)</f>
        <v>877878.49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90</v>
      </c>
      <c r="C50" s="21">
        <f>C48+C37</f>
        <v>309340.73</v>
      </c>
      <c r="D50" s="21">
        <f t="shared" ref="D50:O50" si="18">D48+D37</f>
        <v>629188.04</v>
      </c>
      <c r="E50" s="21">
        <f t="shared" si="18"/>
        <v>439028.14</v>
      </c>
      <c r="F50" s="21">
        <f t="shared" si="18"/>
        <v>0</v>
      </c>
      <c r="G50" s="21">
        <f t="shared" si="18"/>
        <v>0</v>
      </c>
      <c r="H50" s="21">
        <f t="shared" si="18"/>
        <v>0</v>
      </c>
      <c r="I50" s="21">
        <f t="shared" si="18"/>
        <v>0</v>
      </c>
      <c r="J50" s="21">
        <f t="shared" si="18"/>
        <v>0</v>
      </c>
      <c r="K50" s="21">
        <f t="shared" si="18"/>
        <v>0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1377556.9100000001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36">
        <f t="shared" ref="C54" si="19">C7-C30</f>
        <v>15144.130000000005</v>
      </c>
      <c r="D54" s="36">
        <f>IF(D50&lt;&gt;0,D7-D30," ")</f>
        <v>-162443.35000000003</v>
      </c>
      <c r="E54" s="36">
        <f t="shared" ref="E54:N54" si="20">IF(E50&lt;&gt;0,E7-E30," ")</f>
        <v>-14446.260000000009</v>
      </c>
      <c r="F54" s="36" t="str">
        <f t="shared" si="20"/>
        <v xml:space="preserve"> </v>
      </c>
      <c r="G54" s="36" t="str">
        <f t="shared" si="20"/>
        <v xml:space="preserve"> </v>
      </c>
      <c r="H54" s="36" t="str">
        <f t="shared" si="20"/>
        <v xml:space="preserve"> </v>
      </c>
      <c r="I54" s="36" t="str">
        <f t="shared" si="20"/>
        <v xml:space="preserve"> </v>
      </c>
      <c r="J54" s="36" t="str">
        <f t="shared" si="20"/>
        <v xml:space="preserve"> </v>
      </c>
      <c r="K54" s="36" t="str">
        <f t="shared" si="20"/>
        <v xml:space="preserve"> </v>
      </c>
      <c r="L54" s="36" t="str">
        <f t="shared" si="20"/>
        <v xml:space="preserve"> </v>
      </c>
      <c r="M54" s="36" t="str">
        <f t="shared" si="20"/>
        <v xml:space="preserve"> </v>
      </c>
      <c r="N54" s="36" t="str">
        <f t="shared" si="20"/>
        <v xml:space="preserve"> </v>
      </c>
      <c r="O54" s="52">
        <f t="shared" ref="O54:O60" si="21">SUM(C54:N54)</f>
        <v>-161745.48000000004</v>
      </c>
    </row>
    <row r="55" spans="1:16">
      <c r="B55" s="12" t="s">
        <v>32</v>
      </c>
      <c r="C55" s="36">
        <f t="shared" ref="C55" si="22">C8-C31</f>
        <v>-27667.356666666667</v>
      </c>
      <c r="D55" s="36">
        <f>IF(D50&lt;&gt;0,D8-D31," ")</f>
        <v>7668.2833333333328</v>
      </c>
      <c r="E55" s="36">
        <f t="shared" ref="E55:N55" si="23">IF(E50&lt;&gt;0,E8-E31," ")</f>
        <v>-72317.346666666679</v>
      </c>
      <c r="F55" s="36" t="str">
        <f t="shared" si="23"/>
        <v xml:space="preserve"> </v>
      </c>
      <c r="G55" s="36" t="str">
        <f t="shared" si="23"/>
        <v xml:space="preserve"> </v>
      </c>
      <c r="H55" s="36" t="str">
        <f t="shared" si="23"/>
        <v xml:space="preserve"> </v>
      </c>
      <c r="I55" s="36" t="str">
        <f t="shared" si="23"/>
        <v xml:space="preserve"> </v>
      </c>
      <c r="J55" s="36" t="str">
        <f t="shared" si="23"/>
        <v xml:space="preserve"> </v>
      </c>
      <c r="K55" s="36" t="str">
        <f t="shared" si="23"/>
        <v xml:space="preserve"> </v>
      </c>
      <c r="L55" s="36" t="str">
        <f t="shared" si="23"/>
        <v xml:space="preserve"> </v>
      </c>
      <c r="M55" s="36" t="str">
        <f t="shared" si="23"/>
        <v xml:space="preserve"> </v>
      </c>
      <c r="N55" s="36" t="str">
        <f t="shared" si="23"/>
        <v xml:space="preserve"> </v>
      </c>
      <c r="O55" s="52">
        <f t="shared" si="21"/>
        <v>-92316.420000000013</v>
      </c>
    </row>
    <row r="56" spans="1:16">
      <c r="B56" s="12" t="s">
        <v>75</v>
      </c>
      <c r="C56" s="36">
        <f t="shared" ref="C56" si="24">C9-C32</f>
        <v>39652.833333333336</v>
      </c>
      <c r="D56" s="36">
        <f>IF(D50&lt;&gt;0,D9-D32," ")</f>
        <v>39652.833333333336</v>
      </c>
      <c r="E56" s="36">
        <f t="shared" ref="E56:N56" si="25">IF(E50&lt;&gt;0,E9-E32," ")</f>
        <v>39652.833333333336</v>
      </c>
      <c r="F56" s="36" t="str">
        <f t="shared" si="25"/>
        <v xml:space="preserve"> </v>
      </c>
      <c r="G56" s="36" t="str">
        <f t="shared" si="25"/>
        <v xml:space="preserve"> </v>
      </c>
      <c r="H56" s="36" t="str">
        <f t="shared" si="25"/>
        <v xml:space="preserve"> </v>
      </c>
      <c r="I56" s="36" t="str">
        <f t="shared" si="25"/>
        <v xml:space="preserve"> </v>
      </c>
      <c r="J56" s="36" t="str">
        <f t="shared" si="25"/>
        <v xml:space="preserve"> </v>
      </c>
      <c r="K56" s="36" t="str">
        <f t="shared" si="25"/>
        <v xml:space="preserve"> </v>
      </c>
      <c r="L56" s="36" t="str">
        <f t="shared" si="25"/>
        <v xml:space="preserve"> </v>
      </c>
      <c r="M56" s="36" t="str">
        <f t="shared" si="25"/>
        <v xml:space="preserve"> </v>
      </c>
      <c r="N56" s="36" t="str">
        <f t="shared" si="25"/>
        <v xml:space="preserve"> </v>
      </c>
      <c r="O56" s="52">
        <f t="shared" si="21"/>
        <v>118958.5</v>
      </c>
    </row>
    <row r="57" spans="1:16" hidden="1">
      <c r="B57" s="12" t="s">
        <v>33</v>
      </c>
      <c r="C57" s="36">
        <f t="shared" ref="C57:D57" si="26">C10-C33</f>
        <v>0</v>
      </c>
      <c r="D57" s="36">
        <f t="shared" si="26"/>
        <v>0</v>
      </c>
      <c r="E57" s="36">
        <f t="shared" ref="E57:N57" si="27">E10-E33</f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52">
        <f t="shared" si="21"/>
        <v>0</v>
      </c>
    </row>
    <row r="58" spans="1:16" hidden="1">
      <c r="B58" s="12" t="s">
        <v>34</v>
      </c>
      <c r="C58" s="36">
        <f t="shared" ref="C58:D58" si="28">C11-C34</f>
        <v>0</v>
      </c>
      <c r="D58" s="36">
        <f t="shared" si="28"/>
        <v>0</v>
      </c>
      <c r="E58" s="36">
        <f t="shared" ref="E58:N58" si="29">E11-E34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6">
        <f t="shared" si="29"/>
        <v>0</v>
      </c>
      <c r="N58" s="36">
        <f t="shared" si="29"/>
        <v>0</v>
      </c>
      <c r="O58" s="52">
        <f t="shared" si="21"/>
        <v>0</v>
      </c>
    </row>
    <row r="59" spans="1:16" hidden="1">
      <c r="B59" s="12" t="s">
        <v>35</v>
      </c>
      <c r="C59" s="36">
        <f t="shared" ref="C59:D59" si="30">C12-C35</f>
        <v>0</v>
      </c>
      <c r="D59" s="36">
        <f t="shared" si="30"/>
        <v>0</v>
      </c>
      <c r="E59" s="36">
        <f t="shared" ref="E59:N59" si="31">E12-E35</f>
        <v>0</v>
      </c>
      <c r="F59" s="36">
        <f t="shared" si="31"/>
        <v>0</v>
      </c>
      <c r="G59" s="36">
        <f t="shared" si="31"/>
        <v>0</v>
      </c>
      <c r="H59" s="36">
        <f t="shared" si="31"/>
        <v>0</v>
      </c>
      <c r="I59" s="36">
        <f t="shared" si="31"/>
        <v>0</v>
      </c>
      <c r="J59" s="36">
        <f t="shared" si="31"/>
        <v>0</v>
      </c>
      <c r="K59" s="36">
        <f t="shared" si="31"/>
        <v>0</v>
      </c>
      <c r="L59" s="36">
        <f t="shared" si="31"/>
        <v>0</v>
      </c>
      <c r="M59" s="36">
        <f t="shared" si="31"/>
        <v>0</v>
      </c>
      <c r="N59" s="36">
        <f t="shared" si="31"/>
        <v>0</v>
      </c>
      <c r="O59" s="52">
        <f t="shared" si="21"/>
        <v>0</v>
      </c>
    </row>
    <row r="60" spans="1:16" hidden="1">
      <c r="B60" s="12" t="s">
        <v>36</v>
      </c>
      <c r="C60" s="36">
        <f t="shared" ref="C60:D60" si="32">C13-C36</f>
        <v>0</v>
      </c>
      <c r="D60" s="36">
        <f t="shared" si="32"/>
        <v>0</v>
      </c>
      <c r="E60" s="36">
        <f t="shared" ref="E60:N60" si="33">E13-E36</f>
        <v>0</v>
      </c>
      <c r="F60" s="36">
        <f t="shared" si="33"/>
        <v>0</v>
      </c>
      <c r="G60" s="36">
        <f t="shared" si="33"/>
        <v>0</v>
      </c>
      <c r="H60" s="36">
        <f t="shared" si="33"/>
        <v>0</v>
      </c>
      <c r="I60" s="36">
        <f t="shared" si="33"/>
        <v>0</v>
      </c>
      <c r="J60" s="36">
        <f t="shared" si="33"/>
        <v>0</v>
      </c>
      <c r="K60" s="36">
        <f t="shared" si="33"/>
        <v>0</v>
      </c>
      <c r="L60" s="36">
        <f t="shared" si="33"/>
        <v>0</v>
      </c>
      <c r="M60" s="36">
        <f t="shared" si="33"/>
        <v>0</v>
      </c>
      <c r="N60" s="36">
        <f t="shared" si="33"/>
        <v>0</v>
      </c>
      <c r="O60" s="52">
        <f t="shared" si="21"/>
        <v>0</v>
      </c>
    </row>
    <row r="61" spans="1:16">
      <c r="A61" t="s">
        <v>84</v>
      </c>
      <c r="B61" s="11" t="s">
        <v>40</v>
      </c>
      <c r="C61" s="19">
        <f t="shared" ref="C61" si="34">C14-C37</f>
        <v>27129.606666666688</v>
      </c>
      <c r="D61" s="19">
        <f>IF(D50&lt;&gt;0,D14-D37," ")</f>
        <v>-115122.23333333334</v>
      </c>
      <c r="E61" s="19">
        <f t="shared" ref="E61:N61" si="35">IF(E50&lt;&gt;0,E14-E37," ")</f>
        <v>-47110.773333333316</v>
      </c>
      <c r="F61" s="19" t="str">
        <f t="shared" si="35"/>
        <v xml:space="preserve"> </v>
      </c>
      <c r="G61" s="19" t="str">
        <f t="shared" si="35"/>
        <v xml:space="preserve"> </v>
      </c>
      <c r="H61" s="19" t="str">
        <f t="shared" si="35"/>
        <v xml:space="preserve"> 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-135103.40000000005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" si="37">C17-C40</f>
        <v>-1155.2700000000004</v>
      </c>
      <c r="D64" s="36">
        <f>IF(D50&lt;&gt;0,D17-D40," ")</f>
        <v>-6835.9399999999951</v>
      </c>
      <c r="E64" s="36">
        <f t="shared" ref="E64:N64" si="38">IF(E50&lt;&gt;0,E17-E40," ")</f>
        <v>-24374.769999999997</v>
      </c>
      <c r="F64" s="36" t="str">
        <f t="shared" si="38"/>
        <v xml:space="preserve"> </v>
      </c>
      <c r="G64" s="36" t="str">
        <f t="shared" si="38"/>
        <v xml:space="preserve"> </v>
      </c>
      <c r="H64" s="36" t="str">
        <f t="shared" si="38"/>
        <v xml:space="preserve"> </v>
      </c>
      <c r="I64" s="36" t="str">
        <f t="shared" si="38"/>
        <v xml:space="preserve"> </v>
      </c>
      <c r="J64" s="36" t="str">
        <f t="shared" si="38"/>
        <v xml:space="preserve"> </v>
      </c>
      <c r="K64" s="36" t="str">
        <f t="shared" si="38"/>
        <v xml:space="preserve"> </v>
      </c>
      <c r="L64" s="36" t="str">
        <f t="shared" si="38"/>
        <v xml:space="preserve"> </v>
      </c>
      <c r="M64" s="36" t="str">
        <f t="shared" si="38"/>
        <v xml:space="preserve"> </v>
      </c>
      <c r="N64" s="36" t="str">
        <f t="shared" si="38"/>
        <v xml:space="preserve"> </v>
      </c>
      <c r="O64" s="52">
        <f t="shared" ref="O64:O71" si="39">SUM(C64:N64)</f>
        <v>-32365.979999999992</v>
      </c>
    </row>
    <row r="65" spans="1:15">
      <c r="B65" s="12" t="s">
        <v>32</v>
      </c>
      <c r="C65" s="36">
        <f t="shared" ref="C65" si="40">C18-C41</f>
        <v>5839.65</v>
      </c>
      <c r="D65" s="36">
        <f>IF(D50&lt;&gt;0,D18-D41," ")</f>
        <v>4176.6399999999994</v>
      </c>
      <c r="E65" s="36">
        <f t="shared" ref="E65:N65" si="41">IF(E50&lt;&gt;0,E18-E41," ")</f>
        <v>-18664.410000000003</v>
      </c>
      <c r="F65" s="36" t="str">
        <f t="shared" si="41"/>
        <v xml:space="preserve"> </v>
      </c>
      <c r="G65" s="36" t="str">
        <f t="shared" si="41"/>
        <v xml:space="preserve"> </v>
      </c>
      <c r="H65" s="36" t="str">
        <f t="shared" si="41"/>
        <v xml:space="preserve"> </v>
      </c>
      <c r="I65" s="36" t="str">
        <f t="shared" si="41"/>
        <v xml:space="preserve"> </v>
      </c>
      <c r="J65" s="36" t="str">
        <f t="shared" si="41"/>
        <v xml:space="preserve"> </v>
      </c>
      <c r="K65" s="36" t="str">
        <f t="shared" si="41"/>
        <v xml:space="preserve"> </v>
      </c>
      <c r="L65" s="36" t="str">
        <f t="shared" si="41"/>
        <v xml:space="preserve"> </v>
      </c>
      <c r="M65" s="36" t="str">
        <f t="shared" si="41"/>
        <v xml:space="preserve"> </v>
      </c>
      <c r="N65" s="36" t="str">
        <f t="shared" si="41"/>
        <v xml:space="preserve"> </v>
      </c>
      <c r="O65" s="52">
        <f t="shared" si="39"/>
        <v>-8648.1200000000044</v>
      </c>
    </row>
    <row r="66" spans="1:15">
      <c r="B66" s="12" t="s">
        <v>75</v>
      </c>
      <c r="C66" s="36">
        <f t="shared" ref="C66" si="42">C19-C42</f>
        <v>2183.7766666666666</v>
      </c>
      <c r="D66" s="36">
        <f>IF(D50&lt;&gt;0,D19-D42," ")</f>
        <v>-6311.4633333333331</v>
      </c>
      <c r="E66" s="36">
        <f t="shared" ref="E66:N66" si="43">IF(E50&lt;&gt;0,E19-E42," ")</f>
        <v>2552.7666666666664</v>
      </c>
      <c r="F66" s="36" t="str">
        <f t="shared" si="43"/>
        <v xml:space="preserve"> </v>
      </c>
      <c r="G66" s="36" t="str">
        <f t="shared" si="43"/>
        <v xml:space="preserve"> </v>
      </c>
      <c r="H66" s="36" t="str">
        <f t="shared" si="43"/>
        <v xml:space="preserve"> </v>
      </c>
      <c r="I66" s="36" t="str">
        <f t="shared" si="43"/>
        <v xml:space="preserve"> </v>
      </c>
      <c r="J66" s="36" t="str">
        <f t="shared" si="43"/>
        <v xml:space="preserve"> </v>
      </c>
      <c r="K66" s="36" t="str">
        <f t="shared" si="43"/>
        <v xml:space="preserve"> </v>
      </c>
      <c r="L66" s="36" t="str">
        <f t="shared" si="43"/>
        <v xml:space="preserve"> </v>
      </c>
      <c r="M66" s="36" t="str">
        <f t="shared" si="43"/>
        <v xml:space="preserve"> </v>
      </c>
      <c r="N66" s="36" t="str">
        <f t="shared" si="43"/>
        <v xml:space="preserve"> </v>
      </c>
      <c r="O66" s="52">
        <f t="shared" si="39"/>
        <v>-1574.92</v>
      </c>
    </row>
    <row r="67" spans="1:15" hidden="1">
      <c r="B67" s="12" t="s">
        <v>33</v>
      </c>
      <c r="C67" s="36">
        <f t="shared" ref="C67" si="44">C20-C43</f>
        <v>0</v>
      </c>
      <c r="D67" s="36" t="str">
        <f t="shared" ref="D67:N68" si="45">IF(D53&lt;&gt;0,D20-D43," ")</f>
        <v xml:space="preserve"> </v>
      </c>
      <c r="E67" s="36" t="str">
        <f t="shared" si="45"/>
        <v xml:space="preserve"> </v>
      </c>
      <c r="F67" s="36" t="str">
        <f t="shared" si="45"/>
        <v xml:space="preserve"> </v>
      </c>
      <c r="G67" s="36" t="str">
        <f t="shared" si="45"/>
        <v xml:space="preserve"> </v>
      </c>
      <c r="H67" s="36" t="str">
        <f t="shared" si="45"/>
        <v xml:space="preserve"> </v>
      </c>
      <c r="I67" s="36" t="str">
        <f t="shared" si="45"/>
        <v xml:space="preserve"> </v>
      </c>
      <c r="J67" s="36" t="str">
        <f t="shared" si="45"/>
        <v xml:space="preserve"> </v>
      </c>
      <c r="K67" s="36" t="str">
        <f t="shared" si="45"/>
        <v xml:space="preserve"> </v>
      </c>
      <c r="L67" s="36" t="str">
        <f t="shared" si="45"/>
        <v xml:space="preserve"> </v>
      </c>
      <c r="M67" s="36" t="str">
        <f t="shared" si="45"/>
        <v xml:space="preserve"> </v>
      </c>
      <c r="N67" s="36" t="str">
        <f t="shared" si="45"/>
        <v xml:space="preserve"> </v>
      </c>
      <c r="O67" s="52">
        <f t="shared" si="39"/>
        <v>0</v>
      </c>
    </row>
    <row r="68" spans="1:15" hidden="1">
      <c r="B68" s="12" t="s">
        <v>34</v>
      </c>
      <c r="C68" s="36">
        <f t="shared" ref="C68" si="46">C21-C44</f>
        <v>0</v>
      </c>
      <c r="D68" s="36">
        <f t="shared" si="45"/>
        <v>0</v>
      </c>
      <c r="E68" s="36">
        <f t="shared" si="45"/>
        <v>0</v>
      </c>
      <c r="F68" s="36">
        <f t="shared" si="45"/>
        <v>0</v>
      </c>
      <c r="G68" s="36">
        <f t="shared" si="45"/>
        <v>0</v>
      </c>
      <c r="H68" s="36">
        <f t="shared" si="45"/>
        <v>0</v>
      </c>
      <c r="I68" s="36">
        <f t="shared" si="45"/>
        <v>0</v>
      </c>
      <c r="J68" s="36">
        <f t="shared" si="45"/>
        <v>0</v>
      </c>
      <c r="K68" s="36">
        <f t="shared" si="45"/>
        <v>0</v>
      </c>
      <c r="L68" s="36">
        <f t="shared" si="45"/>
        <v>0</v>
      </c>
      <c r="M68" s="36">
        <f t="shared" si="45"/>
        <v>0</v>
      </c>
      <c r="N68" s="36">
        <f t="shared" si="45"/>
        <v>0</v>
      </c>
      <c r="O68" s="52">
        <f t="shared" si="39"/>
        <v>0</v>
      </c>
    </row>
    <row r="69" spans="1:15">
      <c r="B69" s="12" t="s">
        <v>35</v>
      </c>
      <c r="C69" s="36">
        <f t="shared" ref="C69" si="47">C22-C45</f>
        <v>53701.666666666664</v>
      </c>
      <c r="D69" s="36">
        <f>IF(D50&lt;&gt;0,D22-D45," ")</f>
        <v>-94504.033333333355</v>
      </c>
      <c r="E69" s="36">
        <f t="shared" ref="E69:N69" si="48">IF(E50&lt;&gt;0,E22-E45," ")</f>
        <v>53701.666666666664</v>
      </c>
      <c r="F69" s="36" t="str">
        <f t="shared" si="48"/>
        <v xml:space="preserve"> </v>
      </c>
      <c r="G69" s="36" t="str">
        <f t="shared" si="48"/>
        <v xml:space="preserve"> </v>
      </c>
      <c r="H69" s="36" t="str">
        <f t="shared" si="48"/>
        <v xml:space="preserve"> </v>
      </c>
      <c r="I69" s="36" t="str">
        <f t="shared" si="48"/>
        <v xml:space="preserve"> </v>
      </c>
      <c r="J69" s="36" t="str">
        <f t="shared" si="48"/>
        <v xml:space="preserve"> </v>
      </c>
      <c r="K69" s="36" t="str">
        <f t="shared" si="48"/>
        <v xml:space="preserve"> </v>
      </c>
      <c r="L69" s="36" t="str">
        <f t="shared" si="48"/>
        <v xml:space="preserve"> </v>
      </c>
      <c r="M69" s="36" t="str">
        <f t="shared" si="48"/>
        <v xml:space="preserve"> </v>
      </c>
      <c r="N69" s="36" t="str">
        <f t="shared" si="48"/>
        <v xml:space="preserve"> </v>
      </c>
      <c r="O69" s="52">
        <f t="shared" si="39"/>
        <v>12899.299999999974</v>
      </c>
    </row>
    <row r="70" spans="1:15">
      <c r="B70" s="12" t="s">
        <v>77</v>
      </c>
      <c r="C70" s="36">
        <f t="shared" ref="C70" si="49">C23-C46</f>
        <v>2691.1966666666667</v>
      </c>
      <c r="D70" s="36">
        <f>IF(D50&lt;&gt;0,D23-D46," ")</f>
        <v>1068.5166666666664</v>
      </c>
      <c r="E70" s="36">
        <f t="shared" ref="E70:N70" si="50">IF(E50&lt;&gt;0,E23-E46," ")</f>
        <v>5660.746666666666</v>
      </c>
      <c r="F70" s="36" t="str">
        <f t="shared" si="50"/>
        <v xml:space="preserve"> </v>
      </c>
      <c r="G70" s="36" t="str">
        <f t="shared" si="50"/>
        <v xml:space="preserve"> </v>
      </c>
      <c r="H70" s="36" t="str">
        <f t="shared" si="50"/>
        <v xml:space="preserve"> </v>
      </c>
      <c r="I70" s="36" t="str">
        <f t="shared" si="50"/>
        <v xml:space="preserve"> </v>
      </c>
      <c r="J70" s="36" t="str">
        <f t="shared" si="50"/>
        <v xml:space="preserve"> </v>
      </c>
      <c r="K70" s="36" t="str">
        <f t="shared" si="50"/>
        <v xml:space="preserve"> </v>
      </c>
      <c r="L70" s="36" t="str">
        <f t="shared" si="50"/>
        <v xml:space="preserve"> </v>
      </c>
      <c r="M70" s="36" t="str">
        <f t="shared" si="50"/>
        <v xml:space="preserve"> </v>
      </c>
      <c r="N70" s="36" t="str">
        <f t="shared" si="50"/>
        <v xml:space="preserve"> </v>
      </c>
      <c r="O70" s="52">
        <f t="shared" ref="O70" si="51">SUM(C70:N70)</f>
        <v>9420.4599999999991</v>
      </c>
    </row>
    <row r="71" spans="1:15">
      <c r="B71" s="12" t="s">
        <v>36</v>
      </c>
      <c r="C71" s="36">
        <f t="shared" ref="C71" si="52">C24-C47</f>
        <v>-5081.7733333333381</v>
      </c>
      <c r="D71" s="36">
        <f>IF(D50&lt;&gt;0,D24-D47," ")</f>
        <v>-17009.943333333336</v>
      </c>
      <c r="E71" s="36">
        <f t="shared" ref="E71:N71" si="53">IF(E50&lt;&gt;0,E24-E47," ")</f>
        <v>-16143.78333333334</v>
      </c>
      <c r="F71" s="36" t="str">
        <f t="shared" si="53"/>
        <v xml:space="preserve"> </v>
      </c>
      <c r="G71" s="36" t="str">
        <f t="shared" si="53"/>
        <v xml:space="preserve"> </v>
      </c>
      <c r="H71" s="36" t="str">
        <f t="shared" si="53"/>
        <v xml:space="preserve"> </v>
      </c>
      <c r="I71" s="36" t="str">
        <f t="shared" si="53"/>
        <v xml:space="preserve"> </v>
      </c>
      <c r="J71" s="36" t="str">
        <f t="shared" si="53"/>
        <v xml:space="preserve"> </v>
      </c>
      <c r="K71" s="36" t="str">
        <f t="shared" si="53"/>
        <v xml:space="preserve"> </v>
      </c>
      <c r="L71" s="36" t="str">
        <f t="shared" si="53"/>
        <v xml:space="preserve"> </v>
      </c>
      <c r="M71" s="36" t="str">
        <f t="shared" si="53"/>
        <v xml:space="preserve"> </v>
      </c>
      <c r="N71" s="36" t="str">
        <f t="shared" si="53"/>
        <v xml:space="preserve"> </v>
      </c>
      <c r="O71" s="52">
        <f t="shared" si="39"/>
        <v>-38235.500000000015</v>
      </c>
    </row>
    <row r="72" spans="1:15">
      <c r="A72" t="s">
        <v>85</v>
      </c>
      <c r="B72" s="11" t="s">
        <v>40</v>
      </c>
      <c r="C72" s="19">
        <f t="shared" ref="C72" si="54">C25-C48</f>
        <v>58179.246666666644</v>
      </c>
      <c r="D72" s="19">
        <f>IF(D50&lt;&gt;0,D25-D48," ")</f>
        <v>-119416.22333333336</v>
      </c>
      <c r="E72" s="19">
        <f t="shared" ref="E72:N72" si="55">IF(E50&lt;&gt;0,E25-E48," ")</f>
        <v>2732.2166666666744</v>
      </c>
      <c r="F72" s="19" t="str">
        <f t="shared" si="55"/>
        <v xml:space="preserve"> </v>
      </c>
      <c r="G72" s="19" t="str">
        <f t="shared" si="55"/>
        <v xml:space="preserve"> </v>
      </c>
      <c r="H72" s="19" t="str">
        <f t="shared" si="55"/>
        <v xml:space="preserve"> 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-58504.760000000038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" si="57">C27-C50</f>
        <v>85308.853333333391</v>
      </c>
      <c r="D74" s="38">
        <f>IF(D50&lt;&gt;0,D27-D50," ")</f>
        <v>-234538.45666666667</v>
      </c>
      <c r="E74" s="38">
        <f t="shared" ref="E74:N74" si="58">IF(E50&lt;&gt;0,E27-E50," ")</f>
        <v>-44378.556666666642</v>
      </c>
      <c r="F74" s="38" t="str">
        <f t="shared" si="58"/>
        <v xml:space="preserve"> </v>
      </c>
      <c r="G74" s="38" t="str">
        <f t="shared" si="58"/>
        <v xml:space="preserve"> </v>
      </c>
      <c r="H74" s="38" t="str">
        <f t="shared" si="58"/>
        <v xml:space="preserve"> 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57">
        <f>O72+O61</f>
        <v>-193608.16000000009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109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115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123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  <row r="91" spans="2:15">
      <c r="B91" t="s">
        <v>91</v>
      </c>
    </row>
  </sheetData>
  <mergeCells count="11">
    <mergeCell ref="B90:O90"/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'ID-Sch191 Rider Balance'!J17</f>
        <v>-1384878.6243953963</v>
      </c>
    </row>
    <row r="3" spans="1:2">
      <c r="A3" s="80"/>
    </row>
    <row r="4" spans="1:2">
      <c r="A4" s="80" t="s">
        <v>69</v>
      </c>
      <c r="B4" s="1">
        <v>1615000</v>
      </c>
    </row>
    <row r="5" spans="1:2">
      <c r="A5" s="80" t="s">
        <v>70</v>
      </c>
      <c r="B5" s="84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71</v>
      </c>
      <c r="B8" s="3">
        <f>B2+B6</f>
        <v>-2307336.2910620631</v>
      </c>
    </row>
    <row r="10" spans="1:2">
      <c r="A10" s="80" t="s">
        <v>72</v>
      </c>
      <c r="B10" s="1">
        <v>4076000</v>
      </c>
    </row>
    <row r="11" spans="1:2">
      <c r="A11" t="s">
        <v>73</v>
      </c>
      <c r="B11" s="85"/>
    </row>
    <row r="12" spans="1:2">
      <c r="B12" s="3">
        <f>B11-B10</f>
        <v>-4076000</v>
      </c>
    </row>
    <row r="14" spans="1:2">
      <c r="A14" t="s">
        <v>74</v>
      </c>
      <c r="B14" s="3">
        <f>B8+B12</f>
        <v>-6383336.2910620626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50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-988582.32</v>
      </c>
      <c r="D5" s="1">
        <v>-1140666.3491279036</v>
      </c>
      <c r="E5" s="1">
        <v>-1302121.0566588216</v>
      </c>
      <c r="F5" s="1">
        <v>-1384878.6243953963</v>
      </c>
      <c r="G5" s="1">
        <v>-1384878.6243953963</v>
      </c>
      <c r="H5" s="1">
        <v>-1384878.6243953963</v>
      </c>
      <c r="I5" s="1">
        <v>-1384878.6243953963</v>
      </c>
      <c r="J5" s="1">
        <v>-1384878.6243953963</v>
      </c>
      <c r="K5" s="1">
        <v>-1384878.6243953963</v>
      </c>
      <c r="L5" s="1">
        <v>-1384878.6243953963</v>
      </c>
      <c r="M5" s="1">
        <v>-1384878.6243953963</v>
      </c>
      <c r="N5" s="1">
        <v>-1384878.6243953963</v>
      </c>
      <c r="O5" s="40"/>
      <c r="P5" s="44">
        <v>-988582.32</v>
      </c>
      <c r="Q5" s="47">
        <v>-1384878.6243953963</v>
      </c>
      <c r="R5" s="47">
        <v>-1384878.6243953963</v>
      </c>
      <c r="S5" s="47">
        <v>-1384878.6243953963</v>
      </c>
      <c r="U5" s="47">
        <v>-1781276.7675377594</v>
      </c>
      <c r="V5" s="47">
        <v>-1781276.7675377594</v>
      </c>
      <c r="W5" s="47">
        <v>-1781276.7675377594</v>
      </c>
      <c r="X5" s="47">
        <v>-1781276.7675377594</v>
      </c>
      <c r="Y5" s="47">
        <v>-1781276.7675377594</v>
      </c>
      <c r="Z5" s="47">
        <v>-1781276.7675377594</v>
      </c>
      <c r="AA5" s="47">
        <v>-1781276.7675377594</v>
      </c>
      <c r="AB5" s="47">
        <v>-1781276.7675377594</v>
      </c>
      <c r="AC5" s="47">
        <v>-1781276.7675377594</v>
      </c>
      <c r="AD5" s="47">
        <v>-1781276.7675377594</v>
      </c>
      <c r="AE5" s="47">
        <v>-1781276.7675377594</v>
      </c>
      <c r="AF5" s="47">
        <v>-1781276.7675377594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391585.6095853587</v>
      </c>
      <c r="D7" s="1">
        <v>318629.17212557478</v>
      </c>
      <c r="E7" s="1">
        <v>273075.84309300018</v>
      </c>
      <c r="F7" s="1">
        <v>195528.14411631456</v>
      </c>
      <c r="G7" s="1">
        <v>116159.30424082842</v>
      </c>
      <c r="H7" s="1">
        <v>77374.079482900561</v>
      </c>
      <c r="I7" s="1">
        <v>68849.455007284734</v>
      </c>
      <c r="J7" s="1">
        <v>70059.676835667065</v>
      </c>
      <c r="K7" s="1">
        <v>84999.397691808466</v>
      </c>
      <c r="L7" s="1">
        <v>181800.42902964755</v>
      </c>
      <c r="M7" s="1">
        <v>321674.14989985799</v>
      </c>
      <c r="N7" s="1">
        <v>420995.15990917163</v>
      </c>
      <c r="O7" s="47">
        <v>2520730.4210174144</v>
      </c>
      <c r="P7" s="47">
        <v>983290.62480393355</v>
      </c>
      <c r="Q7" s="47">
        <v>389061.52784004353</v>
      </c>
      <c r="R7" s="47">
        <v>223908.52953476028</v>
      </c>
      <c r="S7" s="47">
        <v>924469.73883867718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280419.79912790359</v>
      </c>
      <c r="D8" s="1">
        <v>251748.70753091809</v>
      </c>
      <c r="E8" s="1">
        <v>228959.21773657465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761127.72439539642</v>
      </c>
      <c r="P8" s="47">
        <v>761127.72439539642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-111165.81045745511</v>
      </c>
      <c r="D9" s="22">
        <v>-66880.464594656689</v>
      </c>
      <c r="E9" s="22">
        <v>-44116.625356425531</v>
      </c>
      <c r="F9" s="22">
        <v>-195528.14411631456</v>
      </c>
      <c r="G9" s="22">
        <v>-116159.30424082842</v>
      </c>
      <c r="H9" s="22">
        <v>-77374.079482900561</v>
      </c>
      <c r="I9" s="22">
        <v>-68849.455007284734</v>
      </c>
      <c r="J9" s="22">
        <v>-70059.676835667065</v>
      </c>
      <c r="K9" s="22">
        <v>-84999.397691808466</v>
      </c>
      <c r="L9" s="22">
        <v>-181800.42902964755</v>
      </c>
      <c r="M9" s="22">
        <v>-321674.14989985799</v>
      </c>
      <c r="N9" s="22">
        <v>-420995.15990917163</v>
      </c>
      <c r="O9" s="48">
        <v>-1759602.6966220182</v>
      </c>
      <c r="P9" s="48">
        <v>-222162.90040853713</v>
      </c>
      <c r="Q9" s="48">
        <v>-389061.52784004353</v>
      </c>
      <c r="R9" s="48">
        <v>-223908.52953476028</v>
      </c>
      <c r="S9" s="48">
        <v>-924469.73883867718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128335.77</v>
      </c>
      <c r="D12" s="1">
        <v>90294</v>
      </c>
      <c r="E12" s="1">
        <v>146201.65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364831.42000000004</v>
      </c>
      <c r="P12" s="47">
        <v>364831.42000000004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44799.813333333339</v>
      </c>
      <c r="D13" s="23">
        <v>82841.583333333343</v>
      </c>
      <c r="E13" s="23">
        <v>26933.933333333349</v>
      </c>
      <c r="F13" s="23">
        <v>173135.58333333334</v>
      </c>
      <c r="G13" s="23">
        <v>173135.58333333334</v>
      </c>
      <c r="H13" s="23">
        <v>173135.58333333334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1712795.5799999998</v>
      </c>
      <c r="P13" s="49">
        <v>154575.32999999996</v>
      </c>
      <c r="Q13" s="49">
        <v>519406.75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152084.02912790357</v>
      </c>
      <c r="D15" s="1">
        <v>161454.70753091809</v>
      </c>
      <c r="E15" s="1">
        <v>82757.567736574652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396296.30439539638</v>
      </c>
      <c r="P15" s="45">
        <v>396296.30439539638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-1140666.3491279036</v>
      </c>
      <c r="D17" s="59">
        <v>-1302121.0566588216</v>
      </c>
      <c r="E17" s="59">
        <v>-1384878.6243953963</v>
      </c>
      <c r="F17" s="59">
        <v>-1384878.6243953963</v>
      </c>
      <c r="G17" s="59">
        <v>-1384878.6243953963</v>
      </c>
      <c r="H17" s="59">
        <v>-1384878.6243953963</v>
      </c>
      <c r="I17" s="59">
        <v>-1384878.6243953963</v>
      </c>
      <c r="J17" s="59">
        <v>-1384878.6243953963</v>
      </c>
      <c r="K17" s="59">
        <v>-1384878.6243953963</v>
      </c>
      <c r="L17" s="59">
        <v>-1384878.6243953963</v>
      </c>
      <c r="M17" s="59">
        <v>-1384878.6243953963</v>
      </c>
      <c r="N17" s="59">
        <v>-1384878.6243953963</v>
      </c>
      <c r="O17" s="47"/>
      <c r="P17" s="47">
        <v>-1384878.6243953963</v>
      </c>
      <c r="Q17" s="47">
        <v>-1384878.6243953963</v>
      </c>
      <c r="R17" s="47">
        <v>-1384878.6243953963</v>
      </c>
      <c r="S17" s="47">
        <v>-1384878.6243953963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>
        <v>-1407271.1851783777</v>
      </c>
      <c r="G19" s="3">
        <v>-1327902.3453028915</v>
      </c>
      <c r="H19" s="3">
        <v>-1289117.1205449637</v>
      </c>
      <c r="I19" s="3">
        <v>-1280592.4960693477</v>
      </c>
      <c r="J19" s="3">
        <v>-1281802.7178977302</v>
      </c>
      <c r="K19" s="3">
        <v>-1296742.4387538715</v>
      </c>
      <c r="L19" s="3">
        <v>-1393543.4700917106</v>
      </c>
      <c r="M19" s="3">
        <v>-1533417.1909619211</v>
      </c>
      <c r="N19" s="3">
        <v>-1781276.7675377594</v>
      </c>
      <c r="O19" s="40"/>
      <c r="P19" s="47"/>
      <c r="Q19" s="40"/>
      <c r="R19" s="40"/>
      <c r="S19" s="40"/>
      <c r="U19" s="47">
        <v>-1781276.7675377594</v>
      </c>
      <c r="V19" s="47">
        <v>-1781276.7675377594</v>
      </c>
      <c r="W19" s="47">
        <v>-1781276.7675377594</v>
      </c>
      <c r="X19" s="47">
        <v>-1781276.7675377594</v>
      </c>
      <c r="Y19" s="47">
        <v>-1781276.7675377594</v>
      </c>
      <c r="Z19" s="47">
        <v>-1781276.7675377594</v>
      </c>
      <c r="AA19" s="47">
        <v>-1781276.7675377594</v>
      </c>
      <c r="AB19" s="47">
        <v>-1781276.7675377594</v>
      </c>
      <c r="AC19" s="47">
        <v>-1781276.7675377594</v>
      </c>
      <c r="AD19" s="47">
        <v>-1781276.7675377594</v>
      </c>
      <c r="AE19" s="47">
        <v>-1781276.7675377594</v>
      </c>
      <c r="AF19" s="47">
        <v>-1781276.7675377594</v>
      </c>
    </row>
    <row r="21" spans="2:32">
      <c r="B21" s="51" t="s">
        <v>26</v>
      </c>
    </row>
    <row r="22" spans="2:32">
      <c r="B22" s="91" t="s">
        <v>112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128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2:32">
      <c r="B24" s="91" t="s">
        <v>129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52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</sheetData>
  <mergeCells count="10">
    <mergeCell ref="B31:N31"/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50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488188/12</f>
        <v>40682.333333333336</v>
      </c>
      <c r="D7" s="18">
        <f>C7</f>
        <v>40682.333333333336</v>
      </c>
      <c r="E7" s="18">
        <f t="shared" ref="E7:N7" si="1">D7</f>
        <v>40682.333333333336</v>
      </c>
      <c r="F7" s="18">
        <f t="shared" si="1"/>
        <v>40682.333333333336</v>
      </c>
      <c r="G7" s="18">
        <f t="shared" si="1"/>
        <v>40682.333333333336</v>
      </c>
      <c r="H7" s="18">
        <f t="shared" si="1"/>
        <v>40682.333333333336</v>
      </c>
      <c r="I7" s="18">
        <f t="shared" si="1"/>
        <v>40682.333333333336</v>
      </c>
      <c r="J7" s="18">
        <f t="shared" si="1"/>
        <v>40682.333333333336</v>
      </c>
      <c r="K7" s="18">
        <f t="shared" si="1"/>
        <v>40682.333333333336</v>
      </c>
      <c r="L7" s="18">
        <f t="shared" si="1"/>
        <v>40682.333333333336</v>
      </c>
      <c r="M7" s="18">
        <f t="shared" si="1"/>
        <v>40682.333333333336</v>
      </c>
      <c r="N7" s="18">
        <f t="shared" si="1"/>
        <v>40682.333333333336</v>
      </c>
      <c r="O7" s="58">
        <f t="shared" ref="O7:O13" si="2">SUM(C7:N7)</f>
        <v>488187.99999999994</v>
      </c>
    </row>
    <row r="8" spans="1:28">
      <c r="B8" s="5" t="s">
        <v>32</v>
      </c>
      <c r="C8" s="18">
        <f>563313/12</f>
        <v>46942.75</v>
      </c>
      <c r="D8" s="18">
        <f>C8</f>
        <v>46942.75</v>
      </c>
      <c r="E8" s="18">
        <f t="shared" ref="E8:N8" si="3">D8</f>
        <v>46942.75</v>
      </c>
      <c r="F8" s="18">
        <f t="shared" si="3"/>
        <v>46942.75</v>
      </c>
      <c r="G8" s="18">
        <f t="shared" si="3"/>
        <v>46942.75</v>
      </c>
      <c r="H8" s="18">
        <f t="shared" si="3"/>
        <v>46942.75</v>
      </c>
      <c r="I8" s="18">
        <f t="shared" si="3"/>
        <v>46942.75</v>
      </c>
      <c r="J8" s="18">
        <f t="shared" si="3"/>
        <v>46942.75</v>
      </c>
      <c r="K8" s="18">
        <f t="shared" si="3"/>
        <v>46942.75</v>
      </c>
      <c r="L8" s="18">
        <f t="shared" si="3"/>
        <v>46942.75</v>
      </c>
      <c r="M8" s="18">
        <f t="shared" si="3"/>
        <v>46942.75</v>
      </c>
      <c r="N8" s="18">
        <f t="shared" si="3"/>
        <v>46942.75</v>
      </c>
      <c r="O8" s="52">
        <f t="shared" si="2"/>
        <v>563313</v>
      </c>
    </row>
    <row r="9" spans="1:28">
      <c r="B9" s="5" t="s">
        <v>75</v>
      </c>
      <c r="C9" s="18">
        <f>224166/12</f>
        <v>18680.5</v>
      </c>
      <c r="D9" s="18">
        <f>C9</f>
        <v>18680.5</v>
      </c>
      <c r="E9" s="18">
        <f t="shared" ref="E9:N9" si="4">D9</f>
        <v>18680.5</v>
      </c>
      <c r="F9" s="18">
        <f t="shared" si="4"/>
        <v>18680.5</v>
      </c>
      <c r="G9" s="18">
        <f t="shared" si="4"/>
        <v>18680.5</v>
      </c>
      <c r="H9" s="18">
        <f t="shared" si="4"/>
        <v>18680.5</v>
      </c>
      <c r="I9" s="18">
        <f t="shared" si="4"/>
        <v>18680.5</v>
      </c>
      <c r="J9" s="18">
        <f t="shared" si="4"/>
        <v>18680.5</v>
      </c>
      <c r="K9" s="18">
        <f t="shared" si="4"/>
        <v>18680.5</v>
      </c>
      <c r="L9" s="18">
        <f t="shared" si="4"/>
        <v>18680.5</v>
      </c>
      <c r="M9" s="18">
        <f t="shared" si="4"/>
        <v>18680.5</v>
      </c>
      <c r="N9" s="18">
        <f t="shared" si="4"/>
        <v>18680.5</v>
      </c>
      <c r="O9" s="52">
        <f t="shared" si="2"/>
        <v>224166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106305.58333333334</v>
      </c>
      <c r="D14" s="19">
        <f t="shared" ref="D14:N14" si="5">SUM(D7:D13)</f>
        <v>106305.58333333334</v>
      </c>
      <c r="E14" s="19">
        <f t="shared" si="5"/>
        <v>106305.58333333334</v>
      </c>
      <c r="F14" s="19">
        <f t="shared" si="5"/>
        <v>106305.58333333334</v>
      </c>
      <c r="G14" s="19">
        <f t="shared" si="5"/>
        <v>106305.58333333334</v>
      </c>
      <c r="H14" s="19">
        <f t="shared" si="5"/>
        <v>106305.58333333334</v>
      </c>
      <c r="I14" s="19">
        <f t="shared" si="5"/>
        <v>106305.58333333334</v>
      </c>
      <c r="J14" s="19">
        <f t="shared" si="5"/>
        <v>106305.58333333334</v>
      </c>
      <c r="K14" s="19">
        <f t="shared" si="5"/>
        <v>106305.58333333334</v>
      </c>
      <c r="L14" s="19">
        <f t="shared" si="5"/>
        <v>106305.58333333334</v>
      </c>
      <c r="M14" s="19">
        <f t="shared" si="5"/>
        <v>106305.58333333334</v>
      </c>
      <c r="N14" s="19">
        <f t="shared" si="5"/>
        <v>106305.58333333334</v>
      </c>
      <c r="O14" s="53">
        <f>SUM(O7:O13)</f>
        <v>1275667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(157780)/12</f>
        <v>13148.333333333334</v>
      </c>
      <c r="D17" s="18">
        <f t="shared" ref="D17:N24" si="6">C17</f>
        <v>13148.333333333334</v>
      </c>
      <c r="E17" s="18">
        <f t="shared" si="6"/>
        <v>13148.333333333334</v>
      </c>
      <c r="F17" s="18">
        <f t="shared" si="6"/>
        <v>13148.333333333334</v>
      </c>
      <c r="G17" s="18">
        <f t="shared" si="6"/>
        <v>13148.333333333334</v>
      </c>
      <c r="H17" s="18">
        <f t="shared" si="6"/>
        <v>13148.333333333334</v>
      </c>
      <c r="I17" s="18">
        <f t="shared" si="6"/>
        <v>13148.333333333334</v>
      </c>
      <c r="J17" s="18">
        <f t="shared" si="6"/>
        <v>13148.333333333334</v>
      </c>
      <c r="K17" s="18">
        <f t="shared" si="6"/>
        <v>13148.333333333334</v>
      </c>
      <c r="L17" s="18">
        <f t="shared" si="6"/>
        <v>13148.333333333334</v>
      </c>
      <c r="M17" s="18">
        <f t="shared" si="6"/>
        <v>13148.333333333334</v>
      </c>
      <c r="N17" s="18">
        <f t="shared" si="6"/>
        <v>13148.333333333334</v>
      </c>
      <c r="O17" s="58">
        <f t="shared" ref="O17:O24" si="7">SUM(C17:N17)</f>
        <v>157780</v>
      </c>
    </row>
    <row r="18" spans="1:16">
      <c r="B18" s="5" t="s">
        <v>32</v>
      </c>
      <c r="C18" s="18">
        <f>(108511)/12</f>
        <v>9042.5833333333339</v>
      </c>
      <c r="D18" s="18">
        <f t="shared" si="6"/>
        <v>9042.5833333333339</v>
      </c>
      <c r="E18" s="18">
        <f t="shared" si="6"/>
        <v>9042.5833333333339</v>
      </c>
      <c r="F18" s="18">
        <f t="shared" si="6"/>
        <v>9042.5833333333339</v>
      </c>
      <c r="G18" s="18">
        <f t="shared" si="6"/>
        <v>9042.5833333333339</v>
      </c>
      <c r="H18" s="18">
        <f t="shared" si="6"/>
        <v>9042.5833333333339</v>
      </c>
      <c r="I18" s="18">
        <f t="shared" si="6"/>
        <v>9042.5833333333339</v>
      </c>
      <c r="J18" s="18">
        <f t="shared" si="6"/>
        <v>9042.5833333333339</v>
      </c>
      <c r="K18" s="18">
        <f t="shared" si="6"/>
        <v>9042.5833333333339</v>
      </c>
      <c r="L18" s="18">
        <f t="shared" si="6"/>
        <v>9042.5833333333339</v>
      </c>
      <c r="M18" s="18">
        <f t="shared" si="6"/>
        <v>9042.5833333333339</v>
      </c>
      <c r="N18" s="18">
        <f t="shared" si="6"/>
        <v>9042.5833333333339</v>
      </c>
      <c r="O18" s="52">
        <f t="shared" si="7"/>
        <v>108510.99999999999</v>
      </c>
    </row>
    <row r="19" spans="1:16">
      <c r="B19" s="5" t="s">
        <v>75</v>
      </c>
      <c r="C19" s="18">
        <f>(16012+2671)/12</f>
        <v>1556.9166666666667</v>
      </c>
      <c r="D19" s="18">
        <f t="shared" si="6"/>
        <v>1556.9166666666667</v>
      </c>
      <c r="E19" s="18">
        <f t="shared" si="6"/>
        <v>1556.9166666666667</v>
      </c>
      <c r="F19" s="18">
        <f t="shared" si="6"/>
        <v>1556.9166666666667</v>
      </c>
      <c r="G19" s="18">
        <f t="shared" si="6"/>
        <v>1556.9166666666667</v>
      </c>
      <c r="H19" s="18">
        <f t="shared" si="6"/>
        <v>1556.9166666666667</v>
      </c>
      <c r="I19" s="18">
        <f t="shared" si="6"/>
        <v>1556.9166666666667</v>
      </c>
      <c r="J19" s="18">
        <f t="shared" si="6"/>
        <v>1556.9166666666667</v>
      </c>
      <c r="K19" s="18">
        <f t="shared" si="6"/>
        <v>1556.9166666666667</v>
      </c>
      <c r="L19" s="18">
        <f t="shared" si="6"/>
        <v>1556.9166666666667</v>
      </c>
      <c r="M19" s="18">
        <f t="shared" si="6"/>
        <v>1556.9166666666667</v>
      </c>
      <c r="N19" s="18">
        <f t="shared" si="6"/>
        <v>1556.9166666666667</v>
      </c>
      <c r="O19" s="52">
        <f t="shared" si="7"/>
        <v>18683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f>29233/12</f>
        <v>2436.0833333333335</v>
      </c>
      <c r="D22" s="18">
        <f t="shared" si="6"/>
        <v>2436.0833333333335</v>
      </c>
      <c r="E22" s="18">
        <f t="shared" si="6"/>
        <v>2436.0833333333335</v>
      </c>
      <c r="F22" s="18">
        <f t="shared" si="6"/>
        <v>2436.0833333333335</v>
      </c>
      <c r="G22" s="18">
        <f t="shared" si="6"/>
        <v>2436.0833333333335</v>
      </c>
      <c r="H22" s="18">
        <f t="shared" si="6"/>
        <v>2436.0833333333335</v>
      </c>
      <c r="I22" s="18">
        <f t="shared" si="6"/>
        <v>2436.0833333333335</v>
      </c>
      <c r="J22" s="18">
        <f t="shared" si="6"/>
        <v>2436.0833333333335</v>
      </c>
      <c r="K22" s="18">
        <f t="shared" si="6"/>
        <v>2436.0833333333335</v>
      </c>
      <c r="L22" s="18">
        <f t="shared" si="6"/>
        <v>2436.0833333333335</v>
      </c>
      <c r="M22" s="18">
        <f t="shared" si="6"/>
        <v>2436.0833333333335</v>
      </c>
      <c r="N22" s="18">
        <f t="shared" si="6"/>
        <v>2436.0833333333335</v>
      </c>
      <c r="O22" s="52">
        <f t="shared" si="7"/>
        <v>29232.999999999996</v>
      </c>
    </row>
    <row r="23" spans="1:16">
      <c r="B23" s="5" t="s">
        <v>77</v>
      </c>
      <c r="C23" s="18">
        <f>(87943)/12</f>
        <v>7328.583333333333</v>
      </c>
      <c r="D23" s="18">
        <f t="shared" si="6"/>
        <v>7328.583333333333</v>
      </c>
      <c r="E23" s="18">
        <f t="shared" si="6"/>
        <v>7328.583333333333</v>
      </c>
      <c r="F23" s="18">
        <f t="shared" si="6"/>
        <v>7328.583333333333</v>
      </c>
      <c r="G23" s="18">
        <f t="shared" si="6"/>
        <v>7328.583333333333</v>
      </c>
      <c r="H23" s="18">
        <f t="shared" si="6"/>
        <v>7328.583333333333</v>
      </c>
      <c r="I23" s="18">
        <f t="shared" si="6"/>
        <v>7328.583333333333</v>
      </c>
      <c r="J23" s="18">
        <f t="shared" si="6"/>
        <v>7328.583333333333</v>
      </c>
      <c r="K23" s="18">
        <f t="shared" si="6"/>
        <v>7328.583333333333</v>
      </c>
      <c r="L23" s="18">
        <f t="shared" si="6"/>
        <v>7328.583333333333</v>
      </c>
      <c r="M23" s="18">
        <f t="shared" si="6"/>
        <v>7328.583333333333</v>
      </c>
      <c r="N23" s="18">
        <f t="shared" si="6"/>
        <v>7328.583333333333</v>
      </c>
      <c r="O23" s="52">
        <f t="shared" ref="O23" si="8">SUM(C23:N23)</f>
        <v>87942.999999999985</v>
      </c>
    </row>
    <row r="24" spans="1:16">
      <c r="B24" s="5" t="s">
        <v>36</v>
      </c>
      <c r="C24" s="18">
        <f>((6000+480+42000+3000+3000+1200)+(24068+52862))/12</f>
        <v>11050.833333333334</v>
      </c>
      <c r="D24" s="18">
        <f t="shared" si="6"/>
        <v>11050.833333333334</v>
      </c>
      <c r="E24" s="18">
        <f t="shared" si="6"/>
        <v>11050.833333333334</v>
      </c>
      <c r="F24" s="18">
        <f t="shared" si="6"/>
        <v>11050.833333333334</v>
      </c>
      <c r="G24" s="18">
        <f t="shared" si="6"/>
        <v>11050.833333333334</v>
      </c>
      <c r="H24" s="18">
        <f t="shared" si="6"/>
        <v>11050.833333333334</v>
      </c>
      <c r="I24" s="18">
        <f t="shared" si="6"/>
        <v>11050.833333333334</v>
      </c>
      <c r="J24" s="18">
        <f t="shared" si="6"/>
        <v>11050.833333333334</v>
      </c>
      <c r="K24" s="18">
        <f t="shared" si="6"/>
        <v>11050.833333333334</v>
      </c>
      <c r="L24" s="18">
        <f t="shared" si="6"/>
        <v>11050.833333333334</v>
      </c>
      <c r="M24" s="18">
        <f t="shared" si="6"/>
        <v>11050.833333333334</v>
      </c>
      <c r="N24" s="18">
        <f t="shared" si="6"/>
        <v>11050.833333333334</v>
      </c>
      <c r="O24" s="52">
        <f t="shared" si="7"/>
        <v>132609.99999999997</v>
      </c>
    </row>
    <row r="25" spans="1:16">
      <c r="A25" t="s">
        <v>21</v>
      </c>
      <c r="B25" s="9" t="s">
        <v>79</v>
      </c>
      <c r="C25" s="19">
        <f t="shared" ref="C25:N25" si="9">SUM(C17:C24)</f>
        <v>44563.333333333336</v>
      </c>
      <c r="D25" s="19">
        <f t="shared" si="9"/>
        <v>44563.333333333336</v>
      </c>
      <c r="E25" s="19">
        <f t="shared" si="9"/>
        <v>44563.333333333336</v>
      </c>
      <c r="F25" s="19">
        <f t="shared" si="9"/>
        <v>44563.333333333336</v>
      </c>
      <c r="G25" s="19">
        <f t="shared" si="9"/>
        <v>44563.333333333336</v>
      </c>
      <c r="H25" s="19">
        <f t="shared" si="9"/>
        <v>44563.333333333336</v>
      </c>
      <c r="I25" s="19">
        <f t="shared" si="9"/>
        <v>44563.333333333336</v>
      </c>
      <c r="J25" s="19">
        <f t="shared" si="9"/>
        <v>44563.333333333336</v>
      </c>
      <c r="K25" s="19">
        <f t="shared" si="9"/>
        <v>44563.333333333336</v>
      </c>
      <c r="L25" s="19">
        <f t="shared" si="9"/>
        <v>44563.333333333336</v>
      </c>
      <c r="M25" s="19">
        <f t="shared" si="9"/>
        <v>44563.333333333336</v>
      </c>
      <c r="N25" s="19">
        <f t="shared" si="9"/>
        <v>44563.333333333336</v>
      </c>
      <c r="O25" s="53">
        <f>SUM(O17:O24)</f>
        <v>534760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89</v>
      </c>
      <c r="C27" s="21">
        <f>C25+C14</f>
        <v>150868.91666666669</v>
      </c>
      <c r="D27" s="21">
        <f t="shared" ref="D27:O27" si="10">D25+D14</f>
        <v>150868.91666666669</v>
      </c>
      <c r="E27" s="21">
        <f t="shared" si="10"/>
        <v>150868.91666666669</v>
      </c>
      <c r="F27" s="21">
        <f t="shared" si="10"/>
        <v>150868.91666666669</v>
      </c>
      <c r="G27" s="21">
        <f t="shared" si="10"/>
        <v>150868.91666666669</v>
      </c>
      <c r="H27" s="21">
        <f t="shared" si="10"/>
        <v>150868.91666666669</v>
      </c>
      <c r="I27" s="21">
        <f t="shared" si="10"/>
        <v>150868.91666666669</v>
      </c>
      <c r="J27" s="21">
        <f t="shared" si="10"/>
        <v>150868.91666666669</v>
      </c>
      <c r="K27" s="21">
        <f t="shared" si="10"/>
        <v>150868.91666666669</v>
      </c>
      <c r="L27" s="21">
        <f t="shared" si="10"/>
        <v>150868.91666666669</v>
      </c>
      <c r="M27" s="21">
        <f t="shared" si="10"/>
        <v>150868.91666666669</v>
      </c>
      <c r="N27" s="21">
        <f t="shared" si="10"/>
        <v>150868.91666666669</v>
      </c>
      <c r="O27" s="21">
        <f t="shared" si="10"/>
        <v>1810427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33344.92</v>
      </c>
      <c r="D30" s="18">
        <v>7903.9400000000005</v>
      </c>
      <c r="E30" s="18">
        <v>36091.590000000004</v>
      </c>
      <c r="F30" s="18"/>
      <c r="G30" s="18"/>
      <c r="H30" s="18"/>
      <c r="I30" s="18"/>
      <c r="J30" s="18"/>
      <c r="K30" s="18"/>
      <c r="L30" s="18"/>
      <c r="M30" s="18"/>
      <c r="N30" s="18"/>
      <c r="O30" s="52">
        <f t="shared" ref="O30:O32" si="11">SUM(C30:N30)</f>
        <v>77340.450000000012</v>
      </c>
      <c r="P30" s="16">
        <f t="shared" ref="P30:P36" si="12">SUM(D30:O30)</f>
        <v>121335.98000000001</v>
      </c>
    </row>
    <row r="31" spans="1:16">
      <c r="B31" s="6" t="s">
        <v>32</v>
      </c>
      <c r="C31" s="18">
        <v>57149.74</v>
      </c>
      <c r="D31" s="18">
        <v>44581</v>
      </c>
      <c r="E31" s="18">
        <v>63702.25</v>
      </c>
      <c r="F31" s="18"/>
      <c r="G31" s="18"/>
      <c r="H31" s="18"/>
      <c r="I31" s="18"/>
      <c r="J31" s="18"/>
      <c r="K31" s="18"/>
      <c r="L31" s="18"/>
      <c r="M31" s="18"/>
      <c r="N31" s="18"/>
      <c r="O31" s="52">
        <f t="shared" si="11"/>
        <v>165432.99</v>
      </c>
      <c r="P31" s="16">
        <f t="shared" si="12"/>
        <v>273716.24</v>
      </c>
    </row>
    <row r="32" spans="1:16">
      <c r="B32" s="6" t="s">
        <v>75</v>
      </c>
      <c r="C32" s="18"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52">
        <f t="shared" si="11"/>
        <v>0</v>
      </c>
      <c r="P32" s="16">
        <f t="shared" si="12"/>
        <v>0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90494.66</v>
      </c>
      <c r="D37" s="19">
        <f t="shared" ref="D37:O37" si="13">SUM(D30:D36)</f>
        <v>52484.94</v>
      </c>
      <c r="E37" s="19">
        <f t="shared" si="13"/>
        <v>99793.84</v>
      </c>
      <c r="F37" s="19">
        <f t="shared" si="13"/>
        <v>0</v>
      </c>
      <c r="G37" s="19">
        <f t="shared" si="13"/>
        <v>0</v>
      </c>
      <c r="H37" s="19">
        <f t="shared" si="13"/>
        <v>0</v>
      </c>
      <c r="I37" s="19">
        <f t="shared" si="13"/>
        <v>0</v>
      </c>
      <c r="J37" s="19">
        <f t="shared" si="13"/>
        <v>0</v>
      </c>
      <c r="K37" s="19">
        <f>SUM(K30:K36)</f>
        <v>0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242773.44</v>
      </c>
      <c r="P37" s="19">
        <f>SUM(P30:P36)</f>
        <v>395052.22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v>2781.71</v>
      </c>
      <c r="D40" s="18">
        <v>4081.1000000000004</v>
      </c>
      <c r="E40" s="18">
        <v>6309.53</v>
      </c>
      <c r="F40" s="18"/>
      <c r="G40" s="18"/>
      <c r="H40" s="18"/>
      <c r="I40" s="18"/>
      <c r="J40" s="18"/>
      <c r="K40" s="18"/>
      <c r="L40" s="18"/>
      <c r="M40" s="18"/>
      <c r="N40" s="18"/>
      <c r="O40" s="52">
        <f t="shared" ref="O40:O47" si="14">SUM(C40:N40)</f>
        <v>13172.34</v>
      </c>
      <c r="P40" s="16">
        <f t="shared" ref="P40:P47" si="15">SUM(D40:O40)</f>
        <v>23562.97</v>
      </c>
    </row>
    <row r="41" spans="1:16">
      <c r="B41" s="6" t="s">
        <v>32</v>
      </c>
      <c r="C41" s="18">
        <v>2966.93</v>
      </c>
      <c r="D41" s="18">
        <v>4972.1000000000004</v>
      </c>
      <c r="E41" s="18">
        <v>9739.17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si="14"/>
        <v>17678.2</v>
      </c>
      <c r="P41" s="16">
        <f t="shared" si="15"/>
        <v>32389.47</v>
      </c>
    </row>
    <row r="42" spans="1:16">
      <c r="B42" s="6" t="s">
        <v>75</v>
      </c>
      <c r="C42" s="18">
        <v>953.14</v>
      </c>
      <c r="D42" s="18">
        <v>3089.98</v>
      </c>
      <c r="E42" s="18">
        <v>156.04000000000002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4"/>
        <v>4199.16</v>
      </c>
      <c r="P42" s="16">
        <f t="shared" si="15"/>
        <v>7445.18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77</v>
      </c>
      <c r="C46" s="18">
        <v>10834.300000000001</v>
      </c>
      <c r="D46" s="18">
        <v>1070.46</v>
      </c>
      <c r="E46" s="18">
        <v>4778.1099999999997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si="14"/>
        <v>16682.870000000003</v>
      </c>
      <c r="P46" s="16"/>
    </row>
    <row r="47" spans="1:16">
      <c r="B47" s="6" t="s">
        <v>36</v>
      </c>
      <c r="C47" s="18">
        <v>20305.03</v>
      </c>
      <c r="D47" s="18">
        <v>24595.420000000002</v>
      </c>
      <c r="E47" s="18">
        <v>25424.960000000003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4"/>
        <v>70325.41</v>
      </c>
      <c r="P47" s="16">
        <f t="shared" si="15"/>
        <v>120345.79000000001</v>
      </c>
    </row>
    <row r="48" spans="1:16">
      <c r="A48" t="s">
        <v>24</v>
      </c>
      <c r="B48" s="10" t="s">
        <v>83</v>
      </c>
      <c r="C48" s="19">
        <f t="shared" ref="C48:O48" si="16">SUM(C40:C47)</f>
        <v>37841.11</v>
      </c>
      <c r="D48" s="19">
        <f t="shared" si="16"/>
        <v>37809.06</v>
      </c>
      <c r="E48" s="19">
        <f t="shared" si="16"/>
        <v>46407.810000000005</v>
      </c>
      <c r="F48" s="19">
        <f t="shared" si="16"/>
        <v>0</v>
      </c>
      <c r="G48" s="19">
        <f t="shared" si="16"/>
        <v>0</v>
      </c>
      <c r="H48" s="19">
        <f t="shared" si="16"/>
        <v>0</v>
      </c>
      <c r="I48" s="19">
        <f t="shared" si="16"/>
        <v>0</v>
      </c>
      <c r="J48" s="19">
        <f t="shared" si="16"/>
        <v>0</v>
      </c>
      <c r="K48" s="19">
        <f t="shared" si="16"/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122057.98000000001</v>
      </c>
      <c r="P48" s="19">
        <f>SUM(P40:P47)</f>
        <v>183743.41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90</v>
      </c>
      <c r="C50" s="21">
        <f>C48+C37</f>
        <v>128335.77</v>
      </c>
      <c r="D50" s="21">
        <f t="shared" ref="D50:O50" si="17">D48+D37</f>
        <v>90294</v>
      </c>
      <c r="E50" s="21">
        <f t="shared" si="17"/>
        <v>146201.65</v>
      </c>
      <c r="F50" s="21">
        <f t="shared" si="17"/>
        <v>0</v>
      </c>
      <c r="G50" s="21">
        <f t="shared" si="17"/>
        <v>0</v>
      </c>
      <c r="H50" s="21">
        <f t="shared" si="17"/>
        <v>0</v>
      </c>
      <c r="I50" s="21">
        <f t="shared" si="17"/>
        <v>0</v>
      </c>
      <c r="J50" s="21">
        <f t="shared" si="17"/>
        <v>0</v>
      </c>
      <c r="K50" s="21">
        <f t="shared" si="17"/>
        <v>0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364831.42000000004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20">
        <f t="shared" ref="C54" si="18">C7-C30</f>
        <v>7337.4133333333375</v>
      </c>
      <c r="D54" s="20">
        <f>IF(D50&lt;&gt;0,D7-D30," ")</f>
        <v>32778.393333333333</v>
      </c>
      <c r="E54" s="20">
        <f t="shared" ref="E54:N54" si="19">IF(E50&lt;&gt;0,E7-E30," ")</f>
        <v>4590.743333333332</v>
      </c>
      <c r="F54" s="20" t="str">
        <f t="shared" si="19"/>
        <v xml:space="preserve"> </v>
      </c>
      <c r="G54" s="20" t="str">
        <f t="shared" si="19"/>
        <v xml:space="preserve"> </v>
      </c>
      <c r="H54" s="20" t="str">
        <f t="shared" si="19"/>
        <v xml:space="preserve"> </v>
      </c>
      <c r="I54" s="20" t="str">
        <f t="shared" si="19"/>
        <v xml:space="preserve"> </v>
      </c>
      <c r="J54" s="20" t="str">
        <f t="shared" si="19"/>
        <v xml:space="preserve"> </v>
      </c>
      <c r="K54" s="20" t="str">
        <f t="shared" si="19"/>
        <v xml:space="preserve"> </v>
      </c>
      <c r="L54" s="20" t="str">
        <f t="shared" si="19"/>
        <v xml:space="preserve"> </v>
      </c>
      <c r="M54" s="20" t="str">
        <f t="shared" si="19"/>
        <v xml:space="preserve"> </v>
      </c>
      <c r="N54" s="20" t="str">
        <f t="shared" si="19"/>
        <v xml:space="preserve"> </v>
      </c>
      <c r="O54" s="52">
        <f t="shared" ref="O54:O60" si="20">SUM(C54:N54)</f>
        <v>44706.55</v>
      </c>
    </row>
    <row r="55" spans="1:16">
      <c r="B55" s="12" t="s">
        <v>32</v>
      </c>
      <c r="C55" s="20">
        <f t="shared" ref="C55" si="21">C8-C31</f>
        <v>-10206.989999999998</v>
      </c>
      <c r="D55" s="20">
        <f>IF(D50&lt;&gt;0,D8-D31," ")</f>
        <v>2361.75</v>
      </c>
      <c r="E55" s="20">
        <f t="shared" ref="E55:N55" si="22">IF(E50&lt;&gt;0,E8-E31," ")</f>
        <v>-16759.5</v>
      </c>
      <c r="F55" s="20" t="str">
        <f t="shared" si="22"/>
        <v xml:space="preserve"> </v>
      </c>
      <c r="G55" s="20" t="str">
        <f t="shared" si="22"/>
        <v xml:space="preserve"> </v>
      </c>
      <c r="H55" s="20" t="str">
        <f t="shared" si="22"/>
        <v xml:space="preserve"> </v>
      </c>
      <c r="I55" s="20" t="str">
        <f t="shared" si="22"/>
        <v xml:space="preserve"> </v>
      </c>
      <c r="J55" s="20" t="str">
        <f t="shared" si="22"/>
        <v xml:space="preserve"> </v>
      </c>
      <c r="K55" s="20" t="str">
        <f t="shared" si="22"/>
        <v xml:space="preserve"> </v>
      </c>
      <c r="L55" s="20" t="str">
        <f t="shared" si="22"/>
        <v xml:space="preserve"> </v>
      </c>
      <c r="M55" s="20" t="str">
        <f t="shared" si="22"/>
        <v xml:space="preserve"> </v>
      </c>
      <c r="N55" s="20" t="str">
        <f t="shared" si="22"/>
        <v xml:space="preserve"> </v>
      </c>
      <c r="O55" s="52">
        <f t="shared" si="20"/>
        <v>-24604.739999999998</v>
      </c>
    </row>
    <row r="56" spans="1:16">
      <c r="B56" s="12" t="s">
        <v>75</v>
      </c>
      <c r="C56" s="20">
        <f t="shared" ref="C56" si="23">C9-C32</f>
        <v>18680.5</v>
      </c>
      <c r="D56" s="20">
        <f>IF(D50&lt;&gt;0,D9-D32," ")</f>
        <v>18680.5</v>
      </c>
      <c r="E56" s="20">
        <f t="shared" ref="E56:N56" si="24">IF(E50&lt;&gt;0,E9-E32," ")</f>
        <v>18680.5</v>
      </c>
      <c r="F56" s="20" t="str">
        <f t="shared" si="24"/>
        <v xml:space="preserve"> </v>
      </c>
      <c r="G56" s="20" t="str">
        <f t="shared" si="24"/>
        <v xml:space="preserve"> </v>
      </c>
      <c r="H56" s="20" t="str">
        <f t="shared" si="24"/>
        <v xml:space="preserve"> </v>
      </c>
      <c r="I56" s="20" t="str">
        <f t="shared" si="24"/>
        <v xml:space="preserve"> </v>
      </c>
      <c r="J56" s="20" t="str">
        <f t="shared" si="24"/>
        <v xml:space="preserve"> </v>
      </c>
      <c r="K56" s="20" t="str">
        <f t="shared" si="24"/>
        <v xml:space="preserve"> </v>
      </c>
      <c r="L56" s="20" t="str">
        <f t="shared" si="24"/>
        <v xml:space="preserve"> </v>
      </c>
      <c r="M56" s="20" t="str">
        <f t="shared" si="24"/>
        <v xml:space="preserve"> </v>
      </c>
      <c r="N56" s="20" t="str">
        <f t="shared" si="24"/>
        <v xml:space="preserve"> </v>
      </c>
      <c r="O56" s="52">
        <f t="shared" si="20"/>
        <v>56041.5</v>
      </c>
    </row>
    <row r="57" spans="1:16" hidden="1">
      <c r="B57" s="12" t="s">
        <v>33</v>
      </c>
      <c r="C57" s="20">
        <f t="shared" ref="C57:D57" si="25">C10-C33</f>
        <v>0</v>
      </c>
      <c r="D57" s="20">
        <f t="shared" si="25"/>
        <v>0</v>
      </c>
      <c r="E57" s="20">
        <f t="shared" ref="E57:N57" si="26">E10-E33</f>
        <v>0</v>
      </c>
      <c r="F57" s="20">
        <f t="shared" si="26"/>
        <v>0</v>
      </c>
      <c r="G57" s="20">
        <f t="shared" si="26"/>
        <v>0</v>
      </c>
      <c r="H57" s="20">
        <f t="shared" si="26"/>
        <v>0</v>
      </c>
      <c r="I57" s="20">
        <f t="shared" si="26"/>
        <v>0</v>
      </c>
      <c r="J57" s="20">
        <f t="shared" si="26"/>
        <v>0</v>
      </c>
      <c r="K57" s="20">
        <f t="shared" si="26"/>
        <v>0</v>
      </c>
      <c r="L57" s="20">
        <f t="shared" si="26"/>
        <v>0</v>
      </c>
      <c r="M57" s="20">
        <f t="shared" si="26"/>
        <v>0</v>
      </c>
      <c r="N57" s="20">
        <f t="shared" si="26"/>
        <v>0</v>
      </c>
      <c r="O57" s="52">
        <f t="shared" si="20"/>
        <v>0</v>
      </c>
    </row>
    <row r="58" spans="1:16" hidden="1">
      <c r="B58" s="12" t="s">
        <v>34</v>
      </c>
      <c r="C58" s="20">
        <f t="shared" ref="C58:D58" si="27">C11-C34</f>
        <v>0</v>
      </c>
      <c r="D58" s="20">
        <f t="shared" si="27"/>
        <v>0</v>
      </c>
      <c r="E58" s="20">
        <f t="shared" ref="E58:N58" si="28">E11-E34</f>
        <v>0</v>
      </c>
      <c r="F58" s="20">
        <f t="shared" si="28"/>
        <v>0</v>
      </c>
      <c r="G58" s="20">
        <f t="shared" si="28"/>
        <v>0</v>
      </c>
      <c r="H58" s="20">
        <f t="shared" si="28"/>
        <v>0</v>
      </c>
      <c r="I58" s="20">
        <f t="shared" si="28"/>
        <v>0</v>
      </c>
      <c r="J58" s="20">
        <f t="shared" si="28"/>
        <v>0</v>
      </c>
      <c r="K58" s="20">
        <f t="shared" si="28"/>
        <v>0</v>
      </c>
      <c r="L58" s="20">
        <f t="shared" si="28"/>
        <v>0</v>
      </c>
      <c r="M58" s="20">
        <f t="shared" si="28"/>
        <v>0</v>
      </c>
      <c r="N58" s="20">
        <f t="shared" si="28"/>
        <v>0</v>
      </c>
      <c r="O58" s="52">
        <f t="shared" si="20"/>
        <v>0</v>
      </c>
    </row>
    <row r="59" spans="1:16" hidden="1">
      <c r="B59" s="12" t="s">
        <v>35</v>
      </c>
      <c r="C59" s="20">
        <f t="shared" ref="C59:D59" si="29">C12-C35</f>
        <v>0</v>
      </c>
      <c r="D59" s="20">
        <f t="shared" si="29"/>
        <v>0</v>
      </c>
      <c r="E59" s="20">
        <f t="shared" ref="E59:N59" si="30">E12-E35</f>
        <v>0</v>
      </c>
      <c r="F59" s="20">
        <f t="shared" si="30"/>
        <v>0</v>
      </c>
      <c r="G59" s="20">
        <f t="shared" si="30"/>
        <v>0</v>
      </c>
      <c r="H59" s="20">
        <f t="shared" si="30"/>
        <v>0</v>
      </c>
      <c r="I59" s="20">
        <f t="shared" si="30"/>
        <v>0</v>
      </c>
      <c r="J59" s="20">
        <f t="shared" si="30"/>
        <v>0</v>
      </c>
      <c r="K59" s="20">
        <f t="shared" si="30"/>
        <v>0</v>
      </c>
      <c r="L59" s="20">
        <f t="shared" si="30"/>
        <v>0</v>
      </c>
      <c r="M59" s="20">
        <f t="shared" si="30"/>
        <v>0</v>
      </c>
      <c r="N59" s="20">
        <f t="shared" si="30"/>
        <v>0</v>
      </c>
      <c r="O59" s="52">
        <f t="shared" si="20"/>
        <v>0</v>
      </c>
    </row>
    <row r="60" spans="1:16" hidden="1">
      <c r="B60" s="12" t="s">
        <v>36</v>
      </c>
      <c r="C60" s="20">
        <f t="shared" ref="C60:D60" si="31">C13-C36</f>
        <v>0</v>
      </c>
      <c r="D60" s="20">
        <f t="shared" si="31"/>
        <v>0</v>
      </c>
      <c r="E60" s="20">
        <f t="shared" ref="E60:N60" si="32">E13-E36</f>
        <v>0</v>
      </c>
      <c r="F60" s="20">
        <f t="shared" si="32"/>
        <v>0</v>
      </c>
      <c r="G60" s="20">
        <f t="shared" si="32"/>
        <v>0</v>
      </c>
      <c r="H60" s="20">
        <f t="shared" si="32"/>
        <v>0</v>
      </c>
      <c r="I60" s="20">
        <f t="shared" si="32"/>
        <v>0</v>
      </c>
      <c r="J60" s="20">
        <f t="shared" si="32"/>
        <v>0</v>
      </c>
      <c r="K60" s="20">
        <f t="shared" si="32"/>
        <v>0</v>
      </c>
      <c r="L60" s="20">
        <f t="shared" si="32"/>
        <v>0</v>
      </c>
      <c r="M60" s="20">
        <f t="shared" si="32"/>
        <v>0</v>
      </c>
      <c r="N60" s="20">
        <f t="shared" si="32"/>
        <v>0</v>
      </c>
      <c r="O60" s="52">
        <f t="shared" si="20"/>
        <v>0</v>
      </c>
    </row>
    <row r="61" spans="1:16">
      <c r="A61" t="s">
        <v>84</v>
      </c>
      <c r="B61" s="11" t="s">
        <v>40</v>
      </c>
      <c r="C61" s="19">
        <f t="shared" ref="C61" si="33">C14-C37</f>
        <v>15810.92333333334</v>
      </c>
      <c r="D61" s="19">
        <f>IF(D50&lt;&gt;0,D14-D37," ")</f>
        <v>53820.643333333341</v>
      </c>
      <c r="E61" s="19">
        <f t="shared" ref="E61:N61" si="34">IF(E50&lt;&gt;0,E14-E37," ")</f>
        <v>6511.7433333333465</v>
      </c>
      <c r="F61" s="19" t="str">
        <f t="shared" si="34"/>
        <v xml:space="preserve"> </v>
      </c>
      <c r="G61" s="19" t="str">
        <f t="shared" si="34"/>
        <v xml:space="preserve"> </v>
      </c>
      <c r="H61" s="19" t="str">
        <f t="shared" si="34"/>
        <v xml:space="preserve"> </v>
      </c>
      <c r="I61" s="19" t="str">
        <f t="shared" si="34"/>
        <v xml:space="preserve"> </v>
      </c>
      <c r="J61" s="19" t="str">
        <f t="shared" si="34"/>
        <v xml:space="preserve"> </v>
      </c>
      <c r="K61" s="19" t="str">
        <f t="shared" si="34"/>
        <v xml:space="preserve"> </v>
      </c>
      <c r="L61" s="19" t="str">
        <f t="shared" si="34"/>
        <v xml:space="preserve"> </v>
      </c>
      <c r="M61" s="19" t="str">
        <f t="shared" si="34"/>
        <v xml:space="preserve"> </v>
      </c>
      <c r="N61" s="19" t="str">
        <f t="shared" si="34"/>
        <v xml:space="preserve"> </v>
      </c>
      <c r="O61" s="53">
        <f t="shared" ref="O61" si="35">SUM(O54:O60)</f>
        <v>76143.31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86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" si="36">C17-C40</f>
        <v>10366.623333333333</v>
      </c>
      <c r="D64" s="20">
        <f>IF(D50&lt;&gt;0,D17-D40," ")</f>
        <v>9067.2333333333336</v>
      </c>
      <c r="E64" s="20">
        <f t="shared" ref="E64:N64" si="37">IF(E50&lt;&gt;0,E17-E40," ")</f>
        <v>6838.8033333333342</v>
      </c>
      <c r="F64" s="20" t="str">
        <f t="shared" si="37"/>
        <v xml:space="preserve"> </v>
      </c>
      <c r="G64" s="20" t="str">
        <f t="shared" si="37"/>
        <v xml:space="preserve"> </v>
      </c>
      <c r="H64" s="20" t="str">
        <f t="shared" si="37"/>
        <v xml:space="preserve"> </v>
      </c>
      <c r="I64" s="20" t="str">
        <f t="shared" si="37"/>
        <v xml:space="preserve"> </v>
      </c>
      <c r="J64" s="20" t="str">
        <f t="shared" si="37"/>
        <v xml:space="preserve"> </v>
      </c>
      <c r="K64" s="20" t="str">
        <f t="shared" si="37"/>
        <v xml:space="preserve"> </v>
      </c>
      <c r="L64" s="20" t="str">
        <f t="shared" si="37"/>
        <v xml:space="preserve"> </v>
      </c>
      <c r="M64" s="20" t="str">
        <f t="shared" si="37"/>
        <v xml:space="preserve"> </v>
      </c>
      <c r="N64" s="20" t="str">
        <f t="shared" si="37"/>
        <v xml:space="preserve"> </v>
      </c>
      <c r="O64" s="52">
        <f t="shared" ref="O64:O71" si="38">SUM(C64:N64)</f>
        <v>26272.66</v>
      </c>
    </row>
    <row r="65" spans="1:15">
      <c r="B65" s="12" t="s">
        <v>32</v>
      </c>
      <c r="C65" s="20">
        <f t="shared" ref="C65" si="39">C18-C41</f>
        <v>6075.6533333333336</v>
      </c>
      <c r="D65" s="20">
        <f>IF(D50&lt;&gt;0,D18-D41," ")</f>
        <v>4070.4833333333336</v>
      </c>
      <c r="E65" s="20">
        <f t="shared" ref="E65:N65" si="40">IF(E50&lt;&gt;0,E18-E41," ")</f>
        <v>-696.58666666666613</v>
      </c>
      <c r="F65" s="20" t="str">
        <f t="shared" si="40"/>
        <v xml:space="preserve"> </v>
      </c>
      <c r="G65" s="20" t="str">
        <f t="shared" si="40"/>
        <v xml:space="preserve"> </v>
      </c>
      <c r="H65" s="20" t="str">
        <f t="shared" si="40"/>
        <v xml:space="preserve"> </v>
      </c>
      <c r="I65" s="20" t="str">
        <f t="shared" si="40"/>
        <v xml:space="preserve"> </v>
      </c>
      <c r="J65" s="20" t="str">
        <f t="shared" si="40"/>
        <v xml:space="preserve"> </v>
      </c>
      <c r="K65" s="20" t="str">
        <f t="shared" si="40"/>
        <v xml:space="preserve"> </v>
      </c>
      <c r="L65" s="20" t="str">
        <f t="shared" si="40"/>
        <v xml:space="preserve"> </v>
      </c>
      <c r="M65" s="20" t="str">
        <f t="shared" si="40"/>
        <v xml:space="preserve"> </v>
      </c>
      <c r="N65" s="20" t="str">
        <f t="shared" si="40"/>
        <v xml:space="preserve"> </v>
      </c>
      <c r="O65" s="52">
        <f t="shared" si="38"/>
        <v>9449.5500000000011</v>
      </c>
    </row>
    <row r="66" spans="1:15">
      <c r="B66" s="12" t="s">
        <v>75</v>
      </c>
      <c r="C66" s="20">
        <f t="shared" ref="C66" si="41">C19-C42</f>
        <v>603.77666666666676</v>
      </c>
      <c r="D66" s="20">
        <f>IF(D50&lt;&gt;0,D19-D42," ")</f>
        <v>-1533.0633333333333</v>
      </c>
      <c r="E66" s="20">
        <f t="shared" ref="E66:N66" si="42">IF(E50&lt;&gt;0,E19-E42," ")</f>
        <v>1400.8766666666668</v>
      </c>
      <c r="F66" s="20" t="str">
        <f t="shared" si="42"/>
        <v xml:space="preserve"> </v>
      </c>
      <c r="G66" s="20" t="str">
        <f t="shared" si="42"/>
        <v xml:space="preserve"> </v>
      </c>
      <c r="H66" s="20" t="str">
        <f t="shared" si="42"/>
        <v xml:space="preserve"> </v>
      </c>
      <c r="I66" s="20" t="str">
        <f t="shared" si="42"/>
        <v xml:space="preserve"> </v>
      </c>
      <c r="J66" s="20" t="str">
        <f t="shared" si="42"/>
        <v xml:space="preserve"> </v>
      </c>
      <c r="K66" s="20" t="str">
        <f t="shared" si="42"/>
        <v xml:space="preserve"> </v>
      </c>
      <c r="L66" s="20" t="str">
        <f t="shared" si="42"/>
        <v xml:space="preserve"> </v>
      </c>
      <c r="M66" s="20" t="str">
        <f t="shared" si="42"/>
        <v xml:space="preserve"> </v>
      </c>
      <c r="N66" s="20" t="str">
        <f t="shared" si="42"/>
        <v xml:space="preserve"> </v>
      </c>
      <c r="O66" s="52">
        <f t="shared" si="38"/>
        <v>471.59000000000026</v>
      </c>
    </row>
    <row r="67" spans="1:15" hidden="1">
      <c r="B67" s="12" t="s">
        <v>33</v>
      </c>
      <c r="C67" s="20">
        <f t="shared" ref="C67" si="43">C20-C43</f>
        <v>0</v>
      </c>
      <c r="D67" s="20" t="str">
        <f t="shared" ref="D67:N68" si="44">IF(D53&lt;&gt;0,D20-D43," ")</f>
        <v xml:space="preserve"> </v>
      </c>
      <c r="E67" s="20" t="str">
        <f t="shared" si="44"/>
        <v xml:space="preserve"> </v>
      </c>
      <c r="F67" s="20" t="str">
        <f t="shared" si="44"/>
        <v xml:space="preserve"> </v>
      </c>
      <c r="G67" s="20" t="str">
        <f t="shared" si="44"/>
        <v xml:space="preserve"> </v>
      </c>
      <c r="H67" s="20" t="str">
        <f t="shared" si="44"/>
        <v xml:space="preserve"> </v>
      </c>
      <c r="I67" s="20" t="str">
        <f t="shared" si="44"/>
        <v xml:space="preserve"> </v>
      </c>
      <c r="J67" s="20" t="str">
        <f t="shared" si="44"/>
        <v xml:space="preserve"> </v>
      </c>
      <c r="K67" s="20" t="str">
        <f t="shared" si="44"/>
        <v xml:space="preserve"> </v>
      </c>
      <c r="L67" s="20" t="str">
        <f t="shared" si="44"/>
        <v xml:space="preserve"> </v>
      </c>
      <c r="M67" s="20" t="str">
        <f t="shared" si="44"/>
        <v xml:space="preserve"> </v>
      </c>
      <c r="N67" s="20" t="str">
        <f t="shared" si="44"/>
        <v xml:space="preserve"> </v>
      </c>
      <c r="O67" s="52">
        <f t="shared" si="38"/>
        <v>0</v>
      </c>
    </row>
    <row r="68" spans="1:15" hidden="1">
      <c r="B68" s="12" t="s">
        <v>34</v>
      </c>
      <c r="C68" s="20">
        <f t="shared" ref="C68" si="45">C21-C44</f>
        <v>0</v>
      </c>
      <c r="D68" s="20">
        <f t="shared" si="44"/>
        <v>0</v>
      </c>
      <c r="E68" s="20">
        <f t="shared" si="44"/>
        <v>0</v>
      </c>
      <c r="F68" s="20">
        <f t="shared" si="44"/>
        <v>0</v>
      </c>
      <c r="G68" s="20">
        <f t="shared" si="44"/>
        <v>0</v>
      </c>
      <c r="H68" s="20">
        <f t="shared" si="44"/>
        <v>0</v>
      </c>
      <c r="I68" s="20">
        <f t="shared" si="44"/>
        <v>0</v>
      </c>
      <c r="J68" s="20">
        <f t="shared" si="44"/>
        <v>0</v>
      </c>
      <c r="K68" s="20">
        <f t="shared" si="44"/>
        <v>0</v>
      </c>
      <c r="L68" s="20">
        <f t="shared" si="44"/>
        <v>0</v>
      </c>
      <c r="M68" s="20">
        <f t="shared" si="44"/>
        <v>0</v>
      </c>
      <c r="N68" s="20">
        <f t="shared" si="44"/>
        <v>0</v>
      </c>
      <c r="O68" s="52">
        <f t="shared" si="38"/>
        <v>0</v>
      </c>
    </row>
    <row r="69" spans="1:15">
      <c r="B69" s="12" t="s">
        <v>35</v>
      </c>
      <c r="C69" s="20">
        <f t="shared" ref="C69" si="46">C22-C45</f>
        <v>2436.0833333333335</v>
      </c>
      <c r="D69" s="20">
        <f>IF(D50&lt;&gt;0,D22-D45," ")</f>
        <v>2436.0833333333335</v>
      </c>
      <c r="E69" s="20">
        <f t="shared" ref="E69:N69" si="47">IF(E50&lt;&gt;0,E22-E45," ")</f>
        <v>2436.0833333333335</v>
      </c>
      <c r="F69" s="20" t="str">
        <f t="shared" si="47"/>
        <v xml:space="preserve"> </v>
      </c>
      <c r="G69" s="20" t="str">
        <f t="shared" si="47"/>
        <v xml:space="preserve"> </v>
      </c>
      <c r="H69" s="20" t="str">
        <f t="shared" si="47"/>
        <v xml:space="preserve"> </v>
      </c>
      <c r="I69" s="20" t="str">
        <f t="shared" si="47"/>
        <v xml:space="preserve"> </v>
      </c>
      <c r="J69" s="20" t="str">
        <f t="shared" si="47"/>
        <v xml:space="preserve"> </v>
      </c>
      <c r="K69" s="20" t="str">
        <f t="shared" si="47"/>
        <v xml:space="preserve"> </v>
      </c>
      <c r="L69" s="20" t="str">
        <f t="shared" si="47"/>
        <v xml:space="preserve"> </v>
      </c>
      <c r="M69" s="20" t="str">
        <f t="shared" si="47"/>
        <v xml:space="preserve"> </v>
      </c>
      <c r="N69" s="20" t="str">
        <f t="shared" si="47"/>
        <v xml:space="preserve"> </v>
      </c>
      <c r="O69" s="52">
        <f t="shared" si="38"/>
        <v>7308.25</v>
      </c>
    </row>
    <row r="70" spans="1:15">
      <c r="B70" s="12" t="s">
        <v>77</v>
      </c>
      <c r="C70" s="20">
        <f t="shared" ref="C70" si="48">C23-C46</f>
        <v>-3505.7166666666681</v>
      </c>
      <c r="D70" s="20">
        <f>IF(D50&lt;&gt;0,D23-D46," ")</f>
        <v>6258.123333333333</v>
      </c>
      <c r="E70" s="20">
        <f t="shared" ref="E70:N70" si="49">IF(E50&lt;&gt;0,E23-E46," ")</f>
        <v>2550.4733333333334</v>
      </c>
      <c r="F70" s="20" t="str">
        <f t="shared" si="49"/>
        <v xml:space="preserve"> </v>
      </c>
      <c r="G70" s="20" t="str">
        <f t="shared" si="49"/>
        <v xml:space="preserve"> </v>
      </c>
      <c r="H70" s="20" t="str">
        <f t="shared" si="49"/>
        <v xml:space="preserve"> </v>
      </c>
      <c r="I70" s="20" t="str">
        <f t="shared" si="49"/>
        <v xml:space="preserve"> </v>
      </c>
      <c r="J70" s="20" t="str">
        <f t="shared" si="49"/>
        <v xml:space="preserve"> </v>
      </c>
      <c r="K70" s="20" t="str">
        <f t="shared" si="49"/>
        <v xml:space="preserve"> </v>
      </c>
      <c r="L70" s="20" t="str">
        <f t="shared" si="49"/>
        <v xml:space="preserve"> </v>
      </c>
      <c r="M70" s="20" t="str">
        <f t="shared" si="49"/>
        <v xml:space="preserve"> </v>
      </c>
      <c r="N70" s="20" t="str">
        <f t="shared" si="49"/>
        <v xml:space="preserve"> </v>
      </c>
      <c r="O70" s="52">
        <f t="shared" ref="O70" si="50">SUM(C70:N70)</f>
        <v>5302.8799999999983</v>
      </c>
    </row>
    <row r="71" spans="1:15">
      <c r="B71" s="12" t="s">
        <v>36</v>
      </c>
      <c r="C71" s="20">
        <f t="shared" ref="C71" si="51">C24-C47</f>
        <v>-9254.1966666666649</v>
      </c>
      <c r="D71" s="20">
        <f>IF(D50&lt;&gt;0,D24-D47," ")</f>
        <v>-13544.586666666668</v>
      </c>
      <c r="E71" s="20">
        <f t="shared" ref="E71:N71" si="52">IF(E50&lt;&gt;0,E24-E47," ")</f>
        <v>-14374.126666666669</v>
      </c>
      <c r="F71" s="20" t="str">
        <f t="shared" si="52"/>
        <v xml:space="preserve"> </v>
      </c>
      <c r="G71" s="20" t="str">
        <f t="shared" si="52"/>
        <v xml:space="preserve"> </v>
      </c>
      <c r="H71" s="20" t="str">
        <f t="shared" si="52"/>
        <v xml:space="preserve"> </v>
      </c>
      <c r="I71" s="20" t="str">
        <f t="shared" si="52"/>
        <v xml:space="preserve"> </v>
      </c>
      <c r="J71" s="20" t="str">
        <f t="shared" si="52"/>
        <v xml:space="preserve"> </v>
      </c>
      <c r="K71" s="20" t="str">
        <f t="shared" si="52"/>
        <v xml:space="preserve"> </v>
      </c>
      <c r="L71" s="20" t="str">
        <f t="shared" si="52"/>
        <v xml:space="preserve"> </v>
      </c>
      <c r="M71" s="20" t="str">
        <f t="shared" si="52"/>
        <v xml:space="preserve"> </v>
      </c>
      <c r="N71" s="20" t="str">
        <f t="shared" si="52"/>
        <v xml:space="preserve"> </v>
      </c>
      <c r="O71" s="52">
        <f t="shared" si="38"/>
        <v>-37172.910000000003</v>
      </c>
    </row>
    <row r="72" spans="1:15">
      <c r="A72" t="s">
        <v>85</v>
      </c>
      <c r="B72" s="11" t="s">
        <v>40</v>
      </c>
      <c r="C72" s="19">
        <f t="shared" ref="C72" si="53">C25-C48</f>
        <v>6722.2233333333352</v>
      </c>
      <c r="D72" s="19">
        <f>IF(D50&lt;&gt;0,D25-D48," ")</f>
        <v>6754.2733333333381</v>
      </c>
      <c r="E72" s="19">
        <f t="shared" ref="E72:N72" si="54">IF(E50&lt;&gt;0,E25-E48," ")</f>
        <v>-1844.4766666666692</v>
      </c>
      <c r="F72" s="19" t="str">
        <f t="shared" si="54"/>
        <v xml:space="preserve"> </v>
      </c>
      <c r="G72" s="19" t="str">
        <f t="shared" si="54"/>
        <v xml:space="preserve"> </v>
      </c>
      <c r="H72" s="19" t="str">
        <f t="shared" si="54"/>
        <v xml:space="preserve"> </v>
      </c>
      <c r="I72" s="19" t="str">
        <f t="shared" si="54"/>
        <v xml:space="preserve"> </v>
      </c>
      <c r="J72" s="19" t="str">
        <f t="shared" si="54"/>
        <v xml:space="preserve"> </v>
      </c>
      <c r="K72" s="19" t="str">
        <f t="shared" si="54"/>
        <v xml:space="preserve"> </v>
      </c>
      <c r="L72" s="19" t="str">
        <f t="shared" si="54"/>
        <v xml:space="preserve"> </v>
      </c>
      <c r="M72" s="19" t="str">
        <f t="shared" si="54"/>
        <v xml:space="preserve"> </v>
      </c>
      <c r="N72" s="19" t="str">
        <f t="shared" si="54"/>
        <v xml:space="preserve"> </v>
      </c>
      <c r="O72" s="53">
        <f t="shared" ref="O72" si="55">SUM(O64:O71)</f>
        <v>11632.019999999997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" si="56">C27-C50</f>
        <v>22533.146666666682</v>
      </c>
      <c r="D74" s="38">
        <f>IF(D50&lt;&gt;0,D27-D50," ")</f>
        <v>60574.916666666686</v>
      </c>
      <c r="E74" s="38">
        <f t="shared" ref="E74:N74" si="57">IF(E50&lt;&gt;0,E27-E50," ")</f>
        <v>4667.2666666666919</v>
      </c>
      <c r="F74" s="38" t="str">
        <f t="shared" si="57"/>
        <v xml:space="preserve"> </v>
      </c>
      <c r="G74" s="38" t="str">
        <f t="shared" si="57"/>
        <v xml:space="preserve"> </v>
      </c>
      <c r="H74" s="38" t="str">
        <f t="shared" si="57"/>
        <v xml:space="preserve"> </v>
      </c>
      <c r="I74" s="38" t="str">
        <f t="shared" si="57"/>
        <v xml:space="preserve"> </v>
      </c>
      <c r="J74" s="38" t="str">
        <f t="shared" si="57"/>
        <v xml:space="preserve"> </v>
      </c>
      <c r="K74" s="38" t="str">
        <f t="shared" si="57"/>
        <v xml:space="preserve"> </v>
      </c>
      <c r="L74" s="38" t="str">
        <f t="shared" si="57"/>
        <v xml:space="preserve"> </v>
      </c>
      <c r="M74" s="38" t="str">
        <f t="shared" si="57"/>
        <v xml:space="preserve"> </v>
      </c>
      <c r="N74" s="38" t="str">
        <f t="shared" si="57"/>
        <v xml:space="preserve"> </v>
      </c>
      <c r="O74" s="55">
        <f>O72+O61</f>
        <v>87775.329999999987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>
      <c r="B81" s="91" t="s">
        <v>110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116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124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'WA-Sch91 Rider Balance'!J17</f>
        <v>-2434426.665310978</v>
      </c>
    </row>
    <row r="3" spans="1:2">
      <c r="A3" s="80"/>
    </row>
    <row r="4" spans="1:2">
      <c r="A4" s="80" t="s">
        <v>69</v>
      </c>
      <c r="B4" s="1">
        <v>5433000</v>
      </c>
    </row>
    <row r="5" spans="1:2">
      <c r="A5" s="80" t="s">
        <v>70</v>
      </c>
      <c r="B5" s="84">
        <f>SUM('WA-Sch91 Rider Balance'!K13:N13)</f>
        <v>4124620</v>
      </c>
    </row>
    <row r="6" spans="1:2">
      <c r="A6" s="80"/>
      <c r="B6" s="1">
        <f>B5-B4</f>
        <v>-1308380</v>
      </c>
    </row>
    <row r="8" spans="1:2">
      <c r="A8" s="80" t="s">
        <v>71</v>
      </c>
      <c r="B8" s="3">
        <f>B2+B6</f>
        <v>-3742806.665310978</v>
      </c>
    </row>
    <row r="10" spans="1:2">
      <c r="A10" s="80" t="s">
        <v>72</v>
      </c>
      <c r="B10" s="1">
        <v>16735000</v>
      </c>
    </row>
    <row r="11" spans="1:2">
      <c r="A11" t="s">
        <v>73</v>
      </c>
      <c r="B11" s="85"/>
    </row>
    <row r="12" spans="1:2">
      <c r="B12" s="3">
        <f>B11-B10</f>
        <v>-16735000</v>
      </c>
    </row>
    <row r="14" spans="1:2">
      <c r="A14" t="s">
        <v>74</v>
      </c>
      <c r="B14" s="3">
        <f>B8+B12</f>
        <v>-20477806.665310979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47" width="11.7109375" style="40" customWidth="1"/>
    <col min="48" max="16384" width="9.140625" style="40"/>
  </cols>
  <sheetData>
    <row r="2" spans="1:32">
      <c r="B2" s="41" t="s">
        <v>12</v>
      </c>
    </row>
    <row r="3" spans="1:32">
      <c r="B3" s="40" t="s">
        <v>30</v>
      </c>
      <c r="C3" s="42">
        <v>2012</v>
      </c>
      <c r="D3" s="42">
        <v>2012</v>
      </c>
      <c r="E3" s="42">
        <v>2012</v>
      </c>
      <c r="F3" s="42">
        <v>2012</v>
      </c>
      <c r="G3" s="42">
        <v>2012</v>
      </c>
      <c r="H3" s="42">
        <v>2012</v>
      </c>
      <c r="I3" s="42">
        <v>2012</v>
      </c>
      <c r="J3" s="42">
        <v>2012</v>
      </c>
      <c r="K3" s="42">
        <v>2012</v>
      </c>
      <c r="L3" s="42">
        <v>2012</v>
      </c>
      <c r="M3" s="42">
        <v>2012</v>
      </c>
      <c r="N3" s="42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s="40" t="s">
        <v>22</v>
      </c>
      <c r="B5" s="40" t="s">
        <v>13</v>
      </c>
      <c r="C5" s="43">
        <v>-804042.22</v>
      </c>
      <c r="D5" s="43">
        <v>-1307209.5344056166</v>
      </c>
      <c r="E5" s="43">
        <v>-1771595.0032571398</v>
      </c>
      <c r="F5" s="43">
        <v>-2434426.665310978</v>
      </c>
      <c r="G5" s="43">
        <v>-2434426.665310978</v>
      </c>
      <c r="H5" s="43">
        <v>-2434426.665310978</v>
      </c>
      <c r="I5" s="43">
        <v>-2434426.665310978</v>
      </c>
      <c r="J5" s="43">
        <v>-2434426.665310978</v>
      </c>
      <c r="K5" s="43">
        <v>-2434426.665310978</v>
      </c>
      <c r="L5" s="43">
        <v>-2434426.665310978</v>
      </c>
      <c r="M5" s="43">
        <v>-2434426.665310978</v>
      </c>
      <c r="N5" s="43">
        <v>-2434426.665310978</v>
      </c>
      <c r="P5" s="44">
        <v>-804042.22</v>
      </c>
      <c r="Q5" s="47">
        <v>-2434426.665310978</v>
      </c>
      <c r="R5" s="47">
        <v>-2434426.665310978</v>
      </c>
      <c r="S5" s="47">
        <v>-2434426.665310978</v>
      </c>
      <c r="U5" s="47">
        <v>-3576413.0806644224</v>
      </c>
      <c r="V5" s="47">
        <v>-3576413.0806644224</v>
      </c>
      <c r="W5" s="47">
        <v>-3576413.0806644224</v>
      </c>
      <c r="X5" s="47">
        <v>-3576413.0806644224</v>
      </c>
      <c r="Y5" s="47">
        <v>-3576413.0806644224</v>
      </c>
      <c r="Z5" s="47">
        <v>-3576413.0806644224</v>
      </c>
      <c r="AA5" s="47">
        <v>-3576413.0806644224</v>
      </c>
      <c r="AB5" s="47">
        <v>-3576413.0806644224</v>
      </c>
      <c r="AC5" s="47">
        <v>-3576413.0806644224</v>
      </c>
      <c r="AD5" s="47">
        <v>-3576413.0806644224</v>
      </c>
      <c r="AE5" s="47">
        <v>-3576413.0806644224</v>
      </c>
      <c r="AF5" s="47">
        <v>-3576413.0806644224</v>
      </c>
    </row>
    <row r="6" spans="1:32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32">
      <c r="B7" s="40" t="s">
        <v>14</v>
      </c>
      <c r="C7" s="46">
        <v>1709837.5846945387</v>
      </c>
      <c r="D7" s="46">
        <v>1540355.4930238484</v>
      </c>
      <c r="E7" s="46">
        <v>1560783.0962139484</v>
      </c>
      <c r="F7" s="46">
        <v>1329763.3624063986</v>
      </c>
      <c r="G7" s="46">
        <v>1386933.7308590435</v>
      </c>
      <c r="H7" s="46">
        <v>1308769.5319822247</v>
      </c>
      <c r="I7" s="46">
        <v>1474089.5277281709</v>
      </c>
      <c r="J7" s="46">
        <v>1533224.3651405526</v>
      </c>
      <c r="K7" s="46">
        <v>1348591.138147881</v>
      </c>
      <c r="L7" s="46">
        <v>1392847.7020341761</v>
      </c>
      <c r="M7" s="46">
        <v>1478813.6315325766</v>
      </c>
      <c r="N7" s="46">
        <v>1725482.7838208671</v>
      </c>
      <c r="O7" s="47">
        <v>17789491.947584223</v>
      </c>
      <c r="P7" s="47">
        <v>4810976.1739323363</v>
      </c>
      <c r="Q7" s="47">
        <v>4025466.6252476666</v>
      </c>
      <c r="R7" s="47">
        <v>4355905.031016605</v>
      </c>
      <c r="S7" s="47">
        <v>4597144.1173876198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s="40" t="s">
        <v>21</v>
      </c>
      <c r="B8" s="40" t="s">
        <v>15</v>
      </c>
      <c r="C8" s="45">
        <v>1633105.9444056167</v>
      </c>
      <c r="D8" s="45">
        <v>1578922.8388515234</v>
      </c>
      <c r="E8" s="45">
        <v>1511211.9520538382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4723240.7353109783</v>
      </c>
      <c r="P8" s="47">
        <v>4723240.7353109783</v>
      </c>
      <c r="Q8" s="47">
        <v>0</v>
      </c>
      <c r="R8" s="47">
        <v>0</v>
      </c>
      <c r="S8" s="47">
        <v>0</v>
      </c>
    </row>
    <row r="9" spans="1:32">
      <c r="B9" s="40" t="s">
        <v>16</v>
      </c>
      <c r="C9" s="48">
        <v>-76731.640288922004</v>
      </c>
      <c r="D9" s="48">
        <v>38567.345827674959</v>
      </c>
      <c r="E9" s="48">
        <v>-49571.144160110271</v>
      </c>
      <c r="F9" s="48">
        <v>-1329763.3624063986</v>
      </c>
      <c r="G9" s="48">
        <v>-1386933.7308590435</v>
      </c>
      <c r="H9" s="48">
        <v>-1308769.5319822247</v>
      </c>
      <c r="I9" s="48">
        <v>-1474089.5277281709</v>
      </c>
      <c r="J9" s="48">
        <v>-1533224.3651405526</v>
      </c>
      <c r="K9" s="48">
        <v>-1348591.138147881</v>
      </c>
      <c r="L9" s="48">
        <v>-1392847.7020341761</v>
      </c>
      <c r="M9" s="48">
        <v>-1478813.6315325766</v>
      </c>
      <c r="N9" s="48">
        <v>-1725482.7838208671</v>
      </c>
      <c r="O9" s="48">
        <v>-13066251.212273248</v>
      </c>
      <c r="P9" s="48">
        <v>-87735.438621358015</v>
      </c>
      <c r="Q9" s="48">
        <v>-4025466.6252476666</v>
      </c>
      <c r="R9" s="48">
        <v>-4355905.031016605</v>
      </c>
      <c r="S9" s="48">
        <v>-4597144.1173876198</v>
      </c>
    </row>
    <row r="10" spans="1:32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32">
      <c r="B11" s="40" t="s">
        <v>18</v>
      </c>
      <c r="C11" s="45">
        <v>1031155</v>
      </c>
      <c r="D11" s="45">
        <v>1031155</v>
      </c>
      <c r="E11" s="45">
        <v>1031155</v>
      </c>
      <c r="F11" s="45">
        <v>1031155</v>
      </c>
      <c r="G11" s="45">
        <v>1031155</v>
      </c>
      <c r="H11" s="45">
        <v>1031155</v>
      </c>
      <c r="I11" s="45">
        <v>1031155</v>
      </c>
      <c r="J11" s="45">
        <v>1031155</v>
      </c>
      <c r="K11" s="45">
        <v>1031155</v>
      </c>
      <c r="L11" s="45">
        <v>1031155</v>
      </c>
      <c r="M11" s="45">
        <v>1031155</v>
      </c>
      <c r="N11" s="45">
        <v>1031155</v>
      </c>
      <c r="O11" s="47">
        <v>12373860</v>
      </c>
      <c r="P11" s="47">
        <v>3093465</v>
      </c>
      <c r="Q11" s="47">
        <v>3093465</v>
      </c>
      <c r="R11" s="47">
        <v>3093465</v>
      </c>
      <c r="S11" s="47">
        <v>3093465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s="40" t="s">
        <v>20</v>
      </c>
      <c r="B12" s="40" t="s">
        <v>17</v>
      </c>
      <c r="C12" s="45">
        <v>1129938.6300000001</v>
      </c>
      <c r="D12" s="45">
        <v>1114537.3700000001</v>
      </c>
      <c r="E12" s="45">
        <v>848380.29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3092856.29</v>
      </c>
      <c r="P12" s="47">
        <v>3092856.29</v>
      </c>
      <c r="Q12" s="47">
        <v>0</v>
      </c>
      <c r="R12" s="47">
        <v>0</v>
      </c>
      <c r="S12" s="47">
        <v>0</v>
      </c>
    </row>
    <row r="13" spans="1:32">
      <c r="B13" s="40" t="s">
        <v>19</v>
      </c>
      <c r="C13" s="49">
        <v>-98783.630000000121</v>
      </c>
      <c r="D13" s="49">
        <v>-83382.370000000112</v>
      </c>
      <c r="E13" s="49">
        <v>182774.70999999996</v>
      </c>
      <c r="F13" s="49">
        <v>1031155</v>
      </c>
      <c r="G13" s="49">
        <v>1031155</v>
      </c>
      <c r="H13" s="49">
        <v>1031155</v>
      </c>
      <c r="I13" s="49">
        <v>1031155</v>
      </c>
      <c r="J13" s="49">
        <v>1031155</v>
      </c>
      <c r="K13" s="49">
        <v>1031155</v>
      </c>
      <c r="L13" s="49">
        <v>1031155</v>
      </c>
      <c r="M13" s="49">
        <v>1031155</v>
      </c>
      <c r="N13" s="49">
        <v>1031155</v>
      </c>
      <c r="O13" s="48">
        <v>9281003.7100000009</v>
      </c>
      <c r="P13" s="49">
        <v>608.70999999996275</v>
      </c>
      <c r="Q13" s="49">
        <v>3093465</v>
      </c>
      <c r="R13" s="49">
        <v>3093465</v>
      </c>
      <c r="S13" s="49">
        <v>3093465</v>
      </c>
    </row>
    <row r="14" spans="1:32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32" ht="30">
      <c r="A15" s="40" t="s">
        <v>24</v>
      </c>
      <c r="B15" s="50" t="s">
        <v>23</v>
      </c>
      <c r="C15" s="45">
        <v>503167.31440561661</v>
      </c>
      <c r="D15" s="45">
        <v>464385.46885152324</v>
      </c>
      <c r="E15" s="45">
        <v>662831.66205383814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1630384.4453109782</v>
      </c>
      <c r="P15" s="45">
        <v>1630384.4453109782</v>
      </c>
      <c r="Q15" s="45">
        <v>0</v>
      </c>
      <c r="R15" s="45">
        <v>0</v>
      </c>
      <c r="S15" s="45">
        <v>0</v>
      </c>
    </row>
    <row r="16" spans="1:32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32" ht="15.75" thickBot="1">
      <c r="B17" s="40" t="s">
        <v>25</v>
      </c>
      <c r="C17" s="60">
        <v>-1307209.5344056166</v>
      </c>
      <c r="D17" s="60">
        <v>-1771595.0032571398</v>
      </c>
      <c r="E17" s="60">
        <v>-2434426.665310978</v>
      </c>
      <c r="F17" s="60">
        <v>-2434426.665310978</v>
      </c>
      <c r="G17" s="60">
        <v>-2434426.665310978</v>
      </c>
      <c r="H17" s="60">
        <v>-2434426.665310978</v>
      </c>
      <c r="I17" s="60">
        <v>-2434426.665310978</v>
      </c>
      <c r="J17" s="60">
        <v>-2434426.665310978</v>
      </c>
      <c r="K17" s="60">
        <v>-2434426.665310978</v>
      </c>
      <c r="L17" s="60">
        <v>-2434426.665310978</v>
      </c>
      <c r="M17" s="60">
        <v>-2434426.665310978</v>
      </c>
      <c r="N17" s="60">
        <v>-2434426.665310978</v>
      </c>
      <c r="O17" s="47"/>
      <c r="P17" s="47">
        <v>-2434426.665310978</v>
      </c>
      <c r="Q17" s="47">
        <v>-2434426.665310978</v>
      </c>
      <c r="R17" s="47">
        <v>-2434426.665310978</v>
      </c>
      <c r="S17" s="47">
        <v>-2434426.665310978</v>
      </c>
    </row>
    <row r="18" spans="2:32" ht="15.75" thickTop="1"/>
    <row r="19" spans="2:32">
      <c r="B19" s="40" t="s">
        <v>28</v>
      </c>
      <c r="D19" s="44" t="s">
        <v>52</v>
      </c>
      <c r="E19" s="44" t="s">
        <v>52</v>
      </c>
      <c r="F19" s="44">
        <v>-2733035.0277173766</v>
      </c>
      <c r="G19" s="44">
        <v>-2790205.3961700215</v>
      </c>
      <c r="H19" s="44">
        <v>-2712041.1972932024</v>
      </c>
      <c r="I19" s="44">
        <v>-2877361.193039149</v>
      </c>
      <c r="J19" s="44">
        <v>-2936496.0304515306</v>
      </c>
      <c r="K19" s="44">
        <v>-2751862.8034588592</v>
      </c>
      <c r="L19" s="44">
        <v>-2796119.3673451543</v>
      </c>
      <c r="M19" s="44">
        <v>-2882085.2968435548</v>
      </c>
      <c r="N19" s="47">
        <v>-3576413.0806644224</v>
      </c>
      <c r="P19" s="47"/>
      <c r="U19" s="47">
        <v>-3576413.0806644224</v>
      </c>
      <c r="V19" s="47">
        <v>-3576413.0806644224</v>
      </c>
      <c r="W19" s="47">
        <v>-3576413.0806644224</v>
      </c>
      <c r="X19" s="47">
        <v>-3576413.0806644224</v>
      </c>
      <c r="Y19" s="47">
        <v>-3576413.0806644224</v>
      </c>
      <c r="Z19" s="47">
        <v>-3576413.0806644224</v>
      </c>
      <c r="AA19" s="47">
        <v>-3576413.0806644224</v>
      </c>
      <c r="AB19" s="47">
        <v>-3576413.0806644224</v>
      </c>
      <c r="AC19" s="47">
        <v>-3576413.0806644224</v>
      </c>
      <c r="AD19" s="47">
        <v>-3576413.0806644224</v>
      </c>
      <c r="AE19" s="47">
        <v>-3576413.0806644224</v>
      </c>
      <c r="AF19" s="47">
        <v>-3576413.0806644224</v>
      </c>
    </row>
    <row r="20" spans="2:32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111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0" t="s">
        <v>52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2:32">
      <c r="B30" s="90" t="s">
        <v>52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2:32">
      <c r="B31" s="90" t="s">
        <v>52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2:32">
      <c r="B32" s="90" t="s">
        <v>52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</sheetData>
  <mergeCells count="10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90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2" width="10.42578125" style="13" bestFit="1" customWidth="1"/>
    <col min="13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4142993/12</f>
        <v>345249.41666666669</v>
      </c>
      <c r="D7" s="18">
        <f>C7</f>
        <v>345249.41666666669</v>
      </c>
      <c r="E7" s="18">
        <f t="shared" ref="E7:N7" si="1">D7</f>
        <v>345249.41666666669</v>
      </c>
      <c r="F7" s="18">
        <f t="shared" si="1"/>
        <v>345249.41666666669</v>
      </c>
      <c r="G7" s="18">
        <f t="shared" si="1"/>
        <v>345249.41666666669</v>
      </c>
      <c r="H7" s="18">
        <f t="shared" si="1"/>
        <v>345249.41666666669</v>
      </c>
      <c r="I7" s="18">
        <f t="shared" si="1"/>
        <v>345249.41666666669</v>
      </c>
      <c r="J7" s="18">
        <f t="shared" si="1"/>
        <v>345249.41666666669</v>
      </c>
      <c r="K7" s="18">
        <f t="shared" si="1"/>
        <v>345249.41666666669</v>
      </c>
      <c r="L7" s="18">
        <f t="shared" si="1"/>
        <v>345249.41666666669</v>
      </c>
      <c r="M7" s="18">
        <f t="shared" si="1"/>
        <v>345249.41666666669</v>
      </c>
      <c r="N7" s="18">
        <f t="shared" si="1"/>
        <v>345249.41666666669</v>
      </c>
      <c r="O7" s="16">
        <f t="shared" ref="O7:O13" si="2">SUM(C7:N7)</f>
        <v>4142992.9999999995</v>
      </c>
    </row>
    <row r="8" spans="1:28">
      <c r="B8" s="5" t="s">
        <v>32</v>
      </c>
      <c r="C8" s="18">
        <f>1243159/12</f>
        <v>103596.58333333333</v>
      </c>
      <c r="D8" s="18">
        <f>C8</f>
        <v>103596.58333333333</v>
      </c>
      <c r="E8" s="18">
        <f t="shared" ref="E8:N8" si="3">D8</f>
        <v>103596.58333333333</v>
      </c>
      <c r="F8" s="18">
        <f t="shared" si="3"/>
        <v>103596.58333333333</v>
      </c>
      <c r="G8" s="18">
        <f t="shared" si="3"/>
        <v>103596.58333333333</v>
      </c>
      <c r="H8" s="18">
        <f t="shared" si="3"/>
        <v>103596.58333333333</v>
      </c>
      <c r="I8" s="18">
        <f t="shared" si="3"/>
        <v>103596.58333333333</v>
      </c>
      <c r="J8" s="18">
        <f t="shared" si="3"/>
        <v>103596.58333333333</v>
      </c>
      <c r="K8" s="18">
        <f t="shared" si="3"/>
        <v>103596.58333333333</v>
      </c>
      <c r="L8" s="18">
        <f t="shared" si="3"/>
        <v>103596.58333333333</v>
      </c>
      <c r="M8" s="18">
        <f t="shared" si="3"/>
        <v>103596.58333333333</v>
      </c>
      <c r="N8" s="18">
        <f t="shared" si="3"/>
        <v>103596.58333333333</v>
      </c>
      <c r="O8" s="16">
        <f t="shared" si="2"/>
        <v>1243159</v>
      </c>
    </row>
    <row r="9" spans="1:28">
      <c r="B9" s="5" t="s">
        <v>75</v>
      </c>
      <c r="C9" s="18">
        <f>1359527/12</f>
        <v>113293.91666666667</v>
      </c>
      <c r="D9" s="18">
        <f>C9</f>
        <v>113293.91666666667</v>
      </c>
      <c r="E9" s="18">
        <f t="shared" ref="E9:N9" si="4">D9</f>
        <v>113293.91666666667</v>
      </c>
      <c r="F9" s="18">
        <f t="shared" si="4"/>
        <v>113293.91666666667</v>
      </c>
      <c r="G9" s="18">
        <f t="shared" si="4"/>
        <v>113293.91666666667</v>
      </c>
      <c r="H9" s="18">
        <f t="shared" si="4"/>
        <v>113293.91666666667</v>
      </c>
      <c r="I9" s="18">
        <f t="shared" si="4"/>
        <v>113293.91666666667</v>
      </c>
      <c r="J9" s="18">
        <f t="shared" si="4"/>
        <v>113293.91666666667</v>
      </c>
      <c r="K9" s="18">
        <f t="shared" si="4"/>
        <v>113293.91666666667</v>
      </c>
      <c r="L9" s="18">
        <f t="shared" si="4"/>
        <v>113293.91666666667</v>
      </c>
      <c r="M9" s="18">
        <f t="shared" si="4"/>
        <v>113293.91666666667</v>
      </c>
      <c r="N9" s="18">
        <f t="shared" si="4"/>
        <v>113293.91666666667</v>
      </c>
      <c r="O9" s="16">
        <f t="shared" si="2"/>
        <v>1359527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562139.91666666663</v>
      </c>
      <c r="D14" s="19">
        <f t="shared" ref="D14:N14" si="5">SUM(D7:D13)</f>
        <v>562139.91666666663</v>
      </c>
      <c r="E14" s="19">
        <f t="shared" si="5"/>
        <v>562139.91666666663</v>
      </c>
      <c r="F14" s="19">
        <f t="shared" si="5"/>
        <v>562139.91666666663</v>
      </c>
      <c r="G14" s="19">
        <f t="shared" si="5"/>
        <v>562139.91666666663</v>
      </c>
      <c r="H14" s="19">
        <f t="shared" si="5"/>
        <v>562139.91666666663</v>
      </c>
      <c r="I14" s="19">
        <f t="shared" si="5"/>
        <v>562139.91666666663</v>
      </c>
      <c r="J14" s="19">
        <f t="shared" si="5"/>
        <v>562139.91666666663</v>
      </c>
      <c r="K14" s="19">
        <f t="shared" si="5"/>
        <v>562139.91666666663</v>
      </c>
      <c r="L14" s="19">
        <f t="shared" si="5"/>
        <v>562139.91666666663</v>
      </c>
      <c r="M14" s="19">
        <f t="shared" si="5"/>
        <v>562139.91666666663</v>
      </c>
      <c r="N14" s="19">
        <f t="shared" si="5"/>
        <v>562139.91666666663</v>
      </c>
      <c r="O14" s="19">
        <f>SUM(O7:O13)</f>
        <v>6745679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(84000+845683)/12</f>
        <v>77473.583333333328</v>
      </c>
      <c r="D17" s="18">
        <f>C17</f>
        <v>77473.583333333328</v>
      </c>
      <c r="E17" s="18">
        <f t="shared" ref="E17:N17" si="6">D17</f>
        <v>77473.583333333328</v>
      </c>
      <c r="F17" s="18">
        <f t="shared" si="6"/>
        <v>77473.583333333328</v>
      </c>
      <c r="G17" s="18">
        <f t="shared" si="6"/>
        <v>77473.583333333328</v>
      </c>
      <c r="H17" s="18">
        <f t="shared" si="6"/>
        <v>77473.583333333328</v>
      </c>
      <c r="I17" s="18">
        <f t="shared" si="6"/>
        <v>77473.583333333328</v>
      </c>
      <c r="J17" s="18">
        <f t="shared" si="6"/>
        <v>77473.583333333328</v>
      </c>
      <c r="K17" s="18">
        <f t="shared" si="6"/>
        <v>77473.583333333328</v>
      </c>
      <c r="L17" s="18">
        <f t="shared" si="6"/>
        <v>77473.583333333328</v>
      </c>
      <c r="M17" s="18">
        <f t="shared" si="6"/>
        <v>77473.583333333328</v>
      </c>
      <c r="N17" s="18">
        <f t="shared" si="6"/>
        <v>77473.583333333328</v>
      </c>
      <c r="O17" s="16">
        <f t="shared" ref="O17:O24" si="7">SUM(C17:N17)</f>
        <v>929683.00000000012</v>
      </c>
    </row>
    <row r="18" spans="1:16">
      <c r="B18" s="5" t="s">
        <v>32</v>
      </c>
      <c r="C18" s="18">
        <f>(208250+196685)/12</f>
        <v>33744.583333333336</v>
      </c>
      <c r="D18" s="18">
        <f t="shared" ref="D18:N24" si="8">C18</f>
        <v>33744.583333333336</v>
      </c>
      <c r="E18" s="18">
        <f t="shared" si="8"/>
        <v>33744.583333333336</v>
      </c>
      <c r="F18" s="18">
        <f t="shared" si="8"/>
        <v>33744.583333333336</v>
      </c>
      <c r="G18" s="18">
        <f t="shared" si="8"/>
        <v>33744.583333333336</v>
      </c>
      <c r="H18" s="18">
        <f t="shared" si="8"/>
        <v>33744.583333333336</v>
      </c>
      <c r="I18" s="18">
        <f t="shared" si="8"/>
        <v>33744.583333333336</v>
      </c>
      <c r="J18" s="18">
        <f t="shared" si="8"/>
        <v>33744.583333333336</v>
      </c>
      <c r="K18" s="18">
        <f t="shared" si="8"/>
        <v>33744.583333333336</v>
      </c>
      <c r="L18" s="18">
        <f t="shared" si="8"/>
        <v>33744.583333333336</v>
      </c>
      <c r="M18" s="18">
        <f t="shared" si="8"/>
        <v>33744.583333333336</v>
      </c>
      <c r="N18" s="18">
        <f t="shared" si="8"/>
        <v>33744.583333333336</v>
      </c>
      <c r="O18" s="16">
        <f t="shared" si="7"/>
        <v>404934.99999999994</v>
      </c>
    </row>
    <row r="19" spans="1:16">
      <c r="B19" s="5" t="s">
        <v>75</v>
      </c>
      <c r="C19" s="15">
        <f>(0+10444)/12</f>
        <v>870.33333333333337</v>
      </c>
      <c r="D19" s="18">
        <f t="shared" si="8"/>
        <v>870.33333333333337</v>
      </c>
      <c r="E19" s="18">
        <f t="shared" si="8"/>
        <v>870.33333333333337</v>
      </c>
      <c r="F19" s="18">
        <f t="shared" si="8"/>
        <v>870.33333333333337</v>
      </c>
      <c r="G19" s="18">
        <f t="shared" si="8"/>
        <v>870.33333333333337</v>
      </c>
      <c r="H19" s="18">
        <f t="shared" si="8"/>
        <v>870.33333333333337</v>
      </c>
      <c r="I19" s="18">
        <f t="shared" si="8"/>
        <v>870.33333333333337</v>
      </c>
      <c r="J19" s="18">
        <f t="shared" si="8"/>
        <v>870.33333333333337</v>
      </c>
      <c r="K19" s="18">
        <f t="shared" si="8"/>
        <v>870.33333333333337</v>
      </c>
      <c r="L19" s="18">
        <f t="shared" si="8"/>
        <v>870.33333333333337</v>
      </c>
      <c r="M19" s="18">
        <f t="shared" si="8"/>
        <v>870.33333333333337</v>
      </c>
      <c r="N19" s="18">
        <f t="shared" si="8"/>
        <v>870.33333333333337</v>
      </c>
      <c r="O19" s="16">
        <f t="shared" si="7"/>
        <v>10444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1515580/12</f>
        <v>126298.33333333333</v>
      </c>
      <c r="D22" s="18">
        <f t="shared" si="8"/>
        <v>126298.33333333333</v>
      </c>
      <c r="E22" s="18">
        <f t="shared" si="8"/>
        <v>126298.33333333333</v>
      </c>
      <c r="F22" s="18">
        <f t="shared" si="8"/>
        <v>126298.33333333333</v>
      </c>
      <c r="G22" s="18">
        <f t="shared" si="8"/>
        <v>126298.33333333333</v>
      </c>
      <c r="H22" s="18">
        <f t="shared" si="8"/>
        <v>126298.33333333333</v>
      </c>
      <c r="I22" s="18">
        <f t="shared" si="8"/>
        <v>126298.33333333333</v>
      </c>
      <c r="J22" s="18">
        <f t="shared" si="8"/>
        <v>126298.33333333333</v>
      </c>
      <c r="K22" s="18">
        <f t="shared" si="8"/>
        <v>126298.33333333333</v>
      </c>
      <c r="L22" s="18">
        <f t="shared" si="8"/>
        <v>126298.33333333333</v>
      </c>
      <c r="M22" s="18">
        <f t="shared" si="8"/>
        <v>126298.33333333333</v>
      </c>
      <c r="N22" s="18">
        <f t="shared" si="8"/>
        <v>126298.33333333333</v>
      </c>
      <c r="O22" s="16">
        <f t="shared" si="7"/>
        <v>1515579.9999999998</v>
      </c>
    </row>
    <row r="23" spans="1:16">
      <c r="B23" s="5" t="s">
        <v>77</v>
      </c>
      <c r="C23" s="18">
        <f>1012542/12</f>
        <v>84378.5</v>
      </c>
      <c r="D23" s="18">
        <f t="shared" si="8"/>
        <v>84378.5</v>
      </c>
      <c r="E23" s="18">
        <f t="shared" si="8"/>
        <v>84378.5</v>
      </c>
      <c r="F23" s="18">
        <f t="shared" si="8"/>
        <v>84378.5</v>
      </c>
      <c r="G23" s="18">
        <f t="shared" si="8"/>
        <v>84378.5</v>
      </c>
      <c r="H23" s="18">
        <f t="shared" si="8"/>
        <v>84378.5</v>
      </c>
      <c r="I23" s="18">
        <f t="shared" si="8"/>
        <v>84378.5</v>
      </c>
      <c r="J23" s="18">
        <f t="shared" si="8"/>
        <v>84378.5</v>
      </c>
      <c r="K23" s="18">
        <f t="shared" si="8"/>
        <v>84378.5</v>
      </c>
      <c r="L23" s="18">
        <f t="shared" si="8"/>
        <v>84378.5</v>
      </c>
      <c r="M23" s="18">
        <f t="shared" si="8"/>
        <v>84378.5</v>
      </c>
      <c r="N23" s="18">
        <f t="shared" si="8"/>
        <v>84378.5</v>
      </c>
      <c r="O23" s="16">
        <f t="shared" ref="O23" si="9">SUM(C23:N23)</f>
        <v>1012542</v>
      </c>
    </row>
    <row r="24" spans="1:16">
      <c r="B24" s="5" t="s">
        <v>36</v>
      </c>
      <c r="C24" s="18">
        <f>((56000+4480+392000+28000+28000+11200+3500+40000+249291+636664)+(95690+210172))/12</f>
        <v>146249.75</v>
      </c>
      <c r="D24" s="18">
        <f t="shared" si="8"/>
        <v>146249.75</v>
      </c>
      <c r="E24" s="18">
        <f t="shared" si="8"/>
        <v>146249.75</v>
      </c>
      <c r="F24" s="18">
        <f t="shared" si="8"/>
        <v>146249.75</v>
      </c>
      <c r="G24" s="18">
        <f t="shared" si="8"/>
        <v>146249.75</v>
      </c>
      <c r="H24" s="18">
        <f t="shared" si="8"/>
        <v>146249.75</v>
      </c>
      <c r="I24" s="18">
        <f t="shared" si="8"/>
        <v>146249.75</v>
      </c>
      <c r="J24" s="18">
        <f t="shared" si="8"/>
        <v>146249.75</v>
      </c>
      <c r="K24" s="18">
        <f t="shared" si="8"/>
        <v>146249.75</v>
      </c>
      <c r="L24" s="18">
        <f t="shared" si="8"/>
        <v>146249.75</v>
      </c>
      <c r="M24" s="18">
        <f t="shared" si="8"/>
        <v>146249.75</v>
      </c>
      <c r="N24" s="18">
        <f t="shared" si="8"/>
        <v>146249.75</v>
      </c>
      <c r="O24" s="16">
        <f t="shared" si="7"/>
        <v>1754997</v>
      </c>
    </row>
    <row r="25" spans="1:16">
      <c r="A25" t="s">
        <v>21</v>
      </c>
      <c r="B25" s="9" t="s">
        <v>79</v>
      </c>
      <c r="C25" s="19">
        <f t="shared" ref="C25:N25" si="10">SUM(C17:C24)</f>
        <v>469015.08333333331</v>
      </c>
      <c r="D25" s="19">
        <f t="shared" si="10"/>
        <v>469015.08333333331</v>
      </c>
      <c r="E25" s="19">
        <f t="shared" si="10"/>
        <v>469015.08333333331</v>
      </c>
      <c r="F25" s="19">
        <f t="shared" si="10"/>
        <v>469015.08333333331</v>
      </c>
      <c r="G25" s="19">
        <f t="shared" si="10"/>
        <v>469015.08333333331</v>
      </c>
      <c r="H25" s="19">
        <f t="shared" si="10"/>
        <v>469015.08333333331</v>
      </c>
      <c r="I25" s="19">
        <f t="shared" si="10"/>
        <v>469015.08333333331</v>
      </c>
      <c r="J25" s="19">
        <f t="shared" si="10"/>
        <v>469015.08333333331</v>
      </c>
      <c r="K25" s="19">
        <f t="shared" si="10"/>
        <v>469015.08333333331</v>
      </c>
      <c r="L25" s="19">
        <f t="shared" si="10"/>
        <v>469015.08333333331</v>
      </c>
      <c r="M25" s="19">
        <f t="shared" si="10"/>
        <v>469015.08333333331</v>
      </c>
      <c r="N25" s="19">
        <f t="shared" si="10"/>
        <v>469015.08333333331</v>
      </c>
      <c r="O25" s="19">
        <f>SUM(O17:O24)</f>
        <v>5628181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80</v>
      </c>
      <c r="B27" s="9" t="s">
        <v>89</v>
      </c>
      <c r="C27" s="21">
        <f>C25+C14</f>
        <v>1031155</v>
      </c>
      <c r="D27" s="21">
        <f>D25+D14</f>
        <v>1031155</v>
      </c>
      <c r="E27" s="21">
        <f t="shared" ref="E27:O27" si="11">E25+E14</f>
        <v>1031155</v>
      </c>
      <c r="F27" s="21">
        <f t="shared" si="11"/>
        <v>1031155</v>
      </c>
      <c r="G27" s="21">
        <f t="shared" si="11"/>
        <v>1031155</v>
      </c>
      <c r="H27" s="21">
        <f t="shared" si="11"/>
        <v>1031155</v>
      </c>
      <c r="I27" s="21">
        <f t="shared" si="11"/>
        <v>1031155</v>
      </c>
      <c r="J27" s="21">
        <f t="shared" si="11"/>
        <v>1031155</v>
      </c>
      <c r="K27" s="21">
        <f t="shared" si="11"/>
        <v>1031155</v>
      </c>
      <c r="L27" s="21">
        <f t="shared" si="11"/>
        <v>1031155</v>
      </c>
      <c r="M27" s="21">
        <f t="shared" si="11"/>
        <v>1031155</v>
      </c>
      <c r="N27" s="21">
        <f t="shared" si="11"/>
        <v>1031155</v>
      </c>
      <c r="O27" s="21">
        <f t="shared" si="11"/>
        <v>12373860</v>
      </c>
    </row>
    <row r="28" spans="1:16" ht="15.75" thickTop="1">
      <c r="B28" s="9"/>
    </row>
    <row r="29" spans="1:16">
      <c r="B29" s="10" t="s">
        <v>58</v>
      </c>
    </row>
    <row r="30" spans="1:16">
      <c r="B30" s="6" t="s">
        <v>31</v>
      </c>
      <c r="C30" s="18">
        <v>640218.53</v>
      </c>
      <c r="D30" s="18">
        <v>447533.17</v>
      </c>
      <c r="E30" s="18">
        <v>449683.55</v>
      </c>
      <c r="F30" s="18"/>
      <c r="G30" s="18"/>
      <c r="H30" s="18"/>
      <c r="I30" s="18"/>
      <c r="J30" s="18"/>
      <c r="K30" s="18"/>
      <c r="L30" s="18"/>
      <c r="M30" s="18"/>
      <c r="N30" s="18"/>
      <c r="O30" s="16">
        <f t="shared" ref="O30:O36" si="12">SUM(C30:N30)</f>
        <v>1537435.25</v>
      </c>
      <c r="P30" s="16">
        <f t="shared" ref="P30:P36" si="13">SUM(D30:O30)</f>
        <v>2434651.9699999997</v>
      </c>
    </row>
    <row r="31" spans="1:16">
      <c r="B31" s="6" t="s">
        <v>32</v>
      </c>
      <c r="C31" s="18">
        <v>145697.91</v>
      </c>
      <c r="D31" s="18">
        <v>77744.62</v>
      </c>
      <c r="E31" s="18">
        <v>53413.33</v>
      </c>
      <c r="F31" s="18"/>
      <c r="G31" s="18"/>
      <c r="H31" s="18"/>
      <c r="I31" s="18"/>
      <c r="J31" s="18"/>
      <c r="K31" s="18"/>
      <c r="L31" s="18"/>
      <c r="M31" s="18"/>
      <c r="N31" s="18"/>
      <c r="O31" s="16">
        <f t="shared" si="12"/>
        <v>276855.86</v>
      </c>
      <c r="P31" s="16">
        <f t="shared" si="13"/>
        <v>408013.81</v>
      </c>
    </row>
    <row r="32" spans="1:16">
      <c r="B32" s="6" t="s">
        <v>75</v>
      </c>
      <c r="C32" s="18">
        <v>2479.65</v>
      </c>
      <c r="D32" s="18"/>
      <c r="E32" s="18">
        <v>9.7799999999999994</v>
      </c>
      <c r="F32" s="18"/>
      <c r="G32" s="18"/>
      <c r="H32" s="18"/>
      <c r="I32" s="18"/>
      <c r="J32" s="18"/>
      <c r="K32" s="18"/>
      <c r="L32" s="18"/>
      <c r="M32" s="18"/>
      <c r="N32" s="18"/>
      <c r="O32" s="16">
        <f t="shared" si="12"/>
        <v>2489.4300000000003</v>
      </c>
      <c r="P32" s="16">
        <f t="shared" si="13"/>
        <v>2499.2100000000005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788396.09000000008</v>
      </c>
      <c r="D37" s="19">
        <f t="shared" ref="D37:E37" si="14">SUM(D30:D36)</f>
        <v>525277.79</v>
      </c>
      <c r="E37" s="19">
        <f t="shared" si="14"/>
        <v>503106.66000000003</v>
      </c>
      <c r="F37" s="19">
        <f t="shared" ref="F37:N37" si="15">SUM(F30:F36)</f>
        <v>0</v>
      </c>
      <c r="G37" s="19">
        <f t="shared" si="15"/>
        <v>0</v>
      </c>
      <c r="H37" s="19">
        <f t="shared" si="15"/>
        <v>0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1816780.5399999998</v>
      </c>
      <c r="P37" s="19">
        <f>SUM(P30:P36)</f>
        <v>2845164.9899999998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v>165232.63</v>
      </c>
      <c r="D40" s="18">
        <v>36037.460000000006</v>
      </c>
      <c r="E40" s="18">
        <v>88659.03</v>
      </c>
      <c r="F40" s="18"/>
      <c r="G40" s="18"/>
      <c r="H40" s="18"/>
      <c r="I40" s="18"/>
      <c r="J40" s="18"/>
      <c r="K40" s="18"/>
      <c r="L40" s="18"/>
      <c r="M40" s="18"/>
      <c r="N40" s="18"/>
      <c r="O40" s="16">
        <f t="shared" ref="O40:O47" si="17">SUM(C40:N40)</f>
        <v>289929.12</v>
      </c>
      <c r="P40" s="16">
        <f t="shared" ref="P40:P47" si="18">SUM(D40:O40)</f>
        <v>414625.61</v>
      </c>
    </row>
    <row r="41" spans="1:16">
      <c r="B41" s="6" t="s">
        <v>32</v>
      </c>
      <c r="C41" s="18">
        <v>24316.389999999996</v>
      </c>
      <c r="D41" s="18">
        <v>24724.639999999996</v>
      </c>
      <c r="E41" s="18">
        <v>84510.539999999979</v>
      </c>
      <c r="F41" s="18"/>
      <c r="G41" s="18"/>
      <c r="H41" s="18"/>
      <c r="I41" s="18"/>
      <c r="J41" s="18"/>
      <c r="K41" s="18"/>
      <c r="L41" s="18"/>
      <c r="M41" s="18"/>
      <c r="N41" s="18"/>
      <c r="O41" s="16">
        <f t="shared" si="17"/>
        <v>133551.56999999998</v>
      </c>
      <c r="P41" s="16">
        <f t="shared" si="18"/>
        <v>242786.74999999994</v>
      </c>
    </row>
    <row r="42" spans="1:16">
      <c r="B42" s="6" t="s">
        <v>75</v>
      </c>
      <c r="C42" s="18">
        <v>2268</v>
      </c>
      <c r="D42" s="18">
        <v>2070.34</v>
      </c>
      <c r="E42" s="18">
        <v>246.27</v>
      </c>
      <c r="F42" s="18"/>
      <c r="G42" s="18"/>
      <c r="H42" s="18"/>
      <c r="I42" s="18"/>
      <c r="J42" s="18"/>
      <c r="K42" s="18"/>
      <c r="L42" s="18"/>
      <c r="M42" s="18"/>
      <c r="N42" s="18"/>
      <c r="O42" s="16">
        <f t="shared" si="17"/>
        <v>4584.6100000000006</v>
      </c>
      <c r="P42" s="16">
        <f t="shared" si="18"/>
        <v>6901.2200000000012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/>
      <c r="D45" s="18">
        <v>345813.3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6">
        <f t="shared" si="17"/>
        <v>345813.3</v>
      </c>
      <c r="P45" s="16">
        <f t="shared" si="18"/>
        <v>691626.6</v>
      </c>
    </row>
    <row r="46" spans="1:16">
      <c r="B46" s="6" t="s">
        <v>77</v>
      </c>
      <c r="C46" s="18">
        <v>54190.090000000004</v>
      </c>
      <c r="D46" s="18">
        <v>57351.35</v>
      </c>
      <c r="E46" s="18">
        <v>46736.140000000007</v>
      </c>
      <c r="F46" s="18"/>
      <c r="G46" s="18"/>
      <c r="H46" s="18"/>
      <c r="I46" s="18"/>
      <c r="J46" s="18"/>
      <c r="K46" s="18"/>
      <c r="L46" s="18"/>
      <c r="M46" s="18"/>
      <c r="N46" s="18"/>
      <c r="O46" s="16">
        <f t="shared" ref="O46" si="19">SUM(C46:N46)</f>
        <v>158277.58000000002</v>
      </c>
      <c r="P46" s="16"/>
    </row>
    <row r="47" spans="1:16">
      <c r="B47" s="6" t="s">
        <v>36</v>
      </c>
      <c r="C47" s="18">
        <v>95535.430000000008</v>
      </c>
      <c r="D47" s="18">
        <v>123262.49</v>
      </c>
      <c r="E47" s="18">
        <v>125121.65</v>
      </c>
      <c r="F47" s="18"/>
      <c r="G47" s="18"/>
      <c r="H47" s="18"/>
      <c r="I47" s="18"/>
      <c r="J47" s="18"/>
      <c r="K47" s="18"/>
      <c r="L47" s="18"/>
      <c r="M47" s="18"/>
      <c r="N47" s="18"/>
      <c r="O47" s="16">
        <f t="shared" si="17"/>
        <v>343919.57</v>
      </c>
      <c r="P47" s="16">
        <f t="shared" si="18"/>
        <v>592303.71</v>
      </c>
    </row>
    <row r="48" spans="1:16">
      <c r="A48" t="s">
        <v>24</v>
      </c>
      <c r="B48" s="10" t="s">
        <v>83</v>
      </c>
      <c r="C48" s="19">
        <f t="shared" ref="C48:E48" si="20">SUM(C40:C47)</f>
        <v>341542.54</v>
      </c>
      <c r="D48" s="19">
        <f t="shared" si="20"/>
        <v>589259.57999999996</v>
      </c>
      <c r="E48" s="19">
        <f t="shared" si="20"/>
        <v>345273.63</v>
      </c>
      <c r="F48" s="19">
        <f t="shared" ref="F48:O48" si="21">SUM(F40:F47)</f>
        <v>0</v>
      </c>
      <c r="G48" s="19">
        <f t="shared" si="21"/>
        <v>0</v>
      </c>
      <c r="H48" s="19">
        <f t="shared" si="21"/>
        <v>0</v>
      </c>
      <c r="I48" s="19">
        <f t="shared" si="21"/>
        <v>0</v>
      </c>
      <c r="J48" s="19">
        <f t="shared" si="21"/>
        <v>0</v>
      </c>
      <c r="K48" s="19">
        <f t="shared" si="21"/>
        <v>0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1276075.75</v>
      </c>
      <c r="P48" s="19">
        <f>SUM(P40:P47)</f>
        <v>1948243.8899999997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81</v>
      </c>
      <c r="B50" s="10" t="s">
        <v>90</v>
      </c>
      <c r="C50" s="21">
        <f>C48+C37</f>
        <v>1129938.6300000001</v>
      </c>
      <c r="D50" s="21">
        <f t="shared" ref="D50:O50" si="22">D48+D37</f>
        <v>1114537.3700000001</v>
      </c>
      <c r="E50" s="21">
        <f t="shared" si="22"/>
        <v>848380.29</v>
      </c>
      <c r="F50" s="21">
        <f t="shared" si="22"/>
        <v>0</v>
      </c>
      <c r="G50" s="21">
        <f t="shared" si="22"/>
        <v>0</v>
      </c>
      <c r="H50" s="21">
        <f t="shared" si="22"/>
        <v>0</v>
      </c>
      <c r="I50" s="21">
        <f t="shared" si="22"/>
        <v>0</v>
      </c>
      <c r="J50" s="21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3092856.29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59</v>
      </c>
    </row>
    <row r="54" spans="1:16">
      <c r="B54" s="40" t="s">
        <v>31</v>
      </c>
      <c r="C54" s="36">
        <f t="shared" ref="C54" si="23">C7-C30</f>
        <v>-294969.11333333334</v>
      </c>
      <c r="D54" s="36">
        <f>IF(D50&lt;&gt;0,D7-D30," ")</f>
        <v>-102283.7533333333</v>
      </c>
      <c r="E54" s="36">
        <f t="shared" ref="E54:N54" si="24">IF(E50&lt;&gt;0,E7-E30," ")</f>
        <v>-104434.1333333333</v>
      </c>
      <c r="F54" s="36" t="str">
        <f t="shared" si="24"/>
        <v xml:space="preserve"> </v>
      </c>
      <c r="G54" s="36" t="str">
        <f t="shared" si="24"/>
        <v xml:space="preserve"> </v>
      </c>
      <c r="H54" s="36" t="str">
        <f t="shared" si="24"/>
        <v xml:space="preserve"> </v>
      </c>
      <c r="I54" s="36" t="str">
        <f t="shared" si="24"/>
        <v xml:space="preserve"> </v>
      </c>
      <c r="J54" s="36" t="str">
        <f t="shared" si="24"/>
        <v xml:space="preserve"> </v>
      </c>
      <c r="K54" s="36" t="str">
        <f t="shared" si="24"/>
        <v xml:space="preserve"> </v>
      </c>
      <c r="L54" s="36" t="str">
        <f t="shared" si="24"/>
        <v xml:space="preserve"> </v>
      </c>
      <c r="M54" s="36" t="str">
        <f t="shared" si="24"/>
        <v xml:space="preserve"> </v>
      </c>
      <c r="N54" s="36" t="str">
        <f t="shared" si="24"/>
        <v xml:space="preserve"> </v>
      </c>
      <c r="O54" s="16">
        <f t="shared" ref="O54:O60" si="25">SUM(C54:N54)</f>
        <v>-501686.99999999994</v>
      </c>
    </row>
    <row r="55" spans="1:16">
      <c r="B55" s="40" t="s">
        <v>32</v>
      </c>
      <c r="C55" s="36">
        <f t="shared" ref="C55" si="26">C8-C31</f>
        <v>-42101.326666666675</v>
      </c>
      <c r="D55" s="36">
        <f>IF(D50&lt;&gt;0,D8-D31," ")</f>
        <v>25851.963333333333</v>
      </c>
      <c r="E55" s="36">
        <f t="shared" ref="E55:N55" si="27">IF(E50&lt;&gt;0,E8-E31," ")</f>
        <v>50183.253333333327</v>
      </c>
      <c r="F55" s="36" t="str">
        <f t="shared" si="27"/>
        <v xml:space="preserve"> </v>
      </c>
      <c r="G55" s="36" t="str">
        <f t="shared" si="27"/>
        <v xml:space="preserve"> </v>
      </c>
      <c r="H55" s="36" t="str">
        <f t="shared" si="27"/>
        <v xml:space="preserve"> </v>
      </c>
      <c r="I55" s="36" t="str">
        <f t="shared" si="27"/>
        <v xml:space="preserve"> </v>
      </c>
      <c r="J55" s="36" t="str">
        <f t="shared" si="27"/>
        <v xml:space="preserve"> </v>
      </c>
      <c r="K55" s="36" t="str">
        <f t="shared" si="27"/>
        <v xml:space="preserve"> </v>
      </c>
      <c r="L55" s="36" t="str">
        <f t="shared" si="27"/>
        <v xml:space="preserve"> </v>
      </c>
      <c r="M55" s="36" t="str">
        <f t="shared" si="27"/>
        <v xml:space="preserve"> </v>
      </c>
      <c r="N55" s="36" t="str">
        <f t="shared" si="27"/>
        <v xml:space="preserve"> </v>
      </c>
      <c r="O55" s="16">
        <f t="shared" si="25"/>
        <v>33933.889999999985</v>
      </c>
    </row>
    <row r="56" spans="1:16">
      <c r="B56" s="40" t="s">
        <v>75</v>
      </c>
      <c r="C56" s="36">
        <f t="shared" ref="C56" si="28">C9-C32</f>
        <v>110814.26666666668</v>
      </c>
      <c r="D56" s="36">
        <f>IF(D50&lt;&gt;0,D9-D32," ")</f>
        <v>113293.91666666667</v>
      </c>
      <c r="E56" s="36">
        <f t="shared" ref="E56:N56" si="29">IF(E50&lt;&gt;0,E9-E32," ")</f>
        <v>113284.13666666667</v>
      </c>
      <c r="F56" s="36" t="str">
        <f t="shared" si="29"/>
        <v xml:space="preserve"> </v>
      </c>
      <c r="G56" s="36" t="str">
        <f t="shared" si="29"/>
        <v xml:space="preserve"> </v>
      </c>
      <c r="H56" s="36" t="str">
        <f t="shared" si="29"/>
        <v xml:space="preserve"> </v>
      </c>
      <c r="I56" s="36" t="str">
        <f t="shared" si="29"/>
        <v xml:space="preserve"> </v>
      </c>
      <c r="J56" s="36" t="str">
        <f t="shared" si="29"/>
        <v xml:space="preserve"> </v>
      </c>
      <c r="K56" s="36" t="str">
        <f t="shared" si="29"/>
        <v xml:space="preserve"> </v>
      </c>
      <c r="L56" s="36" t="str">
        <f t="shared" si="29"/>
        <v xml:space="preserve"> </v>
      </c>
      <c r="M56" s="36" t="str">
        <f t="shared" si="29"/>
        <v xml:space="preserve"> </v>
      </c>
      <c r="N56" s="36" t="str">
        <f t="shared" si="29"/>
        <v xml:space="preserve"> </v>
      </c>
      <c r="O56" s="16">
        <f t="shared" si="25"/>
        <v>337392.32</v>
      </c>
    </row>
    <row r="57" spans="1:16" hidden="1">
      <c r="B57" s="40" t="s">
        <v>33</v>
      </c>
      <c r="C57" s="36">
        <f t="shared" ref="C57:D57" si="30">C10-C33</f>
        <v>0</v>
      </c>
      <c r="D57" s="36">
        <f t="shared" si="30"/>
        <v>0</v>
      </c>
      <c r="E57" s="36">
        <f t="shared" ref="E57:N57" si="31">E10-E33</f>
        <v>0</v>
      </c>
      <c r="F57" s="36">
        <f t="shared" si="31"/>
        <v>0</v>
      </c>
      <c r="G57" s="36">
        <f t="shared" si="31"/>
        <v>0</v>
      </c>
      <c r="H57" s="36">
        <f t="shared" si="31"/>
        <v>0</v>
      </c>
      <c r="I57" s="36">
        <f t="shared" si="31"/>
        <v>0</v>
      </c>
      <c r="J57" s="36">
        <f t="shared" si="31"/>
        <v>0</v>
      </c>
      <c r="K57" s="36">
        <f t="shared" si="31"/>
        <v>0</v>
      </c>
      <c r="L57" s="36">
        <f t="shared" si="31"/>
        <v>0</v>
      </c>
      <c r="M57" s="36">
        <f t="shared" si="31"/>
        <v>0</v>
      </c>
      <c r="N57" s="36">
        <f t="shared" si="31"/>
        <v>0</v>
      </c>
      <c r="O57" s="16">
        <f t="shared" si="25"/>
        <v>0</v>
      </c>
    </row>
    <row r="58" spans="1:16" hidden="1">
      <c r="B58" s="40" t="s">
        <v>34</v>
      </c>
      <c r="C58" s="36">
        <f t="shared" ref="C58:D58" si="32">C11-C34</f>
        <v>0</v>
      </c>
      <c r="D58" s="36">
        <f t="shared" si="32"/>
        <v>0</v>
      </c>
      <c r="E58" s="36">
        <f t="shared" ref="E58:N58" si="33">E11-E34</f>
        <v>0</v>
      </c>
      <c r="F58" s="36">
        <f t="shared" si="33"/>
        <v>0</v>
      </c>
      <c r="G58" s="36">
        <f t="shared" si="33"/>
        <v>0</v>
      </c>
      <c r="H58" s="36">
        <f t="shared" si="33"/>
        <v>0</v>
      </c>
      <c r="I58" s="36">
        <f t="shared" si="33"/>
        <v>0</v>
      </c>
      <c r="J58" s="36">
        <f t="shared" si="33"/>
        <v>0</v>
      </c>
      <c r="K58" s="36">
        <f t="shared" si="33"/>
        <v>0</v>
      </c>
      <c r="L58" s="36">
        <f t="shared" si="33"/>
        <v>0</v>
      </c>
      <c r="M58" s="36">
        <f t="shared" si="33"/>
        <v>0</v>
      </c>
      <c r="N58" s="36">
        <f t="shared" si="33"/>
        <v>0</v>
      </c>
      <c r="O58" s="16">
        <f t="shared" si="25"/>
        <v>0</v>
      </c>
    </row>
    <row r="59" spans="1:16" hidden="1">
      <c r="B59" s="40" t="s">
        <v>35</v>
      </c>
      <c r="C59" s="36">
        <f t="shared" ref="C59:D59" si="34">C12-C35</f>
        <v>0</v>
      </c>
      <c r="D59" s="36">
        <f t="shared" si="34"/>
        <v>0</v>
      </c>
      <c r="E59" s="36">
        <f t="shared" ref="E59:N59" si="35">E12-E35</f>
        <v>0</v>
      </c>
      <c r="F59" s="36">
        <f t="shared" si="35"/>
        <v>0</v>
      </c>
      <c r="G59" s="36">
        <f t="shared" si="35"/>
        <v>0</v>
      </c>
      <c r="H59" s="36">
        <f t="shared" si="35"/>
        <v>0</v>
      </c>
      <c r="I59" s="36">
        <f t="shared" si="35"/>
        <v>0</v>
      </c>
      <c r="J59" s="36">
        <f t="shared" si="35"/>
        <v>0</v>
      </c>
      <c r="K59" s="36">
        <f t="shared" si="35"/>
        <v>0</v>
      </c>
      <c r="L59" s="36">
        <f t="shared" si="35"/>
        <v>0</v>
      </c>
      <c r="M59" s="36">
        <f t="shared" si="35"/>
        <v>0</v>
      </c>
      <c r="N59" s="36">
        <f t="shared" si="35"/>
        <v>0</v>
      </c>
      <c r="O59" s="16">
        <f t="shared" si="25"/>
        <v>0</v>
      </c>
    </row>
    <row r="60" spans="1:16" hidden="1">
      <c r="B60" s="40" t="s">
        <v>36</v>
      </c>
      <c r="C60" s="36">
        <f t="shared" ref="C60:D60" si="36">C13-C36</f>
        <v>0</v>
      </c>
      <c r="D60" s="36">
        <f t="shared" si="36"/>
        <v>0</v>
      </c>
      <c r="E60" s="36">
        <f t="shared" ref="E60:N60" si="37">E13-E36</f>
        <v>0</v>
      </c>
      <c r="F60" s="36">
        <f t="shared" si="37"/>
        <v>0</v>
      </c>
      <c r="G60" s="36">
        <f t="shared" si="37"/>
        <v>0</v>
      </c>
      <c r="H60" s="36">
        <f t="shared" si="37"/>
        <v>0</v>
      </c>
      <c r="I60" s="36">
        <f t="shared" si="37"/>
        <v>0</v>
      </c>
      <c r="J60" s="36">
        <f t="shared" si="37"/>
        <v>0</v>
      </c>
      <c r="K60" s="36">
        <f t="shared" si="37"/>
        <v>0</v>
      </c>
      <c r="L60" s="36">
        <f t="shared" si="37"/>
        <v>0</v>
      </c>
      <c r="M60" s="36">
        <f t="shared" si="37"/>
        <v>0</v>
      </c>
      <c r="N60" s="36">
        <f t="shared" si="37"/>
        <v>0</v>
      </c>
      <c r="O60" s="16">
        <f t="shared" si="25"/>
        <v>0</v>
      </c>
    </row>
    <row r="61" spans="1:16">
      <c r="A61" t="s">
        <v>84</v>
      </c>
      <c r="B61" s="41" t="s">
        <v>40</v>
      </c>
      <c r="C61" s="19">
        <f t="shared" ref="C61" si="38">C14-C37</f>
        <v>-226256.17333333346</v>
      </c>
      <c r="D61" s="19">
        <f>IF(D50&lt;&gt;0,D14-D37," ")</f>
        <v>36862.126666666591</v>
      </c>
      <c r="E61" s="19">
        <f t="shared" ref="E61:N61" si="39">IF(E50&lt;&gt;0,E14-E37," ")</f>
        <v>59033.256666666595</v>
      </c>
      <c r="F61" s="89" t="str">
        <f t="shared" si="39"/>
        <v xml:space="preserve"> </v>
      </c>
      <c r="G61" s="89" t="str">
        <f t="shared" si="39"/>
        <v xml:space="preserve"> </v>
      </c>
      <c r="H61" s="89" t="str">
        <f t="shared" si="39"/>
        <v xml:space="preserve"> </v>
      </c>
      <c r="I61" s="89" t="str">
        <f t="shared" si="39"/>
        <v xml:space="preserve"> </v>
      </c>
      <c r="J61" s="89" t="str">
        <f t="shared" si="39"/>
        <v xml:space="preserve"> </v>
      </c>
      <c r="K61" s="89" t="str">
        <f t="shared" si="39"/>
        <v xml:space="preserve"> </v>
      </c>
      <c r="L61" s="89" t="str">
        <f t="shared" si="39"/>
        <v xml:space="preserve"> </v>
      </c>
      <c r="M61" s="89" t="str">
        <f t="shared" si="39"/>
        <v xml:space="preserve"> </v>
      </c>
      <c r="N61" s="89" t="str">
        <f t="shared" si="39"/>
        <v xml:space="preserve"> </v>
      </c>
      <c r="O61" s="19">
        <f t="shared" ref="O61" si="40">SUM(O54:O60)</f>
        <v>-130360.78999999998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" si="41">C17-C40</f>
        <v>-87759.046666666676</v>
      </c>
      <c r="D64" s="36">
        <f>IF(D50&lt;&gt;0,D17-D40," ")</f>
        <v>41436.123333333322</v>
      </c>
      <c r="E64" s="36">
        <f t="shared" ref="E64:N64" si="42">IF(E50&lt;&gt;0,E17-E40," ")</f>
        <v>-11185.44666666667</v>
      </c>
      <c r="F64" s="36" t="str">
        <f t="shared" si="42"/>
        <v xml:space="preserve"> </v>
      </c>
      <c r="G64" s="36" t="str">
        <f t="shared" si="42"/>
        <v xml:space="preserve"> </v>
      </c>
      <c r="H64" s="36" t="str">
        <f t="shared" si="42"/>
        <v xml:space="preserve"> </v>
      </c>
      <c r="I64" s="36" t="str">
        <f t="shared" si="42"/>
        <v xml:space="preserve"> </v>
      </c>
      <c r="J64" s="36" t="str">
        <f t="shared" si="42"/>
        <v xml:space="preserve"> </v>
      </c>
      <c r="K64" s="36" t="str">
        <f t="shared" si="42"/>
        <v xml:space="preserve"> </v>
      </c>
      <c r="L64" s="36" t="str">
        <f t="shared" si="42"/>
        <v xml:space="preserve"> </v>
      </c>
      <c r="M64" s="36" t="str">
        <f t="shared" si="42"/>
        <v xml:space="preserve"> </v>
      </c>
      <c r="N64" s="36" t="str">
        <f t="shared" si="42"/>
        <v xml:space="preserve"> </v>
      </c>
      <c r="O64" s="16">
        <f t="shared" ref="O64:O71" si="43">SUM(C64:N64)</f>
        <v>-57508.370000000024</v>
      </c>
    </row>
    <row r="65" spans="1:15">
      <c r="B65" s="40" t="s">
        <v>32</v>
      </c>
      <c r="C65" s="36">
        <f t="shared" ref="C65" si="44">C18-C41</f>
        <v>9428.19333333334</v>
      </c>
      <c r="D65" s="36">
        <f>IF(D50&lt;&gt;0,D18-D41," ")</f>
        <v>9019.94333333334</v>
      </c>
      <c r="E65" s="36">
        <f t="shared" ref="E65:N65" si="45">IF(E50&lt;&gt;0,E18-E41," ")</f>
        <v>-50765.956666666643</v>
      </c>
      <c r="F65" s="36" t="str">
        <f t="shared" si="45"/>
        <v xml:space="preserve"> </v>
      </c>
      <c r="G65" s="36" t="str">
        <f t="shared" si="45"/>
        <v xml:space="preserve"> </v>
      </c>
      <c r="H65" s="36" t="str">
        <f t="shared" si="45"/>
        <v xml:space="preserve"> </v>
      </c>
      <c r="I65" s="36" t="str">
        <f t="shared" si="45"/>
        <v xml:space="preserve"> </v>
      </c>
      <c r="J65" s="36" t="str">
        <f t="shared" si="45"/>
        <v xml:space="preserve"> </v>
      </c>
      <c r="K65" s="36" t="str">
        <f t="shared" si="45"/>
        <v xml:space="preserve"> </v>
      </c>
      <c r="L65" s="36" t="str">
        <f t="shared" si="45"/>
        <v xml:space="preserve"> </v>
      </c>
      <c r="M65" s="36" t="str">
        <f t="shared" si="45"/>
        <v xml:space="preserve"> </v>
      </c>
      <c r="N65" s="36" t="str">
        <f t="shared" si="45"/>
        <v xml:space="preserve"> </v>
      </c>
      <c r="O65" s="16">
        <f t="shared" si="43"/>
        <v>-32317.819999999963</v>
      </c>
    </row>
    <row r="66" spans="1:15" hidden="1">
      <c r="B66" s="40" t="s">
        <v>33</v>
      </c>
      <c r="C66" s="36">
        <f t="shared" ref="C66" si="46">C20-C43</f>
        <v>0</v>
      </c>
      <c r="D66" s="36">
        <f t="shared" ref="D66:N67" si="47">IF($D$50&lt;&gt;0,D19-D42," ")</f>
        <v>-1200.0066666666667</v>
      </c>
      <c r="E66" s="36">
        <f t="shared" si="47"/>
        <v>624.06333333333339</v>
      </c>
      <c r="F66" s="36">
        <f t="shared" si="47"/>
        <v>870.33333333333337</v>
      </c>
      <c r="G66" s="36">
        <f t="shared" si="47"/>
        <v>870.33333333333337</v>
      </c>
      <c r="H66" s="36">
        <f t="shared" si="47"/>
        <v>870.33333333333337</v>
      </c>
      <c r="I66" s="36">
        <f t="shared" si="47"/>
        <v>870.33333333333337</v>
      </c>
      <c r="J66" s="36">
        <f t="shared" si="47"/>
        <v>870.33333333333337</v>
      </c>
      <c r="K66" s="36">
        <f t="shared" si="47"/>
        <v>870.33333333333337</v>
      </c>
      <c r="L66" s="36">
        <f t="shared" si="47"/>
        <v>870.33333333333337</v>
      </c>
      <c r="M66" s="36">
        <f t="shared" si="47"/>
        <v>870.33333333333337</v>
      </c>
      <c r="N66" s="36">
        <f t="shared" si="47"/>
        <v>870.33333333333337</v>
      </c>
      <c r="O66" s="16">
        <f t="shared" si="43"/>
        <v>7257.0566666666664</v>
      </c>
    </row>
    <row r="67" spans="1:15" hidden="1">
      <c r="B67" s="40" t="s">
        <v>34</v>
      </c>
      <c r="C67" s="36">
        <f t="shared" ref="C67" si="48">C21-C44</f>
        <v>0</v>
      </c>
      <c r="D67" s="36">
        <f t="shared" si="47"/>
        <v>0</v>
      </c>
      <c r="E67" s="36">
        <f t="shared" si="47"/>
        <v>0</v>
      </c>
      <c r="F67" s="36">
        <f t="shared" si="47"/>
        <v>0</v>
      </c>
      <c r="G67" s="36">
        <f t="shared" si="47"/>
        <v>0</v>
      </c>
      <c r="H67" s="36">
        <f t="shared" si="47"/>
        <v>0</v>
      </c>
      <c r="I67" s="36">
        <f t="shared" si="47"/>
        <v>0</v>
      </c>
      <c r="J67" s="36">
        <f t="shared" si="47"/>
        <v>0</v>
      </c>
      <c r="K67" s="36">
        <f t="shared" si="47"/>
        <v>0</v>
      </c>
      <c r="L67" s="36">
        <f t="shared" si="47"/>
        <v>0</v>
      </c>
      <c r="M67" s="36">
        <f t="shared" si="47"/>
        <v>0</v>
      </c>
      <c r="N67" s="36">
        <f t="shared" si="47"/>
        <v>0</v>
      </c>
      <c r="O67" s="16">
        <f t="shared" si="43"/>
        <v>0</v>
      </c>
    </row>
    <row r="68" spans="1:15">
      <c r="B68" s="40" t="s">
        <v>75</v>
      </c>
      <c r="C68" s="36">
        <f t="shared" ref="C68" si="49">C19-C42</f>
        <v>-1397.6666666666665</v>
      </c>
      <c r="D68" s="36">
        <f>IF(D50&lt;&gt;0,D21-D44," ")</f>
        <v>0</v>
      </c>
      <c r="E68" s="36">
        <f t="shared" ref="E68:N68" si="50">IF(E50&lt;&gt;0,E21-E44," ")</f>
        <v>0</v>
      </c>
      <c r="F68" s="36" t="str">
        <f t="shared" si="50"/>
        <v xml:space="preserve"> </v>
      </c>
      <c r="G68" s="36" t="str">
        <f t="shared" si="50"/>
        <v xml:space="preserve"> </v>
      </c>
      <c r="H68" s="36" t="str">
        <f t="shared" si="50"/>
        <v xml:space="preserve"> </v>
      </c>
      <c r="I68" s="36" t="str">
        <f t="shared" si="50"/>
        <v xml:space="preserve"> </v>
      </c>
      <c r="J68" s="36" t="str">
        <f t="shared" si="50"/>
        <v xml:space="preserve"> </v>
      </c>
      <c r="K68" s="36" t="str">
        <f t="shared" si="50"/>
        <v xml:space="preserve"> </v>
      </c>
      <c r="L68" s="36" t="str">
        <f t="shared" si="50"/>
        <v xml:space="preserve"> </v>
      </c>
      <c r="M68" s="36" t="str">
        <f t="shared" si="50"/>
        <v xml:space="preserve"> </v>
      </c>
      <c r="N68" s="36" t="str">
        <f t="shared" si="50"/>
        <v xml:space="preserve"> </v>
      </c>
      <c r="O68" s="16">
        <f t="shared" ref="O68" si="51">SUM(C68:N68)</f>
        <v>-1397.6666666666665</v>
      </c>
    </row>
    <row r="69" spans="1:15">
      <c r="B69" s="40" t="s">
        <v>35</v>
      </c>
      <c r="C69" s="36">
        <f t="shared" ref="C69" si="52">C22-C45</f>
        <v>126298.33333333333</v>
      </c>
      <c r="D69" s="36">
        <f>IF(D50&lt;&gt;0,D22-D45," ")</f>
        <v>-219514.96666666667</v>
      </c>
      <c r="E69" s="36">
        <f t="shared" ref="E69:N69" si="53">IF(E50&lt;&gt;0,E22-E45," ")</f>
        <v>126298.33333333333</v>
      </c>
      <c r="F69" s="36" t="str">
        <f t="shared" si="53"/>
        <v xml:space="preserve"> </v>
      </c>
      <c r="G69" s="36" t="str">
        <f t="shared" si="53"/>
        <v xml:space="preserve"> </v>
      </c>
      <c r="H69" s="36" t="str">
        <f t="shared" si="53"/>
        <v xml:space="preserve"> </v>
      </c>
      <c r="I69" s="36" t="str">
        <f t="shared" si="53"/>
        <v xml:space="preserve"> </v>
      </c>
      <c r="J69" s="36" t="str">
        <f t="shared" si="53"/>
        <v xml:space="preserve"> </v>
      </c>
      <c r="K69" s="36" t="str">
        <f t="shared" si="53"/>
        <v xml:space="preserve"> </v>
      </c>
      <c r="L69" s="36" t="str">
        <f t="shared" si="53"/>
        <v xml:space="preserve"> </v>
      </c>
      <c r="M69" s="36" t="str">
        <f t="shared" si="53"/>
        <v xml:space="preserve"> </v>
      </c>
      <c r="N69" s="36" t="str">
        <f t="shared" si="53"/>
        <v xml:space="preserve"> </v>
      </c>
      <c r="O69" s="16">
        <f t="shared" si="43"/>
        <v>33081.699999999983</v>
      </c>
    </row>
    <row r="70" spans="1:15">
      <c r="B70" s="40" t="s">
        <v>77</v>
      </c>
      <c r="C70" s="36">
        <f t="shared" ref="C70" si="54">C23-C46</f>
        <v>30188.409999999996</v>
      </c>
      <c r="D70" s="36">
        <f>IF(D50&lt;&gt;0,D23-D46," ")</f>
        <v>27027.15</v>
      </c>
      <c r="E70" s="36">
        <f t="shared" ref="E70:N70" si="55">IF(E50&lt;&gt;0,E23-E46," ")</f>
        <v>37642.359999999993</v>
      </c>
      <c r="F70" s="36" t="str">
        <f t="shared" si="55"/>
        <v xml:space="preserve"> </v>
      </c>
      <c r="G70" s="36" t="str">
        <f t="shared" si="55"/>
        <v xml:space="preserve"> </v>
      </c>
      <c r="H70" s="36" t="str">
        <f t="shared" si="55"/>
        <v xml:space="preserve"> </v>
      </c>
      <c r="I70" s="36" t="str">
        <f t="shared" si="55"/>
        <v xml:space="preserve"> </v>
      </c>
      <c r="J70" s="36" t="str">
        <f t="shared" si="55"/>
        <v xml:space="preserve"> </v>
      </c>
      <c r="K70" s="36" t="str">
        <f t="shared" si="55"/>
        <v xml:space="preserve"> </v>
      </c>
      <c r="L70" s="36" t="str">
        <f t="shared" si="55"/>
        <v xml:space="preserve"> </v>
      </c>
      <c r="M70" s="36" t="str">
        <f t="shared" si="55"/>
        <v xml:space="preserve"> </v>
      </c>
      <c r="N70" s="36" t="str">
        <f t="shared" si="55"/>
        <v xml:space="preserve"> </v>
      </c>
      <c r="O70" s="16">
        <f t="shared" ref="O70" si="56">SUM(C70:N70)</f>
        <v>94857.919999999984</v>
      </c>
    </row>
    <row r="71" spans="1:15">
      <c r="B71" s="40" t="s">
        <v>36</v>
      </c>
      <c r="C71" s="36">
        <f t="shared" ref="C71" si="57">C24-C47</f>
        <v>50714.319999999992</v>
      </c>
      <c r="D71" s="36">
        <f>IF(D50&lt;&gt;0,D24-D47," ")</f>
        <v>22987.259999999995</v>
      </c>
      <c r="E71" s="36">
        <f t="shared" ref="E71:N71" si="58">IF(E50&lt;&gt;0,E24-E47," ")</f>
        <v>21128.100000000006</v>
      </c>
      <c r="F71" s="36" t="str">
        <f t="shared" si="58"/>
        <v xml:space="preserve"> </v>
      </c>
      <c r="G71" s="36" t="str">
        <f t="shared" si="58"/>
        <v xml:space="preserve"> </v>
      </c>
      <c r="H71" s="36" t="str">
        <f t="shared" si="58"/>
        <v xml:space="preserve"> </v>
      </c>
      <c r="I71" s="36" t="str">
        <f t="shared" si="58"/>
        <v xml:space="preserve"> </v>
      </c>
      <c r="J71" s="36" t="str">
        <f t="shared" si="58"/>
        <v xml:space="preserve"> </v>
      </c>
      <c r="K71" s="36" t="str">
        <f t="shared" si="58"/>
        <v xml:space="preserve"> </v>
      </c>
      <c r="L71" s="36" t="str">
        <f t="shared" si="58"/>
        <v xml:space="preserve"> </v>
      </c>
      <c r="M71" s="36" t="str">
        <f t="shared" si="58"/>
        <v xml:space="preserve"> </v>
      </c>
      <c r="N71" s="36" t="str">
        <f t="shared" si="58"/>
        <v xml:space="preserve"> </v>
      </c>
      <c r="O71" s="16">
        <f t="shared" si="43"/>
        <v>94829.68</v>
      </c>
    </row>
    <row r="72" spans="1:15">
      <c r="A72" t="s">
        <v>85</v>
      </c>
      <c r="B72" s="41" t="s">
        <v>40</v>
      </c>
      <c r="C72" s="19">
        <f t="shared" ref="C72" si="59">C25-C48</f>
        <v>127472.54333333333</v>
      </c>
      <c r="D72" s="19">
        <f>IF(D50&lt;&gt;0,D25-D48," ")</f>
        <v>-120244.49666666664</v>
      </c>
      <c r="E72" s="19">
        <f t="shared" ref="E72:N72" si="60">IF(E50&lt;&gt;0,E25-E48," ")</f>
        <v>123741.45333333331</v>
      </c>
      <c r="F72" s="89" t="str">
        <f t="shared" si="60"/>
        <v xml:space="preserve"> </v>
      </c>
      <c r="G72" s="89" t="str">
        <f t="shared" si="60"/>
        <v xml:space="preserve"> </v>
      </c>
      <c r="H72" s="89" t="str">
        <f t="shared" si="60"/>
        <v xml:space="preserve"> </v>
      </c>
      <c r="I72" s="89" t="str">
        <f t="shared" si="60"/>
        <v xml:space="preserve"> </v>
      </c>
      <c r="J72" s="89" t="str">
        <f t="shared" si="60"/>
        <v xml:space="preserve"> </v>
      </c>
      <c r="K72" s="89" t="str">
        <f t="shared" si="60"/>
        <v xml:space="preserve"> </v>
      </c>
      <c r="L72" s="89" t="str">
        <f t="shared" si="60"/>
        <v xml:space="preserve"> </v>
      </c>
      <c r="M72" s="89" t="str">
        <f t="shared" si="60"/>
        <v xml:space="preserve"> </v>
      </c>
      <c r="N72" s="89" t="str">
        <f t="shared" si="60"/>
        <v xml:space="preserve"> </v>
      </c>
      <c r="O72" s="19">
        <f t="shared" ref="O72" si="61">SUM(O64:O71)</f>
        <v>138802.49999999997</v>
      </c>
    </row>
    <row r="73" spans="1:15">
      <c r="B73" s="41"/>
      <c r="C73" s="36" t="s">
        <v>52</v>
      </c>
      <c r="D73" s="36" t="s">
        <v>52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" si="62">C27-C50</f>
        <v>-98783.630000000121</v>
      </c>
      <c r="D74" s="38">
        <f>IF(D50&lt;&gt;0,D27-D50," ")</f>
        <v>-83382.370000000112</v>
      </c>
      <c r="E74" s="38">
        <f t="shared" ref="E74:N74" si="63">IF(E50&lt;&gt;0,E27-E50," ")</f>
        <v>182774.70999999996</v>
      </c>
      <c r="F74" s="38" t="str">
        <f t="shared" si="63"/>
        <v xml:space="preserve"> </v>
      </c>
      <c r="G74" s="38" t="str">
        <f t="shared" si="63"/>
        <v xml:space="preserve"> </v>
      </c>
      <c r="H74" s="38" t="str">
        <f t="shared" si="63"/>
        <v xml:space="preserve"> </v>
      </c>
      <c r="I74" s="38" t="str">
        <f t="shared" si="63"/>
        <v xml:space="preserve"> </v>
      </c>
      <c r="J74" s="38" t="str">
        <f t="shared" si="63"/>
        <v xml:space="preserve"> </v>
      </c>
      <c r="K74" s="38" t="str">
        <f t="shared" si="63"/>
        <v xml:space="preserve"> </v>
      </c>
      <c r="L74" s="38" t="str">
        <f t="shared" si="63"/>
        <v xml:space="preserve"> </v>
      </c>
      <c r="M74" s="38" t="str">
        <f t="shared" si="63"/>
        <v xml:space="preserve"> </v>
      </c>
      <c r="N74" s="38" t="str">
        <f t="shared" si="63"/>
        <v xml:space="preserve"> </v>
      </c>
      <c r="O74" s="38">
        <f>O72+O61</f>
        <v>8441.7099999999919</v>
      </c>
    </row>
    <row r="75" spans="1:15" ht="15.75" thickTop="1">
      <c r="B75" s="9"/>
    </row>
    <row r="76" spans="1:15">
      <c r="A76" t="s">
        <v>52</v>
      </c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107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113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121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'WA-Sch191 Rider Balance'!J17</f>
        <v>-740539.39311906474</v>
      </c>
    </row>
    <row r="3" spans="1:2">
      <c r="A3" s="80"/>
    </row>
    <row r="4" spans="1:2">
      <c r="A4" s="80" t="s">
        <v>69</v>
      </c>
      <c r="B4" s="1">
        <v>2972000</v>
      </c>
    </row>
    <row r="5" spans="1:2">
      <c r="A5" s="80" t="s">
        <v>70</v>
      </c>
      <c r="B5" s="84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71</v>
      </c>
      <c r="B8" s="3">
        <f>B2+B6</f>
        <v>-1967138.7264523981</v>
      </c>
    </row>
    <row r="10" spans="1:2">
      <c r="A10" s="80" t="s">
        <v>72</v>
      </c>
      <c r="B10" s="1">
        <v>7703000</v>
      </c>
    </row>
    <row r="11" spans="1:2">
      <c r="A11" t="s">
        <v>73</v>
      </c>
      <c r="B11" s="85"/>
    </row>
    <row r="12" spans="1:2">
      <c r="B12" s="3">
        <f>B11-B10</f>
        <v>-7703000</v>
      </c>
    </row>
    <row r="14" spans="1:2">
      <c r="A14" t="s">
        <v>74</v>
      </c>
      <c r="B14" s="3">
        <f>B8+B12</f>
        <v>-9670138.726452399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3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771694.66</v>
      </c>
      <c r="D5" s="1">
        <v>242576.13694910123</v>
      </c>
      <c r="E5" s="1">
        <v>-343967.88458788441</v>
      </c>
      <c r="F5" s="1">
        <v>-740539.39311906474</v>
      </c>
      <c r="G5" s="1">
        <v>-740539.39311906474</v>
      </c>
      <c r="H5" s="1">
        <v>-740539.39311906474</v>
      </c>
      <c r="I5" s="1">
        <v>-740539.39311906474</v>
      </c>
      <c r="J5" s="1">
        <v>-740539.39311906474</v>
      </c>
      <c r="K5" s="1">
        <v>-740539.39311906474</v>
      </c>
      <c r="L5" s="1">
        <v>-740539.39311906474</v>
      </c>
      <c r="M5" s="1">
        <v>-740539.39311906474</v>
      </c>
      <c r="N5" s="1">
        <v>-740539.39311906474</v>
      </c>
      <c r="O5" s="40"/>
      <c r="P5" s="44">
        <v>771694.66</v>
      </c>
      <c r="Q5" s="47">
        <v>-740539.39311906474</v>
      </c>
      <c r="R5" s="47">
        <v>-740539.39311906474</v>
      </c>
      <c r="S5" s="47">
        <v>-740539.39311906474</v>
      </c>
      <c r="U5" s="47">
        <v>-1733123.7396118881</v>
      </c>
      <c r="V5" s="47">
        <v>-1733123.7396118881</v>
      </c>
      <c r="W5" s="47">
        <v>-1733123.7396118881</v>
      </c>
      <c r="X5" s="47">
        <v>-1733123.7396118881</v>
      </c>
      <c r="Y5" s="47">
        <v>-1733123.7396118881</v>
      </c>
      <c r="Z5" s="47">
        <v>-1733123.7396118881</v>
      </c>
      <c r="AA5" s="47">
        <v>-1733123.7396118881</v>
      </c>
      <c r="AB5" s="47">
        <v>-1733123.7396118881</v>
      </c>
      <c r="AC5" s="47">
        <v>-1733123.7396118881</v>
      </c>
      <c r="AD5" s="47">
        <v>-1733123.7396118881</v>
      </c>
      <c r="AE5" s="47">
        <v>-1733123.7396118881</v>
      </c>
      <c r="AF5" s="47">
        <v>-1733123.7396118881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1053598.5350699516</v>
      </c>
      <c r="D7" s="1">
        <v>913827.53972196172</v>
      </c>
      <c r="E7" s="1">
        <v>731179.0974085721</v>
      </c>
      <c r="F7" s="1">
        <v>505141.24787546159</v>
      </c>
      <c r="G7" s="1">
        <v>303890.81856057857</v>
      </c>
      <c r="H7" s="1">
        <v>197807.11726589539</v>
      </c>
      <c r="I7" s="1">
        <v>152869.34594641428</v>
      </c>
      <c r="J7" s="1">
        <v>158459.34787812419</v>
      </c>
      <c r="K7" s="1">
        <v>188055.21513253657</v>
      </c>
      <c r="L7" s="1">
        <v>430287.29114954948</v>
      </c>
      <c r="M7" s="1">
        <v>791294.08175971231</v>
      </c>
      <c r="N7" s="1">
        <v>1073990.5980664445</v>
      </c>
      <c r="O7" s="47">
        <v>6500400.235835203</v>
      </c>
      <c r="P7" s="47">
        <v>2698605.1722004856</v>
      </c>
      <c r="Q7" s="47">
        <v>1006839.1837019356</v>
      </c>
      <c r="R7" s="47">
        <v>499383.90895707509</v>
      </c>
      <c r="S7" s="47">
        <v>2295571.9709757064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842693.80305089883</v>
      </c>
      <c r="D8" s="1">
        <v>814107.28153698565</v>
      </c>
      <c r="E8" s="1">
        <v>732070.54853118036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2388871.6331190648</v>
      </c>
      <c r="P8" s="47">
        <v>2388871.6331190648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-210904.73201905272</v>
      </c>
      <c r="D9" s="22">
        <v>-99720.258184976061</v>
      </c>
      <c r="E9" s="22">
        <v>891.45112260826863</v>
      </c>
      <c r="F9" s="22">
        <v>-505141.24787546159</v>
      </c>
      <c r="G9" s="22">
        <v>-303890.81856057857</v>
      </c>
      <c r="H9" s="22">
        <v>-197807.11726589539</v>
      </c>
      <c r="I9" s="22">
        <v>-152869.34594641428</v>
      </c>
      <c r="J9" s="22">
        <v>-158459.34787812419</v>
      </c>
      <c r="K9" s="22">
        <v>-188055.21513253657</v>
      </c>
      <c r="L9" s="22">
        <v>-430287.29114954948</v>
      </c>
      <c r="M9" s="22">
        <v>-791294.08175971231</v>
      </c>
      <c r="N9" s="22">
        <v>-1073990.5980664445</v>
      </c>
      <c r="O9" s="48">
        <v>-4111528.6027161372</v>
      </c>
      <c r="P9" s="48">
        <v>-309733.53908142075</v>
      </c>
      <c r="Q9" s="48">
        <v>-1006839.1837019356</v>
      </c>
      <c r="R9" s="48">
        <v>-499383.90895707509</v>
      </c>
      <c r="S9" s="48">
        <v>-2295571.9709757064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313575.28000000003</v>
      </c>
      <c r="D12" s="1">
        <v>227563.25999999998</v>
      </c>
      <c r="E12" s="1">
        <v>335499.04000000004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876637.58000000007</v>
      </c>
      <c r="P12" s="47">
        <v>876637.58000000007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122774.88666666666</v>
      </c>
      <c r="D13" s="23">
        <v>208786.90666666671</v>
      </c>
      <c r="E13" s="23">
        <v>100851.12666666665</v>
      </c>
      <c r="F13" s="23">
        <v>436350.16666666669</v>
      </c>
      <c r="G13" s="23">
        <v>436350.16666666669</v>
      </c>
      <c r="H13" s="23">
        <v>436350.16666666669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4359564.42</v>
      </c>
      <c r="P13" s="49">
        <v>432412.91999999993</v>
      </c>
      <c r="Q13" s="49">
        <v>1309050.5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529118.5230508988</v>
      </c>
      <c r="D15" s="1">
        <v>586544.02153698565</v>
      </c>
      <c r="E15" s="1">
        <v>396571.50853118033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1512234.0531190648</v>
      </c>
      <c r="P15" s="45">
        <v>1512234.0531190648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242576.13694910123</v>
      </c>
      <c r="D17" s="59">
        <v>-343967.88458788441</v>
      </c>
      <c r="E17" s="59">
        <v>-740539.39311906474</v>
      </c>
      <c r="F17" s="59">
        <v>-740539.39311906474</v>
      </c>
      <c r="G17" s="59">
        <v>-740539.39311906474</v>
      </c>
      <c r="H17" s="59">
        <v>-740539.39311906474</v>
      </c>
      <c r="I17" s="59">
        <v>-740539.39311906474</v>
      </c>
      <c r="J17" s="59">
        <v>-740539.39311906474</v>
      </c>
      <c r="K17" s="59">
        <v>-740539.39311906474</v>
      </c>
      <c r="L17" s="59">
        <v>-740539.39311906474</v>
      </c>
      <c r="M17" s="59">
        <v>-740539.39311906474</v>
      </c>
      <c r="N17" s="59">
        <v>-740539.39311906474</v>
      </c>
      <c r="O17" s="47"/>
      <c r="P17" s="47">
        <v>-740539.39311906474</v>
      </c>
      <c r="Q17" s="47">
        <v>-740539.39311906474</v>
      </c>
      <c r="R17" s="47">
        <v>-740539.39311906474</v>
      </c>
      <c r="S17" s="47">
        <v>-740539.39311906474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>
        <v>-809330.4743278597</v>
      </c>
      <c r="G19" s="3">
        <v>-608080.04501297651</v>
      </c>
      <c r="H19" s="3">
        <v>-501996.34371829341</v>
      </c>
      <c r="I19" s="3">
        <v>-457058.57239881234</v>
      </c>
      <c r="J19" s="3">
        <v>-462648.57433052227</v>
      </c>
      <c r="K19" s="3">
        <v>-492244.44158493466</v>
      </c>
      <c r="L19" s="3">
        <v>-734476.51760194753</v>
      </c>
      <c r="M19" s="3">
        <v>-1095483.3082121103</v>
      </c>
      <c r="N19" s="3">
        <v>-1733123.7396118881</v>
      </c>
      <c r="O19" s="40"/>
      <c r="P19" s="47"/>
      <c r="Q19" s="40"/>
      <c r="R19" s="40"/>
      <c r="S19" s="40"/>
      <c r="U19" s="47">
        <v>-1733123.7396118881</v>
      </c>
      <c r="V19" s="47">
        <v>-1733123.7396118881</v>
      </c>
      <c r="W19" s="47">
        <v>-1733123.7396118881</v>
      </c>
      <c r="X19" s="47">
        <v>-1733123.7396118881</v>
      </c>
      <c r="Y19" s="47">
        <v>-1733123.7396118881</v>
      </c>
      <c r="Z19" s="47">
        <v>-1733123.7396118881</v>
      </c>
      <c r="AA19" s="47">
        <v>-1733123.7396118881</v>
      </c>
      <c r="AB19" s="47">
        <v>-1733123.7396118881</v>
      </c>
      <c r="AC19" s="47">
        <v>-1733123.7396118881</v>
      </c>
      <c r="AD19" s="47">
        <v>-1733123.7396118881</v>
      </c>
      <c r="AE19" s="47">
        <v>-1733123.7396118881</v>
      </c>
      <c r="AF19" s="47">
        <v>-1733123.7396118881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119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118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126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  <row r="32" spans="2:32">
      <c r="B32" s="91" t="s">
        <v>52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2:2">
      <c r="B33" t="s">
        <v>52</v>
      </c>
    </row>
  </sheetData>
  <mergeCells count="10">
    <mergeCell ref="B32:O32"/>
    <mergeCell ref="B31:O31"/>
    <mergeCell ref="B30:O30"/>
    <mergeCell ref="B29:O29"/>
    <mergeCell ref="B28:O28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90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1139105/12</f>
        <v>94925.416666666672</v>
      </c>
      <c r="D7" s="18">
        <f t="shared" ref="D7:N9" si="1">C7</f>
        <v>94925.416666666672</v>
      </c>
      <c r="E7" s="18">
        <f t="shared" si="1"/>
        <v>94925.416666666672</v>
      </c>
      <c r="F7" s="18">
        <f t="shared" si="1"/>
        <v>94925.416666666672</v>
      </c>
      <c r="G7" s="18">
        <f t="shared" si="1"/>
        <v>94925.416666666672</v>
      </c>
      <c r="H7" s="18">
        <f t="shared" si="1"/>
        <v>94925.416666666672</v>
      </c>
      <c r="I7" s="18">
        <f t="shared" si="1"/>
        <v>94925.416666666672</v>
      </c>
      <c r="J7" s="18">
        <f t="shared" si="1"/>
        <v>94925.416666666672</v>
      </c>
      <c r="K7" s="18">
        <f t="shared" si="1"/>
        <v>94925.416666666672</v>
      </c>
      <c r="L7" s="18">
        <f t="shared" si="1"/>
        <v>94925.416666666672</v>
      </c>
      <c r="M7" s="18">
        <f t="shared" si="1"/>
        <v>94925.416666666672</v>
      </c>
      <c r="N7" s="18">
        <f t="shared" si="1"/>
        <v>94925.416666666672</v>
      </c>
      <c r="O7" s="52">
        <f t="shared" ref="O7:O13" si="2">SUM(C7:N7)</f>
        <v>1139104.9999999998</v>
      </c>
    </row>
    <row r="8" spans="1:28">
      <c r="B8" s="5" t="s">
        <v>32</v>
      </c>
      <c r="C8" s="18">
        <f>1314397/12</f>
        <v>109533.08333333333</v>
      </c>
      <c r="D8" s="18">
        <f t="shared" si="1"/>
        <v>109533.08333333333</v>
      </c>
      <c r="E8" s="18">
        <f t="shared" si="1"/>
        <v>109533.08333333333</v>
      </c>
      <c r="F8" s="18">
        <f t="shared" si="1"/>
        <v>109533.08333333333</v>
      </c>
      <c r="G8" s="18">
        <f t="shared" si="1"/>
        <v>109533.08333333333</v>
      </c>
      <c r="H8" s="18">
        <f t="shared" si="1"/>
        <v>109533.08333333333</v>
      </c>
      <c r="I8" s="18">
        <f t="shared" si="1"/>
        <v>109533.08333333333</v>
      </c>
      <c r="J8" s="18">
        <f t="shared" si="1"/>
        <v>109533.08333333333</v>
      </c>
      <c r="K8" s="18">
        <f t="shared" si="1"/>
        <v>109533.08333333333</v>
      </c>
      <c r="L8" s="18">
        <f t="shared" si="1"/>
        <v>109533.08333333333</v>
      </c>
      <c r="M8" s="18">
        <f t="shared" si="1"/>
        <v>109533.08333333333</v>
      </c>
      <c r="N8" s="18">
        <f t="shared" si="1"/>
        <v>109533.08333333333</v>
      </c>
      <c r="O8" s="52">
        <f t="shared" si="2"/>
        <v>1314397</v>
      </c>
    </row>
    <row r="9" spans="1:28">
      <c r="B9" s="5" t="s">
        <v>75</v>
      </c>
      <c r="C9" s="18">
        <f>640473/12</f>
        <v>53372.75</v>
      </c>
      <c r="D9" s="18">
        <f t="shared" si="1"/>
        <v>53372.75</v>
      </c>
      <c r="E9" s="18">
        <f t="shared" si="1"/>
        <v>53372.75</v>
      </c>
      <c r="F9" s="18">
        <f t="shared" si="1"/>
        <v>53372.75</v>
      </c>
      <c r="G9" s="18">
        <f t="shared" si="1"/>
        <v>53372.75</v>
      </c>
      <c r="H9" s="18">
        <f t="shared" si="1"/>
        <v>53372.75</v>
      </c>
      <c r="I9" s="18">
        <f t="shared" si="1"/>
        <v>53372.75</v>
      </c>
      <c r="J9" s="18">
        <f t="shared" si="1"/>
        <v>53372.75</v>
      </c>
      <c r="K9" s="18">
        <f t="shared" si="1"/>
        <v>53372.75</v>
      </c>
      <c r="L9" s="18">
        <f t="shared" si="1"/>
        <v>53372.75</v>
      </c>
      <c r="M9" s="18">
        <f t="shared" si="1"/>
        <v>53372.75</v>
      </c>
      <c r="N9" s="18">
        <f t="shared" si="1"/>
        <v>53372.75</v>
      </c>
      <c r="O9" s="52">
        <f t="shared" si="2"/>
        <v>640473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257831.25</v>
      </c>
      <c r="D14" s="19">
        <f t="shared" ref="D14:N14" si="3">SUM(D7:D13)</f>
        <v>257831.25</v>
      </c>
      <c r="E14" s="19">
        <f t="shared" si="3"/>
        <v>257831.25</v>
      </c>
      <c r="F14" s="19">
        <f t="shared" si="3"/>
        <v>257831.25</v>
      </c>
      <c r="G14" s="19">
        <f t="shared" si="3"/>
        <v>257831.25</v>
      </c>
      <c r="H14" s="19">
        <f t="shared" si="3"/>
        <v>257831.25</v>
      </c>
      <c r="I14" s="19">
        <f t="shared" si="3"/>
        <v>257831.25</v>
      </c>
      <c r="J14" s="19">
        <f t="shared" si="3"/>
        <v>257831.25</v>
      </c>
      <c r="K14" s="19">
        <f t="shared" si="3"/>
        <v>257831.25</v>
      </c>
      <c r="L14" s="19">
        <f t="shared" si="3"/>
        <v>257831.25</v>
      </c>
      <c r="M14" s="19">
        <f t="shared" si="3"/>
        <v>257831.25</v>
      </c>
      <c r="N14" s="19">
        <f t="shared" si="3"/>
        <v>257831.25</v>
      </c>
      <c r="O14" s="53">
        <f>SUM(O7:O13)</f>
        <v>3093975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(21000+368153)/12</f>
        <v>32429.416666666668</v>
      </c>
      <c r="D17" s="18">
        <f>C17</f>
        <v>32429.416666666668</v>
      </c>
      <c r="E17" s="18">
        <f t="shared" ref="E17:N17" si="4">D17</f>
        <v>32429.416666666668</v>
      </c>
      <c r="F17" s="18">
        <f t="shared" si="4"/>
        <v>32429.416666666668</v>
      </c>
      <c r="G17" s="18">
        <f t="shared" si="4"/>
        <v>32429.416666666668</v>
      </c>
      <c r="H17" s="18">
        <f t="shared" si="4"/>
        <v>32429.416666666668</v>
      </c>
      <c r="I17" s="18">
        <f t="shared" si="4"/>
        <v>32429.416666666668</v>
      </c>
      <c r="J17" s="18">
        <f t="shared" si="4"/>
        <v>32429.416666666668</v>
      </c>
      <c r="K17" s="18">
        <f t="shared" si="4"/>
        <v>32429.416666666668</v>
      </c>
      <c r="L17" s="18">
        <f t="shared" si="4"/>
        <v>32429.416666666668</v>
      </c>
      <c r="M17" s="18">
        <f t="shared" si="4"/>
        <v>32429.416666666668</v>
      </c>
      <c r="N17" s="18">
        <f t="shared" si="4"/>
        <v>32429.416666666668</v>
      </c>
      <c r="O17" s="52">
        <f t="shared" ref="O17:O24" si="5">SUM(C17:N17)</f>
        <v>389153.00000000006</v>
      </c>
    </row>
    <row r="18" spans="1:29">
      <c r="B18" s="5" t="s">
        <v>32</v>
      </c>
      <c r="C18" s="18">
        <f>(253193)/12</f>
        <v>21099.416666666668</v>
      </c>
      <c r="D18" s="18">
        <f>C18</f>
        <v>21099.416666666668</v>
      </c>
      <c r="E18" s="18">
        <f t="shared" ref="E18:N18" si="6">D18</f>
        <v>21099.416666666668</v>
      </c>
      <c r="F18" s="18">
        <f t="shared" si="6"/>
        <v>21099.416666666668</v>
      </c>
      <c r="G18" s="18">
        <f t="shared" si="6"/>
        <v>21099.416666666668</v>
      </c>
      <c r="H18" s="18">
        <f t="shared" si="6"/>
        <v>21099.416666666668</v>
      </c>
      <c r="I18" s="18">
        <f t="shared" si="6"/>
        <v>21099.416666666668</v>
      </c>
      <c r="J18" s="18">
        <f t="shared" si="6"/>
        <v>21099.416666666668</v>
      </c>
      <c r="K18" s="18">
        <f t="shared" si="6"/>
        <v>21099.416666666668</v>
      </c>
      <c r="L18" s="18">
        <f t="shared" si="6"/>
        <v>21099.416666666668</v>
      </c>
      <c r="M18" s="18">
        <f t="shared" si="6"/>
        <v>21099.416666666668</v>
      </c>
      <c r="N18" s="18">
        <f t="shared" si="6"/>
        <v>21099.416666666668</v>
      </c>
      <c r="O18" s="52">
        <f t="shared" si="5"/>
        <v>253192.99999999997</v>
      </c>
    </row>
    <row r="19" spans="1:29">
      <c r="B19" s="5" t="s">
        <v>75</v>
      </c>
      <c r="C19" s="18">
        <f>(7633)/12</f>
        <v>636.08333333333337</v>
      </c>
      <c r="D19" s="18">
        <f>C19</f>
        <v>636.08333333333337</v>
      </c>
      <c r="E19" s="18">
        <f t="shared" ref="E19:N19" si="7">D19</f>
        <v>636.08333333333337</v>
      </c>
      <c r="F19" s="18">
        <f t="shared" si="7"/>
        <v>636.08333333333337</v>
      </c>
      <c r="G19" s="18">
        <f t="shared" si="7"/>
        <v>636.08333333333337</v>
      </c>
      <c r="H19" s="18">
        <f t="shared" si="7"/>
        <v>636.08333333333337</v>
      </c>
      <c r="I19" s="18">
        <f t="shared" si="7"/>
        <v>636.08333333333337</v>
      </c>
      <c r="J19" s="18">
        <f t="shared" si="7"/>
        <v>636.08333333333337</v>
      </c>
      <c r="K19" s="18">
        <f t="shared" si="7"/>
        <v>636.08333333333337</v>
      </c>
      <c r="L19" s="18">
        <f t="shared" si="7"/>
        <v>636.08333333333337</v>
      </c>
      <c r="M19" s="18">
        <f t="shared" si="7"/>
        <v>636.08333333333337</v>
      </c>
      <c r="N19" s="18">
        <f t="shared" si="7"/>
        <v>636.08333333333337</v>
      </c>
      <c r="O19" s="52">
        <f t="shared" si="5"/>
        <v>7632.9999999999991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f>116933/12</f>
        <v>9744.4166666666661</v>
      </c>
      <c r="D22" s="18">
        <f>C22</f>
        <v>9744.4166666666661</v>
      </c>
      <c r="E22" s="18">
        <f t="shared" ref="E22:N23" si="8">D22</f>
        <v>9744.4166666666661</v>
      </c>
      <c r="F22" s="18">
        <f t="shared" si="8"/>
        <v>9744.4166666666661</v>
      </c>
      <c r="G22" s="18">
        <f t="shared" si="8"/>
        <v>9744.4166666666661</v>
      </c>
      <c r="H22" s="18">
        <f t="shared" si="8"/>
        <v>9744.4166666666661</v>
      </c>
      <c r="I22" s="18">
        <f t="shared" si="8"/>
        <v>9744.4166666666661</v>
      </c>
      <c r="J22" s="18">
        <f t="shared" si="8"/>
        <v>9744.4166666666661</v>
      </c>
      <c r="K22" s="18">
        <f t="shared" si="8"/>
        <v>9744.4166666666661</v>
      </c>
      <c r="L22" s="18">
        <f t="shared" si="8"/>
        <v>9744.4166666666661</v>
      </c>
      <c r="M22" s="18">
        <f t="shared" si="8"/>
        <v>9744.4166666666661</v>
      </c>
      <c r="N22" s="18">
        <f t="shared" si="8"/>
        <v>9744.4166666666661</v>
      </c>
      <c r="O22" s="52">
        <f t="shared" si="5"/>
        <v>116933.00000000001</v>
      </c>
    </row>
    <row r="23" spans="1:29">
      <c r="B23" s="5" t="s">
        <v>77</v>
      </c>
      <c r="C23" s="18">
        <f>(236511)/12</f>
        <v>19709.25</v>
      </c>
      <c r="D23" s="18">
        <f>C23</f>
        <v>19709.25</v>
      </c>
      <c r="E23" s="18">
        <f t="shared" si="8"/>
        <v>19709.25</v>
      </c>
      <c r="F23" s="18">
        <f t="shared" si="8"/>
        <v>19709.25</v>
      </c>
      <c r="G23" s="18">
        <f t="shared" si="8"/>
        <v>19709.25</v>
      </c>
      <c r="H23" s="18">
        <f t="shared" si="8"/>
        <v>19709.25</v>
      </c>
      <c r="I23" s="18">
        <f t="shared" si="8"/>
        <v>19709.25</v>
      </c>
      <c r="J23" s="18">
        <f t="shared" si="8"/>
        <v>19709.25</v>
      </c>
      <c r="K23" s="18">
        <f t="shared" si="8"/>
        <v>19709.25</v>
      </c>
      <c r="L23" s="18">
        <f t="shared" si="8"/>
        <v>19709.25</v>
      </c>
      <c r="M23" s="18">
        <f t="shared" si="8"/>
        <v>19709.25</v>
      </c>
      <c r="N23" s="18">
        <f t="shared" si="8"/>
        <v>19709.25</v>
      </c>
      <c r="O23" s="52">
        <f t="shared" ref="O23" si="9">SUM(C23:N23)</f>
        <v>236511</v>
      </c>
    </row>
    <row r="24" spans="1:29">
      <c r="B24" s="5" t="s">
        <v>36</v>
      </c>
      <c r="C24" s="18">
        <f>((14000+1120+98000+7000+7000+2800+10000)+(56584+124279))/12</f>
        <v>26731.916666666668</v>
      </c>
      <c r="D24" s="18">
        <f>C24</f>
        <v>26731.916666666668</v>
      </c>
      <c r="E24" s="18">
        <f t="shared" ref="E24:N24" si="10">D24</f>
        <v>26731.916666666668</v>
      </c>
      <c r="F24" s="18">
        <f t="shared" si="10"/>
        <v>26731.916666666668</v>
      </c>
      <c r="G24" s="18">
        <f t="shared" si="10"/>
        <v>26731.916666666668</v>
      </c>
      <c r="H24" s="18">
        <f t="shared" si="10"/>
        <v>26731.916666666668</v>
      </c>
      <c r="I24" s="18">
        <f t="shared" si="10"/>
        <v>26731.916666666668</v>
      </c>
      <c r="J24" s="18">
        <f t="shared" si="10"/>
        <v>26731.916666666668</v>
      </c>
      <c r="K24" s="18">
        <f t="shared" si="10"/>
        <v>26731.916666666668</v>
      </c>
      <c r="L24" s="18">
        <f t="shared" si="10"/>
        <v>26731.916666666668</v>
      </c>
      <c r="M24" s="18">
        <f t="shared" si="10"/>
        <v>26731.916666666668</v>
      </c>
      <c r="N24" s="18">
        <f t="shared" si="10"/>
        <v>26731.916666666668</v>
      </c>
      <c r="O24" s="52">
        <f t="shared" si="5"/>
        <v>320783</v>
      </c>
    </row>
    <row r="25" spans="1:29">
      <c r="A25" t="s">
        <v>21</v>
      </c>
      <c r="B25" s="9" t="s">
        <v>87</v>
      </c>
      <c r="C25" s="19">
        <f t="shared" ref="C25:N25" si="11">SUM(C17:C24)</f>
        <v>110350.50000000001</v>
      </c>
      <c r="D25" s="19">
        <f t="shared" si="11"/>
        <v>110350.50000000001</v>
      </c>
      <c r="E25" s="19">
        <f t="shared" si="11"/>
        <v>110350.50000000001</v>
      </c>
      <c r="F25" s="19">
        <f t="shared" si="11"/>
        <v>110350.50000000001</v>
      </c>
      <c r="G25" s="19">
        <f t="shared" si="11"/>
        <v>110350.50000000001</v>
      </c>
      <c r="H25" s="19">
        <f t="shared" si="11"/>
        <v>110350.50000000001</v>
      </c>
      <c r="I25" s="19">
        <f t="shared" si="11"/>
        <v>110350.50000000001</v>
      </c>
      <c r="J25" s="19">
        <f t="shared" si="11"/>
        <v>110350.50000000001</v>
      </c>
      <c r="K25" s="19">
        <f t="shared" si="11"/>
        <v>110350.50000000001</v>
      </c>
      <c r="L25" s="19">
        <f t="shared" si="11"/>
        <v>110350.50000000001</v>
      </c>
      <c r="M25" s="19">
        <f t="shared" si="11"/>
        <v>110350.50000000001</v>
      </c>
      <c r="N25" s="19">
        <f t="shared" si="11"/>
        <v>110350.50000000001</v>
      </c>
      <c r="O25" s="53">
        <f>SUM(O17:O24)</f>
        <v>1324206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80</v>
      </c>
      <c r="B27" s="9" t="s">
        <v>89</v>
      </c>
      <c r="C27" s="38">
        <f>C25+C14</f>
        <v>368181.75</v>
      </c>
      <c r="D27" s="38">
        <f t="shared" ref="D27:O27" si="12">D25+D14</f>
        <v>368181.75</v>
      </c>
      <c r="E27" s="38">
        <f t="shared" si="12"/>
        <v>368181.75</v>
      </c>
      <c r="F27" s="38">
        <f t="shared" si="12"/>
        <v>368181.75</v>
      </c>
      <c r="G27" s="38">
        <f t="shared" si="12"/>
        <v>368181.75</v>
      </c>
      <c r="H27" s="38">
        <f t="shared" si="12"/>
        <v>368181.75</v>
      </c>
      <c r="I27" s="38">
        <f t="shared" si="12"/>
        <v>368181.75</v>
      </c>
      <c r="J27" s="38">
        <f t="shared" si="12"/>
        <v>368181.75</v>
      </c>
      <c r="K27" s="38">
        <f t="shared" si="12"/>
        <v>368181.75</v>
      </c>
      <c r="L27" s="38">
        <f t="shared" si="12"/>
        <v>368181.75</v>
      </c>
      <c r="M27" s="38">
        <f t="shared" si="12"/>
        <v>368181.75</v>
      </c>
      <c r="N27" s="38">
        <f t="shared" si="12"/>
        <v>368181.75</v>
      </c>
      <c r="O27" s="38">
        <f t="shared" si="12"/>
        <v>4418181</v>
      </c>
    </row>
    <row r="28" spans="1:29" ht="15.75" thickTop="1">
      <c r="B28" s="9"/>
      <c r="O28" s="54"/>
    </row>
    <row r="29" spans="1:29">
      <c r="B29" s="30" t="s">
        <v>58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73719.009999999995</v>
      </c>
      <c r="D30" s="18">
        <v>34136.43</v>
      </c>
      <c r="E30" s="18">
        <v>89321.46</v>
      </c>
      <c r="F30" s="18"/>
      <c r="G30" s="18"/>
      <c r="H30" s="18"/>
      <c r="I30" s="18"/>
      <c r="J30" s="18"/>
      <c r="K30" s="18"/>
      <c r="L30" s="18"/>
      <c r="M30" s="18"/>
      <c r="N30" s="18"/>
      <c r="O30" s="52">
        <f t="shared" ref="O30:O36" si="13">SUM(C30:N30)</f>
        <v>197176.90000000002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98988</v>
      </c>
      <c r="D31" s="18">
        <v>76197.570000000007</v>
      </c>
      <c r="E31" s="18">
        <v>129690.22000000002</v>
      </c>
      <c r="F31" s="18"/>
      <c r="G31" s="18"/>
      <c r="H31" s="18"/>
      <c r="I31" s="18"/>
      <c r="J31" s="18"/>
      <c r="K31" s="18"/>
      <c r="L31" s="18"/>
      <c r="M31" s="18"/>
      <c r="N31" s="18"/>
      <c r="O31" s="52">
        <f t="shared" si="13"/>
        <v>304875.79000000004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75</v>
      </c>
      <c r="C32" s="18">
        <v>-2479.65</v>
      </c>
      <c r="D32" s="18"/>
      <c r="E32" s="18">
        <v>9.7799999999999994</v>
      </c>
      <c r="F32" s="18"/>
      <c r="G32" s="18"/>
      <c r="H32" s="18"/>
      <c r="I32" s="18"/>
      <c r="J32" s="18"/>
      <c r="K32" s="18"/>
      <c r="L32" s="18"/>
      <c r="M32" s="18"/>
      <c r="N32" s="18"/>
      <c r="O32" s="52">
        <f t="shared" si="13"/>
        <v>-2469.87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170227.36000000002</v>
      </c>
      <c r="D37" s="19">
        <f t="shared" ref="D37:N37" si="14">SUM(D30:D36)</f>
        <v>110334</v>
      </c>
      <c r="E37" s="19">
        <f t="shared" si="14"/>
        <v>219021.46000000002</v>
      </c>
      <c r="F37" s="19">
        <f t="shared" si="14"/>
        <v>0</v>
      </c>
      <c r="G37" s="19">
        <f t="shared" si="14"/>
        <v>0</v>
      </c>
      <c r="H37" s="19">
        <f t="shared" si="14"/>
        <v>0</v>
      </c>
      <c r="I37" s="19">
        <f t="shared" si="14"/>
        <v>0</v>
      </c>
      <c r="J37" s="19">
        <f t="shared" si="14"/>
        <v>0</v>
      </c>
      <c r="K37" s="19">
        <f t="shared" si="14"/>
        <v>0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499582.82000000007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82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v>7844.02</v>
      </c>
      <c r="D40" s="18">
        <v>6224.8200000000006</v>
      </c>
      <c r="E40" s="18">
        <v>14770.1</v>
      </c>
      <c r="F40" s="18"/>
      <c r="G40" s="18"/>
      <c r="H40" s="18"/>
      <c r="I40" s="18"/>
      <c r="J40" s="18"/>
      <c r="K40" s="18"/>
      <c r="L40" s="18"/>
      <c r="M40" s="18"/>
      <c r="N40" s="18"/>
      <c r="O40" s="52">
        <f t="shared" ref="O40:O47" si="15">SUM(C40:N40)</f>
        <v>28838.940000000002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23299.649999999998</v>
      </c>
      <c r="D41" s="18">
        <v>26912.6</v>
      </c>
      <c r="E41" s="18">
        <v>29432.44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si="15"/>
        <v>79644.69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75</v>
      </c>
      <c r="C42" s="18">
        <v>2268</v>
      </c>
      <c r="D42" s="18">
        <v>2070.34</v>
      </c>
      <c r="E42" s="18">
        <v>246.27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5"/>
        <v>4584.6100000000006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77</v>
      </c>
      <c r="C46" s="18">
        <v>61598.890000000007</v>
      </c>
      <c r="D46" s="18">
        <v>22130.23</v>
      </c>
      <c r="E46" s="18">
        <v>11148.92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ref="O46" si="16">SUM(C46:N46)</f>
        <v>94878.040000000008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48337.36</v>
      </c>
      <c r="D47" s="18">
        <v>59891.27</v>
      </c>
      <c r="E47" s="18">
        <v>60879.850000000006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5"/>
        <v>169108.48000000001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83</v>
      </c>
      <c r="C48" s="19">
        <f t="shared" ref="C48:N48" si="17">SUM(C40:C47)</f>
        <v>143347.91999999998</v>
      </c>
      <c r="D48" s="19">
        <f t="shared" si="17"/>
        <v>117229.25999999998</v>
      </c>
      <c r="E48" s="19">
        <f t="shared" si="17"/>
        <v>116477.58</v>
      </c>
      <c r="F48" s="19">
        <f t="shared" si="17"/>
        <v>0</v>
      </c>
      <c r="G48" s="19">
        <f t="shared" si="17"/>
        <v>0</v>
      </c>
      <c r="H48" s="19">
        <f t="shared" si="17"/>
        <v>0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377054.76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81</v>
      </c>
      <c r="B50" s="30" t="s">
        <v>90</v>
      </c>
      <c r="C50" s="38">
        <f>C48+C37</f>
        <v>313575.28000000003</v>
      </c>
      <c r="D50" s="38">
        <f t="shared" ref="D50:O50" si="18">D48+D37</f>
        <v>227563.25999999998</v>
      </c>
      <c r="E50" s="38">
        <f t="shared" si="18"/>
        <v>335499.04000000004</v>
      </c>
      <c r="F50" s="38">
        <f t="shared" si="18"/>
        <v>0</v>
      </c>
      <c r="G50" s="38">
        <f t="shared" si="18"/>
        <v>0</v>
      </c>
      <c r="H50" s="38">
        <f t="shared" si="18"/>
        <v>0</v>
      </c>
      <c r="I50" s="38">
        <f t="shared" si="18"/>
        <v>0</v>
      </c>
      <c r="J50" s="38">
        <f t="shared" si="18"/>
        <v>0</v>
      </c>
      <c r="K50" s="38">
        <f t="shared" si="18"/>
        <v>0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876637.58000000007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59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" si="19">C7-C30</f>
        <v>21206.406666666677</v>
      </c>
      <c r="D54" s="20">
        <f>IF(D50&lt;&gt;0,D7-D30," ")</f>
        <v>60788.986666666671</v>
      </c>
      <c r="E54" s="20">
        <f>IF(E50&lt;&gt;0,E7-E30," ")</f>
        <v>5603.9566666666651</v>
      </c>
      <c r="F54" s="20" t="str">
        <f t="shared" ref="F54:N54" si="20">IF(F50&lt;&gt;0,F7-F30," ")</f>
        <v xml:space="preserve"> </v>
      </c>
      <c r="G54" s="20" t="str">
        <f t="shared" si="20"/>
        <v xml:space="preserve"> </v>
      </c>
      <c r="H54" s="20" t="str">
        <f t="shared" si="20"/>
        <v xml:space="preserve"> </v>
      </c>
      <c r="I54" s="20" t="str">
        <f t="shared" si="20"/>
        <v xml:space="preserve"> </v>
      </c>
      <c r="J54" s="20" t="str">
        <f t="shared" si="20"/>
        <v xml:space="preserve"> </v>
      </c>
      <c r="K54" s="20" t="str">
        <f t="shared" si="20"/>
        <v xml:space="preserve"> </v>
      </c>
      <c r="L54" s="20" t="str">
        <f t="shared" si="20"/>
        <v xml:space="preserve"> </v>
      </c>
      <c r="M54" s="20" t="str">
        <f t="shared" si="20"/>
        <v xml:space="preserve"> </v>
      </c>
      <c r="N54" s="20" t="str">
        <f t="shared" si="20"/>
        <v xml:space="preserve"> </v>
      </c>
      <c r="O54" s="52">
        <f t="shared" ref="O54:O60" si="21">SUM(C54:N54)</f>
        <v>87599.35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" si="22">C8-C31</f>
        <v>10545.083333333328</v>
      </c>
      <c r="D55" s="20">
        <f>IF(D50&lt;&gt;0,D8-D31," ")</f>
        <v>33335.513333333321</v>
      </c>
      <c r="E55" s="20">
        <f>IF(E50&lt;&gt;0,E8-E31," ")</f>
        <v>-20157.136666666687</v>
      </c>
      <c r="F55" s="20" t="str">
        <f t="shared" ref="F55:N55" si="23">IF(F50&lt;&gt;0,F8-F31," ")</f>
        <v xml:space="preserve"> </v>
      </c>
      <c r="G55" s="20" t="str">
        <f t="shared" si="23"/>
        <v xml:space="preserve"> </v>
      </c>
      <c r="H55" s="20" t="str">
        <f t="shared" si="23"/>
        <v xml:space="preserve"> </v>
      </c>
      <c r="I55" s="20" t="str">
        <f t="shared" si="23"/>
        <v xml:space="preserve"> </v>
      </c>
      <c r="J55" s="20" t="str">
        <f t="shared" si="23"/>
        <v xml:space="preserve"> </v>
      </c>
      <c r="K55" s="20" t="str">
        <f t="shared" si="23"/>
        <v xml:space="preserve"> </v>
      </c>
      <c r="L55" s="20" t="str">
        <f t="shared" si="23"/>
        <v xml:space="preserve"> </v>
      </c>
      <c r="M55" s="20" t="str">
        <f t="shared" si="23"/>
        <v xml:space="preserve"> </v>
      </c>
      <c r="N55" s="20" t="str">
        <f t="shared" si="23"/>
        <v xml:space="preserve"> </v>
      </c>
      <c r="O55" s="52">
        <f t="shared" si="21"/>
        <v>23723.459999999963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75</v>
      </c>
      <c r="C56" s="20">
        <f t="shared" ref="C56" si="24">C9-C32</f>
        <v>55852.4</v>
      </c>
      <c r="D56" s="20">
        <f>IF(D50&lt;&gt;0,D9-D32," ")</f>
        <v>53372.75</v>
      </c>
      <c r="E56" s="20">
        <f>IF(E50&lt;&gt;0,E9-E32," ")</f>
        <v>53362.97</v>
      </c>
      <c r="F56" s="20" t="str">
        <f t="shared" ref="F56:N56" si="25">IF(F50&lt;&gt;0,F9-F32," ")</f>
        <v xml:space="preserve"> </v>
      </c>
      <c r="G56" s="20" t="str">
        <f t="shared" si="25"/>
        <v xml:space="preserve"> </v>
      </c>
      <c r="H56" s="20" t="str">
        <f t="shared" si="25"/>
        <v xml:space="preserve"> </v>
      </c>
      <c r="I56" s="20" t="str">
        <f t="shared" si="25"/>
        <v xml:space="preserve"> </v>
      </c>
      <c r="J56" s="20" t="str">
        <f t="shared" si="25"/>
        <v xml:space="preserve"> </v>
      </c>
      <c r="K56" s="20" t="str">
        <f t="shared" si="25"/>
        <v xml:space="preserve"> </v>
      </c>
      <c r="L56" s="20" t="str">
        <f t="shared" si="25"/>
        <v xml:space="preserve"> </v>
      </c>
      <c r="M56" s="20" t="str">
        <f t="shared" si="25"/>
        <v xml:space="preserve"> </v>
      </c>
      <c r="N56" s="20" t="str">
        <f t="shared" si="25"/>
        <v xml:space="preserve"> </v>
      </c>
      <c r="O56" s="52">
        <f t="shared" si="21"/>
        <v>162588.12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D57" si="26">C10-C33</f>
        <v>0</v>
      </c>
      <c r="D57" s="20">
        <f t="shared" si="26"/>
        <v>0</v>
      </c>
      <c r="E57" s="20">
        <f t="shared" ref="E57:N57" si="27">E10-E33</f>
        <v>0</v>
      </c>
      <c r="F57" s="20">
        <f t="shared" si="27"/>
        <v>0</v>
      </c>
      <c r="G57" s="20">
        <f t="shared" si="27"/>
        <v>0</v>
      </c>
      <c r="H57" s="20">
        <f t="shared" si="27"/>
        <v>0</v>
      </c>
      <c r="I57" s="20">
        <f t="shared" si="27"/>
        <v>0</v>
      </c>
      <c r="J57" s="20">
        <f t="shared" si="27"/>
        <v>0</v>
      </c>
      <c r="K57" s="20">
        <f t="shared" si="27"/>
        <v>0</v>
      </c>
      <c r="L57" s="20">
        <f t="shared" si="27"/>
        <v>0</v>
      </c>
      <c r="M57" s="20">
        <f t="shared" si="27"/>
        <v>0</v>
      </c>
      <c r="N57" s="20">
        <f t="shared" si="27"/>
        <v>0</v>
      </c>
      <c r="O57" s="52">
        <f t="shared" si="21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D58" si="28">C11-C34</f>
        <v>0</v>
      </c>
      <c r="D58" s="20">
        <f t="shared" si="28"/>
        <v>0</v>
      </c>
      <c r="E58" s="20">
        <f t="shared" ref="E58:N58" si="29">E11-E34</f>
        <v>0</v>
      </c>
      <c r="F58" s="20">
        <f t="shared" si="29"/>
        <v>0</v>
      </c>
      <c r="G58" s="20">
        <f t="shared" si="29"/>
        <v>0</v>
      </c>
      <c r="H58" s="20">
        <f t="shared" si="29"/>
        <v>0</v>
      </c>
      <c r="I58" s="20">
        <f t="shared" si="29"/>
        <v>0</v>
      </c>
      <c r="J58" s="20">
        <f t="shared" si="29"/>
        <v>0</v>
      </c>
      <c r="K58" s="20">
        <f t="shared" si="29"/>
        <v>0</v>
      </c>
      <c r="L58" s="20">
        <f t="shared" si="29"/>
        <v>0</v>
      </c>
      <c r="M58" s="20">
        <f t="shared" si="29"/>
        <v>0</v>
      </c>
      <c r="N58" s="20">
        <f t="shared" si="29"/>
        <v>0</v>
      </c>
      <c r="O58" s="52">
        <f t="shared" si="21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D59" si="30">C12-C35</f>
        <v>0</v>
      </c>
      <c r="D59" s="20">
        <f t="shared" si="30"/>
        <v>0</v>
      </c>
      <c r="E59" s="20">
        <f t="shared" ref="E59:N59" si="31">E12-E35</f>
        <v>0</v>
      </c>
      <c r="F59" s="20">
        <f t="shared" si="31"/>
        <v>0</v>
      </c>
      <c r="G59" s="20">
        <f t="shared" si="31"/>
        <v>0</v>
      </c>
      <c r="H59" s="20">
        <f t="shared" si="31"/>
        <v>0</v>
      </c>
      <c r="I59" s="20">
        <f t="shared" si="31"/>
        <v>0</v>
      </c>
      <c r="J59" s="20">
        <f t="shared" si="31"/>
        <v>0</v>
      </c>
      <c r="K59" s="20">
        <f t="shared" si="31"/>
        <v>0</v>
      </c>
      <c r="L59" s="20">
        <f t="shared" si="31"/>
        <v>0</v>
      </c>
      <c r="M59" s="20">
        <f t="shared" si="31"/>
        <v>0</v>
      </c>
      <c r="N59" s="20">
        <f t="shared" si="31"/>
        <v>0</v>
      </c>
      <c r="O59" s="52">
        <f t="shared" si="21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D60" si="32">C13-C36</f>
        <v>0</v>
      </c>
      <c r="D60" s="20">
        <f t="shared" si="32"/>
        <v>0</v>
      </c>
      <c r="E60" s="20">
        <f t="shared" ref="E60:N60" si="33">E13-E36</f>
        <v>0</v>
      </c>
      <c r="F60" s="20">
        <f t="shared" si="33"/>
        <v>0</v>
      </c>
      <c r="G60" s="20">
        <f t="shared" si="33"/>
        <v>0</v>
      </c>
      <c r="H60" s="20">
        <f t="shared" si="33"/>
        <v>0</v>
      </c>
      <c r="I60" s="20">
        <f t="shared" si="33"/>
        <v>0</v>
      </c>
      <c r="J60" s="20">
        <f t="shared" si="33"/>
        <v>0</v>
      </c>
      <c r="K60" s="20">
        <f t="shared" si="33"/>
        <v>0</v>
      </c>
      <c r="L60" s="20">
        <f t="shared" si="33"/>
        <v>0</v>
      </c>
      <c r="M60" s="20">
        <f t="shared" si="33"/>
        <v>0</v>
      </c>
      <c r="N60" s="20">
        <f t="shared" si="33"/>
        <v>0</v>
      </c>
      <c r="O60" s="52">
        <f t="shared" si="21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84</v>
      </c>
      <c r="B61" s="33" t="s">
        <v>40</v>
      </c>
      <c r="C61" s="19">
        <f t="shared" ref="C61" si="34">C14-C37</f>
        <v>87603.889999999985</v>
      </c>
      <c r="D61" s="19">
        <f>IF(D50&lt;&gt;0,D14-D37," ")</f>
        <v>147497.25</v>
      </c>
      <c r="E61" s="19">
        <f t="shared" ref="E61:N61" si="35">IF(E50&lt;&gt;0,E14-E37," ")</f>
        <v>38809.789999999979</v>
      </c>
      <c r="F61" s="19" t="str">
        <f t="shared" si="35"/>
        <v xml:space="preserve"> </v>
      </c>
      <c r="G61" s="19" t="str">
        <f t="shared" si="35"/>
        <v xml:space="preserve"> </v>
      </c>
      <c r="H61" s="19" t="str">
        <f t="shared" si="35"/>
        <v xml:space="preserve"> 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273910.92999999993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86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" si="37">C17-C40</f>
        <v>24585.396666666667</v>
      </c>
      <c r="D64" s="20">
        <f>IF(D50&lt;&gt;0,D17-D40," ")</f>
        <v>26204.596666666668</v>
      </c>
      <c r="E64" s="20">
        <f t="shared" ref="E64:N64" si="38">IF(E50&lt;&gt;0,E17-E40," ")</f>
        <v>17659.316666666666</v>
      </c>
      <c r="F64" s="20" t="str">
        <f t="shared" si="38"/>
        <v xml:space="preserve"> </v>
      </c>
      <c r="G64" s="20" t="str">
        <f t="shared" si="38"/>
        <v xml:space="preserve"> </v>
      </c>
      <c r="H64" s="20" t="str">
        <f t="shared" si="38"/>
        <v xml:space="preserve"> </v>
      </c>
      <c r="I64" s="20" t="str">
        <f t="shared" si="38"/>
        <v xml:space="preserve"> </v>
      </c>
      <c r="J64" s="20" t="str">
        <f t="shared" si="38"/>
        <v xml:space="preserve"> </v>
      </c>
      <c r="K64" s="20" t="str">
        <f t="shared" si="38"/>
        <v xml:space="preserve"> </v>
      </c>
      <c r="L64" s="20" t="str">
        <f t="shared" si="38"/>
        <v xml:space="preserve"> </v>
      </c>
      <c r="M64" s="20" t="str">
        <f t="shared" si="38"/>
        <v xml:space="preserve"> </v>
      </c>
      <c r="N64" s="20" t="str">
        <f t="shared" si="38"/>
        <v xml:space="preserve"> </v>
      </c>
      <c r="O64" s="52">
        <f t="shared" ref="O64:O71" si="39">SUM(C64:N64)</f>
        <v>68449.31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" si="40">C18-C41</f>
        <v>-2200.2333333333299</v>
      </c>
      <c r="D65" s="20">
        <f>IF(D50&lt;&gt;0,D18-D41," ")</f>
        <v>-5813.1833333333307</v>
      </c>
      <c r="E65" s="20">
        <f t="shared" ref="E65:N65" si="41">IF(E50&lt;&gt;0,E18-E41," ")</f>
        <v>-8333.0233333333308</v>
      </c>
      <c r="F65" s="20" t="str">
        <f t="shared" si="41"/>
        <v xml:space="preserve"> </v>
      </c>
      <c r="G65" s="20" t="str">
        <f t="shared" si="41"/>
        <v xml:space="preserve"> </v>
      </c>
      <c r="H65" s="20" t="str">
        <f t="shared" si="41"/>
        <v xml:space="preserve"> </v>
      </c>
      <c r="I65" s="20" t="str">
        <f t="shared" si="41"/>
        <v xml:space="preserve"> </v>
      </c>
      <c r="J65" s="20" t="str">
        <f t="shared" si="41"/>
        <v xml:space="preserve"> </v>
      </c>
      <c r="K65" s="20" t="str">
        <f t="shared" si="41"/>
        <v xml:space="preserve"> </v>
      </c>
      <c r="L65" s="20" t="str">
        <f t="shared" si="41"/>
        <v xml:space="preserve"> </v>
      </c>
      <c r="M65" s="20" t="str">
        <f t="shared" si="41"/>
        <v xml:space="preserve"> </v>
      </c>
      <c r="N65" s="20" t="str">
        <f t="shared" si="41"/>
        <v xml:space="preserve"> </v>
      </c>
      <c r="O65" s="52">
        <f t="shared" si="39"/>
        <v>-16346.439999999991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75</v>
      </c>
      <c r="C66" s="20">
        <f t="shared" ref="C66" si="42">C19-C42</f>
        <v>-1631.9166666666665</v>
      </c>
      <c r="D66" s="20">
        <f>IF(D50&lt;&gt;0,D19-D42," ")</f>
        <v>-1434.2566666666667</v>
      </c>
      <c r="E66" s="20">
        <f t="shared" ref="E66:N66" si="43">IF(E50&lt;&gt;0,E19-E42," ")</f>
        <v>389.81333333333339</v>
      </c>
      <c r="F66" s="20" t="str">
        <f t="shared" si="43"/>
        <v xml:space="preserve"> </v>
      </c>
      <c r="G66" s="20" t="str">
        <f t="shared" si="43"/>
        <v xml:space="preserve"> </v>
      </c>
      <c r="H66" s="20" t="str">
        <f t="shared" si="43"/>
        <v xml:space="preserve"> </v>
      </c>
      <c r="I66" s="20" t="str">
        <f t="shared" si="43"/>
        <v xml:space="preserve"> </v>
      </c>
      <c r="J66" s="20" t="str">
        <f t="shared" si="43"/>
        <v xml:space="preserve"> </v>
      </c>
      <c r="K66" s="20" t="str">
        <f t="shared" si="43"/>
        <v xml:space="preserve"> </v>
      </c>
      <c r="L66" s="20" t="str">
        <f t="shared" si="43"/>
        <v xml:space="preserve"> </v>
      </c>
      <c r="M66" s="20" t="str">
        <f t="shared" si="43"/>
        <v xml:space="preserve"> </v>
      </c>
      <c r="N66" s="20" t="str">
        <f t="shared" si="43"/>
        <v xml:space="preserve"> </v>
      </c>
      <c r="O66" s="52">
        <f t="shared" si="39"/>
        <v>-2676.3599999999997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" si="44">C20-C43</f>
        <v>0</v>
      </c>
      <c r="D67" s="20" t="str">
        <f t="shared" ref="D67:N68" si="45">IF(D53&lt;&gt;0,D20-D43," ")</f>
        <v xml:space="preserve"> </v>
      </c>
      <c r="E67" s="20" t="str">
        <f t="shared" si="45"/>
        <v xml:space="preserve"> </v>
      </c>
      <c r="F67" s="20" t="str">
        <f t="shared" si="45"/>
        <v xml:space="preserve"> </v>
      </c>
      <c r="G67" s="20" t="str">
        <f t="shared" si="45"/>
        <v xml:space="preserve"> </v>
      </c>
      <c r="H67" s="20" t="str">
        <f t="shared" si="45"/>
        <v xml:space="preserve"> </v>
      </c>
      <c r="I67" s="20" t="str">
        <f t="shared" si="45"/>
        <v xml:space="preserve"> </v>
      </c>
      <c r="J67" s="20" t="str">
        <f t="shared" si="45"/>
        <v xml:space="preserve"> </v>
      </c>
      <c r="K67" s="20" t="str">
        <f t="shared" si="45"/>
        <v xml:space="preserve"> </v>
      </c>
      <c r="L67" s="20" t="str">
        <f t="shared" si="45"/>
        <v xml:space="preserve"> </v>
      </c>
      <c r="M67" s="20" t="str">
        <f t="shared" si="45"/>
        <v xml:space="preserve"> </v>
      </c>
      <c r="N67" s="20" t="str">
        <f t="shared" si="45"/>
        <v xml:space="preserve"> </v>
      </c>
      <c r="O67" s="52">
        <f t="shared" si="39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" si="46">C21-C44</f>
        <v>0</v>
      </c>
      <c r="D68" s="20">
        <f t="shared" si="45"/>
        <v>0</v>
      </c>
      <c r="E68" s="20">
        <f t="shared" si="45"/>
        <v>0</v>
      </c>
      <c r="F68" s="20">
        <f t="shared" si="45"/>
        <v>0</v>
      </c>
      <c r="G68" s="20">
        <f t="shared" si="45"/>
        <v>0</v>
      </c>
      <c r="H68" s="20">
        <f t="shared" si="45"/>
        <v>0</v>
      </c>
      <c r="I68" s="20">
        <f t="shared" si="45"/>
        <v>0</v>
      </c>
      <c r="J68" s="20">
        <f t="shared" si="45"/>
        <v>0</v>
      </c>
      <c r="K68" s="20">
        <f t="shared" si="45"/>
        <v>0</v>
      </c>
      <c r="L68" s="20">
        <f t="shared" si="45"/>
        <v>0</v>
      </c>
      <c r="M68" s="20">
        <f t="shared" si="45"/>
        <v>0</v>
      </c>
      <c r="N68" s="20">
        <f t="shared" si="45"/>
        <v>0</v>
      </c>
      <c r="O68" s="52">
        <f t="shared" si="39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" si="47">C22-C45</f>
        <v>9744.4166666666661</v>
      </c>
      <c r="D69" s="20">
        <f>IF(D50&lt;&gt;0,D22-D45," ")</f>
        <v>9744.4166666666661</v>
      </c>
      <c r="E69" s="20">
        <f t="shared" ref="E69:N69" si="48">IF(E50&lt;&gt;0,E22-E45," ")</f>
        <v>9744.4166666666661</v>
      </c>
      <c r="F69" s="20" t="str">
        <f t="shared" si="48"/>
        <v xml:space="preserve"> </v>
      </c>
      <c r="G69" s="20" t="str">
        <f t="shared" si="48"/>
        <v xml:space="preserve"> </v>
      </c>
      <c r="H69" s="20" t="str">
        <f t="shared" si="48"/>
        <v xml:space="preserve"> </v>
      </c>
      <c r="I69" s="20" t="str">
        <f t="shared" si="48"/>
        <v xml:space="preserve"> </v>
      </c>
      <c r="J69" s="20" t="str">
        <f t="shared" si="48"/>
        <v xml:space="preserve"> </v>
      </c>
      <c r="K69" s="20" t="str">
        <f t="shared" si="48"/>
        <v xml:space="preserve"> </v>
      </c>
      <c r="L69" s="20" t="str">
        <f t="shared" si="48"/>
        <v xml:space="preserve"> </v>
      </c>
      <c r="M69" s="20" t="str">
        <f t="shared" si="48"/>
        <v xml:space="preserve"> </v>
      </c>
      <c r="N69" s="20" t="str">
        <f t="shared" si="48"/>
        <v xml:space="preserve"> </v>
      </c>
      <c r="O69" s="52">
        <f t="shared" si="39"/>
        <v>29233.25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77</v>
      </c>
      <c r="C70" s="20">
        <f t="shared" ref="C70" si="49">C23-C46</f>
        <v>-41889.640000000007</v>
      </c>
      <c r="D70" s="20">
        <f>IF(D50&lt;&gt;0,D23-D46," ")</f>
        <v>-2420.9799999999996</v>
      </c>
      <c r="E70" s="20">
        <f t="shared" ref="E70:N70" si="50">IF(E50&lt;&gt;0,E23-E46," ")</f>
        <v>8560.33</v>
      </c>
      <c r="F70" s="20" t="str">
        <f t="shared" si="50"/>
        <v xml:space="preserve"> </v>
      </c>
      <c r="G70" s="20" t="str">
        <f t="shared" si="50"/>
        <v xml:space="preserve"> </v>
      </c>
      <c r="H70" s="20" t="str">
        <f t="shared" si="50"/>
        <v xml:space="preserve"> </v>
      </c>
      <c r="I70" s="20" t="str">
        <f t="shared" si="50"/>
        <v xml:space="preserve"> </v>
      </c>
      <c r="J70" s="20" t="str">
        <f t="shared" si="50"/>
        <v xml:space="preserve"> </v>
      </c>
      <c r="K70" s="20" t="str">
        <f t="shared" si="50"/>
        <v xml:space="preserve"> </v>
      </c>
      <c r="L70" s="20" t="str">
        <f t="shared" si="50"/>
        <v xml:space="preserve"> </v>
      </c>
      <c r="M70" s="20" t="str">
        <f t="shared" si="50"/>
        <v xml:space="preserve"> </v>
      </c>
      <c r="N70" s="20" t="str">
        <f t="shared" si="50"/>
        <v xml:space="preserve"> </v>
      </c>
      <c r="O70" s="52">
        <f t="shared" ref="O70" si="51">SUM(C70:N70)</f>
        <v>-35750.290000000008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" si="52">C24-C47</f>
        <v>-21605.443333333333</v>
      </c>
      <c r="D71" s="20">
        <f>IF(D50&lt;&gt;0,D24-D47," ")</f>
        <v>-33159.353333333333</v>
      </c>
      <c r="E71" s="20">
        <f t="shared" ref="E71:N71" si="53">IF(E50&lt;&gt;0,E24-E47," ")</f>
        <v>-34147.933333333334</v>
      </c>
      <c r="F71" s="20" t="str">
        <f t="shared" si="53"/>
        <v xml:space="preserve"> </v>
      </c>
      <c r="G71" s="20" t="str">
        <f t="shared" si="53"/>
        <v xml:space="preserve"> </v>
      </c>
      <c r="H71" s="20" t="str">
        <f t="shared" si="53"/>
        <v xml:space="preserve"> </v>
      </c>
      <c r="I71" s="20" t="str">
        <f t="shared" si="53"/>
        <v xml:space="preserve"> </v>
      </c>
      <c r="J71" s="20" t="str">
        <f t="shared" si="53"/>
        <v xml:space="preserve"> </v>
      </c>
      <c r="K71" s="20" t="str">
        <f t="shared" si="53"/>
        <v xml:space="preserve"> </v>
      </c>
      <c r="L71" s="20" t="str">
        <f t="shared" si="53"/>
        <v xml:space="preserve"> </v>
      </c>
      <c r="M71" s="20" t="str">
        <f t="shared" si="53"/>
        <v xml:space="preserve"> </v>
      </c>
      <c r="N71" s="20" t="str">
        <f t="shared" si="53"/>
        <v xml:space="preserve"> </v>
      </c>
      <c r="O71" s="52">
        <f t="shared" si="39"/>
        <v>-88912.73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85</v>
      </c>
      <c r="B72" s="33" t="s">
        <v>40</v>
      </c>
      <c r="C72" s="19">
        <f t="shared" ref="C72" si="54">C25-C48</f>
        <v>-32997.419999999969</v>
      </c>
      <c r="D72" s="19">
        <f>IF(D50&lt;&gt;0,D25-D48," ")</f>
        <v>-6878.7599999999657</v>
      </c>
      <c r="E72" s="19">
        <f t="shared" ref="E72:N72" si="55">IF(E50&lt;&gt;0,E25-E48," ")</f>
        <v>-6127.0799999999872</v>
      </c>
      <c r="F72" s="19" t="str">
        <f t="shared" si="55"/>
        <v xml:space="preserve"> </v>
      </c>
      <c r="G72" s="19" t="str">
        <f t="shared" si="55"/>
        <v xml:space="preserve"> </v>
      </c>
      <c r="H72" s="19" t="str">
        <f t="shared" si="55"/>
        <v xml:space="preserve"> 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-46003.259999999995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" si="57">C27-C50</f>
        <v>54606.469999999972</v>
      </c>
      <c r="D74" s="38">
        <f>IF(D50&lt;&gt;0,D27-D50," ")</f>
        <v>140618.49000000002</v>
      </c>
      <c r="E74" s="38">
        <f t="shared" ref="E74:N74" si="58">IF(E50&lt;&gt;0,E27-E50," ")</f>
        <v>32682.709999999963</v>
      </c>
      <c r="F74" s="38" t="str">
        <f t="shared" si="58"/>
        <v xml:space="preserve"> </v>
      </c>
      <c r="G74" s="38" t="str">
        <f t="shared" si="58"/>
        <v xml:space="preserve"> </v>
      </c>
      <c r="H74" s="38" t="str">
        <f t="shared" si="58"/>
        <v xml:space="preserve"> 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21">
        <f>O72+O61</f>
        <v>227907.66999999993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49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51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1" t="s">
        <v>108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1" t="s">
        <v>114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29">
      <c r="B83" s="91" t="s">
        <v>122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29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29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29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29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29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29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29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'ID-Sch91 Rider Balance'!J17</f>
        <v>-698908.91362924397</v>
      </c>
    </row>
    <row r="3" spans="1:2">
      <c r="A3" s="80"/>
    </row>
    <row r="4" spans="1:2">
      <c r="A4" s="80" t="s">
        <v>69</v>
      </c>
      <c r="B4" s="1">
        <v>2607000</v>
      </c>
    </row>
    <row r="5" spans="1:2">
      <c r="A5" s="80" t="s">
        <v>70</v>
      </c>
      <c r="B5" s="84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71</v>
      </c>
      <c r="B8" s="3">
        <f>B2+B6</f>
        <v>-1447649.9136292441</v>
      </c>
    </row>
    <row r="10" spans="1:2">
      <c r="A10" s="80" t="s">
        <v>72</v>
      </c>
      <c r="B10" s="1">
        <v>7706000</v>
      </c>
    </row>
    <row r="11" spans="1:2">
      <c r="A11" t="s">
        <v>73</v>
      </c>
      <c r="B11" s="85"/>
    </row>
    <row r="12" spans="1:2">
      <c r="B12" s="3">
        <f>B11-B10</f>
        <v>-7706000</v>
      </c>
    </row>
    <row r="14" spans="1:2">
      <c r="A14" t="s">
        <v>74</v>
      </c>
      <c r="B14" s="3">
        <f>B8+B12</f>
        <v>-9153649.913629245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26723.27</v>
      </c>
      <c r="D5" s="1">
        <v>-423154.4736197032</v>
      </c>
      <c r="E5" s="1">
        <v>-486062.86058572447</v>
      </c>
      <c r="F5" s="1">
        <v>-698908.91362924397</v>
      </c>
      <c r="G5" s="1">
        <v>-698908.91362924397</v>
      </c>
      <c r="H5" s="1">
        <v>-698908.91362924397</v>
      </c>
      <c r="I5" s="1">
        <v>-698908.91362924397</v>
      </c>
      <c r="J5" s="1">
        <v>-698908.91362924397</v>
      </c>
      <c r="K5" s="1">
        <v>-698908.91362924397</v>
      </c>
      <c r="L5" s="1">
        <v>-698908.91362924397</v>
      </c>
      <c r="M5" s="1">
        <v>-698908.91362924397</v>
      </c>
      <c r="N5" s="1">
        <v>-698908.91362924397</v>
      </c>
      <c r="O5" s="40"/>
      <c r="P5" s="44">
        <v>26723.27</v>
      </c>
      <c r="Q5" s="47">
        <v>-698908.91362924362</v>
      </c>
      <c r="R5" s="47">
        <v>-698908.91362924362</v>
      </c>
      <c r="S5" s="47">
        <v>-698908.91362924362</v>
      </c>
      <c r="U5" s="47">
        <v>-1232292.2511135237</v>
      </c>
      <c r="V5" s="47">
        <v>-1232292.2511135237</v>
      </c>
      <c r="W5" s="47">
        <v>-1232292.2511135237</v>
      </c>
      <c r="X5" s="47">
        <v>-1232292.2511135237</v>
      </c>
      <c r="Y5" s="47">
        <v>-1232292.2511135237</v>
      </c>
      <c r="Z5" s="47">
        <v>-1232292.2511135237</v>
      </c>
      <c r="AA5" s="47">
        <v>-1232292.2511135237</v>
      </c>
      <c r="AB5" s="47">
        <v>-1232292.2511135237</v>
      </c>
      <c r="AC5" s="47">
        <v>-1232292.2511135237</v>
      </c>
      <c r="AD5" s="47">
        <v>-1232292.2511135237</v>
      </c>
      <c r="AE5" s="47">
        <v>-1232292.2511135237</v>
      </c>
      <c r="AF5" s="47">
        <v>-1232292.2511135237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779154.21601791016</v>
      </c>
      <c r="D7" s="2">
        <v>681130.55582262564</v>
      </c>
      <c r="E7" s="2">
        <v>676360.54941640713</v>
      </c>
      <c r="F7" s="2">
        <v>580176.04106633156</v>
      </c>
      <c r="G7" s="2">
        <v>578915.83149083343</v>
      </c>
      <c r="H7" s="2">
        <v>554962.55455580307</v>
      </c>
      <c r="I7" s="2">
        <v>609096.65834636311</v>
      </c>
      <c r="J7" s="2">
        <v>643963.15602852381</v>
      </c>
      <c r="K7" s="2">
        <v>579560.30315130227</v>
      </c>
      <c r="L7" s="2">
        <v>615384.89111558907</v>
      </c>
      <c r="M7" s="2">
        <v>663040.57480538066</v>
      </c>
      <c r="N7" s="2">
        <v>799472.26267889922</v>
      </c>
      <c r="O7" s="47">
        <v>7761217.5944959689</v>
      </c>
      <c r="P7" s="47">
        <v>2136645.321256943</v>
      </c>
      <c r="Q7" s="47">
        <v>1714054.4271129682</v>
      </c>
      <c r="R7" s="47">
        <v>1832620.1175261892</v>
      </c>
      <c r="S7" s="47">
        <v>2077897.7285998692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759218.4736197032</v>
      </c>
      <c r="D8" s="1">
        <v>692096.4269660213</v>
      </c>
      <c r="E8" s="1">
        <v>651874.19304351951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2103189.0936292438</v>
      </c>
      <c r="P8" s="47">
        <v>2103189.0936292438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-19935.742398206959</v>
      </c>
      <c r="D9" s="22">
        <v>10965.871143395663</v>
      </c>
      <c r="E9" s="22">
        <v>-24486.356372887618</v>
      </c>
      <c r="F9" s="22">
        <v>-580176.04106633156</v>
      </c>
      <c r="G9" s="22">
        <v>-578915.83149083343</v>
      </c>
      <c r="H9" s="22">
        <v>-554962.55455580307</v>
      </c>
      <c r="I9" s="22">
        <v>-609096.65834636311</v>
      </c>
      <c r="J9" s="22">
        <v>-643963.15602852381</v>
      </c>
      <c r="K9" s="22">
        <v>-579560.30315130227</v>
      </c>
      <c r="L9" s="22">
        <v>-615384.89111558907</v>
      </c>
      <c r="M9" s="22">
        <v>-663040.57480538066</v>
      </c>
      <c r="N9" s="22">
        <v>-799472.26267889922</v>
      </c>
      <c r="O9" s="48">
        <v>-5658028.5008667251</v>
      </c>
      <c r="P9" s="48">
        <v>-33456.227627699263</v>
      </c>
      <c r="Q9" s="48">
        <v>-1714054.4271129682</v>
      </c>
      <c r="R9" s="48">
        <v>-1832620.1175261892</v>
      </c>
      <c r="S9" s="48">
        <v>-2077897.7285998692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309340.73</v>
      </c>
      <c r="D12" s="1">
        <v>629188.04</v>
      </c>
      <c r="E12" s="1">
        <v>439028.14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1377556.9100000001</v>
      </c>
      <c r="P12" s="47">
        <v>1377556.9100000001</v>
      </c>
      <c r="Q12" s="47">
        <v>0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155224.02000000002</v>
      </c>
      <c r="D13" s="23">
        <v>-164623.29000000004</v>
      </c>
      <c r="E13" s="23">
        <v>25536.609999999986</v>
      </c>
      <c r="F13" s="23">
        <v>464564.75</v>
      </c>
      <c r="G13" s="23">
        <v>464564.75</v>
      </c>
      <c r="H13" s="23">
        <v>464564.75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4197220.09</v>
      </c>
      <c r="P13" s="49">
        <v>16137.339999999851</v>
      </c>
      <c r="Q13" s="49">
        <v>1393694.25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449877.74361970322</v>
      </c>
      <c r="D15" s="1">
        <v>62908.386966021266</v>
      </c>
      <c r="E15" s="1">
        <v>212846.0530435195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725632.18362924363</v>
      </c>
      <c r="P15" s="45">
        <v>725632.18362924363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-423154.4736197032</v>
      </c>
      <c r="D17" s="59">
        <v>-486062.86058572447</v>
      </c>
      <c r="E17" s="59">
        <v>-698908.91362924397</v>
      </c>
      <c r="F17" s="59">
        <v>-698908.91362924397</v>
      </c>
      <c r="G17" s="59">
        <v>-698908.91362924397</v>
      </c>
      <c r="H17" s="59">
        <v>-698908.91362924397</v>
      </c>
      <c r="I17" s="59">
        <v>-698908.91362924397</v>
      </c>
      <c r="J17" s="59">
        <v>-698908.91362924397</v>
      </c>
      <c r="K17" s="59">
        <v>-698908.91362924397</v>
      </c>
      <c r="L17" s="59">
        <v>-698908.91362924397</v>
      </c>
      <c r="M17" s="59">
        <v>-698908.91362924397</v>
      </c>
      <c r="N17" s="59">
        <v>-698908.91362924397</v>
      </c>
      <c r="O17" s="47"/>
      <c r="P17" s="47">
        <v>-698908.91362924362</v>
      </c>
      <c r="Q17" s="47">
        <v>-698908.91362924362</v>
      </c>
      <c r="R17" s="47">
        <v>-698908.91362924362</v>
      </c>
      <c r="S17" s="47">
        <v>-698908.91362924362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>
        <v>-814520.2046955754</v>
      </c>
      <c r="G19" s="3">
        <v>-813259.99512007739</v>
      </c>
      <c r="H19" s="3">
        <v>-789306.71818504715</v>
      </c>
      <c r="I19" s="3">
        <v>-843440.82197560696</v>
      </c>
      <c r="J19" s="3">
        <v>-878307.31965776766</v>
      </c>
      <c r="K19" s="3">
        <v>-813904.46678054612</v>
      </c>
      <c r="L19" s="3">
        <v>-849729.05474483315</v>
      </c>
      <c r="M19" s="3">
        <v>-897384.73843462463</v>
      </c>
      <c r="N19" s="3">
        <v>-1232292.2511135237</v>
      </c>
      <c r="O19" s="40"/>
      <c r="P19" s="47"/>
      <c r="Q19" s="40"/>
      <c r="R19" s="40"/>
      <c r="S19" s="40"/>
      <c r="U19" s="47">
        <v>-1232292.2511135237</v>
      </c>
      <c r="V19" s="47">
        <v>-1232292.2511135237</v>
      </c>
      <c r="W19" s="47">
        <v>-1232292.2511135237</v>
      </c>
      <c r="X19" s="47">
        <v>-1232292.2511135237</v>
      </c>
      <c r="Y19" s="47">
        <v>-1232292.2511135237</v>
      </c>
      <c r="Z19" s="47">
        <v>-1232292.2511135237</v>
      </c>
      <c r="AA19" s="47">
        <v>-1232292.2511135237</v>
      </c>
      <c r="AB19" s="47">
        <v>-1232292.2511135237</v>
      </c>
      <c r="AC19" s="47">
        <v>-1232292.2511135237</v>
      </c>
      <c r="AD19" s="47">
        <v>-1232292.2511135237</v>
      </c>
      <c r="AE19" s="47">
        <v>-1232292.2511135237</v>
      </c>
      <c r="AF19" s="47">
        <v>-1232292.2511135237</v>
      </c>
    </row>
    <row r="21" spans="2:32">
      <c r="B21" s="51" t="s">
        <v>26</v>
      </c>
    </row>
    <row r="22" spans="2:32">
      <c r="B22" s="91" t="s">
        <v>112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120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127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52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</sheetData>
  <mergeCells count="10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2008-12-31T08:00:00+00:00</OpenedDate>
    <Date1 xmlns="dc463f71-b30c-4ab2-9473-d307f9d35888">2012-04-11T07:00:00+00:00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082272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81205735848445924E4D0F05517EFE" ma:contentTypeVersion="135" ma:contentTypeDescription="" ma:contentTypeScope="" ma:versionID="a88cdd576291ccb1462ea7e3eb671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3E4BABC-9157-406B-95FA-56E9CCAC7DDC}"/>
</file>

<file path=customXml/itemProps2.xml><?xml version="1.0" encoding="utf-8"?>
<ds:datastoreItem xmlns:ds="http://schemas.openxmlformats.org/officeDocument/2006/customXml" ds:itemID="{AC821984-828D-4E32-87F1-F43FED19A42F}"/>
</file>

<file path=customXml/itemProps3.xml><?xml version="1.0" encoding="utf-8"?>
<ds:datastoreItem xmlns:ds="http://schemas.openxmlformats.org/officeDocument/2006/customXml" ds:itemID="{60F02DFD-18F6-478A-907A-67F51177F816}"/>
</file>

<file path=customXml/itemProps4.xml><?xml version="1.0" encoding="utf-8"?>
<ds:datastoreItem xmlns:ds="http://schemas.openxmlformats.org/officeDocument/2006/customXml" ds:itemID="{5A48CF8E-20FD-45A7-AD8C-8A2FBD443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2012-04-04T16:25:27Z</cp:lastPrinted>
  <dcterms:created xsi:type="dcterms:W3CDTF">2010-03-25T21:27:14Z</dcterms:created>
  <dcterms:modified xsi:type="dcterms:W3CDTF">2012-04-11T21:10:27Z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0x0101006E56B4D1795A2E4DB2F0B01679ED314A001781205735848445924E4D0F05517EFE</vt:lpwstr>
  </property>
  <property fmtid="{D5CDD505-2E9C-101B-9397-08002B2CF9AE}" pid="4" name="_docset_NoMedatataSyncRequired">
    <vt:lpwstr>False</vt:lpwstr>
  </property>
</Properties>
</file>