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3640" windowHeight="9465"/>
  </bookViews>
  <sheets>
    <sheet name="Summary (ICNU ROR)" sheetId="19" r:id="rId1"/>
    <sheet name="Summary (AVA ROR)" sheetId="1" r:id="rId2"/>
    <sheet name="Rev Norm" sheetId="8" r:id="rId3"/>
    <sheet name="Prop Tax" sheetId="4" r:id="rId4"/>
    <sheet name="ICNU PF Power Supply" sheetId="18" r:id="rId5"/>
    <sheet name="Overall Summary" sheetId="22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4">'ICNU PF Power Supply'!$A$1:$I$45</definedName>
    <definedName name="_xlnm.Print_Area" localSheetId="5">'Overall Summary'!$A$1:$G$33</definedName>
    <definedName name="_xlnm.Print_Area" localSheetId="3">'Prop Tax'!$A$1:$L$33</definedName>
    <definedName name="_xlnm.Print_Area" localSheetId="2">'Rev Norm'!$A$1:$L$37</definedName>
    <definedName name="_xlnm.Print_Area" localSheetId="1">'Summary (AVA ROR)'!$A$1:$X$48</definedName>
    <definedName name="_xlnm.Print_Area" localSheetId="0">'Summary (ICNU ROR)'!$A$1:$X$48</definedName>
  </definedNames>
  <calcPr calcId="145621"/>
</workbook>
</file>

<file path=xl/calcChain.xml><?xml version="1.0" encoding="utf-8"?>
<calcChain xmlns="http://schemas.openxmlformats.org/spreadsheetml/2006/main">
  <c r="E25" i="22" l="1"/>
  <c r="E21" i="22"/>
  <c r="E17" i="22"/>
  <c r="E11" i="22"/>
  <c r="E15" i="22" s="1"/>
  <c r="E19" i="22" s="1"/>
  <c r="E23" i="22" s="1"/>
  <c r="E27" i="22" s="1"/>
  <c r="A6" i="22"/>
  <c r="D32" i="18" l="1"/>
  <c r="F32" i="18" s="1"/>
  <c r="D31" i="18"/>
  <c r="D30" i="18" s="1"/>
  <c r="F30" i="18" s="1"/>
  <c r="H30" i="18" s="1"/>
  <c r="F29" i="18"/>
  <c r="F28" i="18"/>
  <c r="H28" i="18" s="1"/>
  <c r="F27" i="18"/>
  <c r="I27" i="18" s="1"/>
  <c r="E26" i="18"/>
  <c r="D26" i="18"/>
  <c r="D25" i="18"/>
  <c r="D24" i="18"/>
  <c r="F24" i="18" s="1"/>
  <c r="F23" i="18"/>
  <c r="D22" i="18"/>
  <c r="F22" i="18" s="1"/>
  <c r="E19" i="18"/>
  <c r="H18" i="18"/>
  <c r="D18" i="18"/>
  <c r="F18" i="18" s="1"/>
  <c r="I16" i="18"/>
  <c r="F16" i="18"/>
  <c r="H16" i="18" s="1"/>
  <c r="D15" i="18"/>
  <c r="F15" i="18" s="1"/>
  <c r="H15" i="18" s="1"/>
  <c r="D14" i="18"/>
  <c r="F14" i="18" s="1"/>
  <c r="I12" i="18"/>
  <c r="I28" i="18" s="1"/>
  <c r="F26" i="18" l="1"/>
  <c r="H26" i="18" s="1"/>
  <c r="I18" i="18"/>
  <c r="I23" i="18"/>
  <c r="I29" i="18"/>
  <c r="I14" i="18"/>
  <c r="H14" i="18"/>
  <c r="I22" i="18"/>
  <c r="H22" i="18"/>
  <c r="D34" i="18"/>
  <c r="I30" i="18"/>
  <c r="D17" i="18"/>
  <c r="F17" i="18" s="1"/>
  <c r="I17" i="18" s="1"/>
  <c r="E31" i="18"/>
  <c r="H31" i="18" s="1"/>
  <c r="I32" i="18"/>
  <c r="H32" i="18"/>
  <c r="I24" i="18"/>
  <c r="H24" i="18"/>
  <c r="H29" i="18"/>
  <c r="F25" i="18"/>
  <c r="H23" i="18"/>
  <c r="H27" i="18"/>
  <c r="I15" i="18"/>
  <c r="I26" i="18" l="1"/>
  <c r="D19" i="18"/>
  <c r="D36" i="18" s="1"/>
  <c r="F19" i="18"/>
  <c r="H17" i="18"/>
  <c r="H19" i="18" s="1"/>
  <c r="E34" i="18"/>
  <c r="E36" i="18" s="1"/>
  <c r="F31" i="18"/>
  <c r="I31" i="18" s="1"/>
  <c r="I19" i="18"/>
  <c r="I25" i="18"/>
  <c r="H25" i="18"/>
  <c r="H34" i="18" s="1"/>
  <c r="F34" i="18" l="1"/>
  <c r="F36" i="18" s="1"/>
  <c r="H36" i="18"/>
  <c r="H40" i="18" s="1"/>
  <c r="H42" i="18" s="1"/>
  <c r="H44" i="18" s="1"/>
  <c r="I34" i="18"/>
  <c r="I36" i="18" s="1"/>
  <c r="I38" i="18" s="1"/>
  <c r="I40" i="18" s="1"/>
  <c r="R31" i="1" l="1"/>
  <c r="T31" i="1" s="1"/>
  <c r="R31" i="19"/>
  <c r="T31" i="19" s="1"/>
  <c r="I42" i="18"/>
  <c r="I44" i="18" s="1"/>
  <c r="N47" i="19" l="1"/>
  <c r="N46" i="19"/>
  <c r="N45" i="19"/>
  <c r="X45" i="19" s="1"/>
  <c r="N43" i="19"/>
  <c r="X43" i="19" s="1"/>
  <c r="N42" i="19"/>
  <c r="X42" i="19" s="1"/>
  <c r="N41" i="19"/>
  <c r="X41" i="19" s="1"/>
  <c r="A41" i="19"/>
  <c r="A42" i="19" s="1"/>
  <c r="A43" i="19" s="1"/>
  <c r="A45" i="19" s="1"/>
  <c r="A46" i="19" s="1"/>
  <c r="A47" i="19" s="1"/>
  <c r="N40" i="19"/>
  <c r="X40" i="19" s="1"/>
  <c r="N38" i="19"/>
  <c r="N37" i="19"/>
  <c r="N36" i="19"/>
  <c r="N35" i="19"/>
  <c r="N34" i="19"/>
  <c r="N33" i="19"/>
  <c r="N32" i="19"/>
  <c r="A32" i="19"/>
  <c r="A33" i="19" s="1"/>
  <c r="A34" i="19" s="1"/>
  <c r="A35" i="19" s="1"/>
  <c r="A36" i="19" s="1"/>
  <c r="A37" i="19" s="1"/>
  <c r="A38" i="19" s="1"/>
  <c r="N31" i="19"/>
  <c r="X31" i="19" s="1"/>
  <c r="P30" i="19"/>
  <c r="L30" i="19"/>
  <c r="L39" i="19" s="1"/>
  <c r="L44" i="19" s="1"/>
  <c r="L48" i="19" s="1"/>
  <c r="J30" i="19"/>
  <c r="J39" i="19" s="1"/>
  <c r="J44" i="19" s="1"/>
  <c r="J48" i="19" s="1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A15" i="19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N14" i="19"/>
  <c r="A14" i="19"/>
  <c r="N13" i="19"/>
  <c r="N12" i="19"/>
  <c r="N11" i="19"/>
  <c r="A11" i="19"/>
  <c r="A12" i="19" s="1"/>
  <c r="N10" i="19"/>
  <c r="N30" i="19" l="1"/>
  <c r="N39" i="19" s="1"/>
  <c r="N44" i="19" s="1"/>
  <c r="N48" i="19" s="1"/>
  <c r="J30" i="1" l="1"/>
  <c r="L30" i="1"/>
  <c r="P30" i="1" l="1"/>
  <c r="I14" i="8" l="1"/>
  <c r="I21" i="8" s="1"/>
  <c r="I28" i="8" s="1"/>
  <c r="I32" i="8" l="1"/>
  <c r="I35" i="8" s="1"/>
  <c r="I20" i="4"/>
  <c r="I18" i="4"/>
  <c r="I16" i="4"/>
  <c r="R24" i="1" l="1"/>
  <c r="R24" i="19"/>
  <c r="I23" i="4"/>
  <c r="I27" i="4" s="1"/>
  <c r="I30" i="4" s="1"/>
  <c r="T24" i="1" l="1"/>
  <c r="R37" i="1"/>
  <c r="T37" i="1" s="1"/>
  <c r="R37" i="19"/>
  <c r="T37" i="19" s="1"/>
  <c r="X37" i="19" s="1"/>
  <c r="R30" i="19"/>
  <c r="R39" i="19" s="1"/>
  <c r="R44" i="19" s="1"/>
  <c r="R48" i="19" s="1"/>
  <c r="T24" i="19"/>
  <c r="N47" i="1"/>
  <c r="N46" i="1"/>
  <c r="N45" i="1"/>
  <c r="X45" i="1" s="1"/>
  <c r="N43" i="1"/>
  <c r="X43" i="1" s="1"/>
  <c r="N42" i="1"/>
  <c r="X42" i="1" s="1"/>
  <c r="N41" i="1"/>
  <c r="X41" i="1" s="1"/>
  <c r="N40" i="1"/>
  <c r="X40" i="1" s="1"/>
  <c r="N38" i="1"/>
  <c r="N37" i="1"/>
  <c r="X37" i="1" s="1"/>
  <c r="N36" i="1"/>
  <c r="N35" i="1"/>
  <c r="N34" i="1"/>
  <c r="N33" i="1"/>
  <c r="N32" i="1"/>
  <c r="N31" i="1"/>
  <c r="X31" i="1" s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X24" i="1" l="1"/>
  <c r="T30" i="19"/>
  <c r="T39" i="19" s="1"/>
  <c r="T44" i="19" s="1"/>
  <c r="T48" i="19" s="1"/>
  <c r="X24" i="19"/>
  <c r="X30" i="19" s="1"/>
  <c r="X39" i="19" s="1"/>
  <c r="X44" i="19" s="1"/>
  <c r="X48" i="19" s="1"/>
  <c r="R30" i="1"/>
  <c r="R39" i="1" s="1"/>
  <c r="R44" i="1" s="1"/>
  <c r="R48" i="1" s="1"/>
  <c r="T30" i="1"/>
  <c r="T39" i="1" s="1"/>
  <c r="T44" i="1" s="1"/>
  <c r="T48" i="1" s="1"/>
  <c r="N30" i="1"/>
  <c r="N39" i="1" s="1"/>
  <c r="J39" i="1"/>
  <c r="J44" i="1" s="1"/>
  <c r="J48" i="1" s="1"/>
  <c r="L39" i="1"/>
  <c r="L44" i="1" s="1"/>
  <c r="L48" i="1" s="1"/>
  <c r="A41" i="1"/>
  <c r="A42" i="1" s="1"/>
  <c r="A43" i="1" s="1"/>
  <c r="A45" i="1" s="1"/>
  <c r="A46" i="1" s="1"/>
  <c r="A47" i="1" s="1"/>
  <c r="A32" i="1"/>
  <c r="A33" i="1" s="1"/>
  <c r="A34" i="1" s="1"/>
  <c r="A35" i="1" s="1"/>
  <c r="A36" i="1" s="1"/>
  <c r="A37" i="1" s="1"/>
  <c r="A38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1" i="1"/>
  <c r="A12" i="1" s="1"/>
  <c r="X50" i="19" l="1"/>
  <c r="X30" i="1"/>
  <c r="X39" i="1" s="1"/>
  <c r="X44" i="1" s="1"/>
  <c r="X48" i="1" s="1"/>
  <c r="N44" i="1"/>
  <c r="N48" i="1" l="1"/>
</calcChain>
</file>

<file path=xl/sharedStrings.xml><?xml version="1.0" encoding="utf-8"?>
<sst xmlns="http://schemas.openxmlformats.org/spreadsheetml/2006/main" count="351" uniqueCount="186">
  <si>
    <t>Results of Operations</t>
  </si>
  <si>
    <t>Deferred FIT Rate Base</t>
  </si>
  <si>
    <t>Deferred Debits and Credits</t>
  </si>
  <si>
    <t>Working Capital</t>
  </si>
  <si>
    <t>Eliminate B&amp;O Taxes</t>
  </si>
  <si>
    <t>Uncollectible Expense</t>
  </si>
  <si>
    <t>Regulatory Expense</t>
  </si>
  <si>
    <t>Injuries and Damages</t>
  </si>
  <si>
    <t>FIT/DFIT/ITC/PTC Expense</t>
  </si>
  <si>
    <t>Eliminate WA Cost Defer</t>
  </si>
  <si>
    <t>Nez Perce Settlement Adjustment</t>
  </si>
  <si>
    <t>Eliminate Accounts Rec. Expenses</t>
  </si>
  <si>
    <t>Office Space Chg'd to Subsidiaries</t>
  </si>
  <si>
    <t>Restate Excise Taxes</t>
  </si>
  <si>
    <t>Net Gains/Losses</t>
  </si>
  <si>
    <t>Revenue Normalization</t>
  </si>
  <si>
    <t>Miscellaneous Restating</t>
  </si>
  <si>
    <t>PCB Transformer Restating</t>
  </si>
  <si>
    <t>Restate Incentives</t>
  </si>
  <si>
    <t>Colstrip/CS2 Maintenance</t>
  </si>
  <si>
    <t>Restate Debt Interest</t>
  </si>
  <si>
    <t>Restated Total</t>
  </si>
  <si>
    <t>Pro Forma Power Supply</t>
  </si>
  <si>
    <t>Pro Forma Transmission</t>
  </si>
  <si>
    <t>Pro Forma Labor Executive</t>
  </si>
  <si>
    <t>Pro forma Labor Non-Executive</t>
  </si>
  <si>
    <t>Pro Forma Employee Benefits</t>
  </si>
  <si>
    <t>Pro Forma Insurance</t>
  </si>
  <si>
    <t>Pro Forma Property Tax</t>
  </si>
  <si>
    <t>Restate 2011 Capital</t>
  </si>
  <si>
    <t>Pro Forma Subtotal</t>
  </si>
  <si>
    <t>Alternative - Planned Capital Add 2012</t>
  </si>
  <si>
    <t>Alternative - Planned Capital Add 2013</t>
  </si>
  <si>
    <t>Alternative - DSM</t>
  </si>
  <si>
    <t>Alternative - Other</t>
  </si>
  <si>
    <t>Attrition Adjusted Total</t>
  </si>
  <si>
    <t>Retail Revenue Credit</t>
  </si>
  <si>
    <t>Depreciation Study</t>
  </si>
  <si>
    <t>O&amp;M Offset</t>
  </si>
  <si>
    <t>Designation</t>
  </si>
  <si>
    <t>Adjustment Description</t>
  </si>
  <si>
    <t>Final Total</t>
  </si>
  <si>
    <t>Rate Base</t>
  </si>
  <si>
    <t>NOI</t>
  </si>
  <si>
    <t>Rev Req't</t>
  </si>
  <si>
    <t>ROR</t>
  </si>
  <si>
    <t>Tax factor</t>
  </si>
  <si>
    <t>Avista</t>
  </si>
  <si>
    <t>Adj't. No.</t>
  </si>
  <si>
    <t>Public Counsel Position</t>
  </si>
  <si>
    <t>Line</t>
  </si>
  <si>
    <t>No.</t>
  </si>
  <si>
    <t>Description</t>
  </si>
  <si>
    <t>Amount</t>
  </si>
  <si>
    <t>Reference</t>
  </si>
  <si>
    <t>Avista Corporation</t>
  </si>
  <si>
    <t>Electric Docket No. UE-120436</t>
  </si>
  <si>
    <t>Federal Income Tax Rate</t>
  </si>
  <si>
    <t>Adjust Property Tax Expense to Synchronize with 2011 End of Test Year Plant in Service</t>
  </si>
  <si>
    <t>Total Washington Jurisdiction Proforma Property Tax</t>
  </si>
  <si>
    <t>Expense Synchronized with 2011 End of Test Year</t>
  </si>
  <si>
    <t>Actual Plant in Service:</t>
  </si>
  <si>
    <t>Production/Transmission Function</t>
  </si>
  <si>
    <t>Distribution Function</t>
  </si>
  <si>
    <t>General</t>
  </si>
  <si>
    <t>Total Proforma Washington Jurisdictional</t>
  </si>
  <si>
    <t>Property Tax Expense</t>
  </si>
  <si>
    <t>Confidential Attch</t>
  </si>
  <si>
    <t>A PC Property</t>
  </si>
  <si>
    <t>Tax Adj't.xlsx</t>
  </si>
  <si>
    <t>Staff_DR-333C</t>
  </si>
  <si>
    <t>Decrease in Related Federal Income Taxes</t>
  </si>
  <si>
    <t>Washington Jurisdictional Reduction to Net Operating</t>
  </si>
  <si>
    <t>Income Resulting from Property Tax Adjustment</t>
  </si>
  <si>
    <t>Sum Lines  4, 6, 8</t>
  </si>
  <si>
    <t>Line 10 x Line 11</t>
  </si>
  <si>
    <t>Line 12 - Line 10</t>
  </si>
  <si>
    <t>Adjustment to Normalize and Annualize Revenues for Year End Numbers of Customers</t>
  </si>
  <si>
    <t>Amount (000s)</t>
  </si>
  <si>
    <t>Normalized Electric Retail Revenues at Existing Rates</t>
  </si>
  <si>
    <t>WA Elec Revenue</t>
  </si>
  <si>
    <t xml:space="preserve">Annualized for Usage Associated with Year End </t>
  </si>
  <si>
    <t>Rev Adj w</t>
  </si>
  <si>
    <t>Number of Customers</t>
  </si>
  <si>
    <t>Dittmer edits.xlsx</t>
  </si>
  <si>
    <t>Associated with Average Number of Test Year Customers</t>
  </si>
  <si>
    <t>As Calculated by Avista</t>
  </si>
  <si>
    <t>Rev Adj.xlsx</t>
  </si>
  <si>
    <t xml:space="preserve">Increase in Electric Retail Revenues Associated With </t>
  </si>
  <si>
    <t>Annualization for Year End Number of Customers</t>
  </si>
  <si>
    <t>Line 3 - Line 6</t>
  </si>
  <si>
    <t>Original Revenue Normalization Adjustment No. 2.12</t>
  </si>
  <si>
    <t>Avista Electric</t>
  </si>
  <si>
    <t>As Calculated and Proposed by Avista</t>
  </si>
  <si>
    <t>Adj't 2.12</t>
  </si>
  <si>
    <t xml:space="preserve">Public Counsel's Proposed Revenue Normalization </t>
  </si>
  <si>
    <t>Adjustment Calculated to Consider Annualized Revenues</t>
  </si>
  <si>
    <t>Associated With Test Year End Numbers of Customers</t>
  </si>
  <si>
    <t>Line 8 + Line 10</t>
  </si>
  <si>
    <t>Line 13 x Line 14</t>
  </si>
  <si>
    <t>Line 13 - Line 15</t>
  </si>
  <si>
    <t>Total</t>
  </si>
  <si>
    <t>System</t>
  </si>
  <si>
    <t>PC E 2.12</t>
  </si>
  <si>
    <t>PC E 3.06</t>
  </si>
  <si>
    <t>AND COMPARISON TO AVISTA'S DIRECT FILING ELECTRIC ADJUSTMENTS</t>
  </si>
  <si>
    <t>Revemue</t>
  </si>
  <si>
    <t>Requirement</t>
  </si>
  <si>
    <t>Impact</t>
  </si>
  <si>
    <t>Diffference</t>
  </si>
  <si>
    <t>Avista Adjustments - Original Filing</t>
  </si>
  <si>
    <t>Relative to the Company's</t>
  </si>
  <si>
    <t>Original Filed Position</t>
  </si>
  <si>
    <t>Washington Jurisdictional Increase to NOI to Normalize</t>
  </si>
  <si>
    <t>Revenues Associated with Year End Customers</t>
  </si>
  <si>
    <t>ICNU Adjustments</t>
  </si>
  <si>
    <t>SUMMARY OF ICNU ELECTRIC ADJUSTMENTs</t>
  </si>
  <si>
    <t>ICNU Oppose</t>
  </si>
  <si>
    <t>ICNU Neutal in Direct</t>
  </si>
  <si>
    <t>ICNU E 3.00</t>
  </si>
  <si>
    <t>ICNU</t>
  </si>
  <si>
    <t>ICNU Neutral in Direct</t>
  </si>
  <si>
    <t>ICNU/PC Oppose</t>
  </si>
  <si>
    <t>ICNU/PC Modified</t>
  </si>
  <si>
    <t xml:space="preserve">Less </t>
  </si>
  <si>
    <t>Power</t>
  </si>
  <si>
    <t>Idaho Direct</t>
  </si>
  <si>
    <t>Net Power</t>
  </si>
  <si>
    <t>Supply</t>
  </si>
  <si>
    <t>Clearwater Paper</t>
  </si>
  <si>
    <t>Washington</t>
  </si>
  <si>
    <t>Idaho</t>
  </si>
  <si>
    <t>Adjustment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</si>
  <si>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</si>
  <si>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</si>
  <si>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</si>
  <si>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</si>
  <si>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</si>
  <si>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>456 Other Electric Revenue - 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</si>
  <si>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</si>
  <si>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</si>
  <si>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</si>
  <si>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</si>
  <si>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</si>
  <si>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</si>
  <si>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</si>
  <si>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</si>
  <si>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</si>
  <si>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</si>
  <si>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557 Other Expenses - Direct WA</t>
  </si>
  <si>
    <t>565 Trans. of Elec. by Others</t>
  </si>
  <si>
    <t xml:space="preserve">   Total Expense</t>
  </si>
  <si>
    <t>Net Income Before Income Taxes</t>
  </si>
  <si>
    <t>Idaho State Income Tax</t>
  </si>
  <si>
    <t>Net Income before FIT</t>
  </si>
  <si>
    <t>Federal Income Tax</t>
  </si>
  <si>
    <t>Net Income</t>
  </si>
  <si>
    <t>Final Rev Req't Change</t>
  </si>
  <si>
    <t>ICNU Modified</t>
  </si>
  <si>
    <t>ICNU/PC Support</t>
  </si>
  <si>
    <t>AVISTA UTILITIES</t>
  </si>
  <si>
    <t>Calculation of General Revenue Requirement</t>
  </si>
  <si>
    <t>Washington - Electric System</t>
  </si>
  <si>
    <t xml:space="preserve">Line </t>
  </si>
  <si>
    <t>(000's of</t>
  </si>
  <si>
    <t>Dollars)</t>
  </si>
  <si>
    <t>Pro Forma Rate Base</t>
  </si>
  <si>
    <t>Net Operating Income Requirement</t>
  </si>
  <si>
    <t>Pro Forma Net Operating Income</t>
  </si>
  <si>
    <t>Net Operating Income Deficiency</t>
  </si>
  <si>
    <t>Conversion Factor</t>
  </si>
  <si>
    <t>Revenue Requirement</t>
  </si>
  <si>
    <t>Total General Business Revenues</t>
  </si>
  <si>
    <t>Percentage Revenue Increase</t>
  </si>
  <si>
    <t>(ICNU Recommended Rate of Return)</t>
  </si>
  <si>
    <t>Page 2</t>
  </si>
  <si>
    <t>Page 1</t>
  </si>
  <si>
    <t>Exhibit No.__(MCD-5)</t>
  </si>
  <si>
    <t>Page 3</t>
  </si>
  <si>
    <t>Page 4</t>
  </si>
  <si>
    <t>Proposed Rate of Return (1)</t>
  </si>
  <si>
    <t>(1) As shown in ICNU Exhibit No. ___(MPG-3)</t>
  </si>
  <si>
    <t>Page 5</t>
  </si>
  <si>
    <t>Page 6</t>
  </si>
  <si>
    <t>ICNU - Avista Pro Forma Power Supply</t>
  </si>
  <si>
    <t>(Avista Filed Rate of Return)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</si>
</sst>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&quot;$&quot;#,##0"/>
    <numFmt numFmtId="168" formatCode="0.0000%"/>
    <numFmt numFmtId="169" formatCode="_(* #,##0.0000_);_(* \(#,##0.0000\);_(* &quot;-&quot;??_);_(@_)"/>
    <numFmt numFmtId="170" formatCode="0.00000"/>
  </numFmts>
  <fonts count="22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2"/>
      <name val="Times New Roman"/>
      <family val="1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ahoma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Tahoma"/>
      <family val="2"/>
    </font>
    <font>
      <u/>
      <sz val="10"/>
      <name val="Arial"/>
      <family val="2"/>
    </font>
    <font>
      <b/>
      <sz val="12"/>
      <name val="Times New Roman"/>
      <family val="2"/>
    </font>
    <font>
      <sz val="10"/>
      <name val="Times New Roman"/>
      <family val="1"/>
    </font>
    <font>
      <sz val="10"/>
      <color theme="1"/>
      <name val="Times New Roman"/>
      <family val="2"/>
    </font>
    <font>
      <sz val="8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7" fillId="2" borderId="0"/>
    <xf numFmtId="0" fontId="11" fillId="0" borderId="0"/>
    <xf numFmtId="43" fontId="1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41" fontId="5" fillId="0" borderId="0" xfId="13" applyNumberFormat="1" applyFont="1"/>
    <xf numFmtId="0" fontId="8" fillId="0" borderId="0" xfId="0" applyFont="1"/>
    <xf numFmtId="41" fontId="5" fillId="0" borderId="0" xfId="13" applyNumberFormat="1" applyFont="1" applyFill="1"/>
    <xf numFmtId="41" fontId="8" fillId="0" borderId="0" xfId="13" applyNumberFormat="1" applyFont="1"/>
    <xf numFmtId="41" fontId="5" fillId="0" borderId="1" xfId="13" applyNumberFormat="1" applyFont="1" applyFill="1" applyBorder="1"/>
    <xf numFmtId="41" fontId="9" fillId="0" borderId="0" xfId="13" applyNumberFormat="1" applyFont="1"/>
    <xf numFmtId="164" fontId="8" fillId="0" borderId="0" xfId="1" applyNumberFormat="1" applyFont="1"/>
    <xf numFmtId="164" fontId="0" fillId="0" borderId="0" xfId="1" applyNumberFormat="1" applyFont="1"/>
    <xf numFmtId="164" fontId="8" fillId="0" borderId="1" xfId="1" applyNumberFormat="1" applyFont="1" applyBorder="1"/>
    <xf numFmtId="164" fontId="0" fillId="0" borderId="1" xfId="1" applyNumberFormat="1" applyFont="1" applyBorder="1"/>
    <xf numFmtId="0" fontId="0" fillId="0" borderId="0" xfId="0" applyAlignment="1">
      <alignment horizontal="center"/>
    </xf>
    <xf numFmtId="41" fontId="5" fillId="0" borderId="0" xfId="13" applyNumberFormat="1" applyFont="1" applyFill="1" applyBorder="1"/>
    <xf numFmtId="164" fontId="8" fillId="0" borderId="0" xfId="1" applyNumberFormat="1" applyFont="1" applyBorder="1"/>
    <xf numFmtId="0" fontId="8" fillId="0" borderId="0" xfId="0" applyFont="1" applyBorder="1"/>
    <xf numFmtId="164" fontId="0" fillId="0" borderId="0" xfId="1" applyNumberFormat="1" applyFont="1" applyBorder="1"/>
    <xf numFmtId="165" fontId="0" fillId="0" borderId="0" xfId="0" applyNumberFormat="1" applyBorder="1"/>
    <xf numFmtId="10" fontId="0" fillId="0" borderId="0" xfId="3" applyNumberFormat="1" applyFont="1" applyBorder="1"/>
    <xf numFmtId="10" fontId="0" fillId="0" borderId="1" xfId="3" applyNumberFormat="1" applyFont="1" applyBorder="1"/>
    <xf numFmtId="165" fontId="0" fillId="0" borderId="0" xfId="2" applyNumberFormat="1" applyFont="1" applyBorder="1"/>
    <xf numFmtId="0" fontId="0" fillId="0" borderId="0" xfId="0" quotePrefix="1" applyBorder="1"/>
    <xf numFmtId="0" fontId="0" fillId="0" borderId="0" xfId="0" applyFill="1" applyBorder="1"/>
    <xf numFmtId="3" fontId="0" fillId="0" borderId="0" xfId="0" applyNumberFormat="1" applyBorder="1"/>
    <xf numFmtId="165" fontId="0" fillId="0" borderId="3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3" applyFont="1"/>
    <xf numFmtId="164" fontId="0" fillId="0" borderId="0" xfId="0" applyNumberFormat="1"/>
    <xf numFmtId="41" fontId="9" fillId="0" borderId="2" xfId="13" applyNumberFormat="1" applyFont="1" applyFill="1" applyBorder="1"/>
    <xf numFmtId="41" fontId="9" fillId="0" borderId="4" xfId="13" applyNumberFormat="1" applyFont="1" applyBorder="1"/>
    <xf numFmtId="41" fontId="9" fillId="0" borderId="3" xfId="13" applyNumberFormat="1" applyFont="1" applyBorder="1"/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43" fontId="0" fillId="0" borderId="0" xfId="1" applyFont="1" applyFill="1"/>
    <xf numFmtId="167" fontId="0" fillId="0" borderId="0" xfId="1" applyNumberFormat="1" applyFont="1"/>
    <xf numFmtId="0" fontId="5" fillId="0" borderId="0" xfId="16" applyAlignment="1">
      <alignment horizontal="centerContinuous"/>
    </xf>
    <xf numFmtId="0" fontId="5" fillId="0" borderId="0" xfId="16"/>
    <xf numFmtId="0" fontId="2" fillId="0" borderId="0" xfId="16" applyFont="1" applyAlignment="1">
      <alignment horizontal="center"/>
    </xf>
    <xf numFmtId="0" fontId="16" fillId="0" borderId="0" xfId="16" applyFont="1" applyAlignment="1">
      <alignment horizontal="center"/>
    </xf>
    <xf numFmtId="0" fontId="5" fillId="0" borderId="0" xfId="16" applyFill="1"/>
    <xf numFmtId="41" fontId="0" fillId="0" borderId="0" xfId="0" applyNumberFormat="1"/>
    <xf numFmtId="169" fontId="0" fillId="0" borderId="0" xfId="0" applyNumberFormat="1"/>
    <xf numFmtId="41" fontId="8" fillId="0" borderId="0" xfId="1" applyNumberFormat="1" applyFont="1"/>
    <xf numFmtId="41" fontId="8" fillId="0" borderId="0" xfId="0" applyNumberFormat="1" applyFont="1"/>
    <xf numFmtId="0" fontId="5" fillId="0" borderId="0" xfId="16" applyAlignment="1">
      <alignment horizontal="right"/>
    </xf>
    <xf numFmtId="0" fontId="0" fillId="0" borderId="0" xfId="0" applyFont="1"/>
    <xf numFmtId="0" fontId="17" fillId="0" borderId="0" xfId="0" applyFont="1" applyAlignment="1">
      <alignment horizontal="centerContinuous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6" fontId="12" fillId="0" borderId="0" xfId="0" applyNumberFormat="1" applyFont="1"/>
    <xf numFmtId="5" fontId="12" fillId="0" borderId="0" xfId="0" applyNumberFormat="1" applyFont="1"/>
    <xf numFmtId="10" fontId="12" fillId="0" borderId="1" xfId="3" applyNumberFormat="1" applyFont="1" applyBorder="1"/>
    <xf numFmtId="166" fontId="12" fillId="0" borderId="0" xfId="3" applyNumberFormat="1" applyFont="1" applyBorder="1"/>
    <xf numFmtId="5" fontId="12" fillId="0" borderId="0" xfId="0" applyNumberFormat="1" applyFont="1" applyFill="1"/>
    <xf numFmtId="0" fontId="12" fillId="0" borderId="0" xfId="13" applyFont="1"/>
    <xf numFmtId="5" fontId="12" fillId="0" borderId="1" xfId="0" applyNumberFormat="1" applyFont="1" applyBorder="1"/>
    <xf numFmtId="170" fontId="12" fillId="0" borderId="0" xfId="0" applyNumberFormat="1" applyFont="1"/>
    <xf numFmtId="37" fontId="12" fillId="0" borderId="0" xfId="13" applyNumberFormat="1" applyFont="1"/>
    <xf numFmtId="5" fontId="12" fillId="0" borderId="5" xfId="0" applyNumberFormat="1" applyFont="1" applyBorder="1"/>
    <xf numFmtId="5" fontId="12" fillId="0" borderId="0" xfId="0" applyNumberFormat="1" applyFont="1" applyBorder="1"/>
    <xf numFmtId="0" fontId="12" fillId="0" borderId="0" xfId="13" applyFont="1" applyBorder="1"/>
    <xf numFmtId="10" fontId="12" fillId="0" borderId="3" xfId="3" applyNumberFormat="1" applyFont="1" applyBorder="1"/>
    <xf numFmtId="0" fontId="18" fillId="0" borderId="0" xfId="16" applyFont="1"/>
    <xf numFmtId="0" fontId="19" fillId="0" borderId="0" xfId="0" applyFont="1" applyAlignment="1">
      <alignment horizontal="right"/>
    </xf>
    <xf numFmtId="0" fontId="18" fillId="0" borderId="0" xfId="16" applyFont="1" applyAlignment="1">
      <alignment horizontal="centerContinuous"/>
    </xf>
    <xf numFmtId="0" fontId="18" fillId="0" borderId="0" xfId="16" applyFont="1" applyAlignment="1">
      <alignment horizontal="right"/>
    </xf>
    <xf numFmtId="0" fontId="18" fillId="0" borderId="0" xfId="16" applyFont="1" applyAlignment="1">
      <alignment horizontal="center"/>
    </xf>
    <xf numFmtId="10" fontId="19" fillId="0" borderId="0" xfId="15" applyNumberFormat="1" applyFont="1" applyAlignment="1">
      <alignment horizontal="center"/>
    </xf>
    <xf numFmtId="10" fontId="19" fillId="0" borderId="0" xfId="15" applyNumberFormat="1" applyFont="1" applyFill="1" applyAlignment="1">
      <alignment horizontal="center"/>
    </xf>
    <xf numFmtId="167" fontId="18" fillId="0" borderId="0" xfId="16" applyNumberFormat="1" applyFont="1"/>
    <xf numFmtId="167" fontId="18" fillId="0" borderId="0" xfId="16" applyNumberFormat="1" applyFont="1" applyBorder="1"/>
    <xf numFmtId="3" fontId="18" fillId="0" borderId="0" xfId="16" applyNumberFormat="1" applyFont="1"/>
    <xf numFmtId="3" fontId="18" fillId="0" borderId="0" xfId="16" applyNumberFormat="1" applyFont="1" applyBorder="1"/>
    <xf numFmtId="3" fontId="18" fillId="0" borderId="1" xfId="16" applyNumberFormat="1" applyFont="1" applyBorder="1"/>
    <xf numFmtId="167" fontId="18" fillId="0" borderId="1" xfId="16" applyNumberFormat="1" applyFont="1" applyBorder="1"/>
    <xf numFmtId="3" fontId="18" fillId="0" borderId="1" xfId="16" applyNumberFormat="1" applyFont="1" applyFill="1" applyBorder="1"/>
    <xf numFmtId="3" fontId="18" fillId="0" borderId="0" xfId="16" applyNumberFormat="1" applyFont="1" applyFill="1"/>
    <xf numFmtId="0" fontId="18" fillId="0" borderId="0" xfId="16" applyFont="1" applyFill="1"/>
    <xf numFmtId="167" fontId="18" fillId="0" borderId="0" xfId="16" applyNumberFormat="1" applyFont="1" applyFill="1"/>
    <xf numFmtId="3" fontId="18" fillId="0" borderId="0" xfId="16" applyNumberFormat="1" applyFont="1" applyFill="1" applyBorder="1"/>
    <xf numFmtId="3" fontId="18" fillId="0" borderId="2" xfId="16" applyNumberFormat="1" applyFont="1" applyBorder="1"/>
    <xf numFmtId="168" fontId="19" fillId="0" borderId="0" xfId="15" applyNumberFormat="1" applyFont="1"/>
    <xf numFmtId="9" fontId="18" fillId="0" borderId="0" xfId="16" applyNumberFormat="1" applyFont="1"/>
    <xf numFmtId="0" fontId="19" fillId="0" borderId="0" xfId="0" applyFont="1" applyAlignment="1"/>
    <xf numFmtId="0" fontId="20" fillId="0" borderId="0" xfId="16" applyFont="1" applyFill="1"/>
    <xf numFmtId="0" fontId="5" fillId="0" borderId="0" xfId="16" applyFont="1"/>
    <xf numFmtId="0" fontId="8" fillId="0" borderId="0" xfId="0" applyFont="1" applyAlignment="1">
      <alignment horizontal="right"/>
    </xf>
    <xf numFmtId="0" fontId="5" fillId="0" borderId="0" xfId="16" applyFont="1" applyAlignment="1">
      <alignment horizontal="center"/>
    </xf>
    <xf numFmtId="0" fontId="5" fillId="0" borderId="0" xfId="16" applyFont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27">
    <cellStyle name="Comma" xfId="1" builtinId="3"/>
    <cellStyle name="Comma 2" xfId="5"/>
    <cellStyle name="Comma 2 2" xfId="23"/>
    <cellStyle name="Comma 3" xfId="19"/>
    <cellStyle name="Comma 3 2" xfId="25"/>
    <cellStyle name="Comma 4" xfId="21"/>
    <cellStyle name="Currency" xfId="2" builtinId="4"/>
    <cellStyle name="Currency 2" xfId="7"/>
    <cellStyle name="Currency 3" xfId="6"/>
    <cellStyle name="Currency 4" xfId="24"/>
    <cellStyle name="Followed Hyperlink" xfId="8" builtinId="9" customBuiltin="1"/>
    <cellStyle name="Hyperlink" xfId="9" builtinId="8" customBuiltin="1"/>
    <cellStyle name="Manual-Input" xfId="17"/>
    <cellStyle name="Normal" xfId="0" builtinId="0"/>
    <cellStyle name="Normal 2" xfId="16"/>
    <cellStyle name="Normal 2 2" xfId="10"/>
    <cellStyle name="Normal 2 3" xfId="11"/>
    <cellStyle name="Normal 2 4" xfId="22"/>
    <cellStyle name="Normal 3" xfId="4"/>
    <cellStyle name="Normal 4" xfId="18"/>
    <cellStyle name="Normal 5" xfId="20"/>
    <cellStyle name="Normal 6" xfId="12"/>
    <cellStyle name="Normal_WAElec6_97" xfId="13"/>
    <cellStyle name="Percent" xfId="3" builtinId="5"/>
    <cellStyle name="Percent 2" xfId="15"/>
    <cellStyle name="Percent 3" xfId="14"/>
    <cellStyle name="Percent 4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/AppData/Local/Microsoft/Windows/Temporary%20Internet%20Files/Content.Outlook/N01Y4LT6/Workpapers/WA%20Elec%20Revenue%20-%20Rev%20Adj%20w%20Dittmer%20edi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/AppData/Local/Microsoft/Windows/Temporary%20Internet%20Files/Content.Outlook/N01Y4LT6/Workpapers/Staff_DR_333C%20Confidential%20Attch%20A%20PC%20Prop%20Tax%20Adj'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/Desktop/ICNU%20Draft/Workpapers/ICNU%20WA%20Exh%20WGJ-2,4,5%20DR%20223%20Update%206-4-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vista\UE-120436%20-UG120437\I.%20UE__Avista%20Direct%20Evidence-(Apr2012)\3.%20UE__AVA%20WP's%20(Apr2012)\N.%20UE__Andrews%20Electric%20WPs%20(AVA-Apr2012)\3.00%20PF%20-%20Power%20Supply\Pro%20Forma%20Power%20Suppl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/Desktop/ICNU%20Draft/Workpapers/ICNU%20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130">
          <cell r="C130">
            <v>460040091.96726209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-PT"/>
      <sheetName val="C-PT-1"/>
      <sheetName val="HPA-1"/>
    </sheetNames>
    <sheetDataSet>
      <sheetData sheetId="0"/>
      <sheetData sheetId="1">
        <row r="12">
          <cell r="F12">
            <v>799546</v>
          </cell>
        </row>
        <row r="14">
          <cell r="F14">
            <v>396901</v>
          </cell>
        </row>
        <row r="16">
          <cell r="F16">
            <v>8546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NU E 3.00 PF Power Supply"/>
      <sheetName val="ICNU Power Supply"/>
      <sheetName val="ICNU WG-2"/>
      <sheetName val="WGJ-2"/>
      <sheetName val="WGJ-4"/>
      <sheetName val="WGJ-5"/>
      <sheetName val="Aurora"/>
      <sheetName val="ICNU WNP-3"/>
      <sheetName val="Index"/>
    </sheetNames>
    <sheetDataSet>
      <sheetData sheetId="0"/>
      <sheetData sheetId="1">
        <row r="34">
          <cell r="E34">
            <v>-81006.564823954395</v>
          </cell>
        </row>
        <row r="39">
          <cell r="E39">
            <v>769</v>
          </cell>
        </row>
        <row r="42">
          <cell r="E42">
            <v>-189410</v>
          </cell>
        </row>
        <row r="49">
          <cell r="E49">
            <v>1640.4469783101849</v>
          </cell>
        </row>
        <row r="64">
          <cell r="E64">
            <v>37400.522961926035</v>
          </cell>
        </row>
        <row r="78">
          <cell r="E78">
            <v>569</v>
          </cell>
        </row>
        <row r="81">
          <cell r="E81">
            <v>-39</v>
          </cell>
        </row>
        <row r="100">
          <cell r="E100">
            <v>-33030.189860278566</v>
          </cell>
        </row>
        <row r="104">
          <cell r="E104">
            <v>158</v>
          </cell>
        </row>
        <row r="106">
          <cell r="E106">
            <v>-179269</v>
          </cell>
        </row>
        <row r="109">
          <cell r="E109">
            <v>-77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PPS-1"/>
      <sheetName val="E-PPS-2 (WGJ-2)"/>
      <sheetName val="Index-not used"/>
      <sheetName val="WGJ-4-"/>
      <sheetName val="WGJ-5-not complete"/>
      <sheetName val="Aurora"/>
    </sheetNames>
    <sheetDataSet>
      <sheetData sheetId="0"/>
      <sheetData sheetId="1">
        <row r="31">
          <cell r="E31">
            <v>-19070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SUMMARY (ICNU)"/>
      <sheetName val="COMPARISON -SETTLEMENT"/>
      <sheetName val="PROPOSED RATES"/>
      <sheetName val="RR SUMMARY"/>
      <sheetName val="CF "/>
      <sheetName val="ADJ DETAIL-INPUT"/>
      <sheetName val="LEAD SHEETS-DO NOT ENTER"/>
      <sheetName val="ADJ SUMMARY"/>
      <sheetName val="ROO INPUT"/>
      <sheetName val="DEBT CALC"/>
      <sheetName val="RETAIL REVENUE CREDIT"/>
      <sheetName val="ICNU PF Power Supply"/>
      <sheetName val="Rev Norm"/>
      <sheetName val="Prop Tax"/>
    </sheetNames>
    <sheetDataSet>
      <sheetData sheetId="0"/>
      <sheetData sheetId="1">
        <row r="53">
          <cell r="G53">
            <v>91697.797702960117</v>
          </cell>
          <cell r="H53">
            <v>1161787</v>
          </cell>
        </row>
      </sheetData>
      <sheetData sheetId="2"/>
      <sheetData sheetId="3"/>
      <sheetData sheetId="4">
        <row r="26">
          <cell r="E26">
            <v>0.62082000000000004</v>
          </cell>
        </row>
      </sheetData>
      <sheetData sheetId="5">
        <row r="4">
          <cell r="A4" t="str">
            <v>TWELVE MONTHS ENDED DECEMBER 31, 2011</v>
          </cell>
        </row>
        <row r="14">
          <cell r="AT14">
            <v>454285</v>
          </cell>
        </row>
        <row r="15">
          <cell r="AT15">
            <v>820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abSelected="1" view="pageLayout" zoomScaleNormal="100" workbookViewId="0">
      <selection activeCell="G11" sqref="G11"/>
    </sheetView>
  </sheetViews>
  <sheetFormatPr defaultRowHeight="15.75"/>
  <cols>
    <col min="2" max="2" width="1.625" customWidth="1"/>
    <col min="3" max="3" width="12.5" customWidth="1"/>
    <col min="4" max="4" width="1.625" customWidth="1"/>
    <col min="8" max="8" width="5.625" customWidth="1"/>
    <col min="9" max="9" width="1.875" customWidth="1"/>
    <col min="10" max="10" width="10.125" bestFit="1" customWidth="1"/>
    <col min="11" max="11" width="1.625" customWidth="1"/>
    <col min="13" max="13" width="1.625" customWidth="1"/>
    <col min="14" max="14" width="10.125" bestFit="1" customWidth="1"/>
    <col min="16" max="16" width="10.125" bestFit="1" customWidth="1"/>
    <col min="17" max="17" width="1.625" customWidth="1"/>
    <col min="19" max="19" width="1.625" customWidth="1"/>
    <col min="20" max="20" width="10.125" bestFit="1" customWidth="1"/>
    <col min="21" max="21" width="2.625" customWidth="1"/>
    <col min="22" max="22" width="19" bestFit="1" customWidth="1"/>
    <col min="23" max="23" width="2.625" customWidth="1"/>
    <col min="24" max="24" width="10.375" customWidth="1"/>
  </cols>
  <sheetData>
    <row r="1" spans="1:24">
      <c r="C1" s="101" t="s">
        <v>116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X1" s="37" t="s">
        <v>177</v>
      </c>
    </row>
    <row r="2" spans="1:24">
      <c r="C2" s="101" t="s">
        <v>105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X2" s="37" t="s">
        <v>176</v>
      </c>
    </row>
    <row r="3" spans="1:24">
      <c r="C3" s="101" t="s">
        <v>174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4">
      <c r="C4" s="40"/>
      <c r="N4" s="50"/>
      <c r="X4" s="30" t="s">
        <v>106</v>
      </c>
    </row>
    <row r="5" spans="1:24">
      <c r="A5" s="40" t="s">
        <v>47</v>
      </c>
      <c r="B5" s="40"/>
      <c r="C5" s="40" t="s">
        <v>120</v>
      </c>
      <c r="V5" s="40" t="s">
        <v>49</v>
      </c>
      <c r="X5" s="30" t="s">
        <v>107</v>
      </c>
    </row>
    <row r="6" spans="1:24">
      <c r="A6" s="40" t="s">
        <v>48</v>
      </c>
      <c r="B6" s="40"/>
      <c r="C6" s="40" t="s">
        <v>48</v>
      </c>
      <c r="J6" s="4"/>
      <c r="K6" s="4"/>
      <c r="L6" s="2" t="s">
        <v>110</v>
      </c>
      <c r="M6" s="4"/>
      <c r="N6" s="4"/>
      <c r="P6" s="4"/>
      <c r="Q6" s="4"/>
      <c r="R6" s="2" t="s">
        <v>115</v>
      </c>
      <c r="S6" s="4"/>
      <c r="T6" s="4"/>
      <c r="V6" s="40" t="s">
        <v>111</v>
      </c>
      <c r="X6" s="30" t="s">
        <v>108</v>
      </c>
    </row>
    <row r="7" spans="1:24">
      <c r="A7" s="2" t="s">
        <v>39</v>
      </c>
      <c r="B7" s="40"/>
      <c r="C7" s="2" t="s">
        <v>39</v>
      </c>
      <c r="E7" s="4" t="s">
        <v>40</v>
      </c>
      <c r="F7" s="4"/>
      <c r="G7" s="4"/>
      <c r="H7" s="4"/>
      <c r="I7" s="5"/>
      <c r="J7" s="6" t="s">
        <v>42</v>
      </c>
      <c r="K7" s="40"/>
      <c r="L7" s="6" t="s">
        <v>43</v>
      </c>
      <c r="M7" s="40"/>
      <c r="N7" s="6" t="s">
        <v>44</v>
      </c>
      <c r="P7" s="6" t="s">
        <v>42</v>
      </c>
      <c r="Q7" s="40"/>
      <c r="R7" s="6" t="s">
        <v>43</v>
      </c>
      <c r="S7" s="40"/>
      <c r="T7" s="6" t="s">
        <v>44</v>
      </c>
      <c r="V7" s="2" t="s">
        <v>112</v>
      </c>
      <c r="W7" s="5"/>
      <c r="X7" s="2" t="s">
        <v>109</v>
      </c>
    </row>
    <row r="8" spans="1:24">
      <c r="A8" s="3">
        <v>1</v>
      </c>
      <c r="B8" s="3"/>
      <c r="C8" s="3"/>
      <c r="E8" t="s">
        <v>0</v>
      </c>
      <c r="J8" s="9">
        <v>1123911</v>
      </c>
      <c r="K8" s="8"/>
      <c r="L8" s="9">
        <v>75482.632029999979</v>
      </c>
      <c r="M8" s="8"/>
      <c r="N8" s="51">
        <v>12957.931123353001</v>
      </c>
      <c r="O8" s="14"/>
      <c r="P8" s="14"/>
      <c r="Q8" s="14"/>
      <c r="R8" s="14"/>
      <c r="S8" s="14"/>
      <c r="T8" s="14"/>
    </row>
    <row r="9" spans="1:24">
      <c r="A9" s="3"/>
      <c r="B9" s="3"/>
      <c r="C9" s="3"/>
      <c r="J9" s="8"/>
      <c r="K9" s="8"/>
      <c r="L9" s="8"/>
      <c r="M9" s="8"/>
      <c r="N9" s="13"/>
      <c r="O9" s="14"/>
      <c r="P9" s="14"/>
      <c r="Q9" s="14"/>
      <c r="R9" s="14"/>
      <c r="S9" s="14"/>
      <c r="T9" s="14"/>
    </row>
    <row r="10" spans="1:24">
      <c r="A10" s="3">
        <v>1.01</v>
      </c>
      <c r="B10" s="3"/>
      <c r="C10" s="3"/>
      <c r="E10" t="s">
        <v>1</v>
      </c>
      <c r="J10" s="7">
        <v>285</v>
      </c>
      <c r="K10" s="8"/>
      <c r="L10" s="7">
        <v>2.9625750000000002</v>
      </c>
      <c r="M10" s="8"/>
      <c r="N10" s="13">
        <f>(+J10*$X$58-L10)/$X$59</f>
        <v>29.566420218420799</v>
      </c>
      <c r="O10" s="14"/>
      <c r="P10" s="14"/>
      <c r="Q10" s="14"/>
      <c r="R10" s="14"/>
      <c r="S10" s="14"/>
      <c r="T10" s="14"/>
      <c r="V10" t="s">
        <v>118</v>
      </c>
    </row>
    <row r="11" spans="1:24">
      <c r="A11" s="3">
        <f>+A10+0.01</f>
        <v>1.02</v>
      </c>
      <c r="B11" s="3"/>
      <c r="C11" s="3"/>
      <c r="E11" t="s">
        <v>2</v>
      </c>
      <c r="J11" s="7">
        <v>-7013</v>
      </c>
      <c r="K11" s="8"/>
      <c r="L11" s="7">
        <v>-83.900134999999992</v>
      </c>
      <c r="M11" s="8"/>
      <c r="N11" s="13">
        <f>(+J11*$X$58-L11)/$X$59</f>
        <v>-709.82291968686582</v>
      </c>
      <c r="O11" s="14"/>
      <c r="P11" s="14"/>
      <c r="Q11" s="14"/>
      <c r="R11" s="14"/>
      <c r="S11" s="14"/>
      <c r="T11" s="14"/>
      <c r="V11" t="s">
        <v>118</v>
      </c>
    </row>
    <row r="12" spans="1:24">
      <c r="A12" s="3">
        <f>+A11+0.01</f>
        <v>1.03</v>
      </c>
      <c r="B12" s="3"/>
      <c r="C12" s="3"/>
      <c r="E12" t="s">
        <v>3</v>
      </c>
      <c r="J12" s="9">
        <v>13689</v>
      </c>
      <c r="K12" s="8"/>
      <c r="L12" s="9">
        <v>142.297155</v>
      </c>
      <c r="M12" s="8"/>
      <c r="N12" s="13">
        <f>(+J12*$X$58-L12)/$X$59</f>
        <v>1420.1218469121486</v>
      </c>
      <c r="O12" s="14"/>
      <c r="P12" s="14"/>
      <c r="Q12" s="14"/>
      <c r="R12" s="14"/>
      <c r="S12" s="14"/>
      <c r="T12" s="14"/>
      <c r="V12" t="s">
        <v>118</v>
      </c>
    </row>
    <row r="13" spans="1:24">
      <c r="A13" s="3">
        <v>2.0099999999999998</v>
      </c>
      <c r="B13" s="3"/>
      <c r="C13" s="3"/>
      <c r="E13" t="s">
        <v>4</v>
      </c>
      <c r="J13" s="10">
        <v>0</v>
      </c>
      <c r="K13" s="8"/>
      <c r="L13" s="10">
        <v>-45.5</v>
      </c>
      <c r="M13" s="8"/>
      <c r="N13" s="13">
        <f>(+J13*$X$58-L13)/$X$59</f>
        <v>73.290164620985138</v>
      </c>
      <c r="O13" s="14"/>
      <c r="P13" s="14"/>
      <c r="Q13" s="14"/>
      <c r="R13" s="14"/>
      <c r="S13" s="14"/>
      <c r="T13" s="14"/>
      <c r="V13" t="s">
        <v>118</v>
      </c>
    </row>
    <row r="14" spans="1:24">
      <c r="A14" s="3">
        <f t="shared" ref="A14:A29" si="0">+A13+0.01</f>
        <v>2.0199999999999996</v>
      </c>
      <c r="B14" s="3"/>
      <c r="C14" s="3"/>
      <c r="E14" t="s">
        <v>5</v>
      </c>
      <c r="J14" s="10">
        <v>0</v>
      </c>
      <c r="K14" s="8"/>
      <c r="L14" s="10">
        <v>-206.05</v>
      </c>
      <c r="M14" s="8"/>
      <c r="N14" s="13">
        <f>(+J14*$X$58-L14)/$X$59</f>
        <v>331.89974549788991</v>
      </c>
      <c r="O14" s="14"/>
      <c r="P14" s="14"/>
      <c r="Q14" s="14"/>
      <c r="R14" s="14"/>
      <c r="S14" s="14"/>
      <c r="T14" s="14"/>
      <c r="V14" t="s">
        <v>118</v>
      </c>
    </row>
    <row r="15" spans="1:24">
      <c r="A15" s="3">
        <f t="shared" si="0"/>
        <v>2.0299999999999994</v>
      </c>
      <c r="B15" s="3"/>
      <c r="C15" s="3"/>
      <c r="E15" t="s">
        <v>6</v>
      </c>
      <c r="J15" s="7">
        <v>0</v>
      </c>
      <c r="K15" s="8"/>
      <c r="L15" s="7">
        <v>-31.200000000000003</v>
      </c>
      <c r="M15" s="8"/>
      <c r="N15" s="13">
        <f>(+J15*$X$58-L15)/$X$59</f>
        <v>50.256112882961247</v>
      </c>
      <c r="O15" s="14"/>
      <c r="P15" s="14"/>
      <c r="Q15" s="14"/>
      <c r="R15" s="14"/>
      <c r="S15" s="14"/>
      <c r="T15" s="14"/>
      <c r="V15" t="s">
        <v>118</v>
      </c>
    </row>
    <row r="16" spans="1:24">
      <c r="A16" s="3">
        <f t="shared" si="0"/>
        <v>2.0399999999999991</v>
      </c>
      <c r="B16" s="3"/>
      <c r="C16" s="3"/>
      <c r="E16" t="s">
        <v>7</v>
      </c>
      <c r="J16" s="10">
        <v>0</v>
      </c>
      <c r="K16" s="8"/>
      <c r="L16" s="10">
        <v>149.5</v>
      </c>
      <c r="M16" s="8"/>
      <c r="N16" s="13">
        <f>(+J16*$X$58-L16)/$X$59</f>
        <v>-240.81054089752263</v>
      </c>
      <c r="O16" s="14"/>
      <c r="P16" s="14"/>
      <c r="Q16" s="14"/>
      <c r="R16" s="14"/>
      <c r="S16" s="14"/>
      <c r="T16" s="14"/>
      <c r="V16" t="s">
        <v>118</v>
      </c>
    </row>
    <row r="17" spans="1:24">
      <c r="A17" s="3">
        <f t="shared" si="0"/>
        <v>2.0499999999999989</v>
      </c>
      <c r="B17" s="3"/>
      <c r="C17" s="3"/>
      <c r="E17" t="s">
        <v>8</v>
      </c>
      <c r="J17" s="7">
        <v>0</v>
      </c>
      <c r="K17" s="8"/>
      <c r="L17" s="7">
        <v>-5</v>
      </c>
      <c r="M17" s="8"/>
      <c r="N17" s="13">
        <f>(+J17*$X$58-L17)/$X$59</f>
        <v>8.053864244064302</v>
      </c>
      <c r="O17" s="14"/>
      <c r="P17" s="14"/>
      <c r="Q17" s="14"/>
      <c r="R17" s="14"/>
      <c r="S17" s="14"/>
      <c r="T17" s="14"/>
      <c r="V17" t="s">
        <v>118</v>
      </c>
    </row>
    <row r="18" spans="1:24">
      <c r="A18" s="3">
        <f t="shared" si="0"/>
        <v>2.0599999999999987</v>
      </c>
      <c r="B18" s="3"/>
      <c r="C18" s="3"/>
      <c r="E18" t="s">
        <v>9</v>
      </c>
      <c r="J18" s="7">
        <v>0</v>
      </c>
      <c r="K18" s="8"/>
      <c r="L18" s="7">
        <v>8312</v>
      </c>
      <c r="M18" s="8"/>
      <c r="N18" s="13">
        <f>(+J18*$X$58-L18)/$X$59</f>
        <v>-13388.743919332495</v>
      </c>
      <c r="O18" s="14"/>
      <c r="P18" s="14"/>
      <c r="Q18" s="14"/>
      <c r="R18" s="14"/>
      <c r="S18" s="14"/>
      <c r="T18" s="14"/>
      <c r="V18" t="s">
        <v>118</v>
      </c>
    </row>
    <row r="19" spans="1:24">
      <c r="A19" s="3">
        <f t="shared" si="0"/>
        <v>2.0699999999999985</v>
      </c>
      <c r="B19" s="3"/>
      <c r="C19" s="3"/>
      <c r="E19" t="s">
        <v>10</v>
      </c>
      <c r="J19" s="10">
        <v>0</v>
      </c>
      <c r="K19" s="8"/>
      <c r="L19" s="10">
        <v>-9.1000000000000014</v>
      </c>
      <c r="M19" s="8"/>
      <c r="N19" s="13">
        <f>(+J19*$X$58-L19)/$X$59</f>
        <v>14.65803292419703</v>
      </c>
      <c r="O19" s="14"/>
      <c r="P19" s="14"/>
      <c r="Q19" s="14"/>
      <c r="R19" s="14"/>
      <c r="S19" s="14"/>
      <c r="T19" s="14"/>
      <c r="V19" t="s">
        <v>118</v>
      </c>
    </row>
    <row r="20" spans="1:24">
      <c r="A20" s="3">
        <f t="shared" si="0"/>
        <v>2.0799999999999983</v>
      </c>
      <c r="B20" s="3"/>
      <c r="C20" s="3"/>
      <c r="E20" t="s">
        <v>11</v>
      </c>
      <c r="J20" s="10">
        <v>0</v>
      </c>
      <c r="K20" s="8"/>
      <c r="L20" s="10">
        <v>1.3</v>
      </c>
      <c r="M20" s="8"/>
      <c r="N20" s="13">
        <f>(+J20*$X$58-L20)/$X$59</f>
        <v>-2.0940047034567186</v>
      </c>
      <c r="O20" s="14"/>
      <c r="P20" s="14"/>
      <c r="Q20" s="14"/>
      <c r="R20" s="14"/>
      <c r="S20" s="14"/>
      <c r="T20" s="14"/>
      <c r="V20" t="s">
        <v>118</v>
      </c>
    </row>
    <row r="21" spans="1:24">
      <c r="A21" s="3">
        <f t="shared" si="0"/>
        <v>2.0899999999999981</v>
      </c>
      <c r="B21" s="3"/>
      <c r="C21" s="3"/>
      <c r="E21" t="s">
        <v>12</v>
      </c>
      <c r="J21" s="10">
        <v>0</v>
      </c>
      <c r="K21" s="8"/>
      <c r="L21" s="10">
        <v>3.25</v>
      </c>
      <c r="M21" s="8"/>
      <c r="N21" s="13">
        <f>(+J21*$X$58-L21)/$X$59</f>
        <v>-5.2350117586417957</v>
      </c>
      <c r="O21" s="14"/>
      <c r="P21" s="14"/>
      <c r="Q21" s="14"/>
      <c r="R21" s="14"/>
      <c r="S21" s="14"/>
      <c r="T21" s="14"/>
      <c r="V21" t="s">
        <v>118</v>
      </c>
    </row>
    <row r="22" spans="1:24">
      <c r="A22" s="3">
        <f t="shared" si="0"/>
        <v>2.0999999999999979</v>
      </c>
      <c r="B22" s="3"/>
      <c r="C22" s="3"/>
      <c r="E22" t="s">
        <v>13</v>
      </c>
      <c r="J22" s="10">
        <v>0</v>
      </c>
      <c r="K22" s="8"/>
      <c r="L22" s="10">
        <v>66.95</v>
      </c>
      <c r="M22" s="8"/>
      <c r="N22" s="13">
        <f>(+J22*$X$58-L22)/$X$59</f>
        <v>-107.841242228021</v>
      </c>
      <c r="O22" s="14"/>
      <c r="P22" s="14"/>
      <c r="Q22" s="14"/>
      <c r="R22" s="14"/>
      <c r="S22" s="14"/>
      <c r="T22" s="14"/>
      <c r="V22" t="s">
        <v>118</v>
      </c>
    </row>
    <row r="23" spans="1:24">
      <c r="A23" s="3">
        <f t="shared" si="0"/>
        <v>2.1099999999999977</v>
      </c>
      <c r="B23" s="3"/>
      <c r="C23" s="3"/>
      <c r="E23" t="s">
        <v>14</v>
      </c>
      <c r="J23" s="10">
        <v>0</v>
      </c>
      <c r="K23" s="8"/>
      <c r="L23" s="10">
        <v>52</v>
      </c>
      <c r="M23" s="8"/>
      <c r="N23" s="13">
        <f>(+J23*$X$58-L23)/$X$59</f>
        <v>-83.760188138268731</v>
      </c>
      <c r="O23" s="14"/>
      <c r="P23" s="14"/>
      <c r="Q23" s="14"/>
      <c r="R23" s="14"/>
      <c r="S23" s="14"/>
      <c r="T23" s="14"/>
      <c r="V23" t="s">
        <v>118</v>
      </c>
    </row>
    <row r="24" spans="1:24">
      <c r="A24" s="3">
        <f t="shared" si="0"/>
        <v>2.1199999999999974</v>
      </c>
      <c r="B24" s="3"/>
      <c r="C24" s="3" t="s">
        <v>103</v>
      </c>
      <c r="E24" t="s">
        <v>15</v>
      </c>
      <c r="J24" s="7">
        <v>0</v>
      </c>
      <c r="K24" s="8"/>
      <c r="L24" s="7">
        <v>10115.950000000001</v>
      </c>
      <c r="M24" s="8"/>
      <c r="N24" s="13">
        <f>(+J24*$X$58-L24)/$X$59</f>
        <v>-16294.497599948456</v>
      </c>
      <c r="O24" s="14"/>
      <c r="P24" s="14"/>
      <c r="Q24" s="14"/>
      <c r="R24" s="14">
        <f>+'Rev Norm'!I35</f>
        <v>11053.309778720362</v>
      </c>
      <c r="S24" s="14"/>
      <c r="T24" s="13">
        <f>(+P24*$X$58-R24)/$X$59</f>
        <v>-17804.371281080446</v>
      </c>
      <c r="V24" t="s">
        <v>123</v>
      </c>
      <c r="X24" s="33">
        <f>+T24-N24</f>
        <v>-1509.8736811319905</v>
      </c>
    </row>
    <row r="25" spans="1:24">
      <c r="A25" s="3">
        <f t="shared" si="0"/>
        <v>2.1299999999999972</v>
      </c>
      <c r="B25" s="3"/>
      <c r="C25" s="3"/>
      <c r="E25" t="s">
        <v>16</v>
      </c>
      <c r="J25" s="9">
        <v>0</v>
      </c>
      <c r="K25" s="8"/>
      <c r="L25" s="9">
        <v>58.5</v>
      </c>
      <c r="M25" s="8"/>
      <c r="N25" s="13">
        <f>(+J25*$X$58-L25)/$X$59</f>
        <v>-94.230211655552324</v>
      </c>
      <c r="O25" s="14"/>
      <c r="P25" s="14"/>
      <c r="Q25" s="14"/>
      <c r="R25" s="14"/>
      <c r="S25" s="14"/>
      <c r="T25" s="14"/>
      <c r="V25" t="s">
        <v>118</v>
      </c>
    </row>
    <row r="26" spans="1:24">
      <c r="A26" s="3">
        <f t="shared" si="0"/>
        <v>2.139999999999997</v>
      </c>
      <c r="B26" s="3"/>
      <c r="C26" s="3"/>
      <c r="E26" t="s">
        <v>17</v>
      </c>
      <c r="J26" s="9">
        <v>0</v>
      </c>
      <c r="K26" s="8"/>
      <c r="L26" s="9">
        <v>553.79999999999995</v>
      </c>
      <c r="M26" s="8"/>
      <c r="N26" s="13">
        <f>(+J26*$X$58-L26)/$X$59</f>
        <v>-892.04600367256194</v>
      </c>
      <c r="O26" s="14"/>
      <c r="P26" s="14"/>
      <c r="Q26" s="14"/>
      <c r="R26" s="14"/>
      <c r="S26" s="14"/>
      <c r="T26" s="14"/>
      <c r="V26" t="s">
        <v>118</v>
      </c>
    </row>
    <row r="27" spans="1:24">
      <c r="A27" s="3">
        <f t="shared" si="0"/>
        <v>2.1499999999999968</v>
      </c>
      <c r="B27" s="3"/>
      <c r="C27" s="3"/>
      <c r="E27" t="s">
        <v>18</v>
      </c>
      <c r="J27" s="9">
        <v>0</v>
      </c>
      <c r="K27" s="8"/>
      <c r="L27" s="9">
        <v>-486.85</v>
      </c>
      <c r="M27" s="8"/>
      <c r="N27" s="13">
        <f>(+J27*$X$58-L27)/$X$59</f>
        <v>784.20476144454108</v>
      </c>
      <c r="O27" s="14"/>
      <c r="P27" s="14"/>
      <c r="Q27" s="14"/>
      <c r="R27" s="14"/>
      <c r="S27" s="14"/>
      <c r="T27" s="14"/>
      <c r="V27" t="s">
        <v>118</v>
      </c>
    </row>
    <row r="28" spans="1:24">
      <c r="A28" s="3">
        <f t="shared" si="0"/>
        <v>2.1599999999999966</v>
      </c>
      <c r="B28" s="3"/>
      <c r="C28" s="3"/>
      <c r="E28" t="s">
        <v>19</v>
      </c>
      <c r="J28" s="9">
        <v>0</v>
      </c>
      <c r="K28" s="8"/>
      <c r="L28" s="9">
        <v>-637.65000000000009</v>
      </c>
      <c r="M28" s="8"/>
      <c r="N28" s="13">
        <f>(+J28*$X$58-L28)/$X$59</f>
        <v>1027.1093070455206</v>
      </c>
      <c r="O28" s="14"/>
      <c r="P28" s="14"/>
      <c r="Q28" s="14"/>
      <c r="R28" s="14"/>
      <c r="S28" s="14"/>
      <c r="T28" s="14"/>
      <c r="V28" t="s">
        <v>118</v>
      </c>
    </row>
    <row r="29" spans="1:24">
      <c r="A29" s="3">
        <f t="shared" si="0"/>
        <v>2.1699999999999964</v>
      </c>
      <c r="B29" s="3"/>
      <c r="C29" s="3"/>
      <c r="E29" t="s">
        <v>20</v>
      </c>
      <c r="J29" s="18">
        <v>0</v>
      </c>
      <c r="K29" s="20"/>
      <c r="L29" s="18">
        <v>126</v>
      </c>
      <c r="M29" s="20"/>
      <c r="N29" s="19">
        <f>(+J29*$X$58-L29)/$X$59</f>
        <v>-202.95737895042041</v>
      </c>
      <c r="O29" s="14"/>
      <c r="P29" s="14"/>
      <c r="Q29" s="14"/>
      <c r="R29" s="14"/>
      <c r="S29" s="14"/>
      <c r="T29" s="14"/>
      <c r="V29" t="s">
        <v>118</v>
      </c>
    </row>
    <row r="30" spans="1:24">
      <c r="A30" s="3"/>
      <c r="B30" s="3"/>
      <c r="C30" s="3"/>
      <c r="E30" s="41" t="s">
        <v>21</v>
      </c>
      <c r="J30" s="34">
        <f>SUM(J8:J29)</f>
        <v>1130872</v>
      </c>
      <c r="K30" s="8"/>
      <c r="L30" s="34">
        <f>SUM(L8:L29)</f>
        <v>93561.89162499996</v>
      </c>
      <c r="M30" s="8"/>
      <c r="N30" s="34">
        <f>SUM(N8:N29)</f>
        <v>-15324.947641828532</v>
      </c>
      <c r="O30" s="14"/>
      <c r="P30" s="34">
        <f>SUM(P8:P29)</f>
        <v>0</v>
      </c>
      <c r="Q30" s="14"/>
      <c r="R30" s="34">
        <f>SUM(R8:R29)</f>
        <v>11053.309778720362</v>
      </c>
      <c r="S30" s="14"/>
      <c r="T30" s="34">
        <f>SUM(T8:T29)</f>
        <v>-17804.371281080446</v>
      </c>
      <c r="X30" s="34">
        <f>SUM(X8:X29)</f>
        <v>-1509.8736811319905</v>
      </c>
    </row>
    <row r="31" spans="1:24">
      <c r="A31" s="3">
        <v>3</v>
      </c>
      <c r="B31" s="3"/>
      <c r="C31" s="3" t="s">
        <v>119</v>
      </c>
      <c r="E31" t="s">
        <v>22</v>
      </c>
      <c r="J31" s="9">
        <v>0</v>
      </c>
      <c r="K31" s="8"/>
      <c r="L31" s="9">
        <v>-5237.7000000000007</v>
      </c>
      <c r="M31" s="8"/>
      <c r="N31" s="13">
        <f>(+J31*$X$58-L31)/$X$59</f>
        <v>8436.7449502271193</v>
      </c>
      <c r="O31" s="14"/>
      <c r="P31" s="14"/>
      <c r="Q31" s="14"/>
      <c r="R31" s="14">
        <f>'ICNU PF Power Supply'!H44</f>
        <v>-392.73764576020039</v>
      </c>
      <c r="S31" s="14"/>
      <c r="T31" s="13">
        <f>(+P31*$X$58-R31)/$X$59</f>
        <v>632.61113649721392</v>
      </c>
      <c r="V31" t="s">
        <v>158</v>
      </c>
      <c r="X31" s="33">
        <f>+T31-N31</f>
        <v>-7804.1338137299053</v>
      </c>
    </row>
    <row r="32" spans="1:24">
      <c r="A32" s="3">
        <f t="shared" ref="A32:A38" si="1">+A31+0.01</f>
        <v>3.01</v>
      </c>
      <c r="B32" s="3"/>
      <c r="C32" s="3"/>
      <c r="E32" t="s">
        <v>23</v>
      </c>
      <c r="J32" s="9">
        <v>0</v>
      </c>
      <c r="K32" s="8"/>
      <c r="L32" s="9">
        <v>-525.85</v>
      </c>
      <c r="M32" s="8"/>
      <c r="N32" s="13">
        <f>(+J32*$X$58-L32)/$X$59</f>
        <v>847.02490254824261</v>
      </c>
      <c r="O32" s="14"/>
      <c r="P32" s="14"/>
      <c r="Q32" s="14"/>
      <c r="R32" s="14"/>
      <c r="S32" s="14"/>
      <c r="T32" s="14"/>
      <c r="V32" t="s">
        <v>121</v>
      </c>
    </row>
    <row r="33" spans="1:25">
      <c r="A33" s="3">
        <f t="shared" si="1"/>
        <v>3.0199999999999996</v>
      </c>
      <c r="B33" s="3"/>
      <c r="C33" s="3"/>
      <c r="E33" t="s">
        <v>25</v>
      </c>
      <c r="J33" s="9">
        <v>0</v>
      </c>
      <c r="K33" s="8"/>
      <c r="L33" s="9">
        <v>-1370.2</v>
      </c>
      <c r="M33" s="8"/>
      <c r="N33" s="13">
        <f>(+J33*$X$58-L33)/$X$59</f>
        <v>2207.0809574433811</v>
      </c>
      <c r="O33" s="14"/>
      <c r="P33" s="14"/>
      <c r="Q33" s="14"/>
      <c r="R33" s="14"/>
      <c r="S33" s="14"/>
      <c r="T33" s="14"/>
      <c r="V33" t="s">
        <v>121</v>
      </c>
    </row>
    <row r="34" spans="1:25">
      <c r="A34" s="3">
        <f t="shared" si="1"/>
        <v>3.0299999999999994</v>
      </c>
      <c r="B34" s="3"/>
      <c r="C34" s="3"/>
      <c r="E34" t="s">
        <v>24</v>
      </c>
      <c r="J34" s="9">
        <v>0</v>
      </c>
      <c r="K34" s="8"/>
      <c r="L34" s="9">
        <v>8.4499999999999993</v>
      </c>
      <c r="M34" s="8"/>
      <c r="N34" s="13">
        <f>(+J34*$X$58-L34)/$X$59</f>
        <v>-13.611030572468669</v>
      </c>
      <c r="O34" s="14"/>
      <c r="P34" s="14"/>
      <c r="Q34" s="14"/>
      <c r="R34" s="14"/>
      <c r="S34" s="14"/>
      <c r="T34" s="14"/>
      <c r="V34" t="s">
        <v>121</v>
      </c>
    </row>
    <row r="35" spans="1:25">
      <c r="A35" s="3">
        <f t="shared" si="1"/>
        <v>3.0399999999999991</v>
      </c>
      <c r="B35" s="3"/>
      <c r="C35" s="3"/>
      <c r="E35" t="s">
        <v>26</v>
      </c>
      <c r="J35" s="9">
        <v>0</v>
      </c>
      <c r="K35" s="8"/>
      <c r="L35" s="9">
        <v>-2144.3500000000004</v>
      </c>
      <c r="M35" s="8"/>
      <c r="N35" s="13">
        <f>(+J35*$X$58-L35)/$X$59</f>
        <v>3454.0607583518577</v>
      </c>
      <c r="O35" s="14"/>
      <c r="P35" s="14"/>
      <c r="Q35" s="14"/>
      <c r="R35" s="14"/>
      <c r="S35" s="14"/>
      <c r="T35" s="14"/>
      <c r="V35" t="s">
        <v>121</v>
      </c>
    </row>
    <row r="36" spans="1:25">
      <c r="A36" s="3">
        <f t="shared" si="1"/>
        <v>3.0499999999999989</v>
      </c>
      <c r="B36" s="3"/>
      <c r="C36" s="3"/>
      <c r="E36" t="s">
        <v>27</v>
      </c>
      <c r="J36" s="7">
        <v>0</v>
      </c>
      <c r="K36" s="8"/>
      <c r="L36" s="7">
        <v>66.300000000000011</v>
      </c>
      <c r="M36" s="8"/>
      <c r="N36" s="13">
        <f>(+J36*$X$58-L36)/$X$59</f>
        <v>-106.79423987629265</v>
      </c>
      <c r="O36" s="14"/>
      <c r="P36" s="14"/>
      <c r="Q36" s="14"/>
      <c r="R36" s="14"/>
      <c r="S36" s="14"/>
      <c r="T36" s="14"/>
      <c r="V36" t="s">
        <v>121</v>
      </c>
    </row>
    <row r="37" spans="1:25">
      <c r="A37" s="3">
        <f t="shared" si="1"/>
        <v>3.0599999999999987</v>
      </c>
      <c r="B37" s="3"/>
      <c r="C37" s="3" t="s">
        <v>104</v>
      </c>
      <c r="E37" t="s">
        <v>28</v>
      </c>
      <c r="J37" s="7">
        <v>0</v>
      </c>
      <c r="K37" s="8"/>
      <c r="L37" s="7">
        <v>-1303.25</v>
      </c>
      <c r="M37" s="8"/>
      <c r="N37" s="13">
        <f>(+J37*$X$58-L37)/$X$59</f>
        <v>2099.2397152153603</v>
      </c>
      <c r="O37" s="14"/>
      <c r="P37" s="14"/>
      <c r="Q37" s="14"/>
      <c r="R37" s="14">
        <f>+'Prop Tax'!I30/1000</f>
        <v>-783.24545000000001</v>
      </c>
      <c r="S37" s="14"/>
      <c r="T37" s="13">
        <f>(+P37*$X$58-R37)/$X$59</f>
        <v>1261.6305048162108</v>
      </c>
      <c r="V37" t="s">
        <v>123</v>
      </c>
      <c r="X37" s="33">
        <f>+T37-N37</f>
        <v>-837.60921039914956</v>
      </c>
    </row>
    <row r="38" spans="1:25">
      <c r="A38" s="3">
        <f t="shared" si="1"/>
        <v>3.0699999999999985</v>
      </c>
      <c r="B38" s="3"/>
      <c r="C38" s="3"/>
      <c r="E38" t="s">
        <v>29</v>
      </c>
      <c r="J38" s="11">
        <v>30915</v>
      </c>
      <c r="K38" s="8"/>
      <c r="L38" s="11">
        <v>-779.08857499999999</v>
      </c>
      <c r="M38" s="8"/>
      <c r="N38" s="15">
        <f>(+J38*$X$58-L38)/$X$59</f>
        <v>4979.7535114848097</v>
      </c>
      <c r="O38" s="14"/>
      <c r="P38" s="14"/>
      <c r="Q38" s="14"/>
      <c r="R38" s="14"/>
      <c r="S38" s="14"/>
      <c r="T38" s="14"/>
      <c r="V38" t="s">
        <v>159</v>
      </c>
    </row>
    <row r="39" spans="1:25">
      <c r="A39" s="3"/>
      <c r="B39" s="3"/>
      <c r="C39" s="3"/>
      <c r="E39" s="41" t="s">
        <v>30</v>
      </c>
      <c r="J39" s="12">
        <f>SUM(J30:J38)</f>
        <v>1161787</v>
      </c>
      <c r="K39" s="8"/>
      <c r="L39" s="12">
        <f>SUM(L30:L38)</f>
        <v>82276.203049999953</v>
      </c>
      <c r="M39" s="8"/>
      <c r="N39" s="12">
        <f>SUM(N30:N38)</f>
        <v>6578.5518829934772</v>
      </c>
      <c r="O39" s="14"/>
      <c r="P39" s="14"/>
      <c r="Q39" s="14"/>
      <c r="R39" s="35">
        <f>SUM(R30:R38)</f>
        <v>9877.3266829601616</v>
      </c>
      <c r="S39" s="14"/>
      <c r="T39" s="35">
        <f>SUM(T30:T38)</f>
        <v>-15910.129639767023</v>
      </c>
      <c r="X39" s="35">
        <f>SUM(X30:X38)</f>
        <v>-10151.616705261047</v>
      </c>
    </row>
    <row r="40" spans="1:25">
      <c r="A40" s="3">
        <v>4</v>
      </c>
      <c r="B40" s="3"/>
      <c r="C40" s="3"/>
      <c r="E40" t="s">
        <v>31</v>
      </c>
      <c r="J40" s="9">
        <v>63456</v>
      </c>
      <c r="K40" s="8"/>
      <c r="L40" s="9">
        <v>-3968.0248799999999</v>
      </c>
      <c r="M40" s="8"/>
      <c r="N40" s="13">
        <f>(+J40*$X$58-L40)/$X$59</f>
        <v>14037.134241809221</v>
      </c>
      <c r="O40" s="14"/>
      <c r="P40" s="14"/>
      <c r="Q40" s="14"/>
      <c r="R40" s="14"/>
      <c r="S40" s="14"/>
      <c r="T40" s="14"/>
      <c r="V40" t="s">
        <v>122</v>
      </c>
      <c r="X40" s="33">
        <f t="shared" ref="X40:X45" si="2">+T40-N40</f>
        <v>-14037.134241809221</v>
      </c>
    </row>
    <row r="41" spans="1:25">
      <c r="A41" s="3">
        <f t="shared" ref="A41:A47" si="3">+A40+0.01</f>
        <v>4.01</v>
      </c>
      <c r="B41" s="3"/>
      <c r="C41" s="3"/>
      <c r="E41" t="s">
        <v>32</v>
      </c>
      <c r="J41" s="9">
        <v>-2618</v>
      </c>
      <c r="K41" s="8"/>
      <c r="L41" s="9">
        <v>-1098.4141100000002</v>
      </c>
      <c r="M41" s="8"/>
      <c r="N41" s="13">
        <f>(+J41*$X$58-L41)/$X$59</f>
        <v>1453.863776940176</v>
      </c>
      <c r="O41" s="14"/>
      <c r="P41" s="14"/>
      <c r="Q41" s="14"/>
      <c r="R41" s="14"/>
      <c r="S41" s="14"/>
      <c r="T41" s="14"/>
      <c r="V41" t="s">
        <v>122</v>
      </c>
      <c r="X41" s="33">
        <f t="shared" si="2"/>
        <v>-1453.863776940176</v>
      </c>
    </row>
    <row r="42" spans="1:25">
      <c r="A42" s="3">
        <f t="shared" si="3"/>
        <v>4.0199999999999996</v>
      </c>
      <c r="B42" s="3"/>
      <c r="C42" s="3"/>
      <c r="E42" t="s">
        <v>33</v>
      </c>
      <c r="J42" s="9">
        <v>0</v>
      </c>
      <c r="K42" s="8"/>
      <c r="L42" s="9">
        <v>-2585.0500000000002</v>
      </c>
      <c r="M42" s="8"/>
      <c r="N42" s="13">
        <f>(+J42*$X$58-L42)/$X$59</f>
        <v>4163.9283528236847</v>
      </c>
      <c r="O42" s="14"/>
      <c r="P42" s="14"/>
      <c r="Q42" s="14"/>
      <c r="R42" s="14"/>
      <c r="S42" s="14"/>
      <c r="T42" s="14"/>
      <c r="V42" t="s">
        <v>122</v>
      </c>
      <c r="X42" s="33">
        <f t="shared" si="2"/>
        <v>-4163.9283528236847</v>
      </c>
    </row>
    <row r="43" spans="1:25">
      <c r="A43" s="3">
        <f t="shared" si="3"/>
        <v>4.0299999999999994</v>
      </c>
      <c r="B43" s="3"/>
      <c r="C43" s="3"/>
      <c r="E43" t="s">
        <v>34</v>
      </c>
      <c r="J43" s="11">
        <v>0</v>
      </c>
      <c r="K43" s="8"/>
      <c r="L43" s="11">
        <v>-65</v>
      </c>
      <c r="M43" s="8"/>
      <c r="N43" s="15">
        <f>(+J43*$X$58-L43)/$X$59</f>
        <v>104.70023517283592</v>
      </c>
      <c r="O43" s="14"/>
      <c r="P43" s="14"/>
      <c r="Q43" s="14"/>
      <c r="R43" s="14"/>
      <c r="S43" s="14"/>
      <c r="T43" s="14"/>
      <c r="V43" t="s">
        <v>122</v>
      </c>
      <c r="X43" s="33">
        <f t="shared" si="2"/>
        <v>-104.70023517283592</v>
      </c>
      <c r="Y43" s="33"/>
    </row>
    <row r="44" spans="1:25">
      <c r="B44" s="3"/>
      <c r="C44" s="3"/>
      <c r="E44" s="41" t="s">
        <v>35</v>
      </c>
      <c r="J44" s="12">
        <f>SUM(J39:J43)</f>
        <v>1222625</v>
      </c>
      <c r="K44" s="8"/>
      <c r="L44" s="12">
        <f>SUM(L39:L43)</f>
        <v>74559.714059999955</v>
      </c>
      <c r="M44" s="8"/>
      <c r="N44" s="12">
        <f>SUM(N39:N43)</f>
        <v>26338.178489739395</v>
      </c>
      <c r="O44" s="32"/>
      <c r="P44" s="14"/>
      <c r="Q44" s="14"/>
      <c r="R44" s="35">
        <f>SUM(R39:R43)</f>
        <v>9877.3266829601616</v>
      </c>
      <c r="S44" s="14"/>
      <c r="T44" s="35">
        <f>SUM(T39:T43)</f>
        <v>-15910.129639767023</v>
      </c>
      <c r="X44" s="35">
        <f>SUM(X39:X43)</f>
        <v>-29911.243312006965</v>
      </c>
    </row>
    <row r="45" spans="1:25">
      <c r="A45" s="3">
        <f>+A43+0.01</f>
        <v>4.0399999999999991</v>
      </c>
      <c r="B45" s="3"/>
      <c r="C45" s="3"/>
      <c r="E45" t="s">
        <v>36</v>
      </c>
      <c r="J45" s="9">
        <v>0</v>
      </c>
      <c r="K45" s="8"/>
      <c r="L45" s="9">
        <v>-2254.8500000000004</v>
      </c>
      <c r="M45" s="8"/>
      <c r="N45" s="13">
        <f>(+J45*$X$58-L45)/$X$59</f>
        <v>3632.0511581456785</v>
      </c>
      <c r="O45" s="14"/>
      <c r="P45" s="14"/>
      <c r="Q45" s="14"/>
      <c r="R45" s="14"/>
      <c r="S45" s="14"/>
      <c r="T45" s="14"/>
      <c r="V45" t="s">
        <v>117</v>
      </c>
      <c r="X45" s="33">
        <f t="shared" si="2"/>
        <v>-3632.0511581456785</v>
      </c>
    </row>
    <row r="46" spans="1:25">
      <c r="A46" s="3">
        <f t="shared" si="3"/>
        <v>4.0499999999999989</v>
      </c>
      <c r="B46" s="3"/>
      <c r="C46" s="3"/>
      <c r="E46" t="s">
        <v>37</v>
      </c>
      <c r="J46" s="9">
        <v>0</v>
      </c>
      <c r="K46" s="8"/>
      <c r="L46" s="9">
        <v>1944.15</v>
      </c>
      <c r="M46" s="8"/>
      <c r="N46" s="13">
        <f>(+J46*$X$58-L46)/$X$59</f>
        <v>-3131.5840340195227</v>
      </c>
      <c r="O46" s="14"/>
      <c r="P46" s="14"/>
      <c r="Q46" s="14"/>
      <c r="R46" s="14"/>
      <c r="S46" s="14"/>
      <c r="T46" s="14"/>
      <c r="V46" t="s">
        <v>121</v>
      </c>
    </row>
    <row r="47" spans="1:25">
      <c r="A47" s="3">
        <f t="shared" si="3"/>
        <v>4.0599999999999987</v>
      </c>
      <c r="B47" s="3"/>
      <c r="C47" s="3"/>
      <c r="E47" t="s">
        <v>38</v>
      </c>
      <c r="J47" s="11">
        <v>0</v>
      </c>
      <c r="K47" s="8"/>
      <c r="L47" s="11">
        <v>633.75</v>
      </c>
      <c r="M47" s="8"/>
      <c r="N47" s="15">
        <f>(+J47*$X$58-L47)/$X$59</f>
        <v>-1020.8272929351502</v>
      </c>
      <c r="O47" s="14"/>
      <c r="P47" s="14"/>
      <c r="Q47" s="14"/>
      <c r="R47" s="14"/>
      <c r="S47" s="14"/>
      <c r="T47" s="14"/>
      <c r="V47" t="s">
        <v>121</v>
      </c>
    </row>
    <row r="48" spans="1:25" ht="16.5" thickBot="1">
      <c r="A48" s="3"/>
      <c r="B48" s="3"/>
      <c r="C48" s="3"/>
      <c r="E48" s="41" t="s">
        <v>41</v>
      </c>
      <c r="J48" s="12">
        <f>SUM(J44:J47)</f>
        <v>1222625</v>
      </c>
      <c r="K48" s="8"/>
      <c r="L48" s="12">
        <f>SUM(L44:L47)</f>
        <v>74882.764059999943</v>
      </c>
      <c r="M48" s="8"/>
      <c r="N48" s="12">
        <f>SUM(N44:N47)</f>
        <v>25817.818320930397</v>
      </c>
      <c r="O48" s="14"/>
      <c r="P48" s="14"/>
      <c r="Q48" s="14"/>
      <c r="R48" s="36">
        <f>SUM(R44:R47)</f>
        <v>9877.3266829601616</v>
      </c>
      <c r="S48" s="14"/>
      <c r="T48" s="36">
        <f>SUM(T44:T47)</f>
        <v>-15910.129639767023</v>
      </c>
      <c r="X48" s="36">
        <f>SUM(X44:X47)</f>
        <v>-33543.294470152643</v>
      </c>
    </row>
    <row r="49" spans="1:24" ht="16.5" thickTop="1">
      <c r="A49" s="3"/>
      <c r="B49" s="3"/>
      <c r="C49" s="3"/>
      <c r="J49" s="8"/>
      <c r="K49" s="8"/>
      <c r="L49" s="8"/>
      <c r="M49" s="8"/>
      <c r="N49" s="13"/>
      <c r="O49" s="14"/>
      <c r="P49" s="14"/>
      <c r="Q49" s="14"/>
      <c r="R49" s="14"/>
      <c r="S49" s="14"/>
      <c r="T49" s="14"/>
    </row>
    <row r="50" spans="1:24">
      <c r="A50" s="3"/>
      <c r="B50" s="3"/>
      <c r="C50" s="3"/>
      <c r="J50" s="8"/>
      <c r="K50" s="8"/>
      <c r="L50" s="8"/>
      <c r="M50" s="8"/>
      <c r="N50" s="13"/>
      <c r="O50" s="14"/>
      <c r="P50" s="14"/>
      <c r="Q50" s="14"/>
      <c r="R50" s="14"/>
      <c r="S50" s="14"/>
      <c r="T50" s="14"/>
      <c r="V50" t="s">
        <v>157</v>
      </c>
      <c r="X50" s="33">
        <f>N48+X48</f>
        <v>-7725.476149222246</v>
      </c>
    </row>
    <row r="51" spans="1:24">
      <c r="A51" s="3"/>
      <c r="B51" s="3"/>
      <c r="C51" s="3"/>
      <c r="J51" s="8"/>
      <c r="K51" s="8"/>
      <c r="L51" s="8"/>
      <c r="M51" s="8"/>
      <c r="N51" s="13"/>
      <c r="O51" s="14"/>
      <c r="P51" s="14"/>
      <c r="Q51" s="14"/>
      <c r="R51" s="14"/>
      <c r="S51" s="14"/>
      <c r="T51" s="14"/>
    </row>
    <row r="52" spans="1:24">
      <c r="A52" s="3"/>
      <c r="B52" s="3"/>
      <c r="C52" s="3"/>
      <c r="J52" s="8"/>
      <c r="K52" s="8"/>
      <c r="L52" s="8"/>
      <c r="M52" s="8"/>
      <c r="N52" s="13"/>
      <c r="O52" s="14"/>
      <c r="P52" s="14"/>
      <c r="Q52" s="14"/>
      <c r="R52" s="14"/>
      <c r="S52" s="14"/>
      <c r="T52" s="14"/>
      <c r="X52" s="33"/>
    </row>
    <row r="53" spans="1:24">
      <c r="A53" s="3"/>
      <c r="B53" s="3"/>
      <c r="C53" s="3"/>
      <c r="J53" s="8"/>
      <c r="K53" s="8"/>
      <c r="L53" s="8"/>
      <c r="M53" s="8"/>
      <c r="N53" s="13"/>
      <c r="O53" s="14"/>
      <c r="P53" s="14"/>
      <c r="Q53" s="14"/>
      <c r="R53" s="14"/>
      <c r="S53" s="14"/>
      <c r="T53" s="14"/>
    </row>
    <row r="54" spans="1:24">
      <c r="A54" s="3"/>
      <c r="B54" s="3"/>
      <c r="C54" s="3"/>
      <c r="J54" s="8"/>
      <c r="K54" s="8"/>
      <c r="L54" s="8"/>
      <c r="M54" s="8"/>
      <c r="N54" s="13"/>
      <c r="O54" s="14"/>
      <c r="P54" s="14"/>
      <c r="Q54" s="14"/>
      <c r="R54" s="14"/>
      <c r="S54" s="14"/>
      <c r="T54" s="14"/>
    </row>
    <row r="55" spans="1:24">
      <c r="A55" s="3"/>
      <c r="B55" s="3"/>
      <c r="C55" s="3"/>
      <c r="J55" s="8"/>
      <c r="K55" s="8"/>
      <c r="L55" s="8"/>
      <c r="M55" s="8"/>
      <c r="N55" s="13"/>
      <c r="O55" s="14"/>
      <c r="P55" s="14"/>
      <c r="Q55" s="14"/>
      <c r="R55" s="14"/>
      <c r="S55" s="14"/>
      <c r="T55" s="14"/>
    </row>
    <row r="56" spans="1:24">
      <c r="A56" s="3"/>
      <c r="B56" s="3"/>
      <c r="C56" s="3"/>
      <c r="J56" s="8"/>
      <c r="K56" s="8"/>
      <c r="L56" s="8"/>
      <c r="M56" s="8"/>
      <c r="N56" s="13"/>
      <c r="O56" s="14"/>
      <c r="P56" s="14"/>
      <c r="Q56" s="14"/>
      <c r="R56" s="14"/>
      <c r="S56" s="14"/>
      <c r="T56" s="14"/>
      <c r="X56" s="49"/>
    </row>
    <row r="57" spans="1:24">
      <c r="A57" s="3"/>
      <c r="B57" s="3"/>
      <c r="C57" s="3"/>
      <c r="J57" s="8"/>
      <c r="K57" s="8"/>
      <c r="L57" s="8"/>
      <c r="M57" s="8"/>
      <c r="N57" s="13"/>
      <c r="O57" s="14"/>
      <c r="P57" s="14"/>
      <c r="Q57" s="14"/>
      <c r="R57" s="14"/>
      <c r="S57" s="14"/>
      <c r="T57" s="14"/>
    </row>
    <row r="58" spans="1:24">
      <c r="A58" s="3"/>
      <c r="B58" s="3"/>
      <c r="C58" s="3"/>
      <c r="J58" s="8"/>
      <c r="K58" s="8"/>
      <c r="L58" s="8"/>
      <c r="M58" s="8"/>
      <c r="N58" s="13"/>
      <c r="O58" s="14"/>
      <c r="P58" s="14"/>
      <c r="Q58" s="14"/>
      <c r="R58" s="14"/>
      <c r="S58" s="14"/>
      <c r="T58" s="14"/>
      <c r="V58" t="s">
        <v>45</v>
      </c>
      <c r="X58">
        <v>7.4800000000000005E-2</v>
      </c>
    </row>
    <row r="59" spans="1:24">
      <c r="A59" s="3"/>
      <c r="B59" s="3"/>
      <c r="C59" s="3"/>
      <c r="J59" s="8"/>
      <c r="K59" s="8"/>
      <c r="L59" s="8"/>
      <c r="M59" s="8"/>
      <c r="N59" s="13"/>
      <c r="O59" s="14"/>
      <c r="P59" s="14"/>
      <c r="Q59" s="14"/>
      <c r="R59" s="14"/>
      <c r="S59" s="14"/>
      <c r="T59" s="14"/>
      <c r="V59" t="s">
        <v>46</v>
      </c>
      <c r="X59">
        <v>0.62082000000000004</v>
      </c>
    </row>
    <row r="60" spans="1:24">
      <c r="A60" s="3"/>
      <c r="B60" s="3"/>
      <c r="C60" s="3"/>
      <c r="N60" s="14"/>
      <c r="O60" s="14"/>
      <c r="P60" s="14"/>
      <c r="Q60" s="14"/>
      <c r="R60" s="14"/>
      <c r="S60" s="14"/>
      <c r="T60" s="14"/>
    </row>
    <row r="61" spans="1:24">
      <c r="A61" s="3"/>
      <c r="B61" s="3"/>
      <c r="C61" s="3"/>
      <c r="N61" s="14"/>
      <c r="O61" s="14"/>
      <c r="P61" s="14"/>
      <c r="Q61" s="14"/>
      <c r="R61" s="14"/>
      <c r="S61" s="14"/>
      <c r="T61" s="14"/>
    </row>
    <row r="62" spans="1:24">
      <c r="A62" s="3"/>
      <c r="B62" s="3"/>
      <c r="C62" s="3"/>
      <c r="N62" s="14"/>
      <c r="O62" s="14"/>
      <c r="P62" s="14"/>
      <c r="Q62" s="14"/>
      <c r="R62" s="14"/>
      <c r="S62" s="14"/>
      <c r="T62" s="14"/>
    </row>
    <row r="63" spans="1:24">
      <c r="A63" s="3"/>
      <c r="B63" s="3"/>
      <c r="C63" s="3"/>
      <c r="N63" s="14"/>
      <c r="O63" s="14"/>
      <c r="P63" s="14"/>
      <c r="Q63" s="14"/>
      <c r="R63" s="14"/>
      <c r="S63" s="14"/>
      <c r="T63" s="14"/>
    </row>
    <row r="64" spans="1:24">
      <c r="A64" s="3"/>
      <c r="B64" s="3"/>
      <c r="C64" s="3"/>
      <c r="N64" s="14"/>
      <c r="O64" s="14"/>
      <c r="P64" s="14"/>
      <c r="Q64" s="14"/>
      <c r="R64" s="14"/>
      <c r="S64" s="14"/>
      <c r="T64" s="14"/>
    </row>
    <row r="65" spans="1:20">
      <c r="A65" s="3"/>
      <c r="B65" s="3"/>
      <c r="C65" s="3"/>
      <c r="N65" s="14"/>
      <c r="O65" s="14"/>
      <c r="P65" s="14"/>
      <c r="Q65" s="14"/>
      <c r="R65" s="14"/>
      <c r="S65" s="14"/>
      <c r="T65" s="14"/>
    </row>
    <row r="66" spans="1:20">
      <c r="A66" s="3"/>
      <c r="B66" s="3"/>
      <c r="C66" s="3"/>
      <c r="N66" s="14"/>
      <c r="O66" s="14"/>
      <c r="P66" s="14"/>
      <c r="Q66" s="14"/>
      <c r="R66" s="14"/>
      <c r="S66" s="14"/>
      <c r="T66" s="14"/>
    </row>
    <row r="67" spans="1:20">
      <c r="A67" s="3"/>
      <c r="B67" s="3"/>
      <c r="C67" s="3"/>
      <c r="N67" s="14"/>
      <c r="O67" s="14"/>
      <c r="P67" s="14"/>
      <c r="Q67" s="14"/>
      <c r="R67" s="14"/>
      <c r="S67" s="14"/>
      <c r="T67" s="14"/>
    </row>
    <row r="68" spans="1:20">
      <c r="A68" s="3"/>
      <c r="B68" s="3"/>
      <c r="C68" s="3"/>
      <c r="N68" s="14"/>
      <c r="O68" s="14"/>
      <c r="P68" s="14"/>
      <c r="Q68" s="14"/>
      <c r="R68" s="14"/>
      <c r="S68" s="14"/>
      <c r="T68" s="14"/>
    </row>
    <row r="69" spans="1:20">
      <c r="A69" s="3"/>
      <c r="B69" s="3"/>
      <c r="C69" s="3"/>
      <c r="N69" s="14"/>
      <c r="O69" s="14"/>
      <c r="P69" s="14"/>
      <c r="Q69" s="14"/>
      <c r="R69" s="14"/>
      <c r="S69" s="14"/>
      <c r="T69" s="14"/>
    </row>
    <row r="70" spans="1:20">
      <c r="A70" s="3"/>
      <c r="B70" s="3"/>
      <c r="C70" s="3"/>
      <c r="N70" s="14"/>
      <c r="O70" s="14"/>
      <c r="P70" s="14"/>
      <c r="Q70" s="14"/>
      <c r="R70" s="14"/>
      <c r="S70" s="14"/>
      <c r="T70" s="14"/>
    </row>
    <row r="71" spans="1:20">
      <c r="A71" s="3"/>
      <c r="B71" s="3"/>
      <c r="C71" s="3"/>
      <c r="N71" s="14"/>
      <c r="O71" s="14"/>
      <c r="P71" s="14"/>
      <c r="Q71" s="14"/>
      <c r="R71" s="14"/>
      <c r="S71" s="14"/>
      <c r="T71" s="14"/>
    </row>
    <row r="72" spans="1:20">
      <c r="A72" s="3"/>
      <c r="B72" s="3"/>
      <c r="C72" s="3"/>
      <c r="N72" s="14"/>
      <c r="O72" s="14"/>
      <c r="P72" s="14"/>
      <c r="Q72" s="14"/>
      <c r="R72" s="14"/>
      <c r="S72" s="14"/>
      <c r="T72" s="14"/>
    </row>
    <row r="73" spans="1:20">
      <c r="A73" s="3"/>
      <c r="B73" s="3"/>
      <c r="C73" s="3"/>
      <c r="N73" s="14"/>
      <c r="O73" s="14"/>
      <c r="P73" s="14"/>
      <c r="Q73" s="14"/>
      <c r="R73" s="14"/>
      <c r="S73" s="14"/>
      <c r="T73" s="14"/>
    </row>
    <row r="74" spans="1:20">
      <c r="A74" s="3"/>
      <c r="B74" s="3"/>
      <c r="C74" s="3"/>
      <c r="N74" s="14"/>
      <c r="O74" s="14"/>
      <c r="P74" s="14"/>
      <c r="Q74" s="14"/>
      <c r="R74" s="14"/>
      <c r="S74" s="14"/>
      <c r="T74" s="14"/>
    </row>
    <row r="75" spans="1:20">
      <c r="A75" s="3"/>
      <c r="B75" s="3"/>
      <c r="C75" s="3"/>
      <c r="N75" s="14"/>
      <c r="O75" s="14"/>
      <c r="P75" s="14"/>
      <c r="Q75" s="14"/>
      <c r="R75" s="14"/>
      <c r="S75" s="14"/>
      <c r="T75" s="14"/>
    </row>
    <row r="76" spans="1:20">
      <c r="A76" s="3"/>
      <c r="B76" s="3"/>
      <c r="C76" s="3"/>
    </row>
    <row r="77" spans="1:20">
      <c r="A77" s="3"/>
      <c r="B77" s="3"/>
      <c r="C77" s="3"/>
    </row>
    <row r="78" spans="1:20">
      <c r="A78" s="3"/>
      <c r="B78" s="3"/>
      <c r="C78" s="3"/>
    </row>
    <row r="79" spans="1:20">
      <c r="A79" s="3"/>
      <c r="B79" s="3"/>
      <c r="C79" s="3"/>
    </row>
    <row r="80" spans="1:20">
      <c r="A80" s="3"/>
      <c r="B80" s="3"/>
      <c r="C80" s="3"/>
    </row>
    <row r="81" spans="1:3">
      <c r="A81" s="3"/>
      <c r="B81" s="3"/>
      <c r="C81" s="3"/>
    </row>
  </sheetData>
  <mergeCells count="3">
    <mergeCell ref="C1:T1"/>
    <mergeCell ref="C2:T2"/>
    <mergeCell ref="C3:T3"/>
  </mergeCells>
  <printOptions horizontalCentered="1"/>
  <pageMargins left="0.7" right="0.7" top="1" bottom="0.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view="pageLayout" topLeftCell="A37" zoomScaleNormal="100" workbookViewId="0">
      <selection activeCell="Z6" sqref="Z6"/>
    </sheetView>
  </sheetViews>
  <sheetFormatPr defaultRowHeight="15.75"/>
  <cols>
    <col min="2" max="2" width="1.625" customWidth="1"/>
    <col min="3" max="3" width="12.5" customWidth="1"/>
    <col min="4" max="4" width="1.625" customWidth="1"/>
    <col min="8" max="8" width="5.625" customWidth="1"/>
    <col min="9" max="9" width="1.875" customWidth="1"/>
    <col min="10" max="10" width="10.125" bestFit="1" customWidth="1"/>
    <col min="11" max="11" width="1.625" customWidth="1"/>
    <col min="13" max="13" width="1.625" customWidth="1"/>
    <col min="14" max="14" width="10.125" bestFit="1" customWidth="1"/>
    <col min="15" max="15" width="6.375" customWidth="1"/>
    <col min="16" max="16" width="10.125" bestFit="1" customWidth="1"/>
    <col min="17" max="17" width="1.625" customWidth="1"/>
    <col min="19" max="19" width="1.625" customWidth="1"/>
    <col min="20" max="20" width="10.125" bestFit="1" customWidth="1"/>
    <col min="21" max="21" width="2.625" customWidth="1"/>
    <col min="22" max="22" width="19" bestFit="1" customWidth="1"/>
    <col min="23" max="23" width="2.625" customWidth="1"/>
    <col min="24" max="24" width="10.25" customWidth="1"/>
  </cols>
  <sheetData>
    <row r="1" spans="1:24">
      <c r="C1" s="101" t="s">
        <v>116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X1" s="37" t="s">
        <v>177</v>
      </c>
    </row>
    <row r="2" spans="1:24">
      <c r="C2" s="101" t="s">
        <v>105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X2" s="37" t="s">
        <v>175</v>
      </c>
    </row>
    <row r="3" spans="1:24">
      <c r="C3" s="101" t="s">
        <v>185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4">
      <c r="C4" s="1"/>
      <c r="X4" s="30" t="s">
        <v>106</v>
      </c>
    </row>
    <row r="5" spans="1:24">
      <c r="A5" s="1" t="s">
        <v>47</v>
      </c>
      <c r="B5" s="1"/>
      <c r="C5" s="1" t="s">
        <v>120</v>
      </c>
      <c r="V5" s="39" t="s">
        <v>49</v>
      </c>
      <c r="X5" s="30" t="s">
        <v>107</v>
      </c>
    </row>
    <row r="6" spans="1:24">
      <c r="A6" s="1" t="s">
        <v>48</v>
      </c>
      <c r="B6" s="1"/>
      <c r="C6" s="1" t="s">
        <v>48</v>
      </c>
      <c r="J6" s="4"/>
      <c r="K6" s="4"/>
      <c r="L6" s="2" t="s">
        <v>110</v>
      </c>
      <c r="M6" s="4"/>
      <c r="N6" s="4"/>
      <c r="P6" s="4"/>
      <c r="Q6" s="4"/>
      <c r="R6" s="2" t="s">
        <v>115</v>
      </c>
      <c r="S6" s="4"/>
      <c r="T6" s="4"/>
      <c r="V6" s="39" t="s">
        <v>111</v>
      </c>
      <c r="X6" s="30" t="s">
        <v>108</v>
      </c>
    </row>
    <row r="7" spans="1:24">
      <c r="A7" s="2" t="s">
        <v>39</v>
      </c>
      <c r="B7" s="1"/>
      <c r="C7" s="2" t="s">
        <v>39</v>
      </c>
      <c r="E7" s="4" t="s">
        <v>40</v>
      </c>
      <c r="F7" s="4"/>
      <c r="G7" s="4"/>
      <c r="H7" s="4"/>
      <c r="I7" s="5"/>
      <c r="J7" s="6" t="s">
        <v>42</v>
      </c>
      <c r="K7" s="1"/>
      <c r="L7" s="6" t="s">
        <v>43</v>
      </c>
      <c r="M7" s="1"/>
      <c r="N7" s="6" t="s">
        <v>44</v>
      </c>
      <c r="P7" s="6" t="s">
        <v>42</v>
      </c>
      <c r="Q7" s="1"/>
      <c r="R7" s="6" t="s">
        <v>43</v>
      </c>
      <c r="S7" s="1"/>
      <c r="T7" s="6" t="s">
        <v>44</v>
      </c>
      <c r="V7" s="2" t="s">
        <v>112</v>
      </c>
      <c r="W7" s="5"/>
      <c r="X7" s="2" t="s">
        <v>109</v>
      </c>
    </row>
    <row r="8" spans="1:24">
      <c r="A8" s="3">
        <v>1</v>
      </c>
      <c r="B8" s="3"/>
      <c r="C8" s="3"/>
      <c r="E8" t="s">
        <v>0</v>
      </c>
      <c r="J8" s="9">
        <v>1123911</v>
      </c>
      <c r="K8" s="8"/>
      <c r="L8" s="9">
        <v>76024</v>
      </c>
      <c r="M8" s="8"/>
      <c r="N8" s="13">
        <v>26898</v>
      </c>
      <c r="O8" s="14"/>
      <c r="P8" s="14"/>
      <c r="Q8" s="14"/>
      <c r="R8" s="14"/>
      <c r="S8" s="14"/>
      <c r="T8" s="14"/>
    </row>
    <row r="9" spans="1:24">
      <c r="A9" s="3"/>
      <c r="B9" s="3"/>
      <c r="C9" s="3"/>
      <c r="J9" s="8"/>
      <c r="K9" s="8"/>
      <c r="L9" s="8"/>
      <c r="M9" s="8"/>
      <c r="N9" s="13"/>
      <c r="O9" s="14"/>
      <c r="P9" s="14"/>
      <c r="Q9" s="14"/>
      <c r="R9" s="14"/>
      <c r="S9" s="14"/>
      <c r="T9" s="14"/>
    </row>
    <row r="10" spans="1:24">
      <c r="A10" s="3">
        <v>1.01</v>
      </c>
      <c r="B10" s="3"/>
      <c r="C10" s="3"/>
      <c r="E10" t="s">
        <v>1</v>
      </c>
      <c r="J10" s="7">
        <v>285</v>
      </c>
      <c r="K10" s="8"/>
      <c r="L10" s="7">
        <v>2.9625750000000002</v>
      </c>
      <c r="M10" s="8"/>
      <c r="N10" s="13">
        <f>(+J10*$X$54-L10)/$X$55</f>
        <v>33.101261235140619</v>
      </c>
      <c r="O10" s="14"/>
      <c r="P10" s="14"/>
      <c r="Q10" s="14"/>
      <c r="R10" s="14"/>
      <c r="S10" s="14"/>
      <c r="T10" s="14"/>
      <c r="V10" t="s">
        <v>118</v>
      </c>
    </row>
    <row r="11" spans="1:24">
      <c r="A11" s="3">
        <f>+A10+0.01</f>
        <v>1.02</v>
      </c>
      <c r="B11" s="3"/>
      <c r="C11" s="3"/>
      <c r="E11" t="s">
        <v>2</v>
      </c>
      <c r="J11" s="7">
        <v>-7013</v>
      </c>
      <c r="K11" s="8"/>
      <c r="L11" s="7">
        <v>-83.900134999999992</v>
      </c>
      <c r="M11" s="8"/>
      <c r="N11" s="13">
        <f>(+J11*$X$54-L11)/$X$55</f>
        <v>-796.80481460004512</v>
      </c>
      <c r="O11" s="14"/>
      <c r="P11" s="14"/>
      <c r="Q11" s="14"/>
      <c r="R11" s="14"/>
      <c r="S11" s="14"/>
      <c r="T11" s="14"/>
      <c r="V11" t="s">
        <v>118</v>
      </c>
    </row>
    <row r="12" spans="1:24">
      <c r="A12" s="3">
        <f>+A11+0.01</f>
        <v>1.03</v>
      </c>
      <c r="B12" s="3"/>
      <c r="C12" s="3"/>
      <c r="E12" t="s">
        <v>3</v>
      </c>
      <c r="J12" s="9">
        <v>13689</v>
      </c>
      <c r="K12" s="8"/>
      <c r="L12" s="9">
        <v>142.297155</v>
      </c>
      <c r="M12" s="8"/>
      <c r="N12" s="13">
        <f>(+J12*$X$54-L12)/$X$55</f>
        <v>1589.9058422731225</v>
      </c>
      <c r="O12" s="14"/>
      <c r="P12" s="14"/>
      <c r="Q12" s="14"/>
      <c r="R12" s="14"/>
      <c r="S12" s="14"/>
      <c r="T12" s="14"/>
      <c r="V12" t="s">
        <v>118</v>
      </c>
    </row>
    <row r="13" spans="1:24">
      <c r="A13" s="3">
        <v>2.0099999999999998</v>
      </c>
      <c r="B13" s="3"/>
      <c r="C13" s="3"/>
      <c r="E13" t="s">
        <v>4</v>
      </c>
      <c r="J13" s="10">
        <v>0</v>
      </c>
      <c r="K13" s="8"/>
      <c r="L13" s="10">
        <v>-45.5</v>
      </c>
      <c r="M13" s="8"/>
      <c r="N13" s="13">
        <f>(+J13*$X$54-L13)/$X$55</f>
        <v>73.290164620985138</v>
      </c>
      <c r="O13" s="14"/>
      <c r="P13" s="14"/>
      <c r="Q13" s="14"/>
      <c r="R13" s="14"/>
      <c r="S13" s="14"/>
      <c r="T13" s="14"/>
      <c r="V13" t="s">
        <v>118</v>
      </c>
    </row>
    <row r="14" spans="1:24">
      <c r="A14" s="3">
        <f t="shared" ref="A14:A29" si="0">+A13+0.01</f>
        <v>2.0199999999999996</v>
      </c>
      <c r="B14" s="3"/>
      <c r="C14" s="3"/>
      <c r="E14" t="s">
        <v>5</v>
      </c>
      <c r="J14" s="10">
        <v>0</v>
      </c>
      <c r="K14" s="8"/>
      <c r="L14" s="10">
        <v>-206.05</v>
      </c>
      <c r="M14" s="8"/>
      <c r="N14" s="13">
        <f>(+J14*$X$54-L14)/$X$55</f>
        <v>331.89974549788991</v>
      </c>
      <c r="O14" s="14"/>
      <c r="P14" s="14"/>
      <c r="Q14" s="14"/>
      <c r="R14" s="14"/>
      <c r="S14" s="14"/>
      <c r="T14" s="14"/>
      <c r="V14" t="s">
        <v>118</v>
      </c>
    </row>
    <row r="15" spans="1:24">
      <c r="A15" s="3">
        <f t="shared" si="0"/>
        <v>2.0299999999999994</v>
      </c>
      <c r="B15" s="3"/>
      <c r="C15" s="3"/>
      <c r="E15" t="s">
        <v>6</v>
      </c>
      <c r="J15" s="7">
        <v>0</v>
      </c>
      <c r="K15" s="8"/>
      <c r="L15" s="7">
        <v>-31.200000000000003</v>
      </c>
      <c r="M15" s="8"/>
      <c r="N15" s="13">
        <f>(+J15*$X$54-L15)/$X$55</f>
        <v>50.256112882961247</v>
      </c>
      <c r="O15" s="14"/>
      <c r="P15" s="14"/>
      <c r="Q15" s="14"/>
      <c r="R15" s="14"/>
      <c r="S15" s="14"/>
      <c r="T15" s="14"/>
      <c r="V15" t="s">
        <v>118</v>
      </c>
    </row>
    <row r="16" spans="1:24">
      <c r="A16" s="3">
        <f t="shared" si="0"/>
        <v>2.0399999999999991</v>
      </c>
      <c r="B16" s="3"/>
      <c r="C16" s="3"/>
      <c r="E16" t="s">
        <v>7</v>
      </c>
      <c r="J16" s="10">
        <v>0</v>
      </c>
      <c r="K16" s="8"/>
      <c r="L16" s="10">
        <v>149.5</v>
      </c>
      <c r="M16" s="8"/>
      <c r="N16" s="13">
        <f>(+J16*$X$54-L16)/$X$55</f>
        <v>-240.81054089752263</v>
      </c>
      <c r="O16" s="14"/>
      <c r="P16" s="14"/>
      <c r="Q16" s="14"/>
      <c r="R16" s="14"/>
      <c r="S16" s="14"/>
      <c r="T16" s="14"/>
      <c r="V16" t="s">
        <v>118</v>
      </c>
    </row>
    <row r="17" spans="1:24">
      <c r="A17" s="3">
        <f t="shared" si="0"/>
        <v>2.0499999999999989</v>
      </c>
      <c r="B17" s="3"/>
      <c r="C17" s="3"/>
      <c r="E17" t="s">
        <v>8</v>
      </c>
      <c r="J17" s="7">
        <v>0</v>
      </c>
      <c r="K17" s="8"/>
      <c r="L17" s="7">
        <v>-5</v>
      </c>
      <c r="M17" s="8"/>
      <c r="N17" s="13">
        <f>(+J17*$X$54-L17)/$X$55</f>
        <v>8.053864244064302</v>
      </c>
      <c r="O17" s="14"/>
      <c r="P17" s="14"/>
      <c r="Q17" s="14"/>
      <c r="R17" s="14"/>
      <c r="S17" s="14"/>
      <c r="T17" s="14"/>
      <c r="V17" t="s">
        <v>118</v>
      </c>
    </row>
    <row r="18" spans="1:24">
      <c r="A18" s="3">
        <f t="shared" si="0"/>
        <v>2.0599999999999987</v>
      </c>
      <c r="B18" s="3"/>
      <c r="C18" s="3"/>
      <c r="E18" t="s">
        <v>9</v>
      </c>
      <c r="J18" s="7">
        <v>0</v>
      </c>
      <c r="K18" s="8"/>
      <c r="L18" s="7">
        <v>8312</v>
      </c>
      <c r="M18" s="8"/>
      <c r="N18" s="13">
        <f>(+J18*$X$54-L18)/$X$55</f>
        <v>-13388.743919332495</v>
      </c>
      <c r="O18" s="14"/>
      <c r="P18" s="14"/>
      <c r="Q18" s="14"/>
      <c r="R18" s="14"/>
      <c r="S18" s="14"/>
      <c r="T18" s="14"/>
      <c r="V18" t="s">
        <v>118</v>
      </c>
    </row>
    <row r="19" spans="1:24">
      <c r="A19" s="3">
        <f t="shared" si="0"/>
        <v>2.0699999999999985</v>
      </c>
      <c r="B19" s="3"/>
      <c r="C19" s="3"/>
      <c r="E19" t="s">
        <v>10</v>
      </c>
      <c r="J19" s="10">
        <v>0</v>
      </c>
      <c r="K19" s="8"/>
      <c r="L19" s="10">
        <v>-9.1000000000000014</v>
      </c>
      <c r="M19" s="8"/>
      <c r="N19" s="13">
        <f>(+J19*$X$54-L19)/$X$55</f>
        <v>14.65803292419703</v>
      </c>
      <c r="O19" s="14"/>
      <c r="P19" s="14"/>
      <c r="Q19" s="14"/>
      <c r="R19" s="14"/>
      <c r="S19" s="14"/>
      <c r="T19" s="14"/>
      <c r="V19" t="s">
        <v>118</v>
      </c>
    </row>
    <row r="20" spans="1:24">
      <c r="A20" s="3">
        <f t="shared" si="0"/>
        <v>2.0799999999999983</v>
      </c>
      <c r="B20" s="3"/>
      <c r="C20" s="3"/>
      <c r="E20" t="s">
        <v>11</v>
      </c>
      <c r="J20" s="10">
        <v>0</v>
      </c>
      <c r="K20" s="8"/>
      <c r="L20" s="10">
        <v>1.3</v>
      </c>
      <c r="M20" s="8"/>
      <c r="N20" s="13">
        <f>(+J20*$X$54-L20)/$X$55</f>
        <v>-2.0940047034567186</v>
      </c>
      <c r="O20" s="14"/>
      <c r="P20" s="14"/>
      <c r="Q20" s="14"/>
      <c r="R20" s="14"/>
      <c r="S20" s="14"/>
      <c r="T20" s="14"/>
      <c r="V20" t="s">
        <v>118</v>
      </c>
    </row>
    <row r="21" spans="1:24">
      <c r="A21" s="3">
        <f t="shared" si="0"/>
        <v>2.0899999999999981</v>
      </c>
      <c r="B21" s="3"/>
      <c r="C21" s="3"/>
      <c r="E21" t="s">
        <v>12</v>
      </c>
      <c r="J21" s="10">
        <v>0</v>
      </c>
      <c r="K21" s="8"/>
      <c r="L21" s="10">
        <v>3.25</v>
      </c>
      <c r="M21" s="8"/>
      <c r="N21" s="13">
        <f>(+J21*$X$54-L21)/$X$55</f>
        <v>-5.2350117586417957</v>
      </c>
      <c r="O21" s="14"/>
      <c r="P21" s="14"/>
      <c r="Q21" s="14"/>
      <c r="R21" s="14"/>
      <c r="S21" s="14"/>
      <c r="T21" s="14"/>
      <c r="V21" t="s">
        <v>118</v>
      </c>
    </row>
    <row r="22" spans="1:24">
      <c r="A22" s="3">
        <f t="shared" si="0"/>
        <v>2.0999999999999979</v>
      </c>
      <c r="B22" s="3"/>
      <c r="C22" s="3"/>
      <c r="E22" t="s">
        <v>13</v>
      </c>
      <c r="J22" s="10">
        <v>0</v>
      </c>
      <c r="K22" s="8"/>
      <c r="L22" s="10">
        <v>66.95</v>
      </c>
      <c r="M22" s="8"/>
      <c r="N22" s="13">
        <f>(+J22*$X$54-L22)/$X$55</f>
        <v>-107.841242228021</v>
      </c>
      <c r="O22" s="14"/>
      <c r="P22" s="14"/>
      <c r="Q22" s="14"/>
      <c r="R22" s="14"/>
      <c r="S22" s="14"/>
      <c r="T22" s="14"/>
      <c r="V22" t="s">
        <v>118</v>
      </c>
    </row>
    <row r="23" spans="1:24">
      <c r="A23" s="3">
        <f t="shared" si="0"/>
        <v>2.1099999999999977</v>
      </c>
      <c r="B23" s="3"/>
      <c r="C23" s="3"/>
      <c r="E23" t="s">
        <v>14</v>
      </c>
      <c r="J23" s="10">
        <v>0</v>
      </c>
      <c r="K23" s="8"/>
      <c r="L23" s="10">
        <v>52</v>
      </c>
      <c r="M23" s="8"/>
      <c r="N23" s="13">
        <f>(+J23*$X$54-L23)/$X$55</f>
        <v>-83.760188138268731</v>
      </c>
      <c r="O23" s="14"/>
      <c r="P23" s="14"/>
      <c r="Q23" s="14"/>
      <c r="R23" s="14"/>
      <c r="S23" s="14"/>
      <c r="T23" s="14"/>
      <c r="V23" t="s">
        <v>118</v>
      </c>
    </row>
    <row r="24" spans="1:24">
      <c r="A24" s="3">
        <f t="shared" si="0"/>
        <v>2.1199999999999974</v>
      </c>
      <c r="B24" s="3"/>
      <c r="C24" s="3" t="s">
        <v>103</v>
      </c>
      <c r="E24" t="s">
        <v>15</v>
      </c>
      <c r="J24" s="7">
        <v>0</v>
      </c>
      <c r="K24" s="8"/>
      <c r="L24" s="7">
        <v>10115.950000000001</v>
      </c>
      <c r="M24" s="8"/>
      <c r="N24" s="13">
        <f>(+J24*$X$54-L24)/$X$55</f>
        <v>-16294.497599948456</v>
      </c>
      <c r="O24" s="14"/>
      <c r="P24" s="14"/>
      <c r="Q24" s="14"/>
      <c r="R24" s="14">
        <f>+'Rev Norm'!I35</f>
        <v>11053.309778720362</v>
      </c>
      <c r="S24" s="14"/>
      <c r="T24" s="13">
        <f>(+P24*$X$54-R24)/$X$55</f>
        <v>-17804.371281080446</v>
      </c>
      <c r="V24" t="s">
        <v>123</v>
      </c>
      <c r="X24" s="33">
        <f>+T24-N24</f>
        <v>-1509.8736811319905</v>
      </c>
    </row>
    <row r="25" spans="1:24">
      <c r="A25" s="3">
        <f t="shared" si="0"/>
        <v>2.1299999999999972</v>
      </c>
      <c r="B25" s="3"/>
      <c r="C25" s="3"/>
      <c r="E25" t="s">
        <v>16</v>
      </c>
      <c r="J25" s="9">
        <v>0</v>
      </c>
      <c r="K25" s="8"/>
      <c r="L25" s="9">
        <v>58.5</v>
      </c>
      <c r="M25" s="8"/>
      <c r="N25" s="13">
        <f>(+J25*$X$54-L25)/$X$55</f>
        <v>-94.230211655552324</v>
      </c>
      <c r="O25" s="14"/>
      <c r="P25" s="14"/>
      <c r="Q25" s="14"/>
      <c r="R25" s="14"/>
      <c r="S25" s="14"/>
      <c r="T25" s="14"/>
      <c r="V25" t="s">
        <v>118</v>
      </c>
    </row>
    <row r="26" spans="1:24">
      <c r="A26" s="3">
        <f t="shared" si="0"/>
        <v>2.139999999999997</v>
      </c>
      <c r="B26" s="3"/>
      <c r="C26" s="3"/>
      <c r="E26" t="s">
        <v>17</v>
      </c>
      <c r="J26" s="9">
        <v>0</v>
      </c>
      <c r="K26" s="8"/>
      <c r="L26" s="9">
        <v>553.79999999999995</v>
      </c>
      <c r="M26" s="8"/>
      <c r="N26" s="13">
        <f>(+J26*$X$54-L26)/$X$55</f>
        <v>-892.04600367256194</v>
      </c>
      <c r="O26" s="14"/>
      <c r="P26" s="14"/>
      <c r="Q26" s="14"/>
      <c r="R26" s="14"/>
      <c r="S26" s="14"/>
      <c r="T26" s="14"/>
      <c r="V26" t="s">
        <v>118</v>
      </c>
    </row>
    <row r="27" spans="1:24">
      <c r="A27" s="3">
        <f t="shared" si="0"/>
        <v>2.1499999999999968</v>
      </c>
      <c r="B27" s="3"/>
      <c r="C27" s="3"/>
      <c r="E27" t="s">
        <v>18</v>
      </c>
      <c r="J27" s="9">
        <v>0</v>
      </c>
      <c r="K27" s="8"/>
      <c r="L27" s="9">
        <v>-486.85</v>
      </c>
      <c r="M27" s="8"/>
      <c r="N27" s="13">
        <f>(+J27*$X$54-L27)/$X$55</f>
        <v>784.20476144454108</v>
      </c>
      <c r="O27" s="14"/>
      <c r="P27" s="14"/>
      <c r="Q27" s="14"/>
      <c r="R27" s="14"/>
      <c r="S27" s="14"/>
      <c r="T27" s="14"/>
      <c r="V27" t="s">
        <v>118</v>
      </c>
    </row>
    <row r="28" spans="1:24">
      <c r="A28" s="3">
        <f t="shared" si="0"/>
        <v>2.1599999999999966</v>
      </c>
      <c r="B28" s="3"/>
      <c r="C28" s="3"/>
      <c r="E28" t="s">
        <v>19</v>
      </c>
      <c r="J28" s="9">
        <v>0</v>
      </c>
      <c r="K28" s="8"/>
      <c r="L28" s="9">
        <v>-637.65000000000009</v>
      </c>
      <c r="M28" s="8"/>
      <c r="N28" s="13">
        <f>(+J28*$X$54-L28)/$X$55</f>
        <v>1027.1093070455206</v>
      </c>
      <c r="O28" s="14"/>
      <c r="P28" s="14"/>
      <c r="Q28" s="14"/>
      <c r="R28" s="14"/>
      <c r="S28" s="14"/>
      <c r="T28" s="14"/>
      <c r="V28" t="s">
        <v>118</v>
      </c>
    </row>
    <row r="29" spans="1:24">
      <c r="A29" s="3">
        <f t="shared" si="0"/>
        <v>2.1699999999999964</v>
      </c>
      <c r="B29" s="3"/>
      <c r="C29" s="3"/>
      <c r="E29" t="s">
        <v>20</v>
      </c>
      <c r="J29" s="18">
        <v>0</v>
      </c>
      <c r="K29" s="20"/>
      <c r="L29" s="18">
        <v>126</v>
      </c>
      <c r="M29" s="20"/>
      <c r="N29" s="19">
        <f>(+J29*$X$54-L29)/$X$55</f>
        <v>-202.95737895042041</v>
      </c>
      <c r="O29" s="14"/>
      <c r="P29" s="14"/>
      <c r="Q29" s="14"/>
      <c r="R29" s="14"/>
      <c r="S29" s="14"/>
      <c r="T29" s="14"/>
      <c r="V29" t="s">
        <v>118</v>
      </c>
    </row>
    <row r="30" spans="1:24">
      <c r="A30" s="3"/>
      <c r="B30" s="3"/>
      <c r="C30" s="3"/>
      <c r="E30" s="41" t="s">
        <v>21</v>
      </c>
      <c r="J30" s="34">
        <f>SUM(J8:J29)</f>
        <v>1130872</v>
      </c>
      <c r="K30" s="8"/>
      <c r="L30" s="34">
        <f>SUM(L8:L29)</f>
        <v>94103.259594999981</v>
      </c>
      <c r="M30" s="8"/>
      <c r="N30" s="34">
        <f>SUM(N8:N29)</f>
        <v>-1298.5418237170179</v>
      </c>
      <c r="O30" s="14"/>
      <c r="P30" s="34">
        <f>SUM(P8:P29)</f>
        <v>0</v>
      </c>
      <c r="Q30" s="14"/>
      <c r="R30" s="34">
        <f>SUM(R8:R29)</f>
        <v>11053.309778720362</v>
      </c>
      <c r="S30" s="14"/>
      <c r="T30" s="34">
        <f>SUM(T8:T29)</f>
        <v>-17804.371281080446</v>
      </c>
      <c r="X30" s="34">
        <f>SUM(X8:X29)</f>
        <v>-1509.8736811319905</v>
      </c>
    </row>
    <row r="31" spans="1:24">
      <c r="A31" s="42">
        <v>3</v>
      </c>
      <c r="B31" s="3"/>
      <c r="C31" s="3" t="s">
        <v>119</v>
      </c>
      <c r="E31" t="s">
        <v>22</v>
      </c>
      <c r="J31" s="9">
        <v>0</v>
      </c>
      <c r="K31" s="8"/>
      <c r="L31" s="9">
        <v>-5237.7000000000007</v>
      </c>
      <c r="M31" s="8"/>
      <c r="N31" s="13">
        <f>(+J31*$X$54-L31)/$X$55</f>
        <v>8436.7449502271193</v>
      </c>
      <c r="O31" s="14"/>
      <c r="P31" s="14"/>
      <c r="Q31" s="14"/>
      <c r="R31" s="43">
        <f>'ICNU PF Power Supply'!H44</f>
        <v>-392.73764576020039</v>
      </c>
      <c r="S31" s="14"/>
      <c r="T31" s="13">
        <f>(+P31*$X$54-R31)/$X$55</f>
        <v>632.61113649721392</v>
      </c>
      <c r="V31" t="s">
        <v>158</v>
      </c>
      <c r="X31" s="33">
        <f>+T31-N31</f>
        <v>-7804.1338137299053</v>
      </c>
    </row>
    <row r="32" spans="1:24">
      <c r="A32" s="3">
        <f t="shared" ref="A32:A38" si="1">+A31+0.01</f>
        <v>3.01</v>
      </c>
      <c r="B32" s="3"/>
      <c r="C32" s="3"/>
      <c r="E32" t="s">
        <v>23</v>
      </c>
      <c r="J32" s="9">
        <v>0</v>
      </c>
      <c r="K32" s="8"/>
      <c r="L32" s="9">
        <v>-525.85</v>
      </c>
      <c r="M32" s="8"/>
      <c r="N32" s="13">
        <f>(+J32*$X$54-L32)/$X$55</f>
        <v>847.02490254824261</v>
      </c>
      <c r="O32" s="14"/>
      <c r="P32" s="14"/>
      <c r="Q32" s="14"/>
      <c r="R32" s="14"/>
      <c r="S32" s="14"/>
      <c r="T32" s="14"/>
      <c r="V32" t="s">
        <v>121</v>
      </c>
    </row>
    <row r="33" spans="1:24">
      <c r="A33" s="3">
        <f t="shared" si="1"/>
        <v>3.0199999999999996</v>
      </c>
      <c r="B33" s="3"/>
      <c r="C33" s="3"/>
      <c r="E33" t="s">
        <v>25</v>
      </c>
      <c r="J33" s="9">
        <v>0</v>
      </c>
      <c r="K33" s="8"/>
      <c r="L33" s="9">
        <v>-1370.2</v>
      </c>
      <c r="M33" s="8"/>
      <c r="N33" s="13">
        <f>(+J33*$X$54-L33)/$X$55</f>
        <v>2207.0809574433811</v>
      </c>
      <c r="O33" s="14"/>
      <c r="P33" s="14"/>
      <c r="Q33" s="14"/>
      <c r="R33" s="14"/>
      <c r="S33" s="14"/>
      <c r="T33" s="14"/>
      <c r="V33" t="s">
        <v>121</v>
      </c>
    </row>
    <row r="34" spans="1:24">
      <c r="A34" s="3">
        <f t="shared" si="1"/>
        <v>3.0299999999999994</v>
      </c>
      <c r="B34" s="3"/>
      <c r="C34" s="3"/>
      <c r="E34" t="s">
        <v>24</v>
      </c>
      <c r="J34" s="9">
        <v>0</v>
      </c>
      <c r="K34" s="8"/>
      <c r="L34" s="9">
        <v>8.4499999999999993</v>
      </c>
      <c r="M34" s="8"/>
      <c r="N34" s="13">
        <f>(+J34*$X$54-L34)/$X$55</f>
        <v>-13.611030572468669</v>
      </c>
      <c r="O34" s="14"/>
      <c r="P34" s="14"/>
      <c r="Q34" s="14"/>
      <c r="R34" s="14"/>
      <c r="S34" s="14"/>
      <c r="T34" s="14"/>
      <c r="V34" t="s">
        <v>121</v>
      </c>
    </row>
    <row r="35" spans="1:24">
      <c r="A35" s="3">
        <f t="shared" si="1"/>
        <v>3.0399999999999991</v>
      </c>
      <c r="B35" s="3"/>
      <c r="C35" s="3"/>
      <c r="E35" t="s">
        <v>26</v>
      </c>
      <c r="J35" s="9">
        <v>0</v>
      </c>
      <c r="K35" s="8"/>
      <c r="L35" s="9">
        <v>-2144.3500000000004</v>
      </c>
      <c r="M35" s="8"/>
      <c r="N35" s="13">
        <f>(+J35*$X$54-L35)/$X$55</f>
        <v>3454.0607583518577</v>
      </c>
      <c r="O35" s="14"/>
      <c r="P35" s="14"/>
      <c r="Q35" s="14"/>
      <c r="R35" s="14"/>
      <c r="S35" s="14"/>
      <c r="T35" s="14"/>
      <c r="V35" t="s">
        <v>121</v>
      </c>
    </row>
    <row r="36" spans="1:24">
      <c r="A36" s="3">
        <f t="shared" si="1"/>
        <v>3.0499999999999989</v>
      </c>
      <c r="B36" s="3"/>
      <c r="C36" s="3"/>
      <c r="E36" t="s">
        <v>27</v>
      </c>
      <c r="J36" s="7">
        <v>0</v>
      </c>
      <c r="K36" s="8"/>
      <c r="L36" s="7">
        <v>66.300000000000011</v>
      </c>
      <c r="M36" s="8"/>
      <c r="N36" s="13">
        <f>(+J36*$X$54-L36)/$X$55</f>
        <v>-106.79423987629265</v>
      </c>
      <c r="O36" s="14"/>
      <c r="P36" s="14"/>
      <c r="Q36" s="14"/>
      <c r="R36" s="14"/>
      <c r="S36" s="14"/>
      <c r="T36" s="14"/>
      <c r="V36" t="s">
        <v>121</v>
      </c>
    </row>
    <row r="37" spans="1:24">
      <c r="A37" s="3">
        <f t="shared" si="1"/>
        <v>3.0599999999999987</v>
      </c>
      <c r="B37" s="3"/>
      <c r="C37" s="3" t="s">
        <v>104</v>
      </c>
      <c r="E37" t="s">
        <v>28</v>
      </c>
      <c r="J37" s="7">
        <v>0</v>
      </c>
      <c r="K37" s="8"/>
      <c r="L37" s="7">
        <v>-1303.25</v>
      </c>
      <c r="M37" s="8"/>
      <c r="N37" s="13">
        <f>(+J37*$X$54-L37)/$X$55</f>
        <v>2099.2397152153603</v>
      </c>
      <c r="O37" s="14"/>
      <c r="P37" s="14"/>
      <c r="Q37" s="14"/>
      <c r="R37" s="14">
        <f>+'Prop Tax'!I30/1000</f>
        <v>-783.24545000000001</v>
      </c>
      <c r="S37" s="14"/>
      <c r="T37" s="13">
        <f>(+P37*$X$54-R37)/$X$55</f>
        <v>1261.6305048162108</v>
      </c>
      <c r="V37" t="s">
        <v>123</v>
      </c>
      <c r="X37" s="33">
        <f>+T37-N37</f>
        <v>-837.60921039914956</v>
      </c>
    </row>
    <row r="38" spans="1:24">
      <c r="A38" s="3">
        <f t="shared" si="1"/>
        <v>3.0699999999999985</v>
      </c>
      <c r="B38" s="3"/>
      <c r="C38" s="3"/>
      <c r="E38" t="s">
        <v>29</v>
      </c>
      <c r="J38" s="11">
        <v>30915</v>
      </c>
      <c r="K38" s="8"/>
      <c r="L38" s="11">
        <v>-779.08857499999999</v>
      </c>
      <c r="M38" s="8"/>
      <c r="N38" s="15">
        <f>(+J38*$X$54-L38)/$X$55</f>
        <v>5363.1907396668921</v>
      </c>
      <c r="O38" s="14"/>
      <c r="P38" s="14"/>
      <c r="Q38" s="14"/>
      <c r="R38" s="14"/>
      <c r="S38" s="14"/>
      <c r="T38" s="14"/>
      <c r="V38" t="s">
        <v>159</v>
      </c>
    </row>
    <row r="39" spans="1:24">
      <c r="A39" s="3"/>
      <c r="B39" s="3"/>
      <c r="C39" s="3"/>
      <c r="E39" s="41" t="s">
        <v>30</v>
      </c>
      <c r="J39" s="12">
        <f>SUM(J30:J38)</f>
        <v>1161787</v>
      </c>
      <c r="K39" s="8"/>
      <c r="L39" s="12">
        <f>SUM(L30:L38)</f>
        <v>82817.571019999974</v>
      </c>
      <c r="M39" s="8"/>
      <c r="N39" s="12">
        <f>SUM(N30:N38)</f>
        <v>20988.394929287075</v>
      </c>
      <c r="O39" s="14"/>
      <c r="P39" s="14"/>
      <c r="Q39" s="14"/>
      <c r="R39" s="35">
        <f>SUM(R30:R38)</f>
        <v>9877.3266829601616</v>
      </c>
      <c r="S39" s="14"/>
      <c r="T39" s="35">
        <f>SUM(T30:T38)</f>
        <v>-15910.129639767023</v>
      </c>
      <c r="X39" s="35">
        <f>SUM(X30:X38)</f>
        <v>-10151.616705261047</v>
      </c>
    </row>
    <row r="40" spans="1:24">
      <c r="A40" s="3">
        <v>4</v>
      </c>
      <c r="B40" s="3"/>
      <c r="C40" s="3"/>
      <c r="E40" t="s">
        <v>31</v>
      </c>
      <c r="J40" s="9">
        <v>63456</v>
      </c>
      <c r="K40" s="8"/>
      <c r="L40" s="9">
        <v>-3968.0248799999999</v>
      </c>
      <c r="M40" s="8"/>
      <c r="N40" s="13">
        <f>(+J40*$X$54-L40)/$X$55</f>
        <v>14824.175896395089</v>
      </c>
      <c r="O40" s="14"/>
      <c r="P40" s="14"/>
      <c r="Q40" s="14"/>
      <c r="R40" s="14"/>
      <c r="S40" s="14"/>
      <c r="T40" s="14"/>
      <c r="V40" t="s">
        <v>122</v>
      </c>
      <c r="X40" s="33">
        <f>+T40-N40</f>
        <v>-14824.175896395089</v>
      </c>
    </row>
    <row r="41" spans="1:24">
      <c r="A41" s="3">
        <f t="shared" ref="A41:A47" si="2">+A40+0.01</f>
        <v>4.01</v>
      </c>
      <c r="B41" s="3"/>
      <c r="C41" s="3"/>
      <c r="E41" t="s">
        <v>32</v>
      </c>
      <c r="J41" s="9">
        <v>-2618</v>
      </c>
      <c r="K41" s="8"/>
      <c r="L41" s="9">
        <v>-1098.4141100000002</v>
      </c>
      <c r="M41" s="8"/>
      <c r="N41" s="13">
        <f>(+J41*$X$54-L41)/$X$55</f>
        <v>1421.3928513900971</v>
      </c>
      <c r="O41" s="14"/>
      <c r="P41" s="14"/>
      <c r="Q41" s="14"/>
      <c r="R41" s="14"/>
      <c r="S41" s="14"/>
      <c r="T41" s="14"/>
      <c r="V41" t="s">
        <v>122</v>
      </c>
      <c r="X41" s="33">
        <f>+T41-N41</f>
        <v>-1421.3928513900971</v>
      </c>
    </row>
    <row r="42" spans="1:24">
      <c r="A42" s="3">
        <f t="shared" si="2"/>
        <v>4.0199999999999996</v>
      </c>
      <c r="B42" s="3"/>
      <c r="C42" s="3"/>
      <c r="E42" t="s">
        <v>33</v>
      </c>
      <c r="J42" s="9">
        <v>0</v>
      </c>
      <c r="K42" s="8"/>
      <c r="L42" s="9">
        <v>-2585.0500000000002</v>
      </c>
      <c r="M42" s="8"/>
      <c r="N42" s="13">
        <f>(+J42*$X$54-L42)/$X$55</f>
        <v>4163.9283528236847</v>
      </c>
      <c r="O42" s="14"/>
      <c r="P42" s="14"/>
      <c r="Q42" s="14"/>
      <c r="R42" s="14"/>
      <c r="S42" s="14"/>
      <c r="T42" s="14"/>
      <c r="V42" t="s">
        <v>122</v>
      </c>
      <c r="X42" s="33">
        <f>+T42-N42</f>
        <v>-4163.9283528236847</v>
      </c>
    </row>
    <row r="43" spans="1:24">
      <c r="A43" s="3">
        <f t="shared" si="2"/>
        <v>4.0299999999999994</v>
      </c>
      <c r="B43" s="3"/>
      <c r="C43" s="3"/>
      <c r="E43" t="s">
        <v>34</v>
      </c>
      <c r="J43" s="11">
        <v>0</v>
      </c>
      <c r="K43" s="8"/>
      <c r="L43" s="11">
        <v>-65</v>
      </c>
      <c r="M43" s="8"/>
      <c r="N43" s="15">
        <f>(+J43*$X$54-L43)/$X$55</f>
        <v>104.70023517283592</v>
      </c>
      <c r="O43" s="14"/>
      <c r="P43" s="14"/>
      <c r="Q43" s="14"/>
      <c r="R43" s="14"/>
      <c r="S43" s="14"/>
      <c r="T43" s="14"/>
      <c r="V43" t="s">
        <v>122</v>
      </c>
      <c r="X43" s="33">
        <f>+T43-N43</f>
        <v>-104.70023517283592</v>
      </c>
    </row>
    <row r="44" spans="1:24">
      <c r="B44" s="3"/>
      <c r="C44" s="3"/>
      <c r="E44" s="41" t="s">
        <v>35</v>
      </c>
      <c r="J44" s="12">
        <f>SUM(J39:J43)</f>
        <v>1222625</v>
      </c>
      <c r="K44" s="8"/>
      <c r="L44" s="12">
        <f>SUM(L39:L43)</f>
        <v>75101.082029999976</v>
      </c>
      <c r="M44" s="8"/>
      <c r="N44" s="12">
        <f>SUM(N39:N43)</f>
        <v>41502.592265068786</v>
      </c>
      <c r="O44" s="32"/>
      <c r="P44" s="14"/>
      <c r="Q44" s="14"/>
      <c r="R44" s="35">
        <f>SUM(R39:R43)</f>
        <v>9877.3266829601616</v>
      </c>
      <c r="S44" s="14"/>
      <c r="T44" s="35">
        <f>SUM(T39:T43)</f>
        <v>-15910.129639767023</v>
      </c>
      <c r="X44" s="35">
        <f>SUM(X39:X43)</f>
        <v>-30665.814041042755</v>
      </c>
    </row>
    <row r="45" spans="1:24">
      <c r="A45" s="42">
        <f>+A43+0.01</f>
        <v>4.0399999999999991</v>
      </c>
      <c r="B45" s="3"/>
      <c r="C45" s="3"/>
      <c r="E45" t="s">
        <v>36</v>
      </c>
      <c r="J45" s="9">
        <v>0</v>
      </c>
      <c r="K45" s="8"/>
      <c r="L45" s="9">
        <v>-2254.8500000000004</v>
      </c>
      <c r="M45" s="8"/>
      <c r="N45" s="13">
        <f>(+J45*$X$54-L45)/$X$55</f>
        <v>3632.0511581456785</v>
      </c>
      <c r="O45" s="14"/>
      <c r="P45" s="14"/>
      <c r="Q45" s="14"/>
      <c r="R45" s="14"/>
      <c r="S45" s="14"/>
      <c r="T45" s="14"/>
      <c r="V45" t="s">
        <v>117</v>
      </c>
      <c r="X45" s="33">
        <f>+T45-N45</f>
        <v>-3632.0511581456785</v>
      </c>
    </row>
    <row r="46" spans="1:24">
      <c r="A46" s="3">
        <f t="shared" si="2"/>
        <v>4.0499999999999989</v>
      </c>
      <c r="B46" s="3"/>
      <c r="C46" s="3"/>
      <c r="E46" t="s">
        <v>37</v>
      </c>
      <c r="J46" s="9">
        <v>0</v>
      </c>
      <c r="K46" s="8"/>
      <c r="L46" s="9">
        <v>1944.15</v>
      </c>
      <c r="M46" s="8"/>
      <c r="N46" s="13">
        <f>(+J46*$X$54-L46)/$X$55</f>
        <v>-3131.5840340195227</v>
      </c>
      <c r="O46" s="14"/>
      <c r="P46" s="14"/>
      <c r="Q46" s="14"/>
      <c r="R46" s="14"/>
      <c r="S46" s="14"/>
      <c r="T46" s="14"/>
      <c r="V46" t="s">
        <v>121</v>
      </c>
    </row>
    <row r="47" spans="1:24">
      <c r="A47" s="3">
        <f t="shared" si="2"/>
        <v>4.0599999999999987</v>
      </c>
      <c r="B47" s="3"/>
      <c r="C47" s="3"/>
      <c r="E47" t="s">
        <v>38</v>
      </c>
      <c r="J47" s="11">
        <v>0</v>
      </c>
      <c r="K47" s="8"/>
      <c r="L47" s="11">
        <v>633.75</v>
      </c>
      <c r="M47" s="8"/>
      <c r="N47" s="15">
        <f>(+J47*$X$54-L47)/$X$55</f>
        <v>-1020.8272929351502</v>
      </c>
      <c r="O47" s="14"/>
      <c r="P47" s="14"/>
      <c r="Q47" s="14"/>
      <c r="R47" s="14"/>
      <c r="S47" s="14"/>
      <c r="T47" s="14"/>
      <c r="V47" t="s">
        <v>121</v>
      </c>
    </row>
    <row r="48" spans="1:24" ht="16.5" thickBot="1">
      <c r="A48" s="3"/>
      <c r="B48" s="3"/>
      <c r="C48" s="3"/>
      <c r="E48" s="41" t="s">
        <v>41</v>
      </c>
      <c r="J48" s="12">
        <f>SUM(J44:J47)</f>
        <v>1222625</v>
      </c>
      <c r="K48" s="8"/>
      <c r="L48" s="12">
        <f>SUM(L44:L47)</f>
        <v>75424.132029999964</v>
      </c>
      <c r="M48" s="8"/>
      <c r="N48" s="12">
        <f>SUM(N44:N47)</f>
        <v>40982.232096259795</v>
      </c>
      <c r="O48" s="14"/>
      <c r="P48" s="14"/>
      <c r="Q48" s="14"/>
      <c r="R48" s="36">
        <f>SUM(R44:R47)</f>
        <v>9877.3266829601616</v>
      </c>
      <c r="S48" s="14"/>
      <c r="T48" s="36">
        <f>SUM(T44:T47)</f>
        <v>-15910.129639767023</v>
      </c>
      <c r="X48" s="36">
        <f>SUM(X44:X47)</f>
        <v>-34297.865199188433</v>
      </c>
    </row>
    <row r="49" spans="1:24" ht="16.5" thickTop="1">
      <c r="A49" s="3"/>
      <c r="B49" s="3"/>
      <c r="C49" s="3"/>
      <c r="J49" s="8"/>
      <c r="K49" s="8"/>
      <c r="L49" s="8"/>
      <c r="M49" s="8"/>
      <c r="N49" s="13"/>
      <c r="O49" s="14"/>
      <c r="P49" s="14"/>
      <c r="Q49" s="14"/>
      <c r="R49" s="14"/>
      <c r="S49" s="14"/>
      <c r="T49" s="14"/>
    </row>
    <row r="50" spans="1:24">
      <c r="A50" s="3"/>
      <c r="B50" s="3"/>
      <c r="C50" s="3"/>
      <c r="J50" s="8"/>
      <c r="K50" s="8"/>
      <c r="L50" s="52"/>
      <c r="M50" s="8"/>
      <c r="N50" s="13"/>
      <c r="O50" s="14"/>
      <c r="P50" s="14"/>
      <c r="Q50" s="14"/>
      <c r="R50" s="14"/>
      <c r="S50" s="14"/>
      <c r="T50" s="14"/>
      <c r="X50" s="33"/>
    </row>
    <row r="51" spans="1:24">
      <c r="A51" s="3"/>
      <c r="B51" s="3"/>
      <c r="C51" s="3"/>
      <c r="J51" s="8"/>
      <c r="K51" s="8"/>
      <c r="L51" s="8"/>
      <c r="M51" s="8"/>
      <c r="N51" s="13"/>
      <c r="O51" s="14"/>
      <c r="P51" s="14"/>
      <c r="Q51" s="14"/>
      <c r="R51" s="14"/>
      <c r="S51" s="14"/>
      <c r="T51" s="14"/>
    </row>
    <row r="52" spans="1:24">
      <c r="A52" s="3"/>
      <c r="B52" s="3"/>
      <c r="C52" s="3"/>
      <c r="J52" s="8"/>
      <c r="K52" s="8"/>
      <c r="L52" s="8"/>
      <c r="M52" s="8"/>
      <c r="N52" s="13"/>
      <c r="O52" s="14"/>
      <c r="P52" s="14"/>
      <c r="Q52" s="14"/>
      <c r="R52" s="14"/>
      <c r="S52" s="14"/>
      <c r="T52" s="14"/>
    </row>
    <row r="53" spans="1:24">
      <c r="A53" s="3"/>
      <c r="B53" s="3"/>
      <c r="C53" s="3"/>
      <c r="J53" s="8"/>
      <c r="K53" s="8"/>
      <c r="L53" s="8"/>
      <c r="M53" s="8"/>
      <c r="N53" s="13"/>
      <c r="O53" s="14"/>
      <c r="P53" s="14"/>
      <c r="Q53" s="14"/>
      <c r="R53" s="14"/>
      <c r="S53" s="14"/>
      <c r="T53" s="14"/>
    </row>
    <row r="54" spans="1:24">
      <c r="A54" s="3"/>
      <c r="B54" s="3"/>
      <c r="C54" s="3"/>
      <c r="J54" s="8"/>
      <c r="K54" s="8"/>
      <c r="L54" s="8"/>
      <c r="M54" s="8"/>
      <c r="N54" s="13"/>
      <c r="O54" s="14"/>
      <c r="P54" s="14"/>
      <c r="Q54" s="14"/>
      <c r="R54" s="14"/>
      <c r="S54" s="14"/>
      <c r="T54" s="14"/>
      <c r="V54" t="s">
        <v>45</v>
      </c>
      <c r="X54">
        <v>8.2500000000000004E-2</v>
      </c>
    </row>
    <row r="55" spans="1:24">
      <c r="A55" s="3"/>
      <c r="B55" s="3"/>
      <c r="C55" s="3"/>
      <c r="J55" s="8"/>
      <c r="K55" s="8"/>
      <c r="L55" s="8"/>
      <c r="M55" s="8"/>
      <c r="N55" s="13"/>
      <c r="O55" s="14"/>
      <c r="P55" s="14"/>
      <c r="Q55" s="14"/>
      <c r="R55" s="14"/>
      <c r="S55" s="14"/>
      <c r="T55" s="14"/>
      <c r="V55" t="s">
        <v>46</v>
      </c>
      <c r="X55">
        <v>0.62082000000000004</v>
      </c>
    </row>
    <row r="56" spans="1:24">
      <c r="A56" s="3"/>
      <c r="B56" s="3"/>
      <c r="C56" s="3"/>
      <c r="J56" s="8"/>
      <c r="K56" s="8"/>
      <c r="L56" s="8"/>
      <c r="M56" s="8"/>
      <c r="N56" s="13"/>
      <c r="O56" s="14"/>
      <c r="P56" s="14"/>
      <c r="Q56" s="14"/>
      <c r="R56" s="14"/>
      <c r="S56" s="14"/>
      <c r="T56" s="14"/>
    </row>
    <row r="57" spans="1:24">
      <c r="A57" s="3"/>
      <c r="B57" s="3"/>
      <c r="C57" s="3"/>
      <c r="J57" s="8"/>
      <c r="K57" s="8"/>
      <c r="L57" s="8"/>
      <c r="M57" s="8"/>
      <c r="N57" s="13"/>
      <c r="O57" s="14"/>
      <c r="P57" s="14"/>
      <c r="Q57" s="14"/>
      <c r="R57" s="14"/>
      <c r="S57" s="14"/>
      <c r="T57" s="14"/>
    </row>
    <row r="58" spans="1:24">
      <c r="A58" s="3"/>
      <c r="B58" s="3"/>
      <c r="C58" s="3"/>
      <c r="J58" s="8"/>
      <c r="K58" s="8"/>
      <c r="L58" s="8"/>
      <c r="M58" s="8"/>
      <c r="N58" s="13"/>
      <c r="O58" s="14"/>
      <c r="P58" s="14"/>
      <c r="Q58" s="14"/>
      <c r="R58" s="14"/>
      <c r="S58" s="14"/>
      <c r="T58" s="14"/>
    </row>
    <row r="59" spans="1:24">
      <c r="A59" s="3"/>
      <c r="B59" s="3"/>
      <c r="C59" s="3"/>
      <c r="J59" s="8"/>
      <c r="K59" s="8"/>
      <c r="L59" s="8"/>
      <c r="M59" s="8"/>
      <c r="N59" s="13"/>
      <c r="O59" s="14"/>
      <c r="P59" s="14"/>
      <c r="Q59" s="14"/>
      <c r="R59" s="14"/>
      <c r="S59" s="14"/>
      <c r="T59" s="14"/>
    </row>
    <row r="60" spans="1:24">
      <c r="A60" s="3"/>
      <c r="B60" s="3"/>
      <c r="C60" s="3"/>
      <c r="N60" s="14"/>
      <c r="O60" s="14"/>
      <c r="P60" s="14"/>
      <c r="Q60" s="14"/>
      <c r="R60" s="14"/>
      <c r="S60" s="14"/>
      <c r="T60" s="14"/>
    </row>
    <row r="61" spans="1:24">
      <c r="A61" s="3"/>
      <c r="B61" s="3"/>
      <c r="C61" s="3"/>
      <c r="N61" s="14"/>
      <c r="O61" s="14"/>
      <c r="P61" s="14"/>
      <c r="Q61" s="14"/>
      <c r="R61" s="14"/>
      <c r="S61" s="14"/>
      <c r="T61" s="14"/>
    </row>
    <row r="62" spans="1:24">
      <c r="A62" s="3"/>
      <c r="B62" s="3"/>
      <c r="C62" s="3"/>
      <c r="N62" s="14"/>
      <c r="O62" s="14"/>
      <c r="P62" s="14"/>
      <c r="Q62" s="14"/>
      <c r="R62" s="14"/>
      <c r="S62" s="14"/>
      <c r="T62" s="14"/>
    </row>
    <row r="63" spans="1:24">
      <c r="A63" s="3"/>
      <c r="B63" s="3"/>
      <c r="C63" s="3"/>
      <c r="N63" s="14"/>
      <c r="O63" s="14"/>
      <c r="P63" s="14"/>
      <c r="Q63" s="14"/>
      <c r="R63" s="14"/>
      <c r="S63" s="14"/>
      <c r="T63" s="14"/>
    </row>
    <row r="64" spans="1:24">
      <c r="A64" s="3"/>
      <c r="B64" s="3"/>
      <c r="C64" s="3"/>
      <c r="N64" s="14"/>
      <c r="O64" s="14"/>
      <c r="P64" s="14"/>
      <c r="Q64" s="14"/>
      <c r="R64" s="14"/>
      <c r="S64" s="14"/>
      <c r="T64" s="14"/>
    </row>
    <row r="65" spans="1:20">
      <c r="A65" s="3"/>
      <c r="B65" s="3"/>
      <c r="C65" s="3"/>
      <c r="N65" s="14"/>
      <c r="O65" s="14"/>
      <c r="P65" s="14"/>
      <c r="Q65" s="14"/>
      <c r="R65" s="14"/>
      <c r="S65" s="14"/>
      <c r="T65" s="14"/>
    </row>
    <row r="66" spans="1:20">
      <c r="A66" s="3"/>
      <c r="B66" s="3"/>
      <c r="C66" s="3"/>
      <c r="N66" s="14"/>
      <c r="O66" s="14"/>
      <c r="P66" s="14"/>
      <c r="Q66" s="14"/>
      <c r="R66" s="14"/>
      <c r="S66" s="14"/>
      <c r="T66" s="14"/>
    </row>
    <row r="67" spans="1:20">
      <c r="A67" s="3"/>
      <c r="B67" s="3"/>
      <c r="C67" s="3"/>
      <c r="N67" s="14"/>
      <c r="O67" s="14"/>
      <c r="P67" s="14"/>
      <c r="Q67" s="14"/>
      <c r="R67" s="14"/>
      <c r="S67" s="14"/>
      <c r="T67" s="14"/>
    </row>
    <row r="68" spans="1:20">
      <c r="A68" s="3"/>
      <c r="B68" s="3"/>
      <c r="C68" s="3"/>
      <c r="N68" s="14"/>
      <c r="O68" s="14"/>
      <c r="P68" s="14"/>
      <c r="Q68" s="14"/>
      <c r="R68" s="14"/>
      <c r="S68" s="14"/>
      <c r="T68" s="14"/>
    </row>
    <row r="69" spans="1:20">
      <c r="A69" s="3"/>
      <c r="B69" s="3"/>
      <c r="C69" s="3"/>
      <c r="N69" s="14"/>
      <c r="O69" s="14"/>
      <c r="P69" s="14"/>
      <c r="Q69" s="14"/>
      <c r="R69" s="14"/>
      <c r="S69" s="14"/>
      <c r="T69" s="14"/>
    </row>
    <row r="70" spans="1:20">
      <c r="A70" s="3"/>
      <c r="B70" s="3"/>
      <c r="C70" s="3"/>
      <c r="N70" s="14"/>
      <c r="O70" s="14"/>
      <c r="P70" s="14"/>
      <c r="Q70" s="14"/>
      <c r="R70" s="14"/>
      <c r="S70" s="14"/>
      <c r="T70" s="14"/>
    </row>
    <row r="71" spans="1:20">
      <c r="A71" s="3"/>
      <c r="B71" s="3"/>
      <c r="C71" s="3"/>
      <c r="N71" s="14"/>
      <c r="O71" s="14"/>
      <c r="P71" s="14"/>
      <c r="Q71" s="14"/>
      <c r="R71" s="14"/>
      <c r="S71" s="14"/>
      <c r="T71" s="14"/>
    </row>
    <row r="72" spans="1:20">
      <c r="A72" s="3"/>
      <c r="B72" s="3"/>
      <c r="C72" s="3"/>
      <c r="N72" s="14"/>
      <c r="O72" s="14"/>
      <c r="P72" s="14"/>
      <c r="Q72" s="14"/>
      <c r="R72" s="14"/>
      <c r="S72" s="14"/>
      <c r="T72" s="14"/>
    </row>
    <row r="73" spans="1:20">
      <c r="A73" s="3"/>
      <c r="B73" s="3"/>
      <c r="C73" s="3"/>
      <c r="N73" s="14"/>
      <c r="O73" s="14"/>
      <c r="P73" s="14"/>
      <c r="Q73" s="14"/>
      <c r="R73" s="14"/>
      <c r="S73" s="14"/>
      <c r="T73" s="14"/>
    </row>
    <row r="74" spans="1:20">
      <c r="A74" s="3"/>
      <c r="B74" s="3"/>
      <c r="C74" s="3"/>
      <c r="N74" s="14"/>
      <c r="O74" s="14"/>
      <c r="P74" s="14"/>
      <c r="Q74" s="14"/>
      <c r="R74" s="14"/>
      <c r="S74" s="14"/>
      <c r="T74" s="14"/>
    </row>
    <row r="75" spans="1:20">
      <c r="A75" s="3"/>
      <c r="B75" s="3"/>
      <c r="C75" s="3"/>
      <c r="N75" s="14"/>
      <c r="O75" s="14"/>
      <c r="P75" s="14"/>
      <c r="Q75" s="14"/>
      <c r="R75" s="14"/>
      <c r="S75" s="14"/>
      <c r="T75" s="14"/>
    </row>
    <row r="76" spans="1:20">
      <c r="A76" s="3"/>
      <c r="B76" s="3"/>
      <c r="C76" s="3"/>
    </row>
    <row r="77" spans="1:20">
      <c r="A77" s="3"/>
      <c r="B77" s="3"/>
      <c r="C77" s="3"/>
    </row>
    <row r="78" spans="1:20">
      <c r="A78" s="3"/>
      <c r="B78" s="3"/>
      <c r="C78" s="3"/>
    </row>
    <row r="79" spans="1:20">
      <c r="A79" s="3"/>
      <c r="B79" s="3"/>
      <c r="C79" s="3"/>
    </row>
    <row r="80" spans="1:20">
      <c r="A80" s="3"/>
      <c r="B80" s="3"/>
      <c r="C80" s="3"/>
    </row>
    <row r="81" spans="1:3">
      <c r="A81" s="3"/>
      <c r="B81" s="3"/>
      <c r="C81" s="3"/>
    </row>
  </sheetData>
  <mergeCells count="3">
    <mergeCell ref="C1:T1"/>
    <mergeCell ref="C2:T2"/>
    <mergeCell ref="C3:T3"/>
  </mergeCells>
  <printOptions horizontalCentered="1"/>
  <pageMargins left="0.7" right="0.7" top="1" bottom="0.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workbookViewId="0">
      <selection activeCell="N11" sqref="N11"/>
    </sheetView>
  </sheetViews>
  <sheetFormatPr defaultRowHeight="15.75"/>
  <cols>
    <col min="1" max="1" width="6.625" customWidth="1"/>
    <col min="2" max="3" width="5.625" customWidth="1"/>
    <col min="4" max="8" width="9.625" customWidth="1"/>
    <col min="9" max="9" width="12.375" customWidth="1"/>
    <col min="10" max="10" width="2.625" customWidth="1"/>
    <col min="11" max="11" width="15" customWidth="1"/>
    <col min="12" max="12" width="8.625" customWidth="1"/>
  </cols>
  <sheetData>
    <row r="1" spans="2:20">
      <c r="L1" s="37" t="s">
        <v>177</v>
      </c>
    </row>
    <row r="2" spans="2:20">
      <c r="L2" s="37" t="s">
        <v>178</v>
      </c>
    </row>
    <row r="3" spans="2:20">
      <c r="L3" s="38" t="s">
        <v>103</v>
      </c>
    </row>
    <row r="4" spans="2:20">
      <c r="D4" s="102" t="s">
        <v>55</v>
      </c>
      <c r="E4" s="102"/>
      <c r="F4" s="102"/>
      <c r="G4" s="102"/>
      <c r="H4" s="102"/>
      <c r="I4" s="102"/>
      <c r="J4" s="102"/>
      <c r="K4" s="102"/>
    </row>
    <row r="5" spans="2:20">
      <c r="D5" s="102" t="s">
        <v>56</v>
      </c>
      <c r="E5" s="102"/>
      <c r="F5" s="102"/>
      <c r="G5" s="102"/>
      <c r="H5" s="102"/>
      <c r="I5" s="102"/>
      <c r="J5" s="102"/>
      <c r="K5" s="102"/>
    </row>
    <row r="6" spans="2:20">
      <c r="D6" s="102" t="s">
        <v>77</v>
      </c>
      <c r="E6" s="102"/>
      <c r="F6" s="102"/>
      <c r="G6" s="102"/>
      <c r="H6" s="102"/>
      <c r="I6" s="102"/>
      <c r="J6" s="102"/>
      <c r="K6" s="102"/>
      <c r="T6" t="s">
        <v>115</v>
      </c>
    </row>
    <row r="9" spans="2:20">
      <c r="B9" s="17" t="s">
        <v>50</v>
      </c>
    </row>
    <row r="10" spans="2:20">
      <c r="B10" s="2" t="s">
        <v>51</v>
      </c>
      <c r="D10" s="4" t="s">
        <v>52</v>
      </c>
      <c r="E10" s="4"/>
      <c r="F10" s="4"/>
      <c r="G10" s="4"/>
      <c r="I10" s="2" t="s">
        <v>78</v>
      </c>
      <c r="J10" s="17"/>
      <c r="K10" s="2" t="s">
        <v>54</v>
      </c>
    </row>
    <row r="12" spans="2:20">
      <c r="B12" s="17">
        <v>1</v>
      </c>
      <c r="D12" s="5" t="s">
        <v>79</v>
      </c>
      <c r="E12" s="5"/>
      <c r="F12" s="5"/>
      <c r="G12" s="5"/>
      <c r="H12" s="5"/>
      <c r="I12" s="5"/>
      <c r="J12" s="5"/>
      <c r="K12" s="30" t="s">
        <v>80</v>
      </c>
    </row>
    <row r="13" spans="2:20">
      <c r="B13" s="17">
        <v>2</v>
      </c>
      <c r="D13" s="5" t="s">
        <v>81</v>
      </c>
      <c r="E13" s="5"/>
      <c r="F13" s="5"/>
      <c r="G13" s="5"/>
      <c r="H13" s="5"/>
      <c r="I13" s="5"/>
      <c r="J13" s="5"/>
      <c r="K13" s="30" t="s">
        <v>82</v>
      </c>
    </row>
    <row r="14" spans="2:20">
      <c r="B14" s="17">
        <v>3</v>
      </c>
      <c r="D14" s="27" t="s">
        <v>83</v>
      </c>
      <c r="E14" s="5"/>
      <c r="F14" s="5"/>
      <c r="G14" s="5"/>
      <c r="H14" s="5"/>
      <c r="I14" s="25">
        <f>+'[1]Pres &amp; Prop Rev'!$C$130/1000</f>
        <v>460040.09196726209</v>
      </c>
      <c r="J14" s="5"/>
      <c r="K14" s="31" t="s">
        <v>84</v>
      </c>
    </row>
    <row r="15" spans="2:20">
      <c r="B15" s="17"/>
      <c r="D15" s="5"/>
      <c r="E15" s="5"/>
      <c r="F15" s="5"/>
      <c r="G15" s="5"/>
      <c r="H15" s="5"/>
      <c r="I15" s="25"/>
      <c r="J15" s="5"/>
      <c r="K15" s="26"/>
    </row>
    <row r="16" spans="2:20">
      <c r="B16" s="17">
        <v>4</v>
      </c>
      <c r="D16" s="5" t="s">
        <v>79</v>
      </c>
      <c r="E16" s="5"/>
      <c r="F16" s="5"/>
      <c r="G16" s="5"/>
      <c r="H16" s="5"/>
      <c r="I16" s="5"/>
      <c r="J16" s="5"/>
      <c r="K16" s="5"/>
    </row>
    <row r="17" spans="2:11">
      <c r="B17" s="17">
        <v>5</v>
      </c>
      <c r="D17" s="27" t="s">
        <v>85</v>
      </c>
      <c r="E17" s="5"/>
      <c r="F17" s="5"/>
      <c r="G17" s="5"/>
      <c r="H17" s="5"/>
      <c r="I17" s="5"/>
      <c r="J17" s="5"/>
      <c r="K17" s="30" t="s">
        <v>80</v>
      </c>
    </row>
    <row r="18" spans="2:11">
      <c r="B18" s="17">
        <v>6</v>
      </c>
      <c r="D18" s="27" t="s">
        <v>86</v>
      </c>
      <c r="E18" s="5"/>
      <c r="F18" s="5"/>
      <c r="G18" s="5"/>
      <c r="H18" s="5"/>
      <c r="I18" s="16">
        <v>458524</v>
      </c>
      <c r="J18" s="5"/>
      <c r="K18" s="30" t="s">
        <v>87</v>
      </c>
    </row>
    <row r="19" spans="2:11">
      <c r="B19" s="17"/>
      <c r="D19" s="5"/>
      <c r="E19" s="5"/>
      <c r="F19" s="5"/>
      <c r="G19" s="5"/>
      <c r="H19" s="5"/>
      <c r="I19" s="21"/>
      <c r="J19" s="5"/>
      <c r="K19" s="5"/>
    </row>
    <row r="20" spans="2:11">
      <c r="B20" s="17">
        <v>7</v>
      </c>
      <c r="D20" s="27" t="s">
        <v>88</v>
      </c>
      <c r="E20" s="5"/>
      <c r="F20" s="5"/>
      <c r="G20" s="5"/>
      <c r="H20" s="5"/>
      <c r="I20" s="21"/>
      <c r="J20" s="5"/>
      <c r="K20" s="26"/>
    </row>
    <row r="21" spans="2:11">
      <c r="B21" s="17">
        <v>8</v>
      </c>
      <c r="D21" s="27" t="s">
        <v>89</v>
      </c>
      <c r="E21" s="5"/>
      <c r="F21" s="5"/>
      <c r="G21" s="5"/>
      <c r="H21" s="5"/>
      <c r="I21" s="25">
        <f>+I14-I18</f>
        <v>1516.0919672620948</v>
      </c>
      <c r="J21" s="5"/>
      <c r="K21" s="5" t="s">
        <v>90</v>
      </c>
    </row>
    <row r="22" spans="2:11">
      <c r="B22" s="17"/>
      <c r="D22" s="5"/>
      <c r="E22" s="5"/>
      <c r="F22" s="5"/>
      <c r="G22" s="5"/>
      <c r="H22" s="5"/>
      <c r="I22" s="5"/>
      <c r="J22" s="5"/>
      <c r="K22" s="5"/>
    </row>
    <row r="23" spans="2:11">
      <c r="B23" s="17">
        <v>9</v>
      </c>
      <c r="D23" s="27" t="s">
        <v>91</v>
      </c>
      <c r="E23" s="5"/>
      <c r="F23" s="5"/>
      <c r="G23" s="5"/>
      <c r="H23" s="5"/>
      <c r="I23" s="22"/>
      <c r="J23" s="5"/>
      <c r="K23" s="5" t="s">
        <v>92</v>
      </c>
    </row>
    <row r="24" spans="2:11">
      <c r="B24" s="17">
        <v>10</v>
      </c>
      <c r="D24" s="27" t="s">
        <v>93</v>
      </c>
      <c r="E24" s="5"/>
      <c r="F24" s="5"/>
      <c r="G24" s="5"/>
      <c r="H24" s="5"/>
      <c r="I24" s="16">
        <v>15489</v>
      </c>
      <c r="J24" s="5"/>
      <c r="K24" s="5" t="s">
        <v>94</v>
      </c>
    </row>
    <row r="25" spans="2:11">
      <c r="D25" s="5"/>
      <c r="E25" s="5"/>
      <c r="F25" s="5"/>
      <c r="G25" s="5"/>
      <c r="H25" s="5"/>
      <c r="I25" s="5"/>
      <c r="J25" s="5"/>
      <c r="K25" s="5"/>
    </row>
    <row r="26" spans="2:11">
      <c r="B26" s="17">
        <v>11</v>
      </c>
      <c r="D26" s="27" t="s">
        <v>95</v>
      </c>
      <c r="E26" s="5"/>
      <c r="F26" s="5"/>
      <c r="G26" s="5"/>
      <c r="H26" s="5"/>
      <c r="I26" s="5"/>
      <c r="J26" s="5"/>
      <c r="K26" s="5"/>
    </row>
    <row r="27" spans="2:11">
      <c r="B27" s="17">
        <v>12</v>
      </c>
      <c r="D27" s="27" t="s">
        <v>96</v>
      </c>
    </row>
    <row r="28" spans="2:11">
      <c r="B28" s="17">
        <v>13</v>
      </c>
      <c r="D28" s="27" t="s">
        <v>97</v>
      </c>
      <c r="I28" s="25">
        <f>+I21+I24</f>
        <v>17005.091967262095</v>
      </c>
      <c r="K28" t="s">
        <v>98</v>
      </c>
    </row>
    <row r="30" spans="2:11">
      <c r="B30" s="17">
        <v>14</v>
      </c>
      <c r="D30" s="5" t="s">
        <v>57</v>
      </c>
      <c r="E30" s="5"/>
      <c r="F30" s="5"/>
      <c r="G30" s="5"/>
      <c r="H30" s="5"/>
      <c r="I30" s="24">
        <v>0.35</v>
      </c>
      <c r="J30" s="5"/>
      <c r="K30" s="5"/>
    </row>
    <row r="31" spans="2:11">
      <c r="B31" s="17"/>
      <c r="D31" s="5"/>
      <c r="E31" s="5"/>
      <c r="F31" s="5"/>
      <c r="G31" s="5"/>
      <c r="H31" s="5"/>
      <c r="I31" s="5"/>
      <c r="J31" s="5"/>
      <c r="K31" s="5"/>
    </row>
    <row r="32" spans="2:11">
      <c r="B32" s="17">
        <v>15</v>
      </c>
      <c r="D32" t="s">
        <v>71</v>
      </c>
      <c r="E32" s="5"/>
      <c r="F32" s="5"/>
      <c r="G32" s="5"/>
      <c r="H32" s="5"/>
      <c r="I32" s="25">
        <f>-I28*I30</f>
        <v>-5951.7821885417325</v>
      </c>
      <c r="J32" s="5"/>
      <c r="K32" s="5" t="s">
        <v>99</v>
      </c>
    </row>
    <row r="33" spans="2:11">
      <c r="E33" s="5"/>
      <c r="F33" s="5"/>
      <c r="G33" s="5"/>
      <c r="H33" s="5"/>
      <c r="I33" s="5"/>
      <c r="J33" s="5"/>
      <c r="K33" s="5"/>
    </row>
    <row r="34" spans="2:11">
      <c r="B34" s="17">
        <v>16</v>
      </c>
      <c r="D34" s="5" t="s">
        <v>113</v>
      </c>
      <c r="E34" s="5"/>
      <c r="F34" s="5"/>
      <c r="G34" s="5"/>
      <c r="H34" s="5"/>
      <c r="I34" s="23"/>
      <c r="J34" s="5"/>
      <c r="K34" s="5"/>
    </row>
    <row r="35" spans="2:11" ht="16.5" thickBot="1">
      <c r="B35" s="17">
        <v>17</v>
      </c>
      <c r="D35" s="27" t="s">
        <v>114</v>
      </c>
      <c r="E35" s="5"/>
      <c r="F35" s="5"/>
      <c r="G35" s="5"/>
      <c r="H35" s="5"/>
      <c r="I35" s="29">
        <f>+I28+I32</f>
        <v>11053.309778720362</v>
      </c>
      <c r="J35" s="5"/>
      <c r="K35" s="5" t="s">
        <v>100</v>
      </c>
    </row>
    <row r="36" spans="2:11" ht="16.5" thickTop="1">
      <c r="B36" s="17"/>
      <c r="D36" s="5"/>
      <c r="E36" s="5"/>
      <c r="F36" s="5"/>
      <c r="G36" s="5"/>
      <c r="H36" s="5"/>
      <c r="I36" s="5"/>
      <c r="J36" s="5"/>
      <c r="K36" s="5"/>
    </row>
  </sheetData>
  <mergeCells count="3">
    <mergeCell ref="D4:K4"/>
    <mergeCell ref="D5:K5"/>
    <mergeCell ref="D6:K6"/>
  </mergeCells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workbookViewId="0">
      <selection activeCell="L1" sqref="L1:L2"/>
    </sheetView>
  </sheetViews>
  <sheetFormatPr defaultRowHeight="15.75"/>
  <cols>
    <col min="2" max="2" width="5.625" customWidth="1"/>
    <col min="3" max="3" width="1.625" customWidth="1"/>
    <col min="9" max="9" width="13.75" bestFit="1" customWidth="1"/>
    <col min="10" max="10" width="2.625" customWidth="1"/>
    <col min="11" max="11" width="14.375" bestFit="1" customWidth="1"/>
  </cols>
  <sheetData>
    <row r="1" spans="2:20">
      <c r="L1" s="37" t="s">
        <v>177</v>
      </c>
    </row>
    <row r="2" spans="2:20">
      <c r="L2" s="37" t="s">
        <v>179</v>
      </c>
    </row>
    <row r="3" spans="2:20">
      <c r="L3" s="38" t="s">
        <v>104</v>
      </c>
    </row>
    <row r="4" spans="2:20">
      <c r="D4" s="102" t="s">
        <v>55</v>
      </c>
      <c r="E4" s="102"/>
      <c r="F4" s="102"/>
      <c r="G4" s="102"/>
      <c r="H4" s="102"/>
      <c r="I4" s="102"/>
      <c r="J4" s="102"/>
      <c r="K4" s="102"/>
    </row>
    <row r="5" spans="2:20">
      <c r="D5" s="102" t="s">
        <v>56</v>
      </c>
      <c r="E5" s="102"/>
      <c r="F5" s="102"/>
      <c r="G5" s="102"/>
      <c r="H5" s="102"/>
      <c r="I5" s="102"/>
      <c r="J5" s="102"/>
      <c r="K5" s="102"/>
    </row>
    <row r="6" spans="2:20">
      <c r="D6" s="102" t="s">
        <v>58</v>
      </c>
      <c r="E6" s="102"/>
      <c r="F6" s="102"/>
      <c r="G6" s="102"/>
      <c r="H6" s="102"/>
      <c r="I6" s="102"/>
      <c r="J6" s="102"/>
      <c r="K6" s="102"/>
      <c r="T6" t="s">
        <v>115</v>
      </c>
    </row>
    <row r="9" spans="2:20">
      <c r="B9" s="1" t="s">
        <v>50</v>
      </c>
    </row>
    <row r="10" spans="2:20">
      <c r="B10" s="2" t="s">
        <v>51</v>
      </c>
      <c r="D10" s="4" t="s">
        <v>52</v>
      </c>
      <c r="E10" s="4"/>
      <c r="F10" s="4"/>
      <c r="G10" s="4"/>
      <c r="I10" s="2" t="s">
        <v>53</v>
      </c>
      <c r="J10" s="1"/>
      <c r="K10" s="2" t="s">
        <v>54</v>
      </c>
    </row>
    <row r="12" spans="2:20">
      <c r="B12" s="1">
        <v>1</v>
      </c>
      <c r="D12" s="5" t="s">
        <v>59</v>
      </c>
      <c r="E12" s="5"/>
      <c r="F12" s="5"/>
      <c r="G12" s="5"/>
      <c r="H12" s="5"/>
      <c r="I12" s="5"/>
      <c r="J12" s="5"/>
      <c r="K12" s="5"/>
      <c r="L12" s="5"/>
    </row>
    <row r="13" spans="2:20">
      <c r="B13" s="1">
        <v>2</v>
      </c>
      <c r="D13" s="5" t="s">
        <v>60</v>
      </c>
      <c r="E13" s="5"/>
      <c r="F13" s="5"/>
      <c r="G13" s="5"/>
      <c r="H13" s="5"/>
      <c r="I13" s="5"/>
      <c r="J13" s="5"/>
      <c r="K13" s="5"/>
      <c r="L13" s="5"/>
    </row>
    <row r="14" spans="2:20">
      <c r="B14" s="1">
        <v>3</v>
      </c>
      <c r="D14" s="27" t="s">
        <v>61</v>
      </c>
      <c r="E14" s="5"/>
      <c r="F14" s="5"/>
      <c r="G14" s="5"/>
      <c r="H14" s="5"/>
      <c r="I14" s="5"/>
      <c r="J14" s="5"/>
      <c r="K14" s="5"/>
      <c r="L14" s="5"/>
    </row>
    <row r="15" spans="2:20">
      <c r="B15" s="1"/>
      <c r="D15" s="5"/>
      <c r="E15" s="5"/>
      <c r="F15" s="5"/>
      <c r="G15" s="5"/>
      <c r="H15" s="5"/>
      <c r="I15" s="25"/>
      <c r="J15" s="5"/>
      <c r="K15" s="26"/>
      <c r="L15" s="5"/>
    </row>
    <row r="16" spans="2:20">
      <c r="B16" s="1">
        <v>4</v>
      </c>
      <c r="D16" s="5"/>
      <c r="E16" s="5" t="s">
        <v>62</v>
      </c>
      <c r="F16" s="5"/>
      <c r="G16" s="5"/>
      <c r="H16" s="5"/>
      <c r="I16" s="25">
        <f>+'[2]C-PT'!$F$12</f>
        <v>799546</v>
      </c>
      <c r="J16" s="5"/>
      <c r="K16" s="30" t="s">
        <v>70</v>
      </c>
      <c r="L16" s="5"/>
    </row>
    <row r="17" spans="2:12">
      <c r="B17" s="1">
        <v>5</v>
      </c>
      <c r="D17" s="5"/>
      <c r="E17" s="5"/>
      <c r="F17" s="5"/>
      <c r="G17" s="5"/>
      <c r="H17" s="5"/>
      <c r="I17" s="5"/>
      <c r="J17" s="5"/>
      <c r="K17" s="31" t="s">
        <v>67</v>
      </c>
      <c r="L17" s="5"/>
    </row>
    <row r="18" spans="2:12">
      <c r="B18" s="1">
        <v>6</v>
      </c>
      <c r="D18" s="5"/>
      <c r="E18" s="5" t="s">
        <v>63</v>
      </c>
      <c r="F18" s="5"/>
      <c r="G18" s="5"/>
      <c r="H18" s="5"/>
      <c r="I18" s="28">
        <f>+'[2]C-PT'!$F$14</f>
        <v>396901</v>
      </c>
      <c r="J18" s="5"/>
      <c r="K18" s="31" t="s">
        <v>68</v>
      </c>
      <c r="L18" s="5"/>
    </row>
    <row r="19" spans="2:12">
      <c r="B19" s="1">
        <v>7</v>
      </c>
      <c r="D19" s="5"/>
      <c r="E19" s="5"/>
      <c r="F19" s="5"/>
      <c r="G19" s="5"/>
      <c r="H19" s="5"/>
      <c r="I19" s="21"/>
      <c r="J19" s="5"/>
      <c r="K19" s="31" t="s">
        <v>69</v>
      </c>
      <c r="L19" s="5"/>
    </row>
    <row r="20" spans="2:12">
      <c r="B20" s="1">
        <v>8</v>
      </c>
      <c r="D20" s="5"/>
      <c r="E20" s="5" t="s">
        <v>64</v>
      </c>
      <c r="F20" s="5"/>
      <c r="G20" s="5"/>
      <c r="H20" s="5"/>
      <c r="I20" s="16">
        <f>+'[2]C-PT'!$F$16</f>
        <v>8546</v>
      </c>
      <c r="J20" s="5"/>
      <c r="L20" s="5"/>
    </row>
    <row r="21" spans="2:12">
      <c r="B21" s="1"/>
      <c r="D21" s="5"/>
      <c r="E21" s="5"/>
      <c r="F21" s="5"/>
      <c r="G21" s="5"/>
      <c r="H21" s="5"/>
      <c r="I21" s="5"/>
      <c r="J21" s="5"/>
      <c r="L21" s="5"/>
    </row>
    <row r="22" spans="2:12">
      <c r="B22" s="1">
        <v>9</v>
      </c>
      <c r="D22" s="5"/>
      <c r="E22" s="5" t="s">
        <v>65</v>
      </c>
      <c r="F22" s="5"/>
      <c r="G22" s="5"/>
      <c r="H22" s="5"/>
      <c r="I22" s="25"/>
      <c r="J22" s="5"/>
      <c r="K22" s="5"/>
      <c r="L22" s="5"/>
    </row>
    <row r="23" spans="2:12">
      <c r="B23" s="1">
        <v>10</v>
      </c>
      <c r="D23" s="5"/>
      <c r="E23" s="27" t="s">
        <v>66</v>
      </c>
      <c r="F23" s="5"/>
      <c r="G23" s="5"/>
      <c r="H23" s="5"/>
      <c r="I23" s="22">
        <f>SUM(I16:I20)</f>
        <v>1204993</v>
      </c>
      <c r="J23" s="5"/>
      <c r="K23" s="5" t="s">
        <v>74</v>
      </c>
      <c r="L23" s="5"/>
    </row>
    <row r="24" spans="2:12">
      <c r="B24" s="1"/>
      <c r="D24" s="5"/>
      <c r="E24" s="5"/>
      <c r="F24" s="5"/>
      <c r="G24" s="5"/>
      <c r="H24" s="5"/>
      <c r="I24" s="23"/>
      <c r="J24" s="5"/>
      <c r="K24" s="5"/>
      <c r="L24" s="5"/>
    </row>
    <row r="25" spans="2:12">
      <c r="B25" s="1">
        <v>11</v>
      </c>
      <c r="D25" s="5" t="s">
        <v>57</v>
      </c>
      <c r="E25" s="5"/>
      <c r="F25" s="5"/>
      <c r="G25" s="5"/>
      <c r="H25" s="5"/>
      <c r="I25" s="24">
        <v>0.35</v>
      </c>
      <c r="J25" s="5"/>
      <c r="K25" s="5"/>
      <c r="L25" s="5"/>
    </row>
    <row r="26" spans="2:12">
      <c r="B26" s="1"/>
      <c r="D26" s="5"/>
      <c r="E26" s="5"/>
      <c r="F26" s="5"/>
      <c r="G26" s="5"/>
      <c r="H26" s="5"/>
      <c r="I26" s="5"/>
      <c r="J26" s="5"/>
      <c r="K26" s="5"/>
      <c r="L26" s="5"/>
    </row>
    <row r="27" spans="2:12">
      <c r="B27" s="1">
        <v>12</v>
      </c>
      <c r="D27" t="s">
        <v>71</v>
      </c>
      <c r="E27" s="5"/>
      <c r="F27" s="5"/>
      <c r="G27" s="5"/>
      <c r="H27" s="5"/>
      <c r="I27" s="25">
        <f>-I23*I25</f>
        <v>-421747.55</v>
      </c>
      <c r="J27" s="5"/>
      <c r="K27" s="5" t="s">
        <v>75</v>
      </c>
      <c r="L27" s="5"/>
    </row>
    <row r="28" spans="2:12">
      <c r="E28" s="5"/>
      <c r="F28" s="5"/>
      <c r="G28" s="5"/>
      <c r="H28" s="5"/>
      <c r="I28" s="5"/>
      <c r="J28" s="5"/>
      <c r="K28" s="5"/>
      <c r="L28" s="5"/>
    </row>
    <row r="29" spans="2:12">
      <c r="B29" s="1">
        <v>13</v>
      </c>
      <c r="D29" s="5" t="s">
        <v>72</v>
      </c>
      <c r="E29" s="5"/>
      <c r="F29" s="5"/>
      <c r="G29" s="5"/>
      <c r="H29" s="5"/>
      <c r="I29" s="23"/>
      <c r="J29" s="5"/>
      <c r="K29" s="5"/>
      <c r="L29" s="5"/>
    </row>
    <row r="30" spans="2:12" ht="16.5" thickBot="1">
      <c r="B30" s="1">
        <v>14</v>
      </c>
      <c r="D30" s="27" t="s">
        <v>73</v>
      </c>
      <c r="E30" s="5"/>
      <c r="F30" s="5"/>
      <c r="G30" s="5"/>
      <c r="H30" s="5"/>
      <c r="I30" s="29">
        <f>-I23-I27</f>
        <v>-783245.45</v>
      </c>
      <c r="J30" s="5"/>
      <c r="K30" s="5" t="s">
        <v>76</v>
      </c>
      <c r="L30" s="5"/>
    </row>
    <row r="31" spans="2:12" ht="16.5" thickTop="1">
      <c r="B31" s="1"/>
      <c r="D31" s="5"/>
      <c r="E31" s="5"/>
      <c r="F31" s="5"/>
      <c r="G31" s="5"/>
      <c r="H31" s="5"/>
      <c r="I31" s="5"/>
      <c r="J31" s="5"/>
      <c r="K31" s="5"/>
      <c r="L31" s="5"/>
    </row>
    <row r="32" spans="2:12">
      <c r="B32" s="1"/>
      <c r="D32" s="5"/>
      <c r="E32" s="5"/>
      <c r="F32" s="5"/>
      <c r="G32" s="5"/>
      <c r="H32" s="5"/>
      <c r="I32" s="25"/>
      <c r="J32" s="5"/>
      <c r="K32" s="5"/>
      <c r="L32" s="5"/>
    </row>
    <row r="33" spans="2:12">
      <c r="B33" s="1"/>
      <c r="D33" s="5"/>
      <c r="E33" s="5"/>
      <c r="F33" s="5"/>
      <c r="G33" s="5"/>
      <c r="H33" s="5"/>
      <c r="I33" s="5"/>
      <c r="J33" s="5"/>
      <c r="K33" s="5"/>
      <c r="L33" s="5"/>
    </row>
    <row r="34" spans="2:12">
      <c r="D34" s="5"/>
      <c r="E34" s="5"/>
      <c r="F34" s="5"/>
      <c r="G34" s="5"/>
      <c r="H34" s="5"/>
      <c r="I34" s="5"/>
      <c r="J34" s="5"/>
      <c r="K34" s="5"/>
      <c r="L34" s="5"/>
    </row>
    <row r="35" spans="2:12">
      <c r="D35" s="5"/>
      <c r="E35" s="5"/>
      <c r="F35" s="5"/>
      <c r="G35" s="5"/>
      <c r="H35" s="5"/>
      <c r="I35" s="5"/>
      <c r="J35" s="5"/>
      <c r="K35" s="5"/>
      <c r="L35" s="5"/>
    </row>
    <row r="36" spans="2:12">
      <c r="D36" s="5"/>
      <c r="E36" s="5"/>
      <c r="F36" s="5"/>
      <c r="G36" s="5"/>
      <c r="H36" s="5"/>
      <c r="I36" s="5"/>
      <c r="J36" s="5"/>
      <c r="K36" s="5"/>
      <c r="L36" s="5"/>
    </row>
    <row r="37" spans="2:12">
      <c r="D37" s="5"/>
      <c r="E37" s="5"/>
      <c r="F37" s="5"/>
      <c r="G37" s="5"/>
      <c r="H37" s="5"/>
      <c r="I37" s="5"/>
      <c r="J37" s="5"/>
      <c r="K37" s="5"/>
      <c r="L37" s="5"/>
    </row>
    <row r="38" spans="2:12">
      <c r="D38" s="5"/>
      <c r="E38" s="5"/>
      <c r="F38" s="5"/>
      <c r="G38" s="5"/>
      <c r="H38" s="5"/>
      <c r="I38" s="5"/>
      <c r="J38" s="5"/>
      <c r="K38" s="5"/>
      <c r="L38" s="5"/>
    </row>
    <row r="39" spans="2:12">
      <c r="D39" s="5"/>
      <c r="E39" s="5"/>
      <c r="F39" s="5"/>
      <c r="G39" s="5"/>
      <c r="H39" s="5"/>
      <c r="I39" s="5"/>
      <c r="J39" s="5"/>
      <c r="K39" s="5"/>
      <c r="L39" s="5"/>
    </row>
    <row r="40" spans="2:12">
      <c r="D40" s="5"/>
      <c r="E40" s="5"/>
      <c r="F40" s="5"/>
      <c r="G40" s="5"/>
      <c r="H40" s="5"/>
      <c r="I40" s="5"/>
      <c r="J40" s="5"/>
      <c r="K40" s="5"/>
      <c r="L40" s="5"/>
    </row>
    <row r="41" spans="2:12">
      <c r="D41" s="5"/>
      <c r="E41" s="5"/>
      <c r="F41" s="5"/>
      <c r="G41" s="5"/>
      <c r="H41" s="5"/>
      <c r="I41" s="5"/>
      <c r="J41" s="5"/>
      <c r="K41" s="5"/>
      <c r="L41" s="5"/>
    </row>
  </sheetData>
  <mergeCells count="3">
    <mergeCell ref="D4:K4"/>
    <mergeCell ref="D5:K5"/>
    <mergeCell ref="D6:K6"/>
  </mergeCells>
  <pageMargins left="0.7" right="0.7" top="0.75" bottom="0.75" header="0.3" footer="0.3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Layout" zoomScaleNormal="100" workbookViewId="0">
      <selection activeCell="A2" sqref="A2"/>
    </sheetView>
  </sheetViews>
  <sheetFormatPr defaultRowHeight="15.75"/>
  <cols>
    <col min="1" max="1" width="19.375" style="45" customWidth="1"/>
    <col min="2" max="2" width="4.875" style="45" customWidth="1"/>
    <col min="3" max="3" width="5.125" style="45" customWidth="1"/>
    <col min="4" max="4" width="10.25" style="45" customWidth="1"/>
    <col min="5" max="5" width="13.75" style="45" customWidth="1"/>
    <col min="6" max="6" width="10" style="45" customWidth="1"/>
    <col min="7" max="7" width="1.125" style="45" customWidth="1"/>
    <col min="8" max="8" width="9.5" style="45" bestFit="1" customWidth="1"/>
    <col min="9" max="9" width="9.125" style="45" bestFit="1" customWidth="1"/>
    <col min="10" max="16384" width="9" style="45"/>
  </cols>
  <sheetData>
    <row r="1" spans="1:11">
      <c r="A1" s="95"/>
      <c r="B1" s="95"/>
      <c r="C1" s="95"/>
      <c r="D1" s="95"/>
      <c r="E1" s="95"/>
      <c r="F1" s="95"/>
      <c r="G1" s="95"/>
      <c r="H1" s="97"/>
      <c r="I1" s="98" t="s">
        <v>177</v>
      </c>
    </row>
    <row r="2" spans="1:11">
      <c r="A2" s="95"/>
      <c r="B2" s="95"/>
      <c r="C2" s="95"/>
      <c r="D2" s="95"/>
      <c r="E2" s="95"/>
      <c r="F2" s="95"/>
      <c r="G2" s="95"/>
      <c r="H2" s="99"/>
      <c r="I2" s="98" t="s">
        <v>182</v>
      </c>
    </row>
    <row r="3" spans="1:11">
      <c r="A3" s="95"/>
      <c r="B3" s="95"/>
      <c r="C3" s="95"/>
      <c r="D3" s="95"/>
      <c r="E3" s="95"/>
      <c r="F3" s="95"/>
      <c r="G3" s="95"/>
      <c r="H3" s="99"/>
      <c r="I3" s="100" t="s">
        <v>119</v>
      </c>
    </row>
    <row r="4" spans="1:11">
      <c r="A4" s="95"/>
      <c r="B4" s="95"/>
      <c r="C4" s="95"/>
      <c r="D4" s="95"/>
      <c r="E4" s="95"/>
      <c r="F4" s="95"/>
      <c r="G4" s="95"/>
      <c r="H4" s="95"/>
      <c r="I4" s="95"/>
      <c r="J4" s="95"/>
      <c r="K4" s="74"/>
    </row>
    <row r="5" spans="1:11">
      <c r="A5" s="103" t="s">
        <v>184</v>
      </c>
      <c r="B5" s="103"/>
      <c r="C5" s="103"/>
      <c r="D5" s="103"/>
      <c r="E5" s="103"/>
      <c r="F5" s="103"/>
      <c r="G5" s="103"/>
      <c r="H5" s="103"/>
      <c r="I5" s="103"/>
      <c r="J5" s="95"/>
      <c r="K5" s="74"/>
    </row>
    <row r="6" spans="1:11">
      <c r="A6" s="95"/>
      <c r="B6" s="95"/>
      <c r="C6" s="95"/>
      <c r="D6" s="95"/>
      <c r="E6" s="95"/>
      <c r="F6" s="95"/>
      <c r="G6" s="95"/>
      <c r="H6" s="95"/>
      <c r="I6" s="95"/>
      <c r="J6" s="95"/>
      <c r="K6" s="74"/>
    </row>
    <row r="7" spans="1:1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1">
      <c r="A8" s="74"/>
      <c r="B8" s="74"/>
      <c r="C8" s="74"/>
      <c r="D8" s="74"/>
      <c r="E8" s="78" t="s">
        <v>124</v>
      </c>
      <c r="F8" s="78" t="s">
        <v>102</v>
      </c>
      <c r="G8" s="74"/>
      <c r="H8" s="74"/>
      <c r="I8" s="74"/>
      <c r="J8" s="74"/>
      <c r="K8" s="74"/>
    </row>
    <row r="9" spans="1:11">
      <c r="A9" s="74"/>
      <c r="B9" s="74"/>
      <c r="C9" s="74"/>
      <c r="D9" s="78" t="s">
        <v>125</v>
      </c>
      <c r="E9" s="78" t="s">
        <v>126</v>
      </c>
      <c r="F9" s="78" t="s">
        <v>127</v>
      </c>
      <c r="G9" s="78"/>
      <c r="H9" s="78" t="s">
        <v>101</v>
      </c>
      <c r="I9" s="78" t="s">
        <v>101</v>
      </c>
      <c r="J9" s="74"/>
      <c r="K9" s="74"/>
    </row>
    <row r="10" spans="1:11">
      <c r="A10" s="74"/>
      <c r="B10" s="74"/>
      <c r="C10" s="74"/>
      <c r="D10" s="78" t="s">
        <v>128</v>
      </c>
      <c r="E10" s="46" t="s">
        <v>129</v>
      </c>
      <c r="F10" s="78" t="s">
        <v>128</v>
      </c>
      <c r="G10" s="78"/>
      <c r="H10" s="78" t="s">
        <v>130</v>
      </c>
      <c r="I10" s="78" t="s">
        <v>131</v>
      </c>
      <c r="J10" s="74"/>
      <c r="K10" s="74"/>
    </row>
    <row r="11" spans="1:11">
      <c r="A11" s="74"/>
      <c r="B11" s="74"/>
      <c r="C11" s="74"/>
      <c r="D11" s="47" t="s">
        <v>132</v>
      </c>
      <c r="E11" s="47" t="s">
        <v>132</v>
      </c>
      <c r="F11" s="47" t="s">
        <v>132</v>
      </c>
      <c r="G11" s="47"/>
      <c r="H11" s="47" t="s">
        <v>132</v>
      </c>
      <c r="I11" s="47" t="s">
        <v>132</v>
      </c>
      <c r="J11" s="74"/>
      <c r="K11" s="74"/>
    </row>
    <row r="12" spans="1:11">
      <c r="A12" s="74" t="s">
        <v>133</v>
      </c>
      <c r="B12" s="74"/>
      <c r="C12" s="74"/>
      <c r="D12" s="74"/>
      <c r="E12" s="74"/>
      <c r="F12" s="79"/>
      <c r="G12" s="79"/>
      <c r="H12" s="80">
        <v>0.65239999999999998</v>
      </c>
      <c r="I12" s="80">
        <f>100%-H12</f>
        <v>0.34760000000000002</v>
      </c>
      <c r="J12" s="74"/>
      <c r="K12" s="74"/>
    </row>
    <row r="13" spans="1:1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1">
      <c r="A14" s="74" t="s">
        <v>134</v>
      </c>
      <c r="B14" s="74"/>
      <c r="C14" s="74"/>
      <c r="D14" s="81">
        <f>'[3]ICNU Power Supply'!E100</f>
        <v>-33030.189860278566</v>
      </c>
      <c r="E14" s="81"/>
      <c r="F14" s="81">
        <f>SUM(D14:E14)</f>
        <v>-33030.189860278566</v>
      </c>
      <c r="G14" s="81"/>
      <c r="H14" s="81">
        <f>H$12*F14</f>
        <v>-21548.895864845737</v>
      </c>
      <c r="I14" s="81">
        <f>I$12*F14</f>
        <v>-11481.29399543283</v>
      </c>
      <c r="J14" s="81"/>
      <c r="K14" s="74"/>
    </row>
    <row r="15" spans="1:11">
      <c r="A15" s="74" t="s">
        <v>135</v>
      </c>
      <c r="B15" s="74"/>
      <c r="C15" s="74"/>
      <c r="D15" s="83">
        <f>'[3]ICNU Power Supply'!E109</f>
        <v>-77</v>
      </c>
      <c r="E15" s="83"/>
      <c r="F15" s="81">
        <f>SUM(D15:E15)</f>
        <v>-77</v>
      </c>
      <c r="G15" s="83"/>
      <c r="H15" s="83">
        <f>H$12*F15</f>
        <v>-50.2348</v>
      </c>
      <c r="I15" s="83">
        <f>I$12*F15</f>
        <v>-26.7652</v>
      </c>
      <c r="J15" s="81"/>
      <c r="K15" s="74"/>
    </row>
    <row r="16" spans="1:11">
      <c r="A16" s="74" t="s">
        <v>136</v>
      </c>
      <c r="B16" s="74"/>
      <c r="C16" s="74"/>
      <c r="D16" s="83">
        <v>0</v>
      </c>
      <c r="E16" s="83"/>
      <c r="F16" s="83">
        <f>SUM(D16:E16)</f>
        <v>0</v>
      </c>
      <c r="G16" s="83"/>
      <c r="H16" s="83">
        <f>H$12*F16</f>
        <v>0</v>
      </c>
      <c r="I16" s="83">
        <f>I$12*F16</f>
        <v>0</v>
      </c>
      <c r="J16" s="81"/>
      <c r="K16" s="74"/>
    </row>
    <row r="17" spans="1:11">
      <c r="A17" s="74" t="s">
        <v>137</v>
      </c>
      <c r="B17" s="74"/>
      <c r="C17" s="74"/>
      <c r="D17" s="83">
        <f>'[3]ICNU Power Supply'!E106-D18</f>
        <v>-179427</v>
      </c>
      <c r="E17" s="83"/>
      <c r="F17" s="83">
        <f>SUM(D17:E17)</f>
        <v>-179427</v>
      </c>
      <c r="G17" s="83"/>
      <c r="H17" s="83">
        <f>H$12*F17</f>
        <v>-117058.17479999999</v>
      </c>
      <c r="I17" s="83">
        <f>I$12*F17</f>
        <v>-62368.825200000007</v>
      </c>
      <c r="J17" s="81"/>
      <c r="K17" s="74"/>
    </row>
    <row r="18" spans="1:11">
      <c r="A18" s="74" t="s">
        <v>138</v>
      </c>
      <c r="B18" s="74"/>
      <c r="C18" s="74"/>
      <c r="D18" s="85">
        <f>'[3]ICNU Power Supply'!E104</f>
        <v>158</v>
      </c>
      <c r="E18" s="85">
        <v>-158</v>
      </c>
      <c r="F18" s="86">
        <f>SUM(D18:E18)</f>
        <v>0</v>
      </c>
      <c r="G18" s="84"/>
      <c r="H18" s="87">
        <f>-E18</f>
        <v>158</v>
      </c>
      <c r="I18" s="85">
        <f>I$12*F18</f>
        <v>0</v>
      </c>
      <c r="J18" s="81"/>
      <c r="K18" s="74"/>
    </row>
    <row r="19" spans="1:11">
      <c r="A19" s="74" t="s">
        <v>139</v>
      </c>
      <c r="B19" s="74"/>
      <c r="C19" s="74"/>
      <c r="D19" s="83">
        <f>SUM(D14:D18)</f>
        <v>-212376.18986027857</v>
      </c>
      <c r="E19" s="83">
        <f>SUM(E14:E18)</f>
        <v>-158</v>
      </c>
      <c r="F19" s="83">
        <f>SUM(F14:F18)</f>
        <v>-212534.18986027857</v>
      </c>
      <c r="G19" s="84"/>
      <c r="H19" s="83">
        <f>SUM(H14:H18)</f>
        <v>-138499.30546484573</v>
      </c>
      <c r="I19" s="83">
        <f>SUM(I14:I18)</f>
        <v>-73876.884395432833</v>
      </c>
      <c r="J19" s="81"/>
      <c r="K19" s="74"/>
    </row>
    <row r="20" spans="1:11">
      <c r="A20" s="74"/>
      <c r="B20" s="74"/>
      <c r="C20" s="74"/>
      <c r="D20" s="83"/>
      <c r="E20" s="83"/>
      <c r="F20" s="83"/>
      <c r="G20" s="84"/>
      <c r="H20" s="83"/>
      <c r="I20" s="83"/>
      <c r="J20" s="81"/>
      <c r="K20" s="74"/>
    </row>
    <row r="21" spans="1:11">
      <c r="A21" s="74"/>
      <c r="B21" s="74"/>
      <c r="C21" s="74"/>
      <c r="D21" s="83"/>
      <c r="E21" s="83"/>
      <c r="F21" s="83"/>
      <c r="G21" s="84"/>
      <c r="H21" s="83"/>
      <c r="I21" s="83"/>
      <c r="J21" s="81"/>
      <c r="K21" s="74"/>
    </row>
    <row r="22" spans="1:11">
      <c r="A22" s="74" t="s">
        <v>140</v>
      </c>
      <c r="B22" s="74"/>
      <c r="C22" s="74"/>
      <c r="D22" s="83">
        <f>'[3]ICNU Power Supply'!E49</f>
        <v>1640.4469783101849</v>
      </c>
      <c r="E22" s="83"/>
      <c r="F22" s="81">
        <f>SUM(D22:E22)</f>
        <v>1640.4469783101849</v>
      </c>
      <c r="G22" s="84"/>
      <c r="H22" s="83">
        <f t="shared" ref="H22:H30" si="0">H$12*F22</f>
        <v>1070.2276086495647</v>
      </c>
      <c r="I22" s="83">
        <f t="shared" ref="I22:I32" si="1">I$12*F22</f>
        <v>570.21936966062026</v>
      </c>
      <c r="J22" s="81"/>
      <c r="K22" s="74"/>
    </row>
    <row r="23" spans="1:11">
      <c r="A23" s="74" t="s">
        <v>141</v>
      </c>
      <c r="B23" s="74"/>
      <c r="C23" s="74"/>
      <c r="D23" s="83">
        <v>0</v>
      </c>
      <c r="E23" s="83"/>
      <c r="F23" s="81">
        <f>SUM(D23:E23)</f>
        <v>0</v>
      </c>
      <c r="G23" s="84"/>
      <c r="H23" s="83">
        <f t="shared" si="0"/>
        <v>0</v>
      </c>
      <c r="I23" s="83">
        <f t="shared" si="1"/>
        <v>0</v>
      </c>
      <c r="J23" s="81"/>
      <c r="K23" s="74"/>
    </row>
    <row r="24" spans="1:11">
      <c r="A24" s="74" t="s">
        <v>142</v>
      </c>
      <c r="B24" s="74"/>
      <c r="C24" s="74"/>
      <c r="D24" s="83">
        <f>'[3]ICNU Power Supply'!E64</f>
        <v>37400.522961926035</v>
      </c>
      <c r="E24" s="83"/>
      <c r="F24" s="81">
        <f>SUM(D24:E24)</f>
        <v>37400.522961926035</v>
      </c>
      <c r="G24" s="84"/>
      <c r="H24" s="83">
        <f t="shared" si="0"/>
        <v>24400.101180360543</v>
      </c>
      <c r="I24" s="83">
        <f t="shared" si="1"/>
        <v>13000.42178156549</v>
      </c>
      <c r="J24" s="81"/>
      <c r="K24" s="74"/>
    </row>
    <row r="25" spans="1:11">
      <c r="A25" s="74" t="s">
        <v>143</v>
      </c>
      <c r="B25" s="74"/>
      <c r="C25" s="74"/>
      <c r="D25" s="83">
        <f>'[3]ICNU Power Supply'!E81</f>
        <v>-39</v>
      </c>
      <c r="E25" s="83"/>
      <c r="F25" s="81">
        <f>SUM(D25:E25)</f>
        <v>-39</v>
      </c>
      <c r="G25" s="84"/>
      <c r="H25" s="83">
        <f t="shared" si="0"/>
        <v>-25.4436</v>
      </c>
      <c r="I25" s="83">
        <f t="shared" si="1"/>
        <v>-13.5564</v>
      </c>
      <c r="J25" s="81"/>
      <c r="K25" s="74"/>
    </row>
    <row r="26" spans="1:11">
      <c r="A26" s="74" t="s">
        <v>144</v>
      </c>
      <c r="B26" s="74"/>
      <c r="C26" s="74"/>
      <c r="D26" s="83">
        <f>'[3]ICNU Power Supply'!E34</f>
        <v>-81006.564823954395</v>
      </c>
      <c r="E26" s="88">
        <f>'[4]E-PPS-2 (WGJ-2)'!E31</f>
        <v>-19070</v>
      </c>
      <c r="F26" s="81">
        <f>D26-E26</f>
        <v>-61936.564823954395</v>
      </c>
      <c r="G26" s="84"/>
      <c r="H26" s="83">
        <f t="shared" si="0"/>
        <v>-40407.414891147848</v>
      </c>
      <c r="I26" s="83">
        <f t="shared" si="1"/>
        <v>-21529.149932806547</v>
      </c>
      <c r="J26" s="81"/>
      <c r="K26" s="74"/>
    </row>
    <row r="27" spans="1:11">
      <c r="A27" s="74" t="s">
        <v>145</v>
      </c>
      <c r="B27" s="74"/>
      <c r="C27" s="74"/>
      <c r="D27" s="83">
        <v>0</v>
      </c>
      <c r="E27" s="83"/>
      <c r="F27" s="81">
        <f t="shared" ref="F27:F32" si="2">SUM(D27:E27)</f>
        <v>0</v>
      </c>
      <c r="G27" s="84"/>
      <c r="H27" s="83">
        <f t="shared" si="0"/>
        <v>0</v>
      </c>
      <c r="I27" s="83">
        <f t="shared" si="1"/>
        <v>0</v>
      </c>
      <c r="J27" s="81"/>
      <c r="K27" s="74"/>
    </row>
    <row r="28" spans="1:11">
      <c r="A28" s="74" t="s">
        <v>146</v>
      </c>
      <c r="B28" s="74"/>
      <c r="C28" s="74"/>
      <c r="D28" s="83">
        <v>0</v>
      </c>
      <c r="E28" s="83"/>
      <c r="F28" s="81">
        <f t="shared" si="2"/>
        <v>0</v>
      </c>
      <c r="G28" s="84"/>
      <c r="H28" s="83">
        <f t="shared" si="0"/>
        <v>0</v>
      </c>
      <c r="I28" s="83">
        <f t="shared" si="1"/>
        <v>0</v>
      </c>
      <c r="J28" s="81"/>
      <c r="K28" s="74"/>
    </row>
    <row r="29" spans="1:11">
      <c r="A29" s="74" t="s">
        <v>147</v>
      </c>
      <c r="B29" s="74"/>
      <c r="C29" s="74"/>
      <c r="D29" s="83">
        <v>0</v>
      </c>
      <c r="E29" s="83"/>
      <c r="F29" s="81">
        <f t="shared" si="2"/>
        <v>0</v>
      </c>
      <c r="G29" s="84"/>
      <c r="H29" s="83">
        <f t="shared" si="0"/>
        <v>0</v>
      </c>
      <c r="I29" s="83">
        <f t="shared" si="1"/>
        <v>0</v>
      </c>
      <c r="J29" s="81"/>
      <c r="K29" s="74"/>
    </row>
    <row r="30" spans="1:11">
      <c r="A30" s="89" t="s">
        <v>148</v>
      </c>
      <c r="B30" s="89"/>
      <c r="C30" s="89"/>
      <c r="D30" s="88">
        <f>'[3]ICNU Power Supply'!E42-D31</f>
        <v>-190179</v>
      </c>
      <c r="E30" s="88"/>
      <c r="F30" s="90">
        <f t="shared" si="2"/>
        <v>-190179</v>
      </c>
      <c r="G30" s="91"/>
      <c r="H30" s="88">
        <f t="shared" si="0"/>
        <v>-124072.77959999999</v>
      </c>
      <c r="I30" s="88">
        <f t="shared" si="1"/>
        <v>-66106.220400000006</v>
      </c>
      <c r="J30" s="90"/>
      <c r="K30" s="74"/>
    </row>
    <row r="31" spans="1:11">
      <c r="A31" s="89" t="s">
        <v>149</v>
      </c>
      <c r="B31" s="89"/>
      <c r="C31" s="89"/>
      <c r="D31" s="88">
        <f>'[3]ICNU Power Supply'!E39</f>
        <v>769</v>
      </c>
      <c r="E31" s="88">
        <f>-D31</f>
        <v>-769</v>
      </c>
      <c r="F31" s="90">
        <f t="shared" si="2"/>
        <v>0</v>
      </c>
      <c r="G31" s="91"/>
      <c r="H31" s="88">
        <f>-E31</f>
        <v>769</v>
      </c>
      <c r="I31" s="88">
        <f t="shared" si="1"/>
        <v>0</v>
      </c>
      <c r="J31" s="90"/>
      <c r="K31" s="74"/>
    </row>
    <row r="32" spans="1:11">
      <c r="A32" s="74" t="s">
        <v>150</v>
      </c>
      <c r="B32" s="74"/>
      <c r="C32" s="74"/>
      <c r="D32" s="83">
        <f>'[3]ICNU Power Supply'!E78</f>
        <v>569</v>
      </c>
      <c r="E32" s="83"/>
      <c r="F32" s="83">
        <f t="shared" si="2"/>
        <v>569</v>
      </c>
      <c r="G32" s="84"/>
      <c r="H32" s="83">
        <f>H$12*F32</f>
        <v>371.21559999999999</v>
      </c>
      <c r="I32" s="83">
        <f t="shared" si="1"/>
        <v>197.78440000000001</v>
      </c>
      <c r="J32" s="81"/>
      <c r="K32" s="74"/>
    </row>
    <row r="33" spans="1:11" ht="2.25" customHeight="1">
      <c r="A33" s="74"/>
      <c r="B33" s="74"/>
      <c r="C33" s="74"/>
      <c r="D33" s="83"/>
      <c r="E33" s="83"/>
      <c r="F33" s="83"/>
      <c r="G33" s="84"/>
      <c r="H33" s="83"/>
      <c r="I33" s="83"/>
      <c r="J33" s="81"/>
      <c r="K33" s="74"/>
    </row>
    <row r="34" spans="1:11">
      <c r="A34" s="74" t="s">
        <v>151</v>
      </c>
      <c r="B34" s="74"/>
      <c r="C34" s="74"/>
      <c r="D34" s="92">
        <f>SUM(D22:D33)</f>
        <v>-230845.59488371818</v>
      </c>
      <c r="E34" s="92">
        <f>SUM(E22:E33)</f>
        <v>-19839</v>
      </c>
      <c r="F34" s="92">
        <f>SUM(F22:F33)</f>
        <v>-212544.59488371818</v>
      </c>
      <c r="G34" s="84"/>
      <c r="H34" s="92">
        <f>SUM(H22:H33)</f>
        <v>-137895.09370213773</v>
      </c>
      <c r="I34" s="92">
        <f>SUM(I22:I33)</f>
        <v>-73880.501181580432</v>
      </c>
      <c r="J34" s="81"/>
      <c r="K34" s="74"/>
    </row>
    <row r="35" spans="1:11">
      <c r="A35" s="74"/>
      <c r="B35" s="74"/>
      <c r="C35" s="74"/>
      <c r="D35" s="74"/>
      <c r="E35" s="74"/>
      <c r="F35" s="74"/>
      <c r="G35" s="74"/>
      <c r="H35" s="74"/>
      <c r="I35" s="74"/>
      <c r="J35" s="81"/>
      <c r="K35" s="74"/>
    </row>
    <row r="36" spans="1:11">
      <c r="A36" s="74" t="s">
        <v>152</v>
      </c>
      <c r="B36" s="74"/>
      <c r="C36" s="74"/>
      <c r="D36" s="83">
        <f>D19-D34</f>
        <v>18469.405023439613</v>
      </c>
      <c r="E36" s="83">
        <f>E19-E34</f>
        <v>19681</v>
      </c>
      <c r="F36" s="83">
        <f>F19-F34</f>
        <v>10.405023439612705</v>
      </c>
      <c r="G36" s="83"/>
      <c r="H36" s="83">
        <f>H19-H34</f>
        <v>-604.21176270800061</v>
      </c>
      <c r="I36" s="83">
        <f>I19-I34</f>
        <v>3.6167861475987593</v>
      </c>
      <c r="J36" s="81"/>
      <c r="K36" s="74"/>
    </row>
    <row r="37" spans="1:11">
      <c r="A37" s="74"/>
      <c r="B37" s="74"/>
      <c r="C37" s="74"/>
      <c r="D37" s="74"/>
      <c r="E37" s="74"/>
      <c r="F37" s="83"/>
      <c r="G37" s="83"/>
      <c r="H37" s="83"/>
      <c r="I37" s="83"/>
      <c r="J37" s="74"/>
      <c r="K37" s="74"/>
    </row>
    <row r="38" spans="1:11">
      <c r="A38" s="74" t="s">
        <v>153</v>
      </c>
      <c r="B38" s="74"/>
      <c r="D38" s="93">
        <v>1.142E-2</v>
      </c>
      <c r="E38" s="74"/>
      <c r="F38" s="84"/>
      <c r="G38" s="84"/>
      <c r="H38" s="85"/>
      <c r="I38" s="85">
        <f>D38*I36</f>
        <v>4.1303697805577827E-2</v>
      </c>
      <c r="J38" s="74"/>
      <c r="K38" s="74"/>
    </row>
    <row r="39" spans="1:11">
      <c r="A39" s="74"/>
      <c r="B39" s="74"/>
      <c r="D39" s="74"/>
      <c r="E39" s="74"/>
      <c r="F39" s="84"/>
      <c r="G39" s="84"/>
      <c r="H39" s="83"/>
      <c r="I39" s="83"/>
      <c r="J39" s="74"/>
      <c r="K39" s="74"/>
    </row>
    <row r="40" spans="1:11">
      <c r="A40" s="74" t="s">
        <v>154</v>
      </c>
      <c r="B40" s="74"/>
      <c r="D40" s="74"/>
      <c r="E40" s="74"/>
      <c r="F40" s="82"/>
      <c r="G40" s="82"/>
      <c r="H40" s="83">
        <f>H36-H38</f>
        <v>-604.21176270800061</v>
      </c>
      <c r="I40" s="83">
        <f>I36-I38</f>
        <v>3.5754824497931814</v>
      </c>
      <c r="J40" s="74"/>
      <c r="K40" s="74"/>
    </row>
    <row r="41" spans="1:11">
      <c r="A41" s="74"/>
      <c r="B41" s="74"/>
      <c r="C41" s="74"/>
      <c r="D41" s="74"/>
      <c r="E41" s="74"/>
      <c r="F41" s="82"/>
      <c r="G41" s="82"/>
      <c r="H41" s="81"/>
      <c r="I41" s="81"/>
      <c r="J41" s="74"/>
      <c r="K41" s="74"/>
    </row>
    <row r="42" spans="1:11">
      <c r="A42" s="74" t="s">
        <v>155</v>
      </c>
      <c r="B42" s="74"/>
      <c r="D42" s="94">
        <v>0.35</v>
      </c>
      <c r="E42" s="74"/>
      <c r="F42" s="82"/>
      <c r="G42" s="82"/>
      <c r="H42" s="85">
        <f>D42*H40</f>
        <v>-211.47411694780021</v>
      </c>
      <c r="I42" s="85">
        <f>D42*I40</f>
        <v>1.2514188574276135</v>
      </c>
      <c r="J42" s="74"/>
      <c r="K42" s="74"/>
    </row>
    <row r="43" spans="1:11">
      <c r="A43" s="74"/>
      <c r="B43" s="74"/>
      <c r="D43" s="74"/>
      <c r="E43" s="74"/>
      <c r="F43" s="82"/>
      <c r="G43" s="82"/>
      <c r="H43" s="81"/>
      <c r="I43" s="81"/>
      <c r="J43" s="74"/>
      <c r="K43" s="74"/>
    </row>
    <row r="44" spans="1:11">
      <c r="A44" s="74" t="s">
        <v>156</v>
      </c>
      <c r="B44" s="74"/>
      <c r="D44" s="74"/>
      <c r="E44" s="74"/>
      <c r="F44" s="83"/>
      <c r="G44" s="83"/>
      <c r="H44" s="81">
        <f>H40-H42</f>
        <v>-392.73764576020039</v>
      </c>
      <c r="I44" s="81">
        <f>I40-I42</f>
        <v>2.3240635923655679</v>
      </c>
      <c r="J44" s="74"/>
      <c r="K44" s="74"/>
    </row>
    <row r="45" spans="1:11">
      <c r="A45" s="74"/>
      <c r="B45" s="74"/>
      <c r="C45" s="74"/>
      <c r="D45" s="74"/>
      <c r="E45" s="74"/>
      <c r="F45" s="83"/>
      <c r="G45" s="83"/>
      <c r="H45" s="83"/>
      <c r="I45" s="83"/>
      <c r="J45" s="74"/>
      <c r="K45" s="74"/>
    </row>
    <row r="46" spans="1:11">
      <c r="A46" s="74"/>
      <c r="B46" s="75"/>
      <c r="C46" s="74"/>
      <c r="D46" s="74"/>
      <c r="E46" s="74"/>
      <c r="F46" s="74"/>
      <c r="G46" s="74"/>
      <c r="H46" s="74"/>
      <c r="I46" s="74"/>
      <c r="J46" s="74"/>
      <c r="K46" s="74"/>
    </row>
    <row r="47" spans="1:11">
      <c r="A47" s="76"/>
      <c r="B47" s="75"/>
      <c r="C47" s="74"/>
      <c r="D47" s="74"/>
      <c r="E47" s="74"/>
      <c r="F47" s="74"/>
      <c r="G47" s="74"/>
      <c r="H47" s="74"/>
      <c r="I47" s="74"/>
      <c r="J47" s="74"/>
      <c r="K47" s="74"/>
    </row>
    <row r="48" spans="1:11">
      <c r="A48" s="76"/>
      <c r="B48" s="77"/>
      <c r="C48" s="74"/>
      <c r="D48" s="74"/>
      <c r="E48" s="74"/>
      <c r="F48" s="74"/>
      <c r="G48" s="74"/>
      <c r="H48" s="74"/>
      <c r="I48" s="74"/>
      <c r="J48" s="74"/>
      <c r="K48" s="74"/>
    </row>
    <row r="49" spans="1:11">
      <c r="A49" s="96"/>
      <c r="B49" s="89"/>
      <c r="C49" s="89"/>
      <c r="D49" s="89"/>
      <c r="E49" s="74"/>
      <c r="F49" s="74"/>
      <c r="G49" s="74"/>
      <c r="H49" s="74"/>
      <c r="I49" s="74"/>
      <c r="J49" s="74"/>
      <c r="K49" s="74"/>
    </row>
    <row r="50" spans="1:11">
      <c r="A50" s="96"/>
      <c r="B50" s="89"/>
      <c r="C50" s="89"/>
      <c r="D50" s="89"/>
      <c r="E50" s="74"/>
      <c r="F50" s="74"/>
      <c r="G50" s="74"/>
      <c r="H50" s="74"/>
      <c r="I50" s="74"/>
      <c r="J50" s="74"/>
      <c r="K50" s="74"/>
    </row>
    <row r="51" spans="1:11">
      <c r="A51" s="89"/>
      <c r="B51" s="89"/>
      <c r="C51" s="89"/>
      <c r="D51" s="89"/>
      <c r="E51" s="74"/>
      <c r="F51" s="74"/>
      <c r="G51" s="74"/>
      <c r="H51" s="74"/>
      <c r="I51" s="74"/>
      <c r="J51" s="74"/>
      <c r="K51" s="74"/>
    </row>
    <row r="52" spans="1:11">
      <c r="A52" s="48"/>
      <c r="B52" s="48"/>
      <c r="C52" s="48"/>
      <c r="D52" s="48"/>
    </row>
    <row r="53" spans="1:11">
      <c r="A53" s="48"/>
      <c r="B53" s="48"/>
      <c r="C53" s="48"/>
      <c r="D53" s="48"/>
    </row>
    <row r="54" spans="1:11">
      <c r="A54" s="48"/>
      <c r="B54" s="48"/>
      <c r="C54" s="48"/>
      <c r="D54" s="48"/>
    </row>
    <row r="55" spans="1:11">
      <c r="A55" s="48"/>
      <c r="B55" s="48"/>
      <c r="C55" s="48"/>
      <c r="D55" s="48"/>
    </row>
  </sheetData>
  <mergeCells count="1">
    <mergeCell ref="A5:I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Layout" zoomScaleNormal="100" workbookViewId="0">
      <selection activeCell="D5" sqref="D5"/>
    </sheetView>
  </sheetViews>
  <sheetFormatPr defaultRowHeight="15.75"/>
  <cols>
    <col min="1" max="1" width="9.125" bestFit="1" customWidth="1"/>
    <col min="3" max="3" width="24.625" bestFit="1" customWidth="1"/>
    <col min="5" max="5" width="12.125" bestFit="1" customWidth="1"/>
  </cols>
  <sheetData>
    <row r="1" spans="1:11">
      <c r="A1" s="54"/>
      <c r="B1" s="54"/>
      <c r="C1" s="54"/>
      <c r="D1" s="54"/>
      <c r="E1" s="54"/>
      <c r="F1" s="45"/>
      <c r="G1" s="37" t="s">
        <v>177</v>
      </c>
    </row>
    <row r="2" spans="1:11">
      <c r="A2" s="54"/>
      <c r="B2" s="54"/>
      <c r="C2" s="54"/>
      <c r="D2" s="54"/>
      <c r="E2" s="54"/>
      <c r="F2" s="45"/>
      <c r="G2" s="37" t="s">
        <v>183</v>
      </c>
    </row>
    <row r="3" spans="1:11">
      <c r="A3" s="55" t="s">
        <v>160</v>
      </c>
      <c r="B3" s="55"/>
      <c r="C3" s="55"/>
      <c r="D3" s="55"/>
      <c r="E3" s="55"/>
    </row>
    <row r="4" spans="1:11">
      <c r="A4" s="55" t="s">
        <v>161</v>
      </c>
      <c r="B4" s="55"/>
      <c r="C4" s="55"/>
      <c r="D4" s="55"/>
      <c r="E4" s="55"/>
      <c r="J4" s="44"/>
      <c r="K4" s="53"/>
    </row>
    <row r="5" spans="1:11">
      <c r="A5" s="55" t="s">
        <v>162</v>
      </c>
      <c r="B5" s="55"/>
      <c r="C5" s="55"/>
      <c r="D5" s="55"/>
      <c r="E5" s="55"/>
    </row>
    <row r="6" spans="1:11">
      <c r="A6" s="55" t="str">
        <f>'[5]ADJ DETAIL-INPUT'!A4</f>
        <v>TWELVE MONTHS ENDED DECEMBER 31, 2011</v>
      </c>
      <c r="B6" s="55"/>
      <c r="C6" s="55"/>
      <c r="D6" s="55"/>
      <c r="E6" s="55"/>
    </row>
    <row r="7" spans="1:11">
      <c r="A7" s="104"/>
      <c r="B7" s="104"/>
      <c r="C7" s="104"/>
      <c r="D7" s="104"/>
      <c r="E7" s="104"/>
    </row>
    <row r="8" spans="1:11">
      <c r="A8" s="56" t="s">
        <v>163</v>
      </c>
      <c r="B8" s="56"/>
      <c r="C8" s="56"/>
      <c r="D8" s="56"/>
      <c r="E8" s="56" t="s">
        <v>164</v>
      </c>
    </row>
    <row r="9" spans="1:11">
      <c r="A9" s="57" t="s">
        <v>51</v>
      </c>
      <c r="B9" s="56"/>
      <c r="C9" s="57" t="s">
        <v>52</v>
      </c>
      <c r="D9" s="58"/>
      <c r="E9" s="57" t="s">
        <v>165</v>
      </c>
    </row>
    <row r="10" spans="1:11">
      <c r="A10" s="59"/>
      <c r="B10" s="59"/>
      <c r="C10" s="59"/>
      <c r="D10" s="59"/>
      <c r="E10" s="59"/>
    </row>
    <row r="11" spans="1:11">
      <c r="A11" s="60">
        <v>1</v>
      </c>
      <c r="B11" s="59"/>
      <c r="C11" s="59" t="s">
        <v>166</v>
      </c>
      <c r="D11" s="59"/>
      <c r="E11" s="61">
        <f>'[5]COMPARISON -SETTLEMENT'!H53</f>
        <v>1161787</v>
      </c>
    </row>
    <row r="12" spans="1:11">
      <c r="A12" s="60"/>
      <c r="B12" s="59"/>
      <c r="C12" s="59"/>
      <c r="D12" s="59"/>
      <c r="E12" s="62"/>
    </row>
    <row r="13" spans="1:11">
      <c r="A13" s="60">
        <v>2</v>
      </c>
      <c r="B13" s="59"/>
      <c r="C13" s="59" t="s">
        <v>180</v>
      </c>
      <c r="D13" s="59"/>
      <c r="E13" s="63">
        <v>7.4800000000000005E-2</v>
      </c>
    </row>
    <row r="14" spans="1:11">
      <c r="A14" s="60"/>
      <c r="B14" s="59"/>
      <c r="C14" s="59"/>
      <c r="D14" s="59"/>
      <c r="E14" s="64"/>
    </row>
    <row r="15" spans="1:11">
      <c r="A15" s="60">
        <v>3</v>
      </c>
      <c r="B15" s="59"/>
      <c r="C15" s="59" t="s">
        <v>167</v>
      </c>
      <c r="D15" s="59"/>
      <c r="E15" s="65">
        <f>ROUND(E11*E13,0)</f>
        <v>86902</v>
      </c>
    </row>
    <row r="16" spans="1:11">
      <c r="A16" s="60"/>
      <c r="B16" s="59"/>
      <c r="C16" s="59"/>
      <c r="D16" s="59"/>
      <c r="E16" s="62"/>
    </row>
    <row r="17" spans="1:5">
      <c r="A17" s="60">
        <v>4</v>
      </c>
      <c r="B17" s="59"/>
      <c r="C17" s="59" t="s">
        <v>168</v>
      </c>
      <c r="D17" s="66"/>
      <c r="E17" s="67">
        <f>'[5]COMPARISON -SETTLEMENT'!G53</f>
        <v>91697.797702960117</v>
      </c>
    </row>
    <row r="18" spans="1:5">
      <c r="A18" s="60"/>
      <c r="B18" s="59"/>
      <c r="C18" s="66"/>
      <c r="D18" s="66"/>
      <c r="E18" s="66"/>
    </row>
    <row r="19" spans="1:5">
      <c r="A19" s="60">
        <v>6</v>
      </c>
      <c r="B19" s="59"/>
      <c r="C19" s="59" t="s">
        <v>169</v>
      </c>
      <c r="D19" s="59"/>
      <c r="E19" s="62">
        <f>E15-E17</f>
        <v>-4795.797702960117</v>
      </c>
    </row>
    <row r="20" spans="1:5">
      <c r="A20" s="60"/>
      <c r="B20" s="59"/>
      <c r="C20" s="59"/>
      <c r="D20" s="59"/>
      <c r="E20" s="59"/>
    </row>
    <row r="21" spans="1:5">
      <c r="A21" s="60">
        <v>7</v>
      </c>
      <c r="B21" s="59"/>
      <c r="C21" s="59" t="s">
        <v>170</v>
      </c>
      <c r="D21" s="59"/>
      <c r="E21" s="68">
        <f>'[5]CF '!E26</f>
        <v>0.62082000000000004</v>
      </c>
    </row>
    <row r="22" spans="1:5" ht="16.5" thickBot="1">
      <c r="A22" s="60"/>
      <c r="B22" s="69"/>
      <c r="C22" s="59"/>
      <c r="D22" s="59"/>
      <c r="E22" s="59"/>
    </row>
    <row r="23" spans="1:5" ht="16.5" thickBot="1">
      <c r="A23" s="60">
        <v>8</v>
      </c>
      <c r="B23" s="69"/>
      <c r="C23" s="59" t="s">
        <v>171</v>
      </c>
      <c r="D23" s="59"/>
      <c r="E23" s="70">
        <f>ROUND(E19/E21,0)</f>
        <v>-7725</v>
      </c>
    </row>
    <row r="24" spans="1:5">
      <c r="A24" s="60"/>
      <c r="B24" s="69"/>
      <c r="C24" s="59"/>
      <c r="D24" s="59"/>
      <c r="E24" s="59"/>
    </row>
    <row r="25" spans="1:5">
      <c r="A25" s="60">
        <v>9</v>
      </c>
      <c r="B25" s="69"/>
      <c r="C25" s="59" t="s">
        <v>172</v>
      </c>
      <c r="D25" s="59"/>
      <c r="E25" s="71">
        <f>'[5]ADJ DETAIL-INPUT'!AT14+'[5]ADJ DETAIL-INPUT'!AT15</f>
        <v>455105</v>
      </c>
    </row>
    <row r="26" spans="1:5">
      <c r="A26" s="66"/>
      <c r="B26" s="66"/>
      <c r="C26" s="59"/>
      <c r="D26" s="59"/>
      <c r="E26" s="59"/>
    </row>
    <row r="27" spans="1:5" ht="16.5" thickBot="1">
      <c r="A27" s="72"/>
      <c r="B27" s="72"/>
      <c r="C27" s="59" t="s">
        <v>173</v>
      </c>
      <c r="D27" s="59"/>
      <c r="E27" s="73">
        <f>ROUND(E23/E25,4)</f>
        <v>-1.7000000000000001E-2</v>
      </c>
    </row>
    <row r="28" spans="1:5" ht="16.5" thickTop="1">
      <c r="A28" s="54"/>
      <c r="B28" s="54"/>
      <c r="C28" s="54"/>
      <c r="D28" s="54"/>
      <c r="E28" s="54"/>
    </row>
    <row r="29" spans="1:5">
      <c r="A29" s="54" t="s">
        <v>181</v>
      </c>
      <c r="B29" s="54"/>
      <c r="C29" s="54"/>
      <c r="D29" s="54"/>
      <c r="E29" s="54"/>
    </row>
  </sheetData>
  <mergeCells count="1">
    <mergeCell ref="A7:E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29EFDB6-E817-4438-B4DB-BC2EF9CD1E5F}"/>
</file>

<file path=customXml/itemProps2.xml><?xml version="1.0" encoding="utf-8"?>
<ds:datastoreItem xmlns:ds="http://schemas.openxmlformats.org/officeDocument/2006/customXml" ds:itemID="{A2FD0A58-BAB4-4B44-9F95-0668A5B53382}"/>
</file>

<file path=customXml/itemProps3.xml><?xml version="1.0" encoding="utf-8"?>
<ds:datastoreItem xmlns:ds="http://schemas.openxmlformats.org/officeDocument/2006/customXml" ds:itemID="{00E989FC-4FA3-4694-BAA6-AFC1551908B6}"/>
</file>

<file path=customXml/itemProps4.xml><?xml version="1.0" encoding="utf-8"?>
<ds:datastoreItem xmlns:ds="http://schemas.openxmlformats.org/officeDocument/2006/customXml" ds:itemID="{F4A8483D-1166-458B-92CD-C8EE77D103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 (ICNU ROR)</vt:lpstr>
      <vt:lpstr>Summary (AVA ROR)</vt:lpstr>
      <vt:lpstr>Rev Norm</vt:lpstr>
      <vt:lpstr>Prop Tax</vt:lpstr>
      <vt:lpstr>ICNU PF Power Supply</vt:lpstr>
      <vt:lpstr>Overall Summary</vt:lpstr>
      <vt:lpstr>'ICNU PF Power Supply'!Print_Area</vt:lpstr>
      <vt:lpstr>'Overall Summary'!Print_Area</vt:lpstr>
      <vt:lpstr>'Prop Tax'!Print_Area</vt:lpstr>
      <vt:lpstr>'Rev Norm'!Print_Area</vt:lpstr>
      <vt:lpstr>'Summary (AVA ROR)'!Print_Area</vt:lpstr>
      <vt:lpstr>'Summary (ICNU ROR)'!Print_Area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2012-09-18T17:58:32Z</cp:lastPrinted>
  <dcterms:created xsi:type="dcterms:W3CDTF">2012-08-10T14:56:21Z</dcterms:created>
  <dcterms:modified xsi:type="dcterms:W3CDTF">2012-09-18T17:59:14Z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