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2 Reporting\Exhibits\Exhibit 1\"/>
    </mc:Choice>
  </mc:AlternateContent>
  <bookViews>
    <workbookView xWindow="0" yWindow="0" windowWidth="25200" windowHeight="11850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View'!$B$1:$T$133</definedName>
    <definedName name="_xlnm.Print_Titles" localSheetId="0">'Exhibit 1_CURRENT-year View'!$1:$13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View'!$C$10:$U$141</definedName>
    <definedName name="Z_2BE1FF03_1C5D_4F5A_A54D_5B3DBE143D23_.wvu.PrintArea" localSheetId="0" hidden="1">'Exhibit 1_CURRENT-year View'!$B$1:$T$122</definedName>
    <definedName name="Z_2BE1FF03_1C5D_4F5A_A54D_5B3DBE143D23_.wvu.PrintTitles" localSheetId="0" hidden="1">'Exhibit 1_CURRENT-year View'!$1:$13</definedName>
    <definedName name="Z_2BE1FF03_1C5D_4F5A_A54D_5B3DBE143D23_.wvu.Rows" localSheetId="0" hidden="1">'Exhibit 1_CURRENT-year View'!$39:$39,'Exhibit 1_CURRENT-year View'!#REF!</definedName>
    <definedName name="Z_53D4FF36_BF79_4441_9626_50C84D809AD1_.wvu.PrintArea" localSheetId="0" hidden="1">'Exhibit 1_CURRENT-year View'!$B$1:$T$122</definedName>
    <definedName name="Z_53D4FF36_BF79_4441_9626_50C84D809AD1_.wvu.PrintTitles" localSheetId="0" hidden="1">'Exhibit 1_CURRENT-year View'!$1:$13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View'!$C$10:$U$141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" l="1"/>
  <c r="I116" i="1"/>
  <c r="I65" i="1"/>
  <c r="J70" i="1" l="1"/>
  <c r="R70" i="1"/>
  <c r="Q70" i="1"/>
  <c r="S114" i="1" l="1"/>
  <c r="R114" i="1"/>
  <c r="P114" i="1"/>
  <c r="L114" i="1"/>
  <c r="K114" i="1"/>
  <c r="I114" i="1"/>
  <c r="O114" i="1"/>
  <c r="J111" i="1"/>
  <c r="J110" i="1"/>
  <c r="H114" i="1"/>
  <c r="S104" i="1"/>
  <c r="L104" i="1"/>
  <c r="J102" i="1"/>
  <c r="Q101" i="1"/>
  <c r="J101" i="1"/>
  <c r="Q100" i="1"/>
  <c r="J100" i="1"/>
  <c r="Q99" i="1"/>
  <c r="J99" i="1"/>
  <c r="O104" i="1"/>
  <c r="Q104" i="1" s="1"/>
  <c r="J98" i="1"/>
  <c r="H104" i="1"/>
  <c r="J104" i="1" s="1"/>
  <c r="S95" i="1"/>
  <c r="L95" i="1"/>
  <c r="Q93" i="1"/>
  <c r="J93" i="1"/>
  <c r="Q92" i="1"/>
  <c r="J92" i="1"/>
  <c r="Q91" i="1"/>
  <c r="J91" i="1"/>
  <c r="Q90" i="1"/>
  <c r="J90" i="1"/>
  <c r="Q89" i="1"/>
  <c r="J89" i="1"/>
  <c r="Q87" i="1"/>
  <c r="J87" i="1"/>
  <c r="Q86" i="1"/>
  <c r="J86" i="1"/>
  <c r="Q85" i="1"/>
  <c r="J85" i="1"/>
  <c r="Q84" i="1"/>
  <c r="J84" i="1"/>
  <c r="Q83" i="1"/>
  <c r="J83" i="1"/>
  <c r="Q82" i="1"/>
  <c r="J82" i="1"/>
  <c r="Q81" i="1"/>
  <c r="J81" i="1"/>
  <c r="Q80" i="1"/>
  <c r="J80" i="1"/>
  <c r="O95" i="1"/>
  <c r="Q95" i="1" s="1"/>
  <c r="J79" i="1"/>
  <c r="H95" i="1"/>
  <c r="J95" i="1" s="1"/>
  <c r="S65" i="1"/>
  <c r="P65" i="1"/>
  <c r="M65" i="1"/>
  <c r="L65" i="1"/>
  <c r="Q63" i="1"/>
  <c r="J63" i="1"/>
  <c r="K62" i="1"/>
  <c r="J62" i="1"/>
  <c r="H65" i="1"/>
  <c r="J65" i="1" s="1"/>
  <c r="Q61" i="1"/>
  <c r="O65" i="1"/>
  <c r="Q65" i="1" s="1"/>
  <c r="J60" i="1"/>
  <c r="K60" i="1"/>
  <c r="T57" i="1"/>
  <c r="S57" i="1"/>
  <c r="P57" i="1"/>
  <c r="R57" i="1" s="1"/>
  <c r="M57" i="1"/>
  <c r="L57" i="1"/>
  <c r="Q55" i="1"/>
  <c r="K55" i="1"/>
  <c r="J55" i="1"/>
  <c r="O57" i="1"/>
  <c r="Q57" i="1" s="1"/>
  <c r="K54" i="1"/>
  <c r="J54" i="1"/>
  <c r="I57" i="1"/>
  <c r="K57" i="1" s="1"/>
  <c r="H57" i="1"/>
  <c r="J57" i="1" s="1"/>
  <c r="T51" i="1"/>
  <c r="M51" i="1"/>
  <c r="K50" i="1"/>
  <c r="K49" i="1"/>
  <c r="J49" i="1"/>
  <c r="Q48" i="1"/>
  <c r="J48" i="1"/>
  <c r="K48" i="1"/>
  <c r="R47" i="1"/>
  <c r="Q47" i="1"/>
  <c r="J47" i="1"/>
  <c r="K47" i="1"/>
  <c r="R46" i="1"/>
  <c r="Q46" i="1"/>
  <c r="J46" i="1"/>
  <c r="K46" i="1"/>
  <c r="R45" i="1"/>
  <c r="Q45" i="1"/>
  <c r="J45" i="1"/>
  <c r="K45" i="1"/>
  <c r="K44" i="1"/>
  <c r="J44" i="1"/>
  <c r="T43" i="1"/>
  <c r="S43" i="1"/>
  <c r="S51" i="1" s="1"/>
  <c r="R43" i="1"/>
  <c r="P43" i="1"/>
  <c r="M43" i="1"/>
  <c r="K43" i="1" s="1"/>
  <c r="L43" i="1"/>
  <c r="L51" i="1" s="1"/>
  <c r="J43" i="1"/>
  <c r="I43" i="1"/>
  <c r="H43" i="1"/>
  <c r="J42" i="1"/>
  <c r="K41" i="1"/>
  <c r="H51" i="1"/>
  <c r="J51" i="1" s="1"/>
  <c r="K40" i="1"/>
  <c r="J40" i="1"/>
  <c r="K39" i="1"/>
  <c r="J39" i="1"/>
  <c r="R38" i="1"/>
  <c r="Q38" i="1"/>
  <c r="K38" i="1"/>
  <c r="J38" i="1"/>
  <c r="R37" i="1"/>
  <c r="Q37" i="1"/>
  <c r="K37" i="1"/>
  <c r="J37" i="1"/>
  <c r="R36" i="1"/>
  <c r="Q36" i="1"/>
  <c r="P51" i="1"/>
  <c r="R51" i="1" s="1"/>
  <c r="K36" i="1"/>
  <c r="J36" i="1"/>
  <c r="S33" i="1"/>
  <c r="S106" i="1" s="1"/>
  <c r="S116" i="1" s="1"/>
  <c r="S70" i="1" s="1"/>
  <c r="R31" i="1"/>
  <c r="Q31" i="1"/>
  <c r="J31" i="1"/>
  <c r="K31" i="1"/>
  <c r="R30" i="1"/>
  <c r="Q30" i="1"/>
  <c r="J30" i="1"/>
  <c r="K30" i="1"/>
  <c r="K29" i="1"/>
  <c r="J29" i="1"/>
  <c r="R28" i="1"/>
  <c r="Q28" i="1"/>
  <c r="K28" i="1"/>
  <c r="J28" i="1"/>
  <c r="K27" i="1"/>
  <c r="J27" i="1"/>
  <c r="Q26" i="1"/>
  <c r="K26" i="1"/>
  <c r="J26" i="1"/>
  <c r="R25" i="1"/>
  <c r="Q25" i="1"/>
  <c r="K25" i="1"/>
  <c r="J25" i="1"/>
  <c r="R24" i="1"/>
  <c r="Q24" i="1"/>
  <c r="K24" i="1"/>
  <c r="J24" i="1"/>
  <c r="R23" i="1"/>
  <c r="Q23" i="1"/>
  <c r="K23" i="1"/>
  <c r="J23" i="1"/>
  <c r="R22" i="1"/>
  <c r="Q22" i="1"/>
  <c r="K22" i="1"/>
  <c r="H17" i="1"/>
  <c r="R21" i="1"/>
  <c r="J21" i="1"/>
  <c r="K21" i="1"/>
  <c r="Q20" i="1"/>
  <c r="K20" i="1"/>
  <c r="J20" i="1"/>
  <c r="Q19" i="1"/>
  <c r="R19" i="1"/>
  <c r="K19" i="1"/>
  <c r="J19" i="1"/>
  <c r="J18" i="1"/>
  <c r="I17" i="1"/>
  <c r="I33" i="1" s="1"/>
  <c r="T17" i="1"/>
  <c r="T33" i="1" s="1"/>
  <c r="T106" i="1" s="1"/>
  <c r="T116" i="1" s="1"/>
  <c r="T70" i="1" s="1"/>
  <c r="S17" i="1"/>
  <c r="O17" i="1"/>
  <c r="Q17" i="1" s="1"/>
  <c r="M17" i="1"/>
  <c r="K17" i="1" s="1"/>
  <c r="L17" i="1"/>
  <c r="Q15" i="1"/>
  <c r="O33" i="1"/>
  <c r="K15" i="1"/>
  <c r="C10" i="1"/>
  <c r="H33" i="1" l="1"/>
  <c r="Q33" i="1"/>
  <c r="O35" i="1"/>
  <c r="P33" i="1"/>
  <c r="I35" i="1"/>
  <c r="J114" i="1"/>
  <c r="J17" i="1"/>
  <c r="Q114" i="1"/>
  <c r="R15" i="1"/>
  <c r="P17" i="1"/>
  <c r="R17" i="1" s="1"/>
  <c r="K18" i="1"/>
  <c r="J22" i="1"/>
  <c r="J41" i="1"/>
  <c r="K65" i="1"/>
  <c r="Q79" i="1"/>
  <c r="Q98" i="1"/>
  <c r="L33" i="1"/>
  <c r="L106" i="1" s="1"/>
  <c r="L116" i="1" s="1"/>
  <c r="L70" i="1" s="1"/>
  <c r="M33" i="1"/>
  <c r="M106" i="1" s="1"/>
  <c r="I51" i="1"/>
  <c r="J52" i="1" s="1"/>
  <c r="J15" i="1"/>
  <c r="O43" i="1"/>
  <c r="J33" i="1" l="1"/>
  <c r="H106" i="1"/>
  <c r="M108" i="1"/>
  <c r="M116" i="1"/>
  <c r="K33" i="1"/>
  <c r="P106" i="1"/>
  <c r="Q34" i="1"/>
  <c r="R33" i="1"/>
  <c r="Q43" i="1"/>
  <c r="O51" i="1"/>
  <c r="K51" i="1"/>
  <c r="I108" i="1" l="1"/>
  <c r="I107" i="1"/>
  <c r="I70" i="1"/>
  <c r="K70" i="1" s="1"/>
  <c r="I118" i="1"/>
  <c r="I72" i="1" s="1"/>
  <c r="I117" i="1"/>
  <c r="I71" i="1" s="1"/>
  <c r="H107" i="1"/>
  <c r="H116" i="1"/>
  <c r="P116" i="1"/>
  <c r="P107" i="1"/>
  <c r="O53" i="1"/>
  <c r="Q51" i="1"/>
  <c r="O106" i="1"/>
  <c r="M117" i="1"/>
  <c r="M71" i="1" s="1"/>
  <c r="M70" i="1"/>
  <c r="O107" i="1" l="1"/>
  <c r="O116" i="1"/>
  <c r="P118" i="1"/>
  <c r="P72" i="1" s="1"/>
  <c r="P70" i="1"/>
  <c r="H70" i="1"/>
  <c r="H118" i="1"/>
  <c r="H72" i="1" s="1"/>
  <c r="O118" i="1" l="1"/>
  <c r="O72" i="1" s="1"/>
  <c r="O70" i="1"/>
</calcChain>
</file>

<file path=xl/comments1.xml><?xml version="1.0" encoding="utf-8"?>
<comments xmlns="http://schemas.openxmlformats.org/spreadsheetml/2006/main">
  <authors>
    <author>Lance Rottger</author>
  </authors>
  <commentList>
    <comment ref="H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<sst xmlns="http://schemas.openxmlformats.org/spreadsheetml/2006/main" count="115" uniqueCount="105">
  <si>
    <t>ELECTRIC &amp; GAS RIDER CONSERVATION EXPENDITURES &amp; SAVINGS</t>
  </si>
  <si>
    <t>January - December 2022</t>
  </si>
  <si>
    <t>Through December 2022</t>
  </si>
  <si>
    <t>Electric</t>
  </si>
  <si>
    <t>Natural Gas</t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</si>
  <si>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</si>
  <si>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</si>
  <si>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</si>
  <si>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</si>
  <si>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</si>
  <si>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</si>
  <si>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</si>
  <si>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</si>
  <si>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</si>
  <si>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</si>
  <si>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</si>
  <si>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</si>
  <si>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</si>
  <si>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</si>
  <si>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</si>
  <si>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</si>
  <si>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 xml:space="preserve">Low Income Weatherization </t>
  </si>
  <si>
    <t>Single Family Existing</t>
  </si>
  <si>
    <t>Residential Lighting</t>
  </si>
  <si>
    <t>Space heat</t>
  </si>
  <si>
    <t>Water heat</t>
  </si>
  <si>
    <t>Home Appliances</t>
  </si>
  <si>
    <t>Web-Enabled Thermostats</t>
  </si>
  <si>
    <t>Showerheads</t>
  </si>
  <si>
    <t xml:space="preserve">Weatherization </t>
  </si>
  <si>
    <t>Home Energy Reports</t>
  </si>
  <si>
    <t>`</t>
  </si>
  <si>
    <t>Efficiency Boost</t>
  </si>
  <si>
    <t>Midstream HVAC and WH</t>
  </si>
  <si>
    <t xml:space="preserve">Single Family New Construction </t>
  </si>
  <si>
    <t>Energy Star Manufactured Home</t>
  </si>
  <si>
    <t>Multi Family Retrofit</t>
  </si>
  <si>
    <t>Multi Family New Construction</t>
  </si>
  <si>
    <t>Total Residential Programs</t>
  </si>
  <si>
    <t>Business Energy Management</t>
  </si>
  <si>
    <t xml:space="preserve"> </t>
  </si>
  <si>
    <t>Commercial Industrial Retrofit</t>
  </si>
  <si>
    <t>Commercial Industrial New Construction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</si>
  <si>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</si>
  <si>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</si>
  <si>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</si>
  <si>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</si>
  <si>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</si>
  <si>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</si>
  <si>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Lighting to Go (AKA Business Lighting Markdowns)</t>
  </si>
  <si>
    <t>Commercial Kitchen &amp; Laundry</t>
  </si>
  <si>
    <t>Commercial HVAC</t>
  </si>
  <si>
    <t>Commercial Midstream</t>
  </si>
  <si>
    <t>Small Business Direct Install</t>
  </si>
  <si>
    <t>Lodging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</si>
  <si>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</si>
  <si>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</si>
  <si>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</si>
  <si>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</si>
  <si>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</si>
  <si>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</si>
  <si>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</si>
  <si>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</si>
  <si>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</si>
  <si>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</si>
  <si>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</si>
  <si>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</si>
  <si>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</si>
  <si>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</si>
  <si>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</si>
  <si>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</si>
  <si>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Rebate Processing</t>
  </si>
  <si>
    <t xml:space="preserve">Verification Team </t>
  </si>
  <si>
    <t>Programs Support</t>
  </si>
  <si>
    <t xml:space="preserve">Trade Ally Subscriptions </t>
  </si>
  <si>
    <t>Trade Ally Network [net of (revenue) + cost]</t>
  </si>
  <si>
    <t>Automated Benchmarking System</t>
  </si>
  <si>
    <t xml:space="preserve">Energy Advisors </t>
  </si>
  <si>
    <t>Energy Efficient Communities</t>
  </si>
  <si>
    <t xml:space="preserve">Customer Digital Experience </t>
  </si>
  <si>
    <t>Customer Online</t>
  </si>
  <si>
    <t>Customer Awareness Tools</t>
  </si>
  <si>
    <t>PSE Marketplace</t>
  </si>
  <si>
    <t xml:space="preserve">Market Integration 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</si>
  <si>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</si>
  <si>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</si>
  <si>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</si>
  <si>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</si>
  <si>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</si>
  <si>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</si>
  <si>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</si>
  <si>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</si>
  <si>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</si>
  <si>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</si>
  <si>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r>
      <t>Other Programs</t>
    </r>
    <r>
      <rPr>
        <b/>
        <vertAlign val="superscript"/>
        <sz val="10"/>
        <color theme="0"/>
        <rFont val="Tahoma"/>
        <family val="2"/>
      </rPr>
      <t>1</t>
    </r>
  </si>
  <si>
    <t xml:space="preserve">Net Metering </t>
  </si>
  <si>
    <t>Demand Response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</si>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</sst>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</numFmts>
  <fonts count="45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0" fontId="5" fillId="2" borderId="0" xfId="0" applyFont="1" applyFill="1" applyAlignment="1"/>
    <xf numFmtId="9" fontId="1" fillId="2" borderId="0" xfId="3" applyFont="1" applyFill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Continuous"/>
    </xf>
    <xf numFmtId="0" fontId="3" fillId="2" borderId="0" xfId="0" applyNumberFormat="1" applyFont="1" applyFill="1"/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NumberFormat="1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4" fillId="2" borderId="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4" xfId="0" applyFont="1" applyFill="1" applyBorder="1"/>
    <xf numFmtId="164" fontId="1" fillId="0" borderId="13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9" fontId="1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 applyAlignment="1">
      <alignment horizontal="right"/>
    </xf>
    <xf numFmtId="3" fontId="1" fillId="2" borderId="14" xfId="1" applyNumberFormat="1" applyFont="1" applyFill="1" applyBorder="1" applyAlignment="1">
      <alignment horizontal="right"/>
    </xf>
    <xf numFmtId="165" fontId="1" fillId="2" borderId="14" xfId="1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4" fontId="17" fillId="0" borderId="13" xfId="2" applyNumberFormat="1" applyFont="1" applyFill="1" applyBorder="1" applyAlignment="1">
      <alignment horizontal="center"/>
    </xf>
    <xf numFmtId="166" fontId="16" fillId="2" borderId="0" xfId="0" applyNumberFormat="1" applyFont="1" applyFill="1" applyBorder="1"/>
    <xf numFmtId="167" fontId="17" fillId="0" borderId="0" xfId="2" applyNumberFormat="1" applyFont="1" applyFill="1" applyBorder="1" applyAlignment="1">
      <alignment horizontal="right"/>
    </xf>
    <xf numFmtId="167" fontId="17" fillId="0" borderId="14" xfId="1" applyNumberFormat="1" applyFont="1" applyFill="1" applyBorder="1" applyAlignment="1">
      <alignment horizontal="right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0" fontId="18" fillId="2" borderId="0" xfId="0" applyFont="1" applyFill="1" applyBorder="1"/>
    <xf numFmtId="0" fontId="10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14" xfId="0" applyFont="1" applyFill="1" applyBorder="1"/>
    <xf numFmtId="164" fontId="19" fillId="0" borderId="13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/>
    <xf numFmtId="3" fontId="1" fillId="0" borderId="14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2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19" fillId="2" borderId="14" xfId="0" applyFont="1" applyFill="1" applyBorder="1" applyAlignment="1"/>
    <xf numFmtId="0" fontId="19" fillId="0" borderId="14" xfId="0" applyFont="1" applyFill="1" applyBorder="1" applyAlignment="1"/>
    <xf numFmtId="165" fontId="19" fillId="2" borderId="14" xfId="1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164" fontId="1" fillId="0" borderId="0" xfId="2" applyNumberFormat="1" applyFont="1" applyFill="1" applyBorder="1" applyAlignment="1">
      <alignment horizontal="center"/>
    </xf>
    <xf numFmtId="164" fontId="1" fillId="2" borderId="13" xfId="2" applyNumberFormat="1" applyFont="1" applyFill="1" applyBorder="1"/>
    <xf numFmtId="164" fontId="19" fillId="2" borderId="15" xfId="2" applyNumberFormat="1" applyFont="1" applyFill="1" applyBorder="1" applyAlignment="1">
      <alignment horizontal="right"/>
    </xf>
    <xf numFmtId="3" fontId="19" fillId="2" borderId="14" xfId="1" applyNumberFormat="1" applyFont="1" applyFill="1" applyBorder="1" applyAlignment="1">
      <alignment horizontal="right"/>
    </xf>
    <xf numFmtId="164" fontId="19" fillId="2" borderId="13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164" fontId="7" fillId="2" borderId="13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4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7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8" fontId="14" fillId="2" borderId="14" xfId="0" applyNumberFormat="1" applyFont="1" applyFill="1" applyBorder="1" applyAlignment="1">
      <alignment horizontal="right"/>
    </xf>
    <xf numFmtId="164" fontId="14" fillId="0" borderId="13" xfId="2" applyNumberFormat="1" applyFont="1" applyFill="1" applyBorder="1"/>
    <xf numFmtId="168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8" fontId="14" fillId="2" borderId="14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6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5" borderId="1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164" fontId="14" fillId="5" borderId="13" xfId="2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center" wrapText="1"/>
    </xf>
    <xf numFmtId="165" fontId="14" fillId="5" borderId="15" xfId="1" applyNumberFormat="1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right"/>
    </xf>
    <xf numFmtId="165" fontId="14" fillId="5" borderId="14" xfId="1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right" wrapText="1"/>
    </xf>
    <xf numFmtId="164" fontId="23" fillId="5" borderId="15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/>
    </xf>
    <xf numFmtId="165" fontId="19" fillId="0" borderId="0" xfId="1" applyNumberFormat="1" applyFont="1" applyFill="1" applyBorder="1" applyAlignment="1">
      <alignment horizontal="center"/>
    </xf>
    <xf numFmtId="9" fontId="1" fillId="0" borderId="15" xfId="3" applyFont="1" applyFill="1" applyBorder="1" applyAlignment="1">
      <alignment horizontal="right" wrapText="1"/>
    </xf>
    <xf numFmtId="0" fontId="1" fillId="2" borderId="14" xfId="0" applyNumberFormat="1" applyFont="1" applyFill="1" applyBorder="1" applyAlignment="1"/>
    <xf numFmtId="9" fontId="1" fillId="2" borderId="15" xfId="3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2" applyNumberFormat="1" applyFont="1" applyFill="1" applyBorder="1" applyAlignment="1"/>
    <xf numFmtId="164" fontId="25" fillId="2" borderId="0" xfId="2" applyNumberFormat="1" applyFont="1" applyFill="1" applyBorder="1" applyAlignment="1">
      <alignment horizontal="center"/>
    </xf>
    <xf numFmtId="164" fontId="28" fillId="0" borderId="13" xfId="2" applyNumberFormat="1" applyFont="1" applyFill="1" applyBorder="1"/>
    <xf numFmtId="9" fontId="28" fillId="2" borderId="15" xfId="3" applyFont="1" applyFill="1" applyBorder="1" applyAlignment="1">
      <alignment horizontal="right" wrapText="1"/>
    </xf>
    <xf numFmtId="9" fontId="28" fillId="2" borderId="0" xfId="3" applyFont="1" applyFill="1" applyBorder="1" applyAlignment="1">
      <alignment horizontal="right"/>
    </xf>
    <xf numFmtId="164" fontId="28" fillId="2" borderId="15" xfId="2" applyNumberFormat="1" applyFont="1" applyFill="1" applyBorder="1" applyAlignment="1">
      <alignment horizontal="right"/>
    </xf>
    <xf numFmtId="3" fontId="28" fillId="2" borderId="14" xfId="1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165" fontId="28" fillId="2" borderId="14" xfId="1" applyNumberFormat="1" applyFont="1" applyFill="1" applyBorder="1" applyAlignment="1">
      <alignment horizontal="right"/>
    </xf>
    <xf numFmtId="0" fontId="28" fillId="2" borderId="0" xfId="0" applyFont="1" applyFill="1" applyBorder="1"/>
    <xf numFmtId="164" fontId="1" fillId="0" borderId="15" xfId="2" applyNumberFormat="1" applyFont="1" applyFill="1" applyBorder="1" applyAlignment="1">
      <alignment horizontal="right"/>
    </xf>
    <xf numFmtId="9" fontId="1" fillId="0" borderId="15" xfId="3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/>
    </xf>
    <xf numFmtId="165" fontId="19" fillId="0" borderId="16" xfId="1" applyNumberFormat="1" applyFont="1" applyFill="1" applyBorder="1" applyAlignment="1">
      <alignment horizontal="center"/>
    </xf>
    <xf numFmtId="43" fontId="1" fillId="2" borderId="0" xfId="1" applyFont="1" applyFill="1" applyBorder="1" applyAlignment="1">
      <alignment horizontal="right"/>
    </xf>
    <xf numFmtId="168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8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6" fontId="7" fillId="6" borderId="14" xfId="1" applyNumberFormat="1" applyFont="1" applyFill="1" applyBorder="1" applyAlignment="1">
      <alignment horizontal="center"/>
    </xf>
    <xf numFmtId="9" fontId="1" fillId="2" borderId="15" xfId="1" applyNumberFormat="1" applyFont="1" applyFill="1" applyBorder="1" applyAlignment="1">
      <alignment horizontal="right"/>
    </xf>
    <xf numFmtId="168" fontId="1" fillId="2" borderId="14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9" fontId="1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29" fillId="2" borderId="0" xfId="0" applyFont="1" applyFill="1" applyBorder="1"/>
    <xf numFmtId="0" fontId="19" fillId="2" borderId="0" xfId="0" applyFont="1" applyFill="1" applyBorder="1"/>
    <xf numFmtId="0" fontId="31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32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164" fontId="14" fillId="2" borderId="10" xfId="2" applyNumberFormat="1" applyFont="1" applyFill="1" applyBorder="1"/>
    <xf numFmtId="168" fontId="14" fillId="2" borderId="10" xfId="2" applyNumberFormat="1" applyFont="1" applyFill="1" applyBorder="1" applyAlignment="1">
      <alignment horizontal="right"/>
    </xf>
    <xf numFmtId="9" fontId="14" fillId="2" borderId="17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7" xfId="2" applyNumberFormat="1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32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8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1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right"/>
    </xf>
    <xf numFmtId="164" fontId="3" fillId="8" borderId="18" xfId="2" applyNumberFormat="1" applyFont="1" applyFill="1" applyBorder="1"/>
    <xf numFmtId="37" fontId="3" fillId="8" borderId="19" xfId="2" applyNumberFormat="1" applyFont="1" applyFill="1" applyBorder="1"/>
    <xf numFmtId="164" fontId="3" fillId="8" borderId="21" xfId="2" applyNumberFormat="1" applyFont="1" applyFill="1" applyBorder="1"/>
    <xf numFmtId="37" fontId="3" fillId="8" borderId="20" xfId="2" applyNumberFormat="1" applyFont="1" applyFill="1" applyBorder="1"/>
    <xf numFmtId="0" fontId="1" fillId="9" borderId="13" xfId="0" applyFont="1" applyFill="1" applyBorder="1"/>
    <xf numFmtId="0" fontId="1" fillId="9" borderId="0" xfId="0" applyFont="1" applyFill="1" applyBorder="1"/>
    <xf numFmtId="0" fontId="7" fillId="9" borderId="14" xfId="0" applyFont="1" applyFill="1" applyBorder="1" applyAlignment="1">
      <alignment horizontal="right"/>
    </xf>
    <xf numFmtId="169" fontId="7" fillId="9" borderId="13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70" fontId="7" fillId="9" borderId="14" xfId="1" applyNumberFormat="1" applyFont="1" applyFill="1" applyBorder="1" applyAlignment="1">
      <alignment horizontal="right"/>
    </xf>
    <xf numFmtId="0" fontId="35" fillId="2" borderId="0" xfId="0" applyFont="1" applyFill="1" applyBorder="1"/>
    <xf numFmtId="0" fontId="36" fillId="9" borderId="13" xfId="0" applyFont="1" applyFill="1" applyBorder="1" applyAlignment="1">
      <alignment horizontal="center"/>
    </xf>
    <xf numFmtId="0" fontId="36" fillId="9" borderId="0" xfId="0" applyFont="1" applyFill="1" applyBorder="1" applyAlignment="1">
      <alignment horizontal="center"/>
    </xf>
    <xf numFmtId="0" fontId="33" fillId="9" borderId="14" xfId="0" applyNumberFormat="1" applyFont="1" applyFill="1" applyBorder="1" applyAlignment="1">
      <alignment horizontal="right"/>
    </xf>
    <xf numFmtId="169" fontId="33" fillId="9" borderId="13" xfId="3" applyNumberFormat="1" applyFont="1" applyFill="1" applyBorder="1"/>
    <xf numFmtId="169" fontId="33" fillId="9" borderId="0" xfId="3" applyNumberFormat="1" applyFont="1" applyFill="1" applyBorder="1"/>
    <xf numFmtId="9" fontId="33" fillId="9" borderId="15" xfId="1" applyNumberFormat="1" applyFont="1" applyFill="1" applyBorder="1" applyAlignment="1">
      <alignment horizontal="center"/>
    </xf>
    <xf numFmtId="9" fontId="33" fillId="9" borderId="0" xfId="3" applyFont="1" applyFill="1" applyBorder="1" applyAlignment="1">
      <alignment horizontal="center"/>
    </xf>
    <xf numFmtId="164" fontId="33" fillId="9" borderId="15" xfId="2" applyNumberFormat="1" applyFont="1" applyFill="1" applyBorder="1"/>
    <xf numFmtId="9" fontId="33" fillId="9" borderId="14" xfId="3" applyFont="1" applyFill="1" applyBorder="1" applyAlignment="1">
      <alignment horizontal="center"/>
    </xf>
    <xf numFmtId="0" fontId="36" fillId="2" borderId="0" xfId="0" applyFont="1" applyFill="1" applyBorder="1"/>
    <xf numFmtId="165" fontId="36" fillId="2" borderId="0" xfId="0" applyNumberFormat="1" applyFont="1" applyFill="1" applyBorder="1"/>
    <xf numFmtId="0" fontId="8" fillId="9" borderId="14" xfId="0" applyFont="1" applyFill="1" applyBorder="1"/>
    <xf numFmtId="0" fontId="1" fillId="9" borderId="15" xfId="0" applyFont="1" applyFill="1" applyBorder="1"/>
    <xf numFmtId="0" fontId="1" fillId="9" borderId="14" xfId="0" applyFont="1" applyFill="1" applyBorder="1"/>
    <xf numFmtId="0" fontId="1" fillId="9" borderId="13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1" fillId="9" borderId="13" xfId="2" applyNumberFormat="1" applyFont="1" applyFill="1" applyBorder="1"/>
    <xf numFmtId="0" fontId="1" fillId="9" borderId="0" xfId="0" applyFont="1" applyFill="1" applyBorder="1" applyAlignment="1">
      <alignment horizontal="right"/>
    </xf>
    <xf numFmtId="9" fontId="1" fillId="9" borderId="15" xfId="3" applyFont="1" applyFill="1" applyBorder="1" applyAlignment="1">
      <alignment horizontal="right"/>
    </xf>
    <xf numFmtId="164" fontId="1" fillId="9" borderId="15" xfId="2" applyNumberFormat="1" applyFont="1" applyFill="1" applyBorder="1" applyAlignment="1">
      <alignment horizontal="right"/>
    </xf>
    <xf numFmtId="0" fontId="1" fillId="9" borderId="14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left"/>
    </xf>
    <xf numFmtId="164" fontId="1" fillId="9" borderId="9" xfId="2" applyNumberFormat="1" applyFont="1" applyFill="1" applyBorder="1"/>
    <xf numFmtId="168" fontId="1" fillId="9" borderId="10" xfId="2" applyNumberFormat="1" applyFont="1" applyFill="1" applyBorder="1" applyAlignment="1">
      <alignment horizontal="right"/>
    </xf>
    <xf numFmtId="9" fontId="1" fillId="9" borderId="17" xfId="3" applyFont="1" applyFill="1" applyBorder="1" applyAlignment="1">
      <alignment horizontal="right"/>
    </xf>
    <xf numFmtId="9" fontId="1" fillId="9" borderId="10" xfId="3" applyFont="1" applyFill="1" applyBorder="1" applyAlignment="1">
      <alignment horizontal="right"/>
    </xf>
    <xf numFmtId="164" fontId="1" fillId="9" borderId="17" xfId="2" applyNumberFormat="1" applyFont="1" applyFill="1" applyBorder="1" applyAlignment="1">
      <alignment horizontal="right"/>
    </xf>
    <xf numFmtId="168" fontId="1" fillId="9" borderId="11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4" fillId="10" borderId="1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14" xfId="0" applyFont="1" applyFill="1" applyBorder="1"/>
    <xf numFmtId="164" fontId="1" fillId="10" borderId="13" xfId="2" applyNumberFormat="1" applyFont="1" applyFill="1" applyBorder="1"/>
    <xf numFmtId="3" fontId="1" fillId="10" borderId="0" xfId="2" applyNumberFormat="1" applyFont="1" applyFill="1" applyBorder="1" applyAlignment="1">
      <alignment horizontal="center"/>
    </xf>
    <xf numFmtId="9" fontId="1" fillId="10" borderId="15" xfId="3" applyFont="1" applyFill="1" applyBorder="1" applyAlignment="1">
      <alignment horizontal="center"/>
    </xf>
    <xf numFmtId="9" fontId="1" fillId="10" borderId="0" xfId="3" applyFont="1" applyFill="1" applyBorder="1" applyAlignment="1">
      <alignment horizontal="center"/>
    </xf>
    <xf numFmtId="164" fontId="1" fillId="10" borderId="15" xfId="2" applyNumberFormat="1" applyFont="1" applyFill="1" applyBorder="1" applyAlignment="1">
      <alignment horizontal="right"/>
    </xf>
    <xf numFmtId="165" fontId="1" fillId="10" borderId="14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37" fillId="2" borderId="0" xfId="0" applyFont="1" applyFill="1" applyBorder="1"/>
    <xf numFmtId="0" fontId="19" fillId="2" borderId="14" xfId="0" applyFont="1" applyFill="1" applyBorder="1" applyAlignment="1">
      <alignment horizontal="left"/>
    </xf>
    <xf numFmtId="9" fontId="1" fillId="0" borderId="0" xfId="3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38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39" fillId="0" borderId="0" xfId="2" applyNumberFormat="1" applyFont="1" applyFill="1" applyBorder="1" applyAlignment="1">
      <alignment horizontal="right"/>
    </xf>
    <xf numFmtId="0" fontId="39" fillId="2" borderId="0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/>
    <xf numFmtId="9" fontId="16" fillId="2" borderId="15" xfId="3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1" borderId="13" xfId="0" applyFont="1" applyFill="1" applyBorder="1" applyAlignment="1"/>
    <xf numFmtId="0" fontId="14" fillId="11" borderId="0" xfId="0" applyFont="1" applyFill="1" applyBorder="1" applyAlignment="1"/>
    <xf numFmtId="0" fontId="14" fillId="11" borderId="14" xfId="0" applyFont="1" applyFill="1" applyBorder="1" applyAlignment="1"/>
    <xf numFmtId="164" fontId="14" fillId="11" borderId="13" xfId="2" applyNumberFormat="1" applyFont="1" applyFill="1" applyBorder="1"/>
    <xf numFmtId="0" fontId="14" fillId="11" borderId="0" xfId="0" applyFont="1" applyFill="1" applyBorder="1" applyAlignment="1">
      <alignment horizontal="center"/>
    </xf>
    <xf numFmtId="9" fontId="14" fillId="11" borderId="15" xfId="3" applyFont="1" applyFill="1" applyBorder="1" applyAlignment="1">
      <alignment horizontal="center"/>
    </xf>
    <xf numFmtId="164" fontId="14" fillId="11" borderId="15" xfId="2" applyNumberFormat="1" applyFont="1" applyFill="1" applyBorder="1" applyAlignment="1">
      <alignment horizontal="right"/>
    </xf>
    <xf numFmtId="0" fontId="14" fillId="11" borderId="14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right"/>
    </xf>
    <xf numFmtId="165" fontId="14" fillId="11" borderId="14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65" fontId="1" fillId="0" borderId="1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31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right"/>
    </xf>
    <xf numFmtId="164" fontId="3" fillId="8" borderId="13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4" fontId="3" fillId="8" borderId="15" xfId="2" applyNumberFormat="1" applyFont="1" applyFill="1" applyBorder="1"/>
    <xf numFmtId="168" fontId="3" fillId="8" borderId="14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6" fontId="3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9" fontId="3" fillId="2" borderId="13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4" fontId="3" fillId="2" borderId="15" xfId="2" applyNumberFormat="1" applyFont="1" applyFill="1" applyBorder="1" applyAlignment="1">
      <alignment horizontal="right"/>
    </xf>
    <xf numFmtId="165" fontId="3" fillId="2" borderId="14" xfId="1" applyNumberFormat="1" applyFont="1" applyFill="1" applyBorder="1" applyAlignment="1">
      <alignment horizontal="right"/>
    </xf>
    <xf numFmtId="0" fontId="1" fillId="2" borderId="13" xfId="0" applyFont="1" applyFill="1" applyBorder="1"/>
    <xf numFmtId="169" fontId="7" fillId="2" borderId="13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70" fontId="7" fillId="0" borderId="14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164" fontId="14" fillId="12" borderId="13" xfId="2" applyNumberFormat="1" applyFont="1" applyFill="1" applyBorder="1"/>
    <xf numFmtId="3" fontId="14" fillId="12" borderId="0" xfId="2" applyNumberFormat="1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9" fontId="14" fillId="12" borderId="0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3" fontId="14" fillId="12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1" fillId="2" borderId="14" xfId="0" applyFont="1" applyFill="1" applyBorder="1" applyAlignment="1">
      <alignment horizontal="right"/>
    </xf>
    <xf numFmtId="168" fontId="41" fillId="2" borderId="0" xfId="2" applyNumberFormat="1" applyFont="1" applyFill="1" applyBorder="1" applyAlignment="1">
      <alignment horizontal="right"/>
    </xf>
    <xf numFmtId="9" fontId="41" fillId="2" borderId="15" xfId="3" applyFont="1" applyFill="1" applyBorder="1" applyAlignment="1">
      <alignment horizontal="right"/>
    </xf>
    <xf numFmtId="9" fontId="41" fillId="2" borderId="0" xfId="3" applyFont="1" applyFill="1" applyBorder="1" applyAlignment="1">
      <alignment horizontal="right"/>
    </xf>
    <xf numFmtId="164" fontId="41" fillId="2" borderId="15" xfId="2" applyNumberFormat="1" applyFont="1" applyFill="1" applyBorder="1" applyAlignment="1">
      <alignment horizontal="right"/>
    </xf>
    <xf numFmtId="168" fontId="41" fillId="2" borderId="14" xfId="2" applyNumberFormat="1" applyFont="1" applyFill="1" applyBorder="1" applyAlignment="1">
      <alignment horizontal="right"/>
    </xf>
    <xf numFmtId="164" fontId="3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70" fontId="7" fillId="2" borderId="14" xfId="1" applyNumberFormat="1" applyFont="1" applyFill="1" applyBorder="1" applyAlignment="1">
      <alignment horizontal="right"/>
    </xf>
    <xf numFmtId="169" fontId="7" fillId="2" borderId="13" xfId="3" applyNumberFormat="1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9" fontId="33" fillId="2" borderId="13" xfId="3" applyNumberFormat="1" applyFont="1" applyFill="1" applyBorder="1"/>
    <xf numFmtId="169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1" fillId="0" borderId="13" xfId="0" applyFont="1" applyFill="1" applyBorder="1"/>
    <xf numFmtId="0" fontId="8" fillId="0" borderId="14" xfId="0" applyFont="1" applyFill="1" applyBorder="1"/>
    <xf numFmtId="0" fontId="1" fillId="2" borderId="1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64" fontId="1" fillId="2" borderId="9" xfId="2" applyNumberFormat="1" applyFont="1" applyFill="1" applyBorder="1"/>
    <xf numFmtId="168" fontId="1" fillId="2" borderId="10" xfId="2" applyNumberFormat="1" applyFont="1" applyFill="1" applyBorder="1" applyAlignment="1">
      <alignment horizontal="right"/>
    </xf>
    <xf numFmtId="9" fontId="1" fillId="2" borderId="17" xfId="3" applyFont="1" applyFill="1" applyBorder="1" applyAlignment="1">
      <alignment horizontal="right"/>
    </xf>
    <xf numFmtId="164" fontId="1" fillId="2" borderId="17" xfId="2" applyNumberFormat="1" applyFont="1" applyFill="1" applyBorder="1" applyAlignment="1">
      <alignment horizontal="right"/>
    </xf>
    <xf numFmtId="168" fontId="1" fillId="2" borderId="11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9" fillId="2" borderId="0" xfId="0" applyFont="1" applyFill="1" applyAlignment="1">
      <alignment horizontal="left"/>
    </xf>
    <xf numFmtId="0" fontId="42" fillId="0" borderId="25" xfId="2" applyNumberFormat="1" applyFont="1" applyFill="1" applyBorder="1" applyAlignment="1" applyProtection="1">
      <alignment horizontal="right"/>
      <protection locked="0"/>
    </xf>
    <xf numFmtId="0" fontId="42" fillId="0" borderId="25" xfId="0" applyFont="1" applyFill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9" fontId="3" fillId="8" borderId="21" xfId="3" applyFont="1" applyFill="1" applyBorder="1"/>
    <xf numFmtId="9" fontId="3" fillId="8" borderId="19" xfId="3" applyFont="1" applyFill="1" applyBorder="1"/>
    <xf numFmtId="9" fontId="3" fillId="8" borderId="15" xfId="3" applyFont="1" applyFill="1" applyBorder="1" applyAlignment="1">
      <alignment horizontal="right"/>
    </xf>
    <xf numFmtId="9" fontId="3" fillId="8" borderId="0" xfId="3" applyFont="1" applyFill="1" applyBorder="1"/>
    <xf numFmtId="164" fontId="1" fillId="0" borderId="9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7" fillId="8" borderId="22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/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  <xdr:twoCellAnchor editAs="oneCell">
    <xdr:from>
      <xdr:col>18</xdr:col>
      <xdr:colOff>457200</xdr:colOff>
      <xdr:row>0</xdr:row>
      <xdr:rowOff>51207</xdr:rowOff>
    </xdr:from>
    <xdr:to>
      <xdr:col>19</xdr:col>
      <xdr:colOff>1548205</xdr:colOff>
      <xdr:row>5</xdr:row>
      <xdr:rowOff>187961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5" t="20136" r="4545" b="8591"/>
        <a:stretch/>
      </xdr:blipFill>
      <xdr:spPr>
        <a:xfrm>
          <a:off x="17478375" y="51207"/>
          <a:ext cx="2348305" cy="1327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22%20Program%20Tracking\Tracking\2022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2:AM142"/>
  <sheetViews>
    <sheetView showGridLines="0" tabSelected="1" topLeftCell="G98" zoomScaleNormal="100" workbookViewId="0">
      <selection activeCell="O126" sqref="O126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4" width="2.42578125" style="3" customWidth="1"/>
    <col min="15" max="15" width="19.28515625" style="2" customWidth="1"/>
    <col min="16" max="16" width="24" style="2" bestFit="1" customWidth="1"/>
    <col min="17" max="17" width="9" style="2" customWidth="1"/>
    <col min="18" max="18" width="16.85546875" style="2" customWidth="1"/>
    <col min="19" max="19" width="18.85546875" style="2" bestFit="1" customWidth="1"/>
    <col min="20" max="20" width="26.7109375" style="2" customWidth="1"/>
    <col min="21" max="21" width="9.140625" style="2"/>
    <col min="22" max="22" width="18.7109375" style="2" bestFit="1" customWidth="1"/>
    <col min="23" max="23" width="15.28515625" style="2" bestFit="1" customWidth="1"/>
    <col min="24" max="39" width="9.140625" style="2"/>
    <col min="40" max="16384" width="9.140625" style="5"/>
  </cols>
  <sheetData>
    <row r="2" spans="2:39" x14ac:dyDescent="0.2">
      <c r="P2" s="4"/>
    </row>
    <row r="3" spans="2:39" ht="33.75" x14ac:dyDescent="0.5">
      <c r="L3" s="6">
        <v>2022</v>
      </c>
      <c r="P3" s="7"/>
    </row>
    <row r="4" spans="2:39" s="16" customFormat="1" x14ac:dyDescent="0.2">
      <c r="B4" s="8"/>
      <c r="C4" s="9"/>
      <c r="D4" s="9"/>
      <c r="E4" s="9"/>
      <c r="F4" s="9"/>
      <c r="G4" s="3"/>
      <c r="H4" s="10"/>
      <c r="I4" s="11"/>
      <c r="J4" s="3"/>
      <c r="K4" s="9"/>
      <c r="L4" s="9"/>
      <c r="M4" s="3"/>
      <c r="N4" s="3"/>
      <c r="O4" s="12"/>
      <c r="P4" s="3"/>
      <c r="Q4" s="3"/>
      <c r="R4" s="9"/>
      <c r="S4" s="9"/>
      <c r="T4" s="3"/>
      <c r="U4" s="13"/>
      <c r="V4" s="14"/>
      <c r="W4" s="15"/>
      <c r="X4" s="15"/>
      <c r="Y4" s="13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2:39" s="16" customFormat="1" x14ac:dyDescent="0.2">
      <c r="B5" s="8"/>
      <c r="C5" s="9"/>
      <c r="D5" s="9"/>
      <c r="E5" s="9"/>
      <c r="F5" s="9"/>
      <c r="G5" s="3"/>
      <c r="H5" s="10"/>
      <c r="J5" s="3"/>
      <c r="K5" s="9"/>
      <c r="L5" s="9"/>
      <c r="M5" s="3"/>
      <c r="N5" s="3"/>
      <c r="O5" s="12"/>
      <c r="P5" s="3"/>
      <c r="Q5" s="3"/>
      <c r="R5" s="9"/>
      <c r="S5" s="9"/>
      <c r="T5" s="3"/>
      <c r="U5" s="13"/>
      <c r="V5" s="14"/>
      <c r="W5" s="15"/>
      <c r="X5" s="15"/>
      <c r="Y5" s="13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2:39" s="16" customFormat="1" x14ac:dyDescent="0.2">
      <c r="B6" s="8"/>
      <c r="C6" s="11" t="s">
        <v>0</v>
      </c>
      <c r="D6" s="9"/>
      <c r="E6" s="9"/>
      <c r="F6" s="9"/>
      <c r="G6" s="3"/>
      <c r="H6" s="10"/>
      <c r="J6" s="3"/>
      <c r="K6" s="9"/>
      <c r="L6" s="9"/>
      <c r="M6" s="3"/>
      <c r="N6" s="3"/>
      <c r="O6" s="12"/>
      <c r="P6" s="3"/>
      <c r="Q6" s="3"/>
      <c r="R6" s="9"/>
      <c r="S6" s="9"/>
      <c r="T6" s="3"/>
      <c r="U6" s="13"/>
      <c r="V6" s="14"/>
      <c r="W6" s="15"/>
      <c r="X6" s="15"/>
      <c r="Y6" s="13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2:39" s="16" customFormat="1" x14ac:dyDescent="0.2">
      <c r="B7" s="8"/>
      <c r="C7" s="11" t="s">
        <v>1</v>
      </c>
      <c r="D7" s="9"/>
      <c r="E7" s="9"/>
      <c r="F7" s="9"/>
      <c r="G7" s="3"/>
      <c r="H7" s="12"/>
      <c r="I7" s="3"/>
      <c r="J7" s="3"/>
      <c r="K7" s="9"/>
      <c r="L7" s="9"/>
      <c r="M7" s="3"/>
      <c r="N7" s="3"/>
      <c r="O7" s="17"/>
      <c r="P7" s="3"/>
      <c r="Q7" s="3"/>
      <c r="R7" s="9"/>
      <c r="S7" s="9"/>
      <c r="T7" s="3"/>
      <c r="U7" s="13"/>
      <c r="V7" s="14"/>
      <c r="W7" s="15"/>
      <c r="X7" s="15"/>
      <c r="Y7" s="13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9" spans="2:39" ht="10.5" customHeight="1" thickBot="1" x14ac:dyDescent="0.25"/>
    <row r="10" spans="2:39" s="23" customFormat="1" ht="20.25" customHeight="1" thickBot="1" x14ac:dyDescent="0.25">
      <c r="B10" s="18"/>
      <c r="C10" s="19">
        <f>12/12</f>
        <v>1</v>
      </c>
      <c r="D10" s="20"/>
      <c r="E10" s="20"/>
      <c r="F10" s="21" t="s">
        <v>2</v>
      </c>
      <c r="G10" s="3"/>
      <c r="H10" s="441" t="s">
        <v>3</v>
      </c>
      <c r="I10" s="442"/>
      <c r="J10" s="442"/>
      <c r="K10" s="442"/>
      <c r="L10" s="442"/>
      <c r="M10" s="443"/>
      <c r="N10" s="3"/>
      <c r="O10" s="441" t="s">
        <v>4</v>
      </c>
      <c r="P10" s="442"/>
      <c r="Q10" s="442"/>
      <c r="R10" s="442"/>
      <c r="S10" s="442"/>
      <c r="T10" s="443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2:39" s="26" customFormat="1" ht="46.5" customHeight="1" x14ac:dyDescent="0.2">
      <c r="B11" s="24"/>
      <c r="C11" s="444" t="s">
        <v>5</v>
      </c>
      <c r="D11" s="446" t="s">
        <v>6</v>
      </c>
      <c r="E11" s="447"/>
      <c r="F11" s="448"/>
      <c r="G11" s="3"/>
      <c r="H11" s="452" t="s">
        <v>7</v>
      </c>
      <c r="I11" s="452"/>
      <c r="J11" s="453" t="s">
        <v>8</v>
      </c>
      <c r="K11" s="453"/>
      <c r="L11" s="454" t="s">
        <v>9</v>
      </c>
      <c r="M11" s="455"/>
      <c r="N11" s="3"/>
      <c r="O11" s="452" t="s">
        <v>7</v>
      </c>
      <c r="P11" s="452"/>
      <c r="Q11" s="453" t="s">
        <v>8</v>
      </c>
      <c r="R11" s="453"/>
      <c r="S11" s="456" t="s">
        <v>10</v>
      </c>
      <c r="T11" s="456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s="26" customFormat="1" ht="16.5" customHeight="1" thickBot="1" x14ac:dyDescent="0.25">
      <c r="B12" s="24"/>
      <c r="C12" s="445"/>
      <c r="D12" s="449"/>
      <c r="E12" s="450"/>
      <c r="F12" s="451"/>
      <c r="G12" s="3"/>
      <c r="H12" s="434" t="s">
        <v>11</v>
      </c>
      <c r="I12" s="435"/>
      <c r="J12" s="435"/>
      <c r="K12" s="435"/>
      <c r="L12" s="435"/>
      <c r="M12" s="436"/>
      <c r="N12" s="3"/>
      <c r="O12" s="434" t="s">
        <v>11</v>
      </c>
      <c r="P12" s="435"/>
      <c r="Q12" s="435"/>
      <c r="R12" s="435"/>
      <c r="S12" s="435"/>
      <c r="T12" s="436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2:39" s="39" customFormat="1" ht="41.25" customHeight="1" x14ac:dyDescent="0.2">
      <c r="B13" s="27"/>
      <c r="C13" s="28"/>
      <c r="D13" s="29"/>
      <c r="E13" s="29"/>
      <c r="F13" s="30"/>
      <c r="G13" s="3"/>
      <c r="H13" s="31" t="s">
        <v>12</v>
      </c>
      <c r="I13" s="32" t="s">
        <v>13</v>
      </c>
      <c r="J13" s="33" t="s">
        <v>14</v>
      </c>
      <c r="K13" s="34" t="s">
        <v>15</v>
      </c>
      <c r="L13" s="35" t="s">
        <v>16</v>
      </c>
      <c r="M13" s="36" t="s">
        <v>17</v>
      </c>
      <c r="N13" s="3"/>
      <c r="O13" s="31" t="s">
        <v>12</v>
      </c>
      <c r="P13" s="32" t="s">
        <v>18</v>
      </c>
      <c r="Q13" s="33" t="s">
        <v>14</v>
      </c>
      <c r="R13" s="34" t="s">
        <v>15</v>
      </c>
      <c r="S13" s="35" t="s">
        <v>16</v>
      </c>
      <c r="T13" s="37" t="s">
        <v>19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2:39" s="50" customFormat="1" ht="15.75" customHeight="1" x14ac:dyDescent="0.2">
      <c r="B14" s="40"/>
      <c r="C14" s="41"/>
      <c r="D14" s="42"/>
      <c r="E14" s="42"/>
      <c r="F14" s="43" t="s">
        <v>20</v>
      </c>
      <c r="G14" s="3"/>
      <c r="H14" s="44"/>
      <c r="I14" s="45"/>
      <c r="J14" s="46"/>
      <c r="K14" s="42"/>
      <c r="L14" s="47"/>
      <c r="M14" s="48"/>
      <c r="N14" s="3"/>
      <c r="O14" s="44"/>
      <c r="P14" s="45"/>
      <c r="Q14" s="46"/>
      <c r="R14" s="42"/>
      <c r="S14" s="47"/>
      <c r="T14" s="48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2:39" s="50" customFormat="1" x14ac:dyDescent="0.2">
      <c r="B15" s="40"/>
      <c r="C15" s="51">
        <v>201</v>
      </c>
      <c r="D15" s="52" t="s">
        <v>21</v>
      </c>
      <c r="E15" s="53"/>
      <c r="F15" s="54"/>
      <c r="G15" s="3"/>
      <c r="H15" s="55">
        <v>4686624.8400000008</v>
      </c>
      <c r="I15" s="56">
        <v>1372.1849999999999</v>
      </c>
      <c r="J15" s="57">
        <f>IF(L15=0, " ", H15/L15)</f>
        <v>0.76726825178346536</v>
      </c>
      <c r="K15" s="58">
        <f>IF(M15=0, " ", I15/M15)</f>
        <v>0.69391956574178437</v>
      </c>
      <c r="L15" s="59">
        <v>6108195.965499999</v>
      </c>
      <c r="M15" s="60">
        <v>1977.441</v>
      </c>
      <c r="N15" s="3"/>
      <c r="O15" s="55">
        <v>1354181.8</v>
      </c>
      <c r="P15" s="56">
        <v>27671</v>
      </c>
      <c r="Q15" s="57">
        <f>O15/S15</f>
        <v>1.3318258623054129</v>
      </c>
      <c r="R15" s="58">
        <f>P15/T15</f>
        <v>1.3339581064553623</v>
      </c>
      <c r="S15" s="59">
        <v>1016785.9315000001</v>
      </c>
      <c r="T15" s="61">
        <v>20743.53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2:39" s="50" customFormat="1" x14ac:dyDescent="0.2">
      <c r="B16" s="40"/>
      <c r="C16" s="51"/>
      <c r="D16" s="53"/>
      <c r="E16" s="53"/>
      <c r="F16" s="52"/>
      <c r="G16" s="3"/>
      <c r="H16" s="55"/>
      <c r="I16" s="56"/>
      <c r="J16" s="57"/>
      <c r="K16" s="58"/>
      <c r="L16" s="59"/>
      <c r="M16" s="60"/>
      <c r="N16" s="3"/>
      <c r="O16" s="55"/>
      <c r="P16" s="56"/>
      <c r="Q16" s="57"/>
      <c r="R16" s="58"/>
      <c r="S16" s="59"/>
      <c r="T16" s="61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2:39" s="50" customFormat="1" x14ac:dyDescent="0.2">
      <c r="B17" s="40"/>
      <c r="C17" s="51">
        <v>214</v>
      </c>
      <c r="D17" s="62" t="s">
        <v>22</v>
      </c>
      <c r="E17" s="49"/>
      <c r="F17" s="54"/>
      <c r="G17" s="3"/>
      <c r="H17" s="63">
        <f>SUM(H18:H27)</f>
        <v>18414410.149999999</v>
      </c>
      <c r="I17" s="64">
        <f>SUM(I18:I27)</f>
        <v>81456.035999999993</v>
      </c>
      <c r="J17" s="65">
        <f>IF(L17=0, " ", H17/L17)</f>
        <v>0.85036406235222695</v>
      </c>
      <c r="K17" s="66">
        <f>IF($M$17=0, " ",I17/$M$17)</f>
        <v>1.0211482628311901</v>
      </c>
      <c r="L17" s="67">
        <f>SUM(L18:L27)</f>
        <v>21654737.030000001</v>
      </c>
      <c r="M17" s="68">
        <f>SUM(M18:M27)</f>
        <v>79769.058974999993</v>
      </c>
      <c r="N17" s="3"/>
      <c r="O17" s="63">
        <f>SUM(O18:O26)</f>
        <v>9312876.0399999991</v>
      </c>
      <c r="P17" s="64">
        <f>SUM(P18:P27)</f>
        <v>2647916</v>
      </c>
      <c r="Q17" s="57">
        <f>O17/S17</f>
        <v>0.86290904885297048</v>
      </c>
      <c r="R17" s="58">
        <f>P17/T17</f>
        <v>0.64930201543849164</v>
      </c>
      <c r="S17" s="67">
        <f>SUM(S18:S26)</f>
        <v>10792419.030000001</v>
      </c>
      <c r="T17" s="69">
        <f>SUM(T18:T26)</f>
        <v>4078096.074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2:39" s="83" customFormat="1" x14ac:dyDescent="0.2">
      <c r="B18" s="70"/>
      <c r="C18" s="71"/>
      <c r="D18" s="72"/>
      <c r="E18" s="73" t="s">
        <v>23</v>
      </c>
      <c r="F18" s="74"/>
      <c r="G18" s="3"/>
      <c r="H18" s="75">
        <v>1149355.93</v>
      </c>
      <c r="I18" s="76">
        <v>922.37</v>
      </c>
      <c r="J18" s="77">
        <f>IF(L18=0, " ", H18/L18)</f>
        <v>1.0116423248685502</v>
      </c>
      <c r="K18" s="78">
        <f>IF(M18=0, " ",I18/M18)</f>
        <v>0.85965618971655966</v>
      </c>
      <c r="L18" s="79">
        <v>1136128.75</v>
      </c>
      <c r="M18" s="80">
        <v>1072.9521999999999</v>
      </c>
      <c r="N18" s="3"/>
      <c r="O18" s="75"/>
      <c r="P18" s="76"/>
      <c r="Q18" s="77"/>
      <c r="R18" s="81"/>
      <c r="S18" s="79"/>
      <c r="T18" s="82"/>
    </row>
    <row r="19" spans="2:39" s="83" customFormat="1" x14ac:dyDescent="0.2">
      <c r="B19" s="70"/>
      <c r="C19" s="71"/>
      <c r="D19" s="72"/>
      <c r="E19" s="73" t="s">
        <v>24</v>
      </c>
      <c r="F19" s="74"/>
      <c r="G19" s="3"/>
      <c r="H19" s="75">
        <v>3843297.4600000004</v>
      </c>
      <c r="I19" s="76">
        <v>7583.433</v>
      </c>
      <c r="J19" s="77">
        <f t="shared" ref="J19:J31" si="0">IF(L19=0, " ", H19/L19)</f>
        <v>0.87845968815814757</v>
      </c>
      <c r="K19" s="78">
        <f t="shared" ref="K19:K31" si="1">IF(M19=0, " ",I19/M19)</f>
        <v>0.91823901427227383</v>
      </c>
      <c r="L19" s="79">
        <v>4375041.3499999996</v>
      </c>
      <c r="M19" s="80">
        <v>8258.67</v>
      </c>
      <c r="N19" s="3"/>
      <c r="O19" s="75">
        <v>3343842.48</v>
      </c>
      <c r="P19" s="76">
        <v>501558</v>
      </c>
      <c r="Q19" s="77">
        <f>O19/S19</f>
        <v>0.68740055683301449</v>
      </c>
      <c r="R19" s="81">
        <f>P19/T19</f>
        <v>0.73009962560337249</v>
      </c>
      <c r="S19" s="79">
        <v>4864474.5</v>
      </c>
      <c r="T19" s="82">
        <v>686972</v>
      </c>
    </row>
    <row r="20" spans="2:39" s="83" customFormat="1" x14ac:dyDescent="0.2">
      <c r="B20" s="70"/>
      <c r="C20" s="71"/>
      <c r="D20" s="72"/>
      <c r="E20" s="73" t="s">
        <v>25</v>
      </c>
      <c r="F20" s="74"/>
      <c r="G20" s="3"/>
      <c r="H20" s="75">
        <v>705775.27</v>
      </c>
      <c r="I20" s="76">
        <v>861.351</v>
      </c>
      <c r="J20" s="77">
        <f t="shared" si="0"/>
        <v>0.63024160182346056</v>
      </c>
      <c r="K20" s="78">
        <f t="shared" si="1"/>
        <v>0.59621631673305264</v>
      </c>
      <c r="L20" s="79">
        <v>1119848.75</v>
      </c>
      <c r="M20" s="80">
        <v>1444.6954499999999</v>
      </c>
      <c r="N20" s="3"/>
      <c r="O20" s="75">
        <v>364862.40999999992</v>
      </c>
      <c r="P20" s="76">
        <v>55376</v>
      </c>
      <c r="Q20" s="77">
        <f t="shared" ref="Q20:R26" si="2">O20/S20</f>
        <v>0.76549743367243295</v>
      </c>
      <c r="R20" s="81">
        <v>0</v>
      </c>
      <c r="S20" s="79">
        <v>476634.4</v>
      </c>
      <c r="T20" s="82">
        <v>65469.899999999994</v>
      </c>
    </row>
    <row r="21" spans="2:39" s="83" customFormat="1" x14ac:dyDescent="0.2">
      <c r="B21" s="70"/>
      <c r="C21" s="71"/>
      <c r="D21" s="72"/>
      <c r="E21" s="73" t="s">
        <v>26</v>
      </c>
      <c r="F21" s="74"/>
      <c r="G21" s="3"/>
      <c r="H21" s="75">
        <v>548275.3899999999</v>
      </c>
      <c r="I21" s="76">
        <v>557.41399999999999</v>
      </c>
      <c r="J21" s="77">
        <f t="shared" si="0"/>
        <v>0.77023918173129235</v>
      </c>
      <c r="K21" s="78">
        <f t="shared" si="1"/>
        <v>0.87187484358576506</v>
      </c>
      <c r="L21" s="79">
        <v>711824.85</v>
      </c>
      <c r="M21" s="80">
        <v>639.32799999999997</v>
      </c>
      <c r="N21" s="3"/>
      <c r="O21" s="84"/>
      <c r="P21" s="76">
        <v>4489</v>
      </c>
      <c r="Q21" s="77"/>
      <c r="R21" s="81">
        <f>P21/T21</f>
        <v>0.72015272563929789</v>
      </c>
      <c r="S21" s="79">
        <v>0</v>
      </c>
      <c r="T21" s="82">
        <v>6233.4000000000005</v>
      </c>
      <c r="V21" s="85"/>
      <c r="W21" s="85"/>
    </row>
    <row r="22" spans="2:39" s="83" customFormat="1" x14ac:dyDescent="0.2">
      <c r="B22" s="70"/>
      <c r="C22" s="71"/>
      <c r="D22" s="72"/>
      <c r="E22" s="73" t="s">
        <v>27</v>
      </c>
      <c r="F22" s="74"/>
      <c r="G22" s="3"/>
      <c r="H22" s="75">
        <v>998491.89</v>
      </c>
      <c r="I22" s="76">
        <v>1816.088</v>
      </c>
      <c r="J22" s="77">
        <f t="shared" si="0"/>
        <v>1.1091926433880583</v>
      </c>
      <c r="K22" s="78">
        <f t="shared" si="1"/>
        <v>1.4699785989257372</v>
      </c>
      <c r="L22" s="79">
        <v>900197</v>
      </c>
      <c r="M22" s="80">
        <v>1235.452</v>
      </c>
      <c r="N22" s="3"/>
      <c r="O22" s="75">
        <v>1556488.13</v>
      </c>
      <c r="P22" s="76">
        <v>351351</v>
      </c>
      <c r="Q22" s="77">
        <f t="shared" si="2"/>
        <v>0.87161286989755737</v>
      </c>
      <c r="R22" s="81">
        <f t="shared" si="2"/>
        <v>1.0647</v>
      </c>
      <c r="S22" s="79">
        <v>1785756.25</v>
      </c>
      <c r="T22" s="82">
        <v>330000</v>
      </c>
    </row>
    <row r="23" spans="2:39" s="83" customFormat="1" x14ac:dyDescent="0.2">
      <c r="B23" s="70"/>
      <c r="C23" s="71"/>
      <c r="D23" s="72"/>
      <c r="E23" s="73" t="s">
        <v>28</v>
      </c>
      <c r="F23" s="74"/>
      <c r="G23" s="3"/>
      <c r="H23" s="75">
        <v>3330.97</v>
      </c>
      <c r="I23" s="86">
        <v>0.27800000000000002</v>
      </c>
      <c r="J23" s="77">
        <f t="shared" si="0"/>
        <v>0.65206377793220893</v>
      </c>
      <c r="K23" s="78">
        <f t="shared" si="1"/>
        <v>2.9324894514767936</v>
      </c>
      <c r="L23" s="79">
        <v>5108.3500000000004</v>
      </c>
      <c r="M23" s="87">
        <v>9.4799999999999995E-2</v>
      </c>
      <c r="N23" s="3"/>
      <c r="O23" s="75">
        <v>1030.2400000000021</v>
      </c>
      <c r="P23" s="76">
        <v>17</v>
      </c>
      <c r="Q23" s="77">
        <f t="shared" si="2"/>
        <v>0.25317531992799752</v>
      </c>
      <c r="R23" s="81">
        <f t="shared" si="2"/>
        <v>3.2692307692307692</v>
      </c>
      <c r="S23" s="79">
        <v>4069.2749999999996</v>
      </c>
      <c r="T23" s="82">
        <v>5.2</v>
      </c>
    </row>
    <row r="24" spans="2:39" s="83" customFormat="1" x14ac:dyDescent="0.2">
      <c r="B24" s="70"/>
      <c r="C24" s="71"/>
      <c r="D24" s="72"/>
      <c r="E24" s="73" t="s">
        <v>29</v>
      </c>
      <c r="F24" s="74"/>
      <c r="G24" s="3"/>
      <c r="H24" s="75">
        <v>1176597.5299999998</v>
      </c>
      <c r="I24" s="76">
        <v>1356.242</v>
      </c>
      <c r="J24" s="77">
        <f t="shared" si="0"/>
        <v>1.0696880888081171</v>
      </c>
      <c r="K24" s="78">
        <f t="shared" si="1"/>
        <v>1.1142946234135411</v>
      </c>
      <c r="L24" s="88">
        <v>1099944.5</v>
      </c>
      <c r="M24" s="80">
        <v>1217.1305249999994</v>
      </c>
      <c r="N24" s="3"/>
      <c r="O24" s="75">
        <v>2608389.3899999997</v>
      </c>
      <c r="P24" s="76">
        <v>265023</v>
      </c>
      <c r="Q24" s="77">
        <f t="shared" si="2"/>
        <v>1.090102034701026</v>
      </c>
      <c r="R24" s="81">
        <f t="shared" si="2"/>
        <v>1.0820994176548364</v>
      </c>
      <c r="S24" s="79">
        <v>2392793.7999999998</v>
      </c>
      <c r="T24" s="82">
        <v>244915.57399999999</v>
      </c>
    </row>
    <row r="25" spans="2:39" s="93" customFormat="1" x14ac:dyDescent="0.2">
      <c r="B25" s="70"/>
      <c r="C25" s="71"/>
      <c r="D25" s="89"/>
      <c r="E25" s="73" t="s">
        <v>30</v>
      </c>
      <c r="F25" s="73"/>
      <c r="G25" s="3"/>
      <c r="H25" s="75">
        <v>1577453.42</v>
      </c>
      <c r="I25" s="76">
        <v>50165.13</v>
      </c>
      <c r="J25" s="77">
        <f t="shared" si="0"/>
        <v>1.0018549884909342</v>
      </c>
      <c r="K25" s="78">
        <f t="shared" si="1"/>
        <v>1.0137646512003879</v>
      </c>
      <c r="L25" s="88">
        <v>1574532.68</v>
      </c>
      <c r="M25" s="80">
        <v>49484</v>
      </c>
      <c r="N25" s="3"/>
      <c r="O25" s="90">
        <v>1377943.46</v>
      </c>
      <c r="P25" s="91">
        <v>1470102</v>
      </c>
      <c r="Q25" s="92">
        <f t="shared" si="2"/>
        <v>1.1237336844789081</v>
      </c>
      <c r="R25" s="81">
        <f t="shared" si="2"/>
        <v>0.53565385316086722</v>
      </c>
      <c r="S25" s="79">
        <v>1226218.8799999999</v>
      </c>
      <c r="T25" s="82">
        <v>2744500</v>
      </c>
      <c r="U25" s="93" t="s">
        <v>31</v>
      </c>
    </row>
    <row r="26" spans="2:39" s="93" customFormat="1" x14ac:dyDescent="0.2">
      <c r="B26" s="70"/>
      <c r="C26" s="71"/>
      <c r="D26" s="89"/>
      <c r="E26" s="73" t="s">
        <v>32</v>
      </c>
      <c r="F26" s="73"/>
      <c r="G26" s="3"/>
      <c r="H26" s="75">
        <v>67647.7</v>
      </c>
      <c r="I26" s="76"/>
      <c r="J26" s="77">
        <f t="shared" si="0"/>
        <v>0.76268177726116337</v>
      </c>
      <c r="K26" s="78" t="str">
        <f t="shared" si="1"/>
        <v xml:space="preserve"> </v>
      </c>
      <c r="L26" s="88">
        <v>88697.15</v>
      </c>
      <c r="M26" s="80">
        <v>0</v>
      </c>
      <c r="N26" s="3"/>
      <c r="O26" s="90">
        <v>60319.93</v>
      </c>
      <c r="P26" s="91"/>
      <c r="Q26" s="92">
        <f t="shared" si="2"/>
        <v>1.4202306582524808</v>
      </c>
      <c r="R26" s="81"/>
      <c r="S26" s="79">
        <v>42471.925000000003</v>
      </c>
      <c r="T26" s="82"/>
    </row>
    <row r="27" spans="2:39" s="93" customFormat="1" x14ac:dyDescent="0.2">
      <c r="B27" s="70"/>
      <c r="C27" s="71"/>
      <c r="D27" s="89"/>
      <c r="E27" s="73" t="s">
        <v>33</v>
      </c>
      <c r="F27" s="73"/>
      <c r="G27" s="3"/>
      <c r="H27" s="75">
        <v>8344184.5899999999</v>
      </c>
      <c r="I27" s="76">
        <v>18193.73</v>
      </c>
      <c r="J27" s="77">
        <f t="shared" si="0"/>
        <v>0.78397635048225334</v>
      </c>
      <c r="K27" s="78">
        <f>IF(M27=0, " ",I27/M27)</f>
        <v>1.1082428321927087</v>
      </c>
      <c r="L27" s="88">
        <v>10643413.65</v>
      </c>
      <c r="M27" s="80">
        <v>16416.736000000001</v>
      </c>
      <c r="N27" s="3"/>
      <c r="O27" s="90"/>
      <c r="P27" s="91"/>
      <c r="Q27" s="92"/>
      <c r="R27" s="81"/>
      <c r="S27" s="79"/>
      <c r="T27" s="82"/>
    </row>
    <row r="28" spans="2:39" s="106" customFormat="1" ht="12" customHeight="1" x14ac:dyDescent="0.2">
      <c r="B28" s="94"/>
      <c r="C28" s="95">
        <v>215</v>
      </c>
      <c r="D28" s="96" t="s">
        <v>34</v>
      </c>
      <c r="E28" s="97"/>
      <c r="F28" s="98"/>
      <c r="G28" s="3"/>
      <c r="H28" s="99">
        <v>139153.93</v>
      </c>
      <c r="I28" s="100">
        <v>74.617999999999995</v>
      </c>
      <c r="J28" s="101">
        <f t="shared" si="0"/>
        <v>0.89262247353359303</v>
      </c>
      <c r="K28" s="102">
        <f t="shared" si="1"/>
        <v>0.74617999999999995</v>
      </c>
      <c r="L28" s="103">
        <v>155893.375</v>
      </c>
      <c r="M28" s="104">
        <v>100</v>
      </c>
      <c r="N28" s="3"/>
      <c r="O28" s="55">
        <v>48673.2</v>
      </c>
      <c r="P28" s="56">
        <v>4445</v>
      </c>
      <c r="Q28" s="57">
        <f t="shared" ref="Q28" si="3">O28/S28</f>
        <v>1.4677446105319658</v>
      </c>
      <c r="R28" s="58">
        <f>P28/T28</f>
        <v>3.7196652719665271</v>
      </c>
      <c r="S28" s="103">
        <v>33161.9</v>
      </c>
      <c r="T28" s="61">
        <v>1195</v>
      </c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</row>
    <row r="29" spans="2:39" s="106" customFormat="1" x14ac:dyDescent="0.2">
      <c r="B29" s="94"/>
      <c r="C29" s="107">
        <v>215</v>
      </c>
      <c r="D29" s="108"/>
      <c r="E29" s="109" t="s">
        <v>35</v>
      </c>
      <c r="F29" s="54"/>
      <c r="G29" s="3"/>
      <c r="H29" s="99">
        <v>165040.69999999998</v>
      </c>
      <c r="I29" s="100">
        <v>157.136</v>
      </c>
      <c r="J29" s="101">
        <f t="shared" si="0"/>
        <v>0.82336400189925674</v>
      </c>
      <c r="K29" s="102">
        <f t="shared" si="1"/>
        <v>1.012878856244118</v>
      </c>
      <c r="L29" s="103">
        <v>200446.82500000001</v>
      </c>
      <c r="M29" s="104">
        <v>155.13800000000001</v>
      </c>
      <c r="N29" s="3"/>
      <c r="O29" s="55">
        <v>22084.17</v>
      </c>
      <c r="P29" s="56">
        <v>106</v>
      </c>
      <c r="Q29" s="57"/>
      <c r="R29" s="58"/>
      <c r="S29" s="59">
        <v>13200</v>
      </c>
      <c r="T29" s="61">
        <v>900.9</v>
      </c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</row>
    <row r="30" spans="2:39" s="50" customFormat="1" x14ac:dyDescent="0.2">
      <c r="B30" s="94"/>
      <c r="C30" s="107">
        <v>217</v>
      </c>
      <c r="D30" s="62" t="s">
        <v>36</v>
      </c>
      <c r="E30" s="110"/>
      <c r="F30" s="54"/>
      <c r="G30" s="3"/>
      <c r="H30" s="99">
        <v>5334529.1999999993</v>
      </c>
      <c r="I30" s="100">
        <v>4945.8220000000001</v>
      </c>
      <c r="J30" s="101">
        <f t="shared" si="0"/>
        <v>0.69247585087741326</v>
      </c>
      <c r="K30" s="102">
        <f t="shared" si="1"/>
        <v>0.54529596832944616</v>
      </c>
      <c r="L30" s="59">
        <v>7703559.9049999993</v>
      </c>
      <c r="M30" s="104">
        <v>9069.977200000003</v>
      </c>
      <c r="N30" s="3"/>
      <c r="O30" s="99">
        <v>324451.54999999993</v>
      </c>
      <c r="P30" s="56">
        <v>12431</v>
      </c>
      <c r="Q30" s="57">
        <f t="shared" ref="Q30:Q31" si="4">O30/S30</f>
        <v>0.87106516615040963</v>
      </c>
      <c r="R30" s="58">
        <f>P30/T30</f>
        <v>0.33280342510972527</v>
      </c>
      <c r="S30" s="59">
        <v>372476.78200000001</v>
      </c>
      <c r="T30" s="111">
        <v>37352.379999999997</v>
      </c>
      <c r="U30" s="49"/>
      <c r="V30" s="112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spans="2:39" s="50" customFormat="1" x14ac:dyDescent="0.2">
      <c r="B31" s="94"/>
      <c r="C31" s="95">
        <v>218</v>
      </c>
      <c r="D31" s="113" t="s">
        <v>37</v>
      </c>
      <c r="E31" s="114"/>
      <c r="F31" s="98"/>
      <c r="G31" s="3"/>
      <c r="H31" s="99">
        <v>1431622.11</v>
      </c>
      <c r="I31" s="100">
        <v>3128.4369999999999</v>
      </c>
      <c r="J31" s="101">
        <f t="shared" si="0"/>
        <v>0.69245609491193749</v>
      </c>
      <c r="K31" s="102">
        <f t="shared" si="1"/>
        <v>0.69520822222222223</v>
      </c>
      <c r="L31" s="59">
        <v>2067455.425</v>
      </c>
      <c r="M31" s="104">
        <v>4500</v>
      </c>
      <c r="N31" s="3"/>
      <c r="O31" s="99">
        <v>186356.67</v>
      </c>
      <c r="P31" s="56">
        <v>18901</v>
      </c>
      <c r="Q31" s="57">
        <f t="shared" si="4"/>
        <v>0.52588748273148633</v>
      </c>
      <c r="R31" s="58">
        <f>P31/T31</f>
        <v>0.37802000000000002</v>
      </c>
      <c r="S31" s="59">
        <v>354366.05</v>
      </c>
      <c r="T31" s="111">
        <v>50000</v>
      </c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2:39" s="50" customFormat="1" x14ac:dyDescent="0.2">
      <c r="B32" s="94"/>
      <c r="C32" s="107"/>
      <c r="D32" s="115"/>
      <c r="E32" s="114"/>
      <c r="F32" s="54"/>
      <c r="G32" s="3"/>
      <c r="H32" s="116"/>
      <c r="I32" s="56"/>
      <c r="J32" s="57"/>
      <c r="K32" s="102"/>
      <c r="L32" s="117"/>
      <c r="M32" s="118"/>
      <c r="N32" s="3"/>
      <c r="O32" s="119"/>
      <c r="P32" s="120"/>
      <c r="Q32" s="101"/>
      <c r="R32" s="58"/>
      <c r="S32" s="117"/>
      <c r="T32" s="111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2:39" s="50" customFormat="1" x14ac:dyDescent="0.2">
      <c r="B33" s="40"/>
      <c r="C33" s="51"/>
      <c r="D33" s="107"/>
      <c r="E33" s="107"/>
      <c r="F33" s="121" t="s">
        <v>38</v>
      </c>
      <c r="G33" s="3"/>
      <c r="H33" s="122">
        <f>SUM(H15,H17,H28:H31)</f>
        <v>30171380.929999996</v>
      </c>
      <c r="I33" s="123">
        <f>SUM(I17,I15,I28:I31)</f>
        <v>91134.233999999997</v>
      </c>
      <c r="J33" s="65">
        <f>H33/L33</f>
        <v>0.79628269153175735</v>
      </c>
      <c r="K33" s="66">
        <f>I33/M33</f>
        <v>0.95357009330777986</v>
      </c>
      <c r="L33" s="67">
        <f>SUM(L15,L17,L28:L31)</f>
        <v>37890288.525499992</v>
      </c>
      <c r="M33" s="124">
        <f>SUM(M15,M17,M28:M31)</f>
        <v>95571.615175000014</v>
      </c>
      <c r="N33" s="3"/>
      <c r="O33" s="122">
        <f>SUM(O15,O17,O28:O31)</f>
        <v>11248623.43</v>
      </c>
      <c r="P33" s="125">
        <f>SUM(P15,P17,P28:P31)</f>
        <v>2711470</v>
      </c>
      <c r="Q33" s="65">
        <f>O33/S33</f>
        <v>0.89399595975729285</v>
      </c>
      <c r="R33" s="66">
        <f>P33/T33</f>
        <v>0.64739341590111199</v>
      </c>
      <c r="S33" s="67">
        <f>SUM(S15,S17,S28:S32)</f>
        <v>12582409.693500003</v>
      </c>
      <c r="T33" s="126">
        <f>SUM(T15,T17,T28:T31)</f>
        <v>4188287.8839999996</v>
      </c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2:39" s="141" customFormat="1" x14ac:dyDescent="0.2">
      <c r="B34" s="127"/>
      <c r="C34" s="128"/>
      <c r="D34" s="129"/>
      <c r="E34" s="129"/>
      <c r="F34" s="130"/>
      <c r="G34" s="3"/>
      <c r="H34" s="131">
        <v>30171380.93</v>
      </c>
      <c r="I34" s="132">
        <v>91134.233999999997</v>
      </c>
      <c r="J34" s="133"/>
      <c r="K34" s="134"/>
      <c r="L34" s="135"/>
      <c r="M34" s="136"/>
      <c r="N34" s="3"/>
      <c r="O34" s="137">
        <v>11248623.429999998</v>
      </c>
      <c r="P34" s="138">
        <v>2711470</v>
      </c>
      <c r="Q34" s="139">
        <f>P33-P34</f>
        <v>0</v>
      </c>
      <c r="R34" s="134"/>
      <c r="S34" s="135"/>
      <c r="T34" s="140"/>
    </row>
    <row r="35" spans="2:39" s="50" customFormat="1" x14ac:dyDescent="0.2">
      <c r="B35" s="40"/>
      <c r="C35" s="142"/>
      <c r="D35" s="143"/>
      <c r="E35" s="143"/>
      <c r="F35" s="144" t="s">
        <v>39</v>
      </c>
      <c r="G35" s="3"/>
      <c r="H35" s="145"/>
      <c r="I35" s="146">
        <f>I34-I33</f>
        <v>0</v>
      </c>
      <c r="J35" s="147"/>
      <c r="K35" s="146" t="s">
        <v>40</v>
      </c>
      <c r="L35" s="148"/>
      <c r="M35" s="149"/>
      <c r="N35" s="3"/>
      <c r="O35" s="145">
        <f>O34-O33</f>
        <v>0</v>
      </c>
      <c r="P35" s="150"/>
      <c r="Q35" s="147"/>
      <c r="R35" s="143"/>
      <c r="S35" s="151"/>
      <c r="T35" s="1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2:39" s="50" customFormat="1" x14ac:dyDescent="0.2">
      <c r="B36" s="40"/>
      <c r="C36" s="51">
        <v>250</v>
      </c>
      <c r="D36" s="152" t="s">
        <v>41</v>
      </c>
      <c r="E36" s="107"/>
      <c r="F36" s="152"/>
      <c r="G36" s="3"/>
      <c r="H36" s="99">
        <v>19381112.809999999</v>
      </c>
      <c r="I36" s="153">
        <v>55652.061000000002</v>
      </c>
      <c r="J36" s="57">
        <f t="shared" ref="J36:K51" si="5">IF(L36=0, " ", H36/L36)</f>
        <v>0.75006980295264458</v>
      </c>
      <c r="K36" s="58">
        <f t="shared" si="5"/>
        <v>0.7574883319471063</v>
      </c>
      <c r="L36" s="59">
        <v>25839078.888</v>
      </c>
      <c r="M36" s="60">
        <v>73469.198999999993</v>
      </c>
      <c r="N36" s="3"/>
      <c r="O36" s="55">
        <v>5105304.2199999988</v>
      </c>
      <c r="P36" s="56">
        <v>850779</v>
      </c>
      <c r="Q36" s="154">
        <f t="shared" ref="Q36:R38" si="6">O36/S36</f>
        <v>2.0485305979168063</v>
      </c>
      <c r="R36" s="58">
        <f t="shared" si="6"/>
        <v>1.410283655025627</v>
      </c>
      <c r="S36" s="59">
        <v>2492178.65</v>
      </c>
      <c r="T36" s="61">
        <v>603268</v>
      </c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2:39" s="50" customFormat="1" x14ac:dyDescent="0.2">
      <c r="B37" s="40"/>
      <c r="C37" s="51">
        <v>251</v>
      </c>
      <c r="D37" s="155" t="s">
        <v>42</v>
      </c>
      <c r="E37" s="53"/>
      <c r="F37" s="155"/>
      <c r="G37" s="3"/>
      <c r="H37" s="99">
        <v>3200318.9299999997</v>
      </c>
      <c r="I37" s="153">
        <v>12727.553</v>
      </c>
      <c r="J37" s="156">
        <f>IF(L37=0, " ", H37/L37)</f>
        <v>0.36296046075960503</v>
      </c>
      <c r="K37" s="58">
        <f t="shared" si="5"/>
        <v>0.43144247457627116</v>
      </c>
      <c r="L37" s="59">
        <v>8817266</v>
      </c>
      <c r="M37" s="60">
        <v>29500</v>
      </c>
      <c r="N37" s="3"/>
      <c r="O37" s="55">
        <v>274087.58</v>
      </c>
      <c r="P37" s="56">
        <v>43302</v>
      </c>
      <c r="Q37" s="57">
        <f t="shared" si="6"/>
        <v>0.37903785571846205</v>
      </c>
      <c r="R37" s="58">
        <f t="shared" si="6"/>
        <v>0.48113333333333336</v>
      </c>
      <c r="S37" s="59">
        <v>723114.00000000012</v>
      </c>
      <c r="T37" s="61">
        <v>90000</v>
      </c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2:39" s="50" customFormat="1" x14ac:dyDescent="0.2">
      <c r="B38" s="40"/>
      <c r="C38" s="51">
        <v>253</v>
      </c>
      <c r="D38" s="155" t="s">
        <v>43</v>
      </c>
      <c r="E38" s="107"/>
      <c r="F38" s="155"/>
      <c r="G38" s="3"/>
      <c r="H38" s="99">
        <v>1882579.14</v>
      </c>
      <c r="I38" s="153">
        <v>12682.795</v>
      </c>
      <c r="J38" s="57">
        <f t="shared" si="5"/>
        <v>0.79141887451514492</v>
      </c>
      <c r="K38" s="58">
        <f t="shared" si="5"/>
        <v>0.79267468750000003</v>
      </c>
      <c r="L38" s="59">
        <v>2378739.25</v>
      </c>
      <c r="M38" s="60">
        <v>16000</v>
      </c>
      <c r="N38" s="3"/>
      <c r="O38" s="55">
        <v>631014.89</v>
      </c>
      <c r="P38" s="56">
        <v>203790</v>
      </c>
      <c r="Q38" s="57">
        <f t="shared" si="6"/>
        <v>0.85751243686441869</v>
      </c>
      <c r="R38" s="58">
        <f t="shared" si="6"/>
        <v>0.35658792650918636</v>
      </c>
      <c r="S38" s="59">
        <v>735866.75</v>
      </c>
      <c r="T38" s="61">
        <v>571500</v>
      </c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2:39" s="168" customFormat="1" hidden="1" x14ac:dyDescent="0.2">
      <c r="B39" s="157"/>
      <c r="C39" s="158">
        <v>255</v>
      </c>
      <c r="D39" s="159" t="s">
        <v>44</v>
      </c>
      <c r="E39" s="160"/>
      <c r="F39" s="159"/>
      <c r="G39" s="3"/>
      <c r="H39" s="161"/>
      <c r="I39" s="153"/>
      <c r="J39" s="162" t="str">
        <f t="shared" si="5"/>
        <v xml:space="preserve"> </v>
      </c>
      <c r="K39" s="163" t="str">
        <f t="shared" si="5"/>
        <v xml:space="preserve"> </v>
      </c>
      <c r="L39" s="164">
        <v>0</v>
      </c>
      <c r="M39" s="165">
        <v>0</v>
      </c>
      <c r="N39" s="3"/>
      <c r="O39" s="161"/>
      <c r="P39" s="166"/>
      <c r="Q39" s="162"/>
      <c r="R39" s="163"/>
      <c r="S39" s="164"/>
      <c r="T39" s="167"/>
    </row>
    <row r="40" spans="2:39" s="50" customFormat="1" x14ac:dyDescent="0.2">
      <c r="B40" s="40"/>
      <c r="C40" s="51">
        <v>258</v>
      </c>
      <c r="D40" s="52" t="s">
        <v>45</v>
      </c>
      <c r="E40" s="53"/>
      <c r="F40" s="52"/>
      <c r="G40" s="3"/>
      <c r="H40" s="55">
        <v>4750039.7300000004</v>
      </c>
      <c r="I40" s="153">
        <v>12383.4</v>
      </c>
      <c r="J40" s="57">
        <f>IF(L40=0, " ", H40/L40)</f>
        <v>1.3166474744097911</v>
      </c>
      <c r="K40" s="58">
        <f t="shared" si="5"/>
        <v>1.5639711484870837</v>
      </c>
      <c r="L40" s="169">
        <v>3607677.6983370464</v>
      </c>
      <c r="M40" s="104">
        <v>7917.9210000000003</v>
      </c>
      <c r="N40" s="3"/>
      <c r="O40" s="55"/>
      <c r="P40" s="56"/>
      <c r="Q40" s="57"/>
      <c r="R40" s="58"/>
      <c r="S40" s="59"/>
      <c r="T40" s="61">
        <v>0</v>
      </c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2:39" s="50" customFormat="1" x14ac:dyDescent="0.2">
      <c r="B41" s="40"/>
      <c r="C41" s="51">
        <v>258</v>
      </c>
      <c r="D41" s="52" t="s">
        <v>46</v>
      </c>
      <c r="E41" s="53"/>
      <c r="F41" s="52"/>
      <c r="G41" s="3"/>
      <c r="H41" s="55">
        <v>2723963.96</v>
      </c>
      <c r="I41" s="153">
        <v>4936.3829999999998</v>
      </c>
      <c r="J41" s="154">
        <f>IF(L41=0, " ", H41/L41)</f>
        <v>0.63566760602418571</v>
      </c>
      <c r="K41" s="58">
        <f t="shared" si="5"/>
        <v>0.48120994635256831</v>
      </c>
      <c r="L41" s="169">
        <v>4285201.7849976132</v>
      </c>
      <c r="M41" s="104">
        <v>10258.272999999999</v>
      </c>
      <c r="N41" s="3"/>
      <c r="O41" s="55"/>
      <c r="P41" s="56"/>
      <c r="Q41" s="57"/>
      <c r="R41" s="58"/>
      <c r="S41" s="59"/>
      <c r="T41" s="61">
        <v>0</v>
      </c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2:39" s="50" customFormat="1" x14ac:dyDescent="0.2">
      <c r="B42" s="40"/>
      <c r="C42" s="51">
        <v>261</v>
      </c>
      <c r="D42" s="52" t="s">
        <v>47</v>
      </c>
      <c r="E42" s="53"/>
      <c r="F42" s="52"/>
      <c r="G42" s="3"/>
      <c r="H42" s="55">
        <v>0</v>
      </c>
      <c r="I42" s="153"/>
      <c r="J42" s="170" t="str">
        <f>IF(L42=0, " ", H42/L42)</f>
        <v xml:space="preserve"> </v>
      </c>
      <c r="K42" s="58"/>
      <c r="L42" s="59"/>
      <c r="M42" s="60">
        <v>0</v>
      </c>
      <c r="N42" s="3"/>
      <c r="O42" s="55">
        <v>0</v>
      </c>
      <c r="P42" s="56"/>
      <c r="Q42" s="170"/>
      <c r="R42" s="58"/>
      <c r="S42" s="169">
        <v>0</v>
      </c>
      <c r="T42" s="61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2:39" s="50" customFormat="1" x14ac:dyDescent="0.2">
      <c r="B43" s="40"/>
      <c r="C43" s="51">
        <v>262</v>
      </c>
      <c r="D43" s="155" t="s">
        <v>48</v>
      </c>
      <c r="E43" s="107"/>
      <c r="F43" s="155"/>
      <c r="G43" s="3"/>
      <c r="H43" s="63">
        <f>SUM(H44:H49)</f>
        <v>13775692.18</v>
      </c>
      <c r="I43" s="171">
        <f>SUM(I44:I50)</f>
        <v>36575.300999999999</v>
      </c>
      <c r="J43" s="65">
        <f>IF(L43=0, " ", H43/L43)</f>
        <v>0.86133374335469703</v>
      </c>
      <c r="K43" s="66">
        <f t="shared" si="5"/>
        <v>0.81956548960493203</v>
      </c>
      <c r="L43" s="67">
        <f>SUM(L44:L49)</f>
        <v>15993443.059999999</v>
      </c>
      <c r="M43" s="68">
        <f>SUM(M44:M49)</f>
        <v>44627.6734</v>
      </c>
      <c r="N43" s="3"/>
      <c r="O43" s="63">
        <f>SUM(O44:O49)</f>
        <v>3532016.21</v>
      </c>
      <c r="P43" s="64">
        <f>SUM(P44:P49)</f>
        <v>860670</v>
      </c>
      <c r="Q43" s="65">
        <f>O43/S43</f>
        <v>1.0453430826814416</v>
      </c>
      <c r="R43" s="66">
        <f>P43/T43</f>
        <v>1.0337981002532035</v>
      </c>
      <c r="S43" s="67">
        <f>SUM(S44:S49)</f>
        <v>3378810.5249999999</v>
      </c>
      <c r="T43" s="69">
        <f>SUM(T44:T49)</f>
        <v>832532</v>
      </c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2:39" s="83" customFormat="1" x14ac:dyDescent="0.2">
      <c r="B44" s="40"/>
      <c r="C44" s="51"/>
      <c r="D44" s="53"/>
      <c r="E44" s="73" t="s">
        <v>49</v>
      </c>
      <c r="F44" s="54"/>
      <c r="G44" s="3"/>
      <c r="H44" s="99">
        <v>2896512.1999999997</v>
      </c>
      <c r="I44" s="153">
        <v>18550.348999999998</v>
      </c>
      <c r="J44" s="101">
        <f t="shared" ref="J44:K49" si="7">H44/L44</f>
        <v>0.82807492248540937</v>
      </c>
      <c r="K44" s="102">
        <f t="shared" si="7"/>
        <v>0.85442067604969019</v>
      </c>
      <c r="L44" s="117">
        <v>3497886.63</v>
      </c>
      <c r="M44" s="118">
        <v>21711.025400000002</v>
      </c>
      <c r="N44" s="3"/>
      <c r="O44" s="99"/>
      <c r="P44" s="100"/>
      <c r="Q44" s="101"/>
      <c r="R44" s="58"/>
      <c r="S44" s="117"/>
      <c r="T44" s="111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2:39" s="83" customFormat="1" x14ac:dyDescent="0.2">
      <c r="B45" s="40"/>
      <c r="C45" s="51"/>
      <c r="D45" s="53"/>
      <c r="E45" s="73" t="s">
        <v>50</v>
      </c>
      <c r="F45" s="54"/>
      <c r="G45" s="3"/>
      <c r="H45" s="99">
        <v>509446.64999999997</v>
      </c>
      <c r="I45" s="153">
        <v>1366.0809999999999</v>
      </c>
      <c r="J45" s="101">
        <f t="shared" si="7"/>
        <v>2.4066661381997139</v>
      </c>
      <c r="K45" s="102">
        <f t="shared" si="7"/>
        <v>3.0357355555555552</v>
      </c>
      <c r="L45" s="117">
        <v>211681.47999999998</v>
      </c>
      <c r="M45" s="118">
        <v>450</v>
      </c>
      <c r="N45" s="3"/>
      <c r="O45" s="99">
        <v>1128349.24</v>
      </c>
      <c r="P45" s="100">
        <v>172780</v>
      </c>
      <c r="Q45" s="101">
        <f>O45/S45</f>
        <v>0.65778419268638921</v>
      </c>
      <c r="R45" s="58">
        <f>P45/T45</f>
        <v>0.49365714285714285</v>
      </c>
      <c r="S45" s="117">
        <v>1715379.075</v>
      </c>
      <c r="T45" s="111">
        <v>350000</v>
      </c>
      <c r="U45" s="49"/>
      <c r="V45" s="112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2:39" s="83" customFormat="1" x14ac:dyDescent="0.2">
      <c r="B46" s="40"/>
      <c r="C46" s="51"/>
      <c r="D46" s="53"/>
      <c r="E46" s="73" t="s">
        <v>51</v>
      </c>
      <c r="F46" s="54"/>
      <c r="G46" s="3"/>
      <c r="H46" s="99">
        <v>232898.08000000002</v>
      </c>
      <c r="I46" s="153">
        <v>650.86699999999996</v>
      </c>
      <c r="J46" s="101">
        <f t="shared" si="7"/>
        <v>0.57584845937014428</v>
      </c>
      <c r="K46" s="102">
        <f t="shared" si="7"/>
        <v>0.68321877545536225</v>
      </c>
      <c r="L46" s="117">
        <v>404443.35</v>
      </c>
      <c r="M46" s="118">
        <v>952.64800000000002</v>
      </c>
      <c r="N46" s="3"/>
      <c r="O46" s="99">
        <v>39124.39</v>
      </c>
      <c r="P46" s="100">
        <v>9311</v>
      </c>
      <c r="Q46" s="101">
        <f t="shared" ref="Q46:R48" si="8">O46/S46</f>
        <v>0.89050012176996618</v>
      </c>
      <c r="R46" s="58">
        <f t="shared" si="8"/>
        <v>0.72901659880989667</v>
      </c>
      <c r="S46" s="117">
        <v>43935.3</v>
      </c>
      <c r="T46" s="111">
        <v>12772</v>
      </c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2:39" s="83" customFormat="1" x14ac:dyDescent="0.2">
      <c r="B47" s="40"/>
      <c r="C47" s="51"/>
      <c r="D47" s="53"/>
      <c r="E47" s="73" t="s">
        <v>52</v>
      </c>
      <c r="F47" s="54"/>
      <c r="G47" s="3"/>
      <c r="H47" s="99">
        <v>591541.21</v>
      </c>
      <c r="I47" s="172">
        <v>641.57299999999998</v>
      </c>
      <c r="J47" s="101">
        <f t="shared" si="7"/>
        <v>0.53713670148307957</v>
      </c>
      <c r="K47" s="102">
        <f t="shared" si="7"/>
        <v>0.42376023778071331</v>
      </c>
      <c r="L47" s="117">
        <v>1101286.1499999999</v>
      </c>
      <c r="M47" s="118">
        <v>1514</v>
      </c>
      <c r="N47" s="3"/>
      <c r="O47" s="99">
        <v>2337197.2800000003</v>
      </c>
      <c r="P47" s="100">
        <v>678324</v>
      </c>
      <c r="Q47" s="101">
        <f t="shared" si="8"/>
        <v>1.4450906077873795</v>
      </c>
      <c r="R47" s="58">
        <f t="shared" si="8"/>
        <v>1.4439799046321526</v>
      </c>
      <c r="S47" s="117">
        <v>1617336.15</v>
      </c>
      <c r="T47" s="111">
        <v>469760</v>
      </c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2:39" s="83" customFormat="1" x14ac:dyDescent="0.2">
      <c r="B48" s="40"/>
      <c r="C48" s="51"/>
      <c r="D48" s="53"/>
      <c r="E48" s="73" t="s">
        <v>53</v>
      </c>
      <c r="F48" s="54"/>
      <c r="G48" s="3"/>
      <c r="H48" s="99">
        <v>7892532.5199999996</v>
      </c>
      <c r="I48" s="153">
        <v>13885.15</v>
      </c>
      <c r="J48" s="101">
        <f t="shared" si="7"/>
        <v>0.97796063972772984</v>
      </c>
      <c r="K48" s="102">
        <f t="shared" si="7"/>
        <v>0.77139722222222218</v>
      </c>
      <c r="L48" s="117">
        <v>8070398.9500000002</v>
      </c>
      <c r="M48" s="118">
        <v>18000</v>
      </c>
      <c r="N48" s="3"/>
      <c r="O48" s="99">
        <v>27345.3</v>
      </c>
      <c r="P48" s="100">
        <v>255</v>
      </c>
      <c r="Q48" s="101">
        <f t="shared" si="8"/>
        <v>12.659861111111111</v>
      </c>
      <c r="R48" s="58"/>
      <c r="S48" s="117">
        <v>2160</v>
      </c>
      <c r="T48" s="111">
        <v>0</v>
      </c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2:39" s="83" customFormat="1" x14ac:dyDescent="0.2">
      <c r="B49" s="40"/>
      <c r="C49" s="51"/>
      <c r="D49" s="53"/>
      <c r="E49" s="73" t="s">
        <v>54</v>
      </c>
      <c r="F49" s="54"/>
      <c r="G49" s="3"/>
      <c r="H49" s="99">
        <v>1652761.5200000003</v>
      </c>
      <c r="I49" s="153">
        <v>1481.2809999999999</v>
      </c>
      <c r="J49" s="101">
        <f t="shared" si="7"/>
        <v>0.61038266322198187</v>
      </c>
      <c r="K49" s="102">
        <f t="shared" si="7"/>
        <v>0.74064049999999992</v>
      </c>
      <c r="L49" s="117">
        <v>2707746.5</v>
      </c>
      <c r="M49" s="118">
        <v>2000</v>
      </c>
      <c r="N49" s="3"/>
      <c r="O49" s="99"/>
      <c r="P49" s="100"/>
      <c r="Q49" s="101"/>
      <c r="R49" s="58"/>
      <c r="S49" s="117">
        <v>0</v>
      </c>
      <c r="T49" s="111">
        <v>0</v>
      </c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2:39" s="50" customFormat="1" x14ac:dyDescent="0.2">
      <c r="B50" s="40"/>
      <c r="C50" s="51"/>
      <c r="D50" s="53"/>
      <c r="E50" s="53"/>
      <c r="F50" s="52"/>
      <c r="G50" s="3"/>
      <c r="H50" s="116"/>
      <c r="I50" s="173"/>
      <c r="J50" s="57"/>
      <c r="K50" s="58" t="str">
        <f t="shared" si="5"/>
        <v xml:space="preserve"> </v>
      </c>
      <c r="L50" s="59"/>
      <c r="M50" s="60"/>
      <c r="N50" s="3"/>
      <c r="O50" s="116"/>
      <c r="P50" s="120"/>
      <c r="Q50" s="57"/>
      <c r="R50" s="58"/>
      <c r="S50" s="59"/>
      <c r="T50" s="61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2:39" s="50" customFormat="1" x14ac:dyDescent="0.2">
      <c r="B51" s="40"/>
      <c r="C51" s="51"/>
      <c r="D51" s="107"/>
      <c r="E51" s="107"/>
      <c r="F51" s="121" t="s">
        <v>55</v>
      </c>
      <c r="G51" s="3"/>
      <c r="H51" s="122">
        <f>SUM(H36:H43)</f>
        <v>45713706.75</v>
      </c>
      <c r="I51" s="174">
        <f>SUM(I36:I43)</f>
        <v>134957.49299999999</v>
      </c>
      <c r="J51" s="175">
        <f>H51/L51</f>
        <v>0.75037181904084205</v>
      </c>
      <c r="K51" s="66">
        <f t="shared" si="5"/>
        <v>0.74245043929126342</v>
      </c>
      <c r="L51" s="67">
        <f>SUM(L36:L43)</f>
        <v>60921406.681334659</v>
      </c>
      <c r="M51" s="124">
        <f>SUM(M36:M43)</f>
        <v>181773.06639999998</v>
      </c>
      <c r="N51" s="3"/>
      <c r="O51" s="122">
        <f>SUM(O36:O43)</f>
        <v>9542422.8999999985</v>
      </c>
      <c r="P51" s="125">
        <f>SUM(P36:P43)</f>
        <v>1958541</v>
      </c>
      <c r="Q51" s="65">
        <f>O51/S51</f>
        <v>1.3018365692680518</v>
      </c>
      <c r="R51" s="66">
        <f>P51/T51</f>
        <v>0.9338392218566729</v>
      </c>
      <c r="S51" s="67">
        <f>SUM(S36:S43)</f>
        <v>7329969.9249999998</v>
      </c>
      <c r="T51" s="126">
        <f>SUM(T36:T43)</f>
        <v>2097300</v>
      </c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2:39" s="141" customFormat="1" x14ac:dyDescent="0.2">
      <c r="B52" s="127"/>
      <c r="C52" s="128"/>
      <c r="D52" s="129"/>
      <c r="E52" s="129"/>
      <c r="F52" s="176"/>
      <c r="G52" s="3"/>
      <c r="H52" s="137">
        <v>45713706.750000007</v>
      </c>
      <c r="I52" s="177">
        <v>134957.49299999999</v>
      </c>
      <c r="J52" s="133">
        <f>I52-I51</f>
        <v>0</v>
      </c>
      <c r="K52" s="134"/>
      <c r="L52" s="135"/>
      <c r="M52" s="136"/>
      <c r="N52" s="3"/>
      <c r="O52" s="137">
        <v>9542422.8999999985</v>
      </c>
      <c r="P52" s="178">
        <v>1958541</v>
      </c>
      <c r="Q52" s="179"/>
      <c r="R52" s="134"/>
      <c r="S52" s="135"/>
      <c r="T52" s="140"/>
    </row>
    <row r="53" spans="2:39" s="50" customFormat="1" x14ac:dyDescent="0.2">
      <c r="B53" s="40"/>
      <c r="C53" s="180"/>
      <c r="D53" s="181"/>
      <c r="E53" s="181"/>
      <c r="F53" s="182" t="s">
        <v>56</v>
      </c>
      <c r="G53" s="3"/>
      <c r="H53" s="183"/>
      <c r="I53" s="184"/>
      <c r="J53" s="185"/>
      <c r="K53" s="186"/>
      <c r="L53" s="187"/>
      <c r="M53" s="188"/>
      <c r="N53" s="3"/>
      <c r="O53" s="183">
        <f>O52-O51</f>
        <v>0</v>
      </c>
      <c r="P53" s="189"/>
      <c r="Q53" s="190"/>
      <c r="R53" s="186"/>
      <c r="S53" s="187"/>
      <c r="T53" s="191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2:39" s="50" customFormat="1" x14ac:dyDescent="0.2">
      <c r="B54" s="40"/>
      <c r="C54" s="51">
        <v>249</v>
      </c>
      <c r="D54" s="152" t="s">
        <v>57</v>
      </c>
      <c r="E54" s="107"/>
      <c r="F54" s="152"/>
      <c r="G54" s="3"/>
      <c r="H54" s="55">
        <v>410122.26</v>
      </c>
      <c r="I54" s="56">
        <v>489.26100000000002</v>
      </c>
      <c r="J54" s="192">
        <f t="shared" ref="J54:J55" si="9">IF(L54=0, " ", H54/L54)</f>
        <v>0.68857719818353758</v>
      </c>
      <c r="K54" s="102">
        <f>I54/M54</f>
        <v>0.5672591304347826</v>
      </c>
      <c r="L54" s="59">
        <v>595608.25</v>
      </c>
      <c r="M54" s="193">
        <v>862.5</v>
      </c>
      <c r="N54" s="3"/>
      <c r="O54" s="55">
        <v>0</v>
      </c>
      <c r="P54" s="194">
        <v>0</v>
      </c>
      <c r="Q54" s="101"/>
      <c r="R54" s="58"/>
      <c r="S54" s="59">
        <v>0</v>
      </c>
      <c r="T54" s="111">
        <v>25125</v>
      </c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2:39" s="50" customFormat="1" x14ac:dyDescent="0.2">
      <c r="B55" s="40"/>
      <c r="C55" s="51">
        <v>249</v>
      </c>
      <c r="D55" s="152" t="s">
        <v>58</v>
      </c>
      <c r="E55" s="107"/>
      <c r="F55" s="152"/>
      <c r="G55" s="3"/>
      <c r="H55" s="55">
        <v>2467.2000000000398</v>
      </c>
      <c r="I55" s="56">
        <v>470.35399999999998</v>
      </c>
      <c r="J55" s="195">
        <f t="shared" si="9"/>
        <v>7.6065919480562752E-3</v>
      </c>
      <c r="K55" s="102">
        <f>I55/M55</f>
        <v>0.31356933333333331</v>
      </c>
      <c r="L55" s="59">
        <v>324350.25</v>
      </c>
      <c r="M55" s="193">
        <v>1500</v>
      </c>
      <c r="N55" s="3"/>
      <c r="O55" s="55">
        <v>151.52000000000001</v>
      </c>
      <c r="P55" s="196">
        <v>0</v>
      </c>
      <c r="Q55" s="101">
        <f t="shared" ref="Q55" si="10">O55/S55</f>
        <v>8.1024571535520451E-2</v>
      </c>
      <c r="R55" s="58"/>
      <c r="S55" s="59">
        <v>1870.05</v>
      </c>
      <c r="T55" s="111">
        <v>7500</v>
      </c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2:39" s="50" customFormat="1" x14ac:dyDescent="0.2">
      <c r="B56" s="40"/>
      <c r="C56" s="51"/>
      <c r="D56" s="107"/>
      <c r="E56" s="107"/>
      <c r="F56" s="152"/>
      <c r="G56" s="3"/>
      <c r="H56" s="116"/>
      <c r="I56" s="197"/>
      <c r="J56" s="192"/>
      <c r="K56" s="58"/>
      <c r="L56" s="59"/>
      <c r="M56" s="193"/>
      <c r="N56" s="3"/>
      <c r="O56" s="122"/>
      <c r="P56" s="196"/>
      <c r="Q56" s="65"/>
      <c r="R56" s="66"/>
      <c r="S56" s="67"/>
      <c r="T56" s="126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2:39" s="50" customFormat="1" x14ac:dyDescent="0.2">
      <c r="B57" s="40"/>
      <c r="C57" s="51"/>
      <c r="D57" s="107"/>
      <c r="E57" s="107"/>
      <c r="F57" s="121" t="s">
        <v>59</v>
      </c>
      <c r="G57" s="3"/>
      <c r="H57" s="122">
        <f>SUM(H54:H55)</f>
        <v>412589.46</v>
      </c>
      <c r="I57" s="123">
        <f>SUM(I54:I56)</f>
        <v>959.61500000000001</v>
      </c>
      <c r="J57" s="175">
        <f>H57/L57</f>
        <v>0.44848703501299247</v>
      </c>
      <c r="K57" s="66">
        <f>I57/M57</f>
        <v>0.40618624338624337</v>
      </c>
      <c r="L57" s="67">
        <f>SUM(L54:L55)</f>
        <v>919958.5</v>
      </c>
      <c r="M57" s="124">
        <f>SUM(M54:M55)</f>
        <v>2362.5</v>
      </c>
      <c r="N57" s="3"/>
      <c r="O57" s="122">
        <f>SUM(O54:O55)</f>
        <v>151.52000000000001</v>
      </c>
      <c r="P57" s="196">
        <f>SUM(P54:P56)</f>
        <v>0</v>
      </c>
      <c r="Q57" s="65">
        <f>O57/S57</f>
        <v>8.1024571535520451E-2</v>
      </c>
      <c r="R57" s="66">
        <f>P57/T57</f>
        <v>0</v>
      </c>
      <c r="S57" s="67">
        <f>SUM(S54:S55)</f>
        <v>1870.05</v>
      </c>
      <c r="T57" s="126">
        <f>SUM(T54:T55)</f>
        <v>32625</v>
      </c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2:39" s="141" customFormat="1" x14ac:dyDescent="0.2">
      <c r="B58" s="127"/>
      <c r="C58" s="128"/>
      <c r="D58" s="129"/>
      <c r="E58" s="129"/>
      <c r="F58" s="176"/>
      <c r="G58" s="3"/>
      <c r="H58" s="137">
        <v>412589.46</v>
      </c>
      <c r="I58" s="132">
        <v>959.61500000000001</v>
      </c>
      <c r="J58" s="133"/>
      <c r="K58" s="134"/>
      <c r="L58" s="135"/>
      <c r="M58" s="136"/>
      <c r="N58" s="3"/>
      <c r="O58" s="137">
        <v>151.52000000000001</v>
      </c>
      <c r="P58" s="178" t="e">
        <v>#REF!</v>
      </c>
      <c r="Q58" s="179"/>
      <c r="R58" s="134"/>
      <c r="S58" s="135"/>
      <c r="T58" s="140"/>
    </row>
    <row r="59" spans="2:39" s="211" customFormat="1" x14ac:dyDescent="0.2">
      <c r="B59" s="198"/>
      <c r="C59" s="199"/>
      <c r="D59" s="200"/>
      <c r="E59" s="200"/>
      <c r="F59" s="201" t="s">
        <v>60</v>
      </c>
      <c r="G59" s="3"/>
      <c r="H59" s="202"/>
      <c r="I59" s="203"/>
      <c r="J59" s="204"/>
      <c r="K59" s="203"/>
      <c r="L59" s="205"/>
      <c r="M59" s="206"/>
      <c r="N59" s="3"/>
      <c r="O59" s="202"/>
      <c r="P59" s="207"/>
      <c r="Q59" s="204"/>
      <c r="R59" s="203"/>
      <c r="S59" s="208"/>
      <c r="T59" s="209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</row>
    <row r="60" spans="2:39" s="213" customFormat="1" x14ac:dyDescent="0.2">
      <c r="B60" s="40"/>
      <c r="C60" s="51">
        <v>254</v>
      </c>
      <c r="D60" s="54" t="s">
        <v>61</v>
      </c>
      <c r="E60" s="107"/>
      <c r="F60" s="54"/>
      <c r="G60" s="3"/>
      <c r="H60" s="55">
        <v>4276053.1999999993</v>
      </c>
      <c r="I60" s="56">
        <v>14310.718605800306</v>
      </c>
      <c r="J60" s="156">
        <f>IF(L60=0, " ", H60/L60)</f>
        <v>0.86971045266686176</v>
      </c>
      <c r="K60" s="58">
        <f>I60/M60</f>
        <v>1.1038132949062314</v>
      </c>
      <c r="L60" s="59">
        <v>4916640</v>
      </c>
      <c r="M60" s="61">
        <v>12964.8</v>
      </c>
      <c r="N60" s="3"/>
      <c r="O60" s="116"/>
      <c r="P60" s="120"/>
      <c r="Q60" s="156"/>
      <c r="R60" s="58"/>
      <c r="S60" s="59"/>
      <c r="T60" s="61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</row>
    <row r="61" spans="2:39" s="213" customFormat="1" x14ac:dyDescent="0.2">
      <c r="B61" s="40"/>
      <c r="C61" s="51"/>
      <c r="D61" s="54" t="s">
        <v>62</v>
      </c>
      <c r="E61" s="107"/>
      <c r="F61" s="54"/>
      <c r="G61" s="3"/>
      <c r="H61" s="55"/>
      <c r="I61" s="56"/>
      <c r="J61" s="156"/>
      <c r="K61" s="58"/>
      <c r="L61" s="59"/>
      <c r="M61" s="61"/>
      <c r="N61" s="3"/>
      <c r="O61" s="55">
        <v>1100111.73</v>
      </c>
      <c r="P61" s="120">
        <v>0</v>
      </c>
      <c r="Q61" s="156">
        <f>O61/S61</f>
        <v>0.69179148881046582</v>
      </c>
      <c r="R61" s="58"/>
      <c r="S61" s="59">
        <v>1590236</v>
      </c>
      <c r="T61" s="61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</row>
    <row r="62" spans="2:39" s="213" customFormat="1" x14ac:dyDescent="0.2">
      <c r="B62" s="40"/>
      <c r="C62" s="51">
        <v>292</v>
      </c>
      <c r="D62" s="54" t="s">
        <v>63</v>
      </c>
      <c r="E62" s="107"/>
      <c r="F62" s="54"/>
      <c r="G62" s="3"/>
      <c r="H62" s="55">
        <v>0</v>
      </c>
      <c r="I62" s="56">
        <v>2980.9659999999999</v>
      </c>
      <c r="J62" s="156" t="str">
        <f>IF(L62=0, " ", H62/L62)</f>
        <v xml:space="preserve"> </v>
      </c>
      <c r="K62" s="58">
        <f>I62/M62</f>
        <v>0.49682766666666667</v>
      </c>
      <c r="L62" s="59">
        <v>0</v>
      </c>
      <c r="M62" s="61">
        <v>6000</v>
      </c>
      <c r="N62" s="3"/>
      <c r="O62" s="116"/>
      <c r="P62" s="120"/>
      <c r="Q62" s="156"/>
      <c r="R62" s="58"/>
      <c r="S62" s="59"/>
      <c r="T62" s="61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</row>
    <row r="63" spans="2:39" s="213" customFormat="1" x14ac:dyDescent="0.2">
      <c r="B63" s="40"/>
      <c r="C63" s="51"/>
      <c r="D63" s="49" t="s">
        <v>64</v>
      </c>
      <c r="E63" s="107"/>
      <c r="F63" s="54"/>
      <c r="G63" s="3"/>
      <c r="H63" s="55">
        <v>243127.72</v>
      </c>
      <c r="I63" s="56"/>
      <c r="J63" s="156">
        <f>IF(L63=0, " ", H63/L63)</f>
        <v>0.3945894499930922</v>
      </c>
      <c r="K63" s="58"/>
      <c r="L63" s="59">
        <v>616153.625</v>
      </c>
      <c r="M63" s="61"/>
      <c r="N63" s="3"/>
      <c r="O63" s="116">
        <v>111824.11</v>
      </c>
      <c r="P63" s="120"/>
      <c r="Q63" s="156">
        <f t="shared" ref="Q63" si="11">O63/S63</f>
        <v>0.39614588522659894</v>
      </c>
      <c r="R63" s="58"/>
      <c r="S63" s="59">
        <v>282280.125</v>
      </c>
      <c r="T63" s="61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</row>
    <row r="64" spans="2:39" s="213" customFormat="1" ht="9" customHeight="1" x14ac:dyDescent="0.2">
      <c r="B64" s="40"/>
      <c r="C64" s="51"/>
      <c r="D64" s="107"/>
      <c r="E64" s="107"/>
      <c r="F64" s="54"/>
      <c r="G64" s="3"/>
      <c r="H64" s="116"/>
      <c r="I64" s="120"/>
      <c r="J64" s="156"/>
      <c r="K64" s="58"/>
      <c r="L64" s="59"/>
      <c r="M64" s="61"/>
      <c r="N64" s="3"/>
      <c r="O64" s="116"/>
      <c r="P64" s="120"/>
      <c r="Q64" s="156"/>
      <c r="R64" s="58"/>
      <c r="T64" s="61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</row>
    <row r="65" spans="1:39" s="213" customFormat="1" ht="15.75" thickBot="1" x14ac:dyDescent="0.25">
      <c r="B65" s="40"/>
      <c r="C65" s="51"/>
      <c r="D65" s="107"/>
      <c r="E65" s="107"/>
      <c r="F65" s="121" t="s">
        <v>65</v>
      </c>
      <c r="G65" s="3"/>
      <c r="H65" s="122">
        <f>SUM(H60:H63)</f>
        <v>4519180.919999999</v>
      </c>
      <c r="I65" s="123">
        <f>SUM(I60:I62)</f>
        <v>17291.684605800307</v>
      </c>
      <c r="J65" s="214">
        <f>H65/L65</f>
        <v>0.8167991120398963</v>
      </c>
      <c r="K65" s="58">
        <f>I65/M65</f>
        <v>0.91177785190459737</v>
      </c>
      <c r="L65" s="67">
        <f>SUM(L60:L63)</f>
        <v>5532793.625</v>
      </c>
      <c r="M65" s="69">
        <f>SUM(M60:M62)</f>
        <v>18964.8</v>
      </c>
      <c r="N65" s="3"/>
      <c r="O65" s="122">
        <f>SUM(O60:O63)</f>
        <v>1211935.8400000001</v>
      </c>
      <c r="P65" s="215">
        <f>SUM(P60:P62)</f>
        <v>0</v>
      </c>
      <c r="Q65" s="214">
        <f>O65/S65</f>
        <v>0.64722317945326113</v>
      </c>
      <c r="R65" s="66"/>
      <c r="S65" s="67">
        <f>SUM(S60:S63)</f>
        <v>1872516.125</v>
      </c>
      <c r="T65" s="69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</row>
    <row r="66" spans="1:39" s="230" customFormat="1" ht="15.75" thickBot="1" x14ac:dyDescent="0.25">
      <c r="A66" s="216"/>
      <c r="B66" s="217"/>
      <c r="C66" s="218"/>
      <c r="D66" s="219"/>
      <c r="E66" s="219"/>
      <c r="F66" s="220"/>
      <c r="G66" s="3"/>
      <c r="H66" s="221">
        <v>4519180.919999999</v>
      </c>
      <c r="I66" s="222">
        <v>17292</v>
      </c>
      <c r="J66" s="223"/>
      <c r="K66" s="224"/>
      <c r="L66" s="225"/>
      <c r="M66" s="226"/>
      <c r="N66" s="3"/>
      <c r="O66" s="227">
        <v>1211935.8400000001</v>
      </c>
      <c r="P66" s="228"/>
      <c r="Q66" s="223"/>
      <c r="R66" s="229"/>
      <c r="S66" s="225"/>
      <c r="T66" s="226"/>
      <c r="U66" s="216"/>
      <c r="V66" s="216"/>
      <c r="W66" s="216"/>
      <c r="X66" s="216"/>
      <c r="Y66" s="216"/>
      <c r="Z66" s="216"/>
      <c r="AA66" s="216"/>
      <c r="AB66" s="216"/>
      <c r="AC66" s="216"/>
    </row>
    <row r="67" spans="1:39" s="213" customFormat="1" x14ac:dyDescent="0.2">
      <c r="B67" s="40"/>
      <c r="C67" s="212"/>
      <c r="D67" s="107"/>
      <c r="E67" s="107"/>
      <c r="F67" s="231"/>
      <c r="G67" s="3"/>
      <c r="H67" s="232"/>
      <c r="I67" s="123"/>
      <c r="J67" s="66"/>
      <c r="K67" s="58"/>
      <c r="L67" s="233"/>
      <c r="M67" s="125"/>
      <c r="N67" s="3"/>
      <c r="O67" s="232"/>
      <c r="P67" s="215"/>
      <c r="Q67" s="66"/>
      <c r="R67" s="66"/>
      <c r="S67" s="233"/>
      <c r="T67" s="125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</row>
    <row r="68" spans="1:39" s="213" customFormat="1" x14ac:dyDescent="0.2">
      <c r="B68" s="40"/>
      <c r="C68" s="234" t="s">
        <v>66</v>
      </c>
      <c r="D68" s="107"/>
      <c r="E68" s="107"/>
      <c r="F68" s="231"/>
      <c r="G68" s="3"/>
      <c r="H68" s="232"/>
      <c r="I68" s="123"/>
      <c r="J68" s="66"/>
      <c r="K68" s="58"/>
      <c r="L68" s="233"/>
      <c r="M68" s="125"/>
      <c r="N68" s="3"/>
      <c r="O68" s="232"/>
      <c r="P68" s="215"/>
      <c r="Q68" s="66"/>
      <c r="R68" s="66"/>
      <c r="S68" s="233"/>
      <c r="T68" s="125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</row>
    <row r="69" spans="1:39" s="213" customFormat="1" ht="4.5" customHeight="1" thickBot="1" x14ac:dyDescent="0.25">
      <c r="B69" s="40"/>
      <c r="C69" s="235"/>
      <c r="D69" s="236"/>
      <c r="E69" s="236"/>
      <c r="F69" s="237"/>
      <c r="G69" s="3"/>
      <c r="H69" s="238"/>
      <c r="I69" s="239"/>
      <c r="J69" s="240"/>
      <c r="K69" s="241"/>
      <c r="L69" s="242"/>
      <c r="M69" s="243"/>
      <c r="N69" s="3"/>
      <c r="O69" s="238"/>
      <c r="P69" s="244"/>
      <c r="Q69" s="240"/>
      <c r="R69" s="240"/>
      <c r="S69" s="242"/>
      <c r="T69" s="243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</row>
    <row r="70" spans="1:39" s="50" customFormat="1" ht="18" customHeight="1" x14ac:dyDescent="0.2">
      <c r="B70" s="437"/>
      <c r="C70" s="245"/>
      <c r="D70" s="246"/>
      <c r="E70" s="246"/>
      <c r="F70" s="247" t="s">
        <v>67</v>
      </c>
      <c r="G70" s="3"/>
      <c r="H70" s="248">
        <f>H116</f>
        <v>99157280.909999982</v>
      </c>
      <c r="I70" s="249">
        <f t="shared" ref="I70:M70" si="12">I116</f>
        <v>244343.02660580029</v>
      </c>
      <c r="J70" s="430">
        <f>H70/L70</f>
        <v>0.80343428242465764</v>
      </c>
      <c r="K70" s="431">
        <f>I70/M70</f>
        <v>0.81809820339971706</v>
      </c>
      <c r="L70" s="250">
        <f t="shared" si="12"/>
        <v>123416790.99223463</v>
      </c>
      <c r="M70" s="251">
        <f t="shared" si="12"/>
        <v>298672</v>
      </c>
      <c r="N70" s="3"/>
      <c r="O70" s="248">
        <f>O116</f>
        <v>24507227.179999996</v>
      </c>
      <c r="P70" s="249">
        <f t="shared" ref="P70" si="13">P116</f>
        <v>4670011</v>
      </c>
      <c r="Q70" s="430">
        <f>O70/S70</f>
        <v>0.98404643307987205</v>
      </c>
      <c r="R70" s="431">
        <f>P70/T70</f>
        <v>0.73913479740864019</v>
      </c>
      <c r="S70" s="250">
        <f>S116</f>
        <v>24904543.481040005</v>
      </c>
      <c r="T70" s="251">
        <f>T116</f>
        <v>6318212.8839999996</v>
      </c>
      <c r="U70" s="49"/>
      <c r="V70" s="49"/>
      <c r="W70" s="112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1:39" s="50" customFormat="1" ht="14.25" customHeight="1" x14ac:dyDescent="0.2">
      <c r="B71" s="437"/>
      <c r="C71" s="252"/>
      <c r="D71" s="253"/>
      <c r="E71" s="253"/>
      <c r="F71" s="254" t="s">
        <v>68</v>
      </c>
      <c r="G71" s="3"/>
      <c r="H71" s="255"/>
      <c r="I71" s="256">
        <f>I117</f>
        <v>27.893039566872179</v>
      </c>
      <c r="J71" s="257"/>
      <c r="K71" s="258"/>
      <c r="L71" s="259"/>
      <c r="M71" s="260">
        <f>M117</f>
        <v>34.094977168949775</v>
      </c>
      <c r="N71" s="3"/>
      <c r="O71" s="255"/>
      <c r="P71" s="256"/>
      <c r="Q71" s="257"/>
      <c r="R71" s="258"/>
      <c r="S71" s="259"/>
      <c r="T71" s="260"/>
      <c r="U71" s="49"/>
      <c r="V71" s="49"/>
      <c r="W71" s="112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1:39" s="261" customFormat="1" ht="15" customHeight="1" x14ac:dyDescent="0.2">
      <c r="B72" s="437"/>
      <c r="C72" s="262"/>
      <c r="D72" s="263"/>
      <c r="E72" s="263"/>
      <c r="F72" s="264"/>
      <c r="G72" s="3"/>
      <c r="H72" s="265">
        <f>H118</f>
        <v>0.80343428242465764</v>
      </c>
      <c r="I72" s="266">
        <f>I118</f>
        <v>0.81809820339971706</v>
      </c>
      <c r="J72" s="267"/>
      <c r="K72" s="268"/>
      <c r="L72" s="269"/>
      <c r="M72" s="270"/>
      <c r="N72" s="3"/>
      <c r="O72" s="265">
        <f>O118</f>
        <v>0.98404643307987205</v>
      </c>
      <c r="P72" s="266">
        <f>P118</f>
        <v>0.73913479740864019</v>
      </c>
      <c r="Q72" s="267"/>
      <c r="R72" s="268"/>
      <c r="S72" s="269"/>
      <c r="T72" s="270"/>
      <c r="U72" s="271"/>
      <c r="V72" s="271"/>
      <c r="W72" s="272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</row>
    <row r="73" spans="1:39" s="50" customFormat="1" x14ac:dyDescent="0.2">
      <c r="B73" s="437"/>
      <c r="C73" s="252"/>
      <c r="D73" s="253"/>
      <c r="E73" s="253"/>
      <c r="F73" s="273"/>
      <c r="G73" s="3"/>
      <c r="H73" s="252"/>
      <c r="I73" s="253"/>
      <c r="J73" s="274"/>
      <c r="K73" s="253"/>
      <c r="L73" s="274"/>
      <c r="M73" s="275"/>
      <c r="N73" s="3"/>
      <c r="O73" s="252"/>
      <c r="P73" s="253"/>
      <c r="Q73" s="274"/>
      <c r="R73" s="253"/>
      <c r="S73" s="274"/>
      <c r="T73" s="275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39" s="213" customFormat="1" x14ac:dyDescent="0.2">
      <c r="B74" s="437"/>
      <c r="C74" s="276"/>
      <c r="D74" s="253"/>
      <c r="E74" s="277"/>
      <c r="F74" s="275"/>
      <c r="G74" s="3"/>
      <c r="H74" s="278"/>
      <c r="I74" s="279"/>
      <c r="J74" s="280"/>
      <c r="K74" s="279"/>
      <c r="L74" s="281"/>
      <c r="M74" s="282"/>
      <c r="N74" s="3"/>
      <c r="O74" s="278"/>
      <c r="P74" s="279"/>
      <c r="Q74" s="280"/>
      <c r="R74" s="279"/>
      <c r="S74" s="281"/>
      <c r="T74" s="28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</row>
    <row r="75" spans="1:39" s="50" customFormat="1" ht="15.75" thickBot="1" x14ac:dyDescent="0.25">
      <c r="B75" s="437"/>
      <c r="C75" s="283"/>
      <c r="D75" s="284"/>
      <c r="E75" s="284"/>
      <c r="F75" s="285"/>
      <c r="G75" s="3"/>
      <c r="H75" s="286"/>
      <c r="I75" s="287"/>
      <c r="J75" s="288"/>
      <c r="K75" s="289"/>
      <c r="L75" s="290"/>
      <c r="M75" s="291"/>
      <c r="N75" s="3"/>
      <c r="O75" s="286"/>
      <c r="P75" s="287"/>
      <c r="Q75" s="288"/>
      <c r="R75" s="289"/>
      <c r="S75" s="290"/>
      <c r="T75" s="291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39" s="213" customFormat="1" x14ac:dyDescent="0.2">
      <c r="B76" s="40"/>
      <c r="C76" s="107"/>
      <c r="D76" s="107"/>
      <c r="E76" s="107"/>
      <c r="F76" s="292"/>
      <c r="G76" s="3"/>
      <c r="H76" s="232"/>
      <c r="I76" s="123"/>
      <c r="J76" s="66"/>
      <c r="K76" s="58"/>
      <c r="L76" s="233"/>
      <c r="M76" s="293"/>
      <c r="N76" s="3"/>
      <c r="O76" s="232"/>
      <c r="P76" s="215"/>
      <c r="Q76" s="66"/>
      <c r="R76" s="66"/>
      <c r="S76" s="233"/>
      <c r="T76" s="293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</row>
    <row r="77" spans="1:39" s="213" customFormat="1" x14ac:dyDescent="0.2">
      <c r="B77" s="40"/>
      <c r="C77" s="107"/>
      <c r="D77" s="107"/>
      <c r="E77" s="107"/>
      <c r="F77" s="231"/>
      <c r="G77" s="3"/>
      <c r="H77" s="232"/>
      <c r="I77" s="123"/>
      <c r="J77" s="66"/>
      <c r="K77" s="58"/>
      <c r="L77" s="233"/>
      <c r="M77" s="125"/>
      <c r="N77" s="3"/>
      <c r="O77" s="232"/>
      <c r="P77" s="215"/>
      <c r="Q77" s="66"/>
      <c r="R77" s="66"/>
      <c r="S77" s="233"/>
      <c r="T77" s="125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</row>
    <row r="78" spans="1:39" s="213" customFormat="1" ht="14.25" customHeight="1" x14ac:dyDescent="0.2">
      <c r="B78" s="40"/>
      <c r="C78" s="294"/>
      <c r="D78" s="295"/>
      <c r="E78" s="295"/>
      <c r="F78" s="296" t="s">
        <v>69</v>
      </c>
      <c r="G78" s="3"/>
      <c r="H78" s="297"/>
      <c r="I78" s="298"/>
      <c r="J78" s="299"/>
      <c r="K78" s="300"/>
      <c r="L78" s="301"/>
      <c r="M78" s="302"/>
      <c r="N78" s="3"/>
      <c r="O78" s="297"/>
      <c r="P78" s="303"/>
      <c r="Q78" s="299"/>
      <c r="R78" s="300"/>
      <c r="S78" s="301"/>
      <c r="T78" s="30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</row>
    <row r="79" spans="1:39" s="212" customFormat="1" ht="13.5" customHeight="1" x14ac:dyDescent="0.2">
      <c r="B79" s="304"/>
      <c r="C79" s="305"/>
      <c r="D79" s="62" t="s">
        <v>70</v>
      </c>
      <c r="F79" s="62"/>
      <c r="G79" s="3"/>
      <c r="H79" s="55">
        <v>977319.69</v>
      </c>
      <c r="I79" s="306"/>
      <c r="J79" s="156">
        <f t="shared" ref="J79:J93" si="14">IF(L79=0, " ", H79/L79)</f>
        <v>0.99477176692457125</v>
      </c>
      <c r="K79" s="306"/>
      <c r="L79" s="169">
        <v>982456.2</v>
      </c>
      <c r="M79" s="307"/>
      <c r="N79" s="3"/>
      <c r="O79" s="55">
        <v>146023.09999999998</v>
      </c>
      <c r="P79" s="306"/>
      <c r="Q79" s="156">
        <f t="shared" ref="Q79:Q93" si="15">O79/S79</f>
        <v>0.9946820177679323</v>
      </c>
      <c r="R79" s="306"/>
      <c r="S79" s="169">
        <v>146803.79999999999</v>
      </c>
      <c r="T79" s="61"/>
    </row>
    <row r="80" spans="1:39" s="308" customFormat="1" ht="15.75" customHeight="1" x14ac:dyDescent="0.2">
      <c r="B80" s="40"/>
      <c r="C80" s="305"/>
      <c r="D80" s="62" t="s">
        <v>71</v>
      </c>
      <c r="E80" s="212"/>
      <c r="F80" s="309"/>
      <c r="G80" s="3"/>
      <c r="H80" s="55">
        <v>837766.34</v>
      </c>
      <c r="I80" s="56"/>
      <c r="J80" s="156">
        <f t="shared" si="14"/>
        <v>0.91263390660077059</v>
      </c>
      <c r="K80" s="306"/>
      <c r="L80" s="169">
        <v>917965.39</v>
      </c>
      <c r="M80" s="307"/>
      <c r="N80" s="3"/>
      <c r="O80" s="55">
        <v>55103.02</v>
      </c>
      <c r="P80" s="56"/>
      <c r="Q80" s="156">
        <f t="shared" si="15"/>
        <v>0.39750527531286317</v>
      </c>
      <c r="R80" s="310"/>
      <c r="S80" s="169">
        <v>138622.10999999999</v>
      </c>
      <c r="T80" s="61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</row>
    <row r="81" spans="2:39" s="213" customFormat="1" ht="15.75" customHeight="1" x14ac:dyDescent="0.2">
      <c r="B81" s="304"/>
      <c r="C81" s="51"/>
      <c r="D81" s="54" t="s">
        <v>72</v>
      </c>
      <c r="E81" s="107"/>
      <c r="F81" s="54"/>
      <c r="G81" s="3"/>
      <c r="H81" s="55">
        <v>552934.44999999995</v>
      </c>
      <c r="I81" s="311"/>
      <c r="J81" s="156">
        <f t="shared" si="14"/>
        <v>0.90474397136324214</v>
      </c>
      <c r="K81" s="306"/>
      <c r="L81" s="59">
        <v>611150.18999999994</v>
      </c>
      <c r="M81" s="307"/>
      <c r="N81" s="3"/>
      <c r="O81" s="55">
        <v>50529.45</v>
      </c>
      <c r="P81" s="306"/>
      <c r="Q81" s="170">
        <f t="shared" si="15"/>
        <v>0.55418886562895964</v>
      </c>
      <c r="R81" s="306"/>
      <c r="S81" s="59">
        <v>91177.31</v>
      </c>
      <c r="T81" s="61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</row>
    <row r="82" spans="2:39" s="213" customFormat="1" ht="16.5" customHeight="1" x14ac:dyDescent="0.2">
      <c r="B82" s="304"/>
      <c r="C82" s="51"/>
      <c r="D82" s="98" t="s">
        <v>73</v>
      </c>
      <c r="E82" s="95"/>
      <c r="F82" s="98"/>
      <c r="G82" s="3"/>
      <c r="H82" s="55">
        <v>500099.98</v>
      </c>
      <c r="I82" s="306"/>
      <c r="J82" s="156">
        <f t="shared" si="14"/>
        <v>0.65434951461830249</v>
      </c>
      <c r="K82" s="306"/>
      <c r="L82" s="59">
        <v>764270.42249999999</v>
      </c>
      <c r="M82" s="307"/>
      <c r="N82" s="3"/>
      <c r="O82" s="55">
        <v>74836.260000000009</v>
      </c>
      <c r="P82" s="306"/>
      <c r="Q82" s="156">
        <f t="shared" si="15"/>
        <v>3.0857867041262401</v>
      </c>
      <c r="R82" s="306"/>
      <c r="S82" s="59">
        <v>24251.922500000001</v>
      </c>
      <c r="T82" s="61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</row>
    <row r="83" spans="2:39" s="213" customFormat="1" x14ac:dyDescent="0.2">
      <c r="B83" s="40"/>
      <c r="C83" s="51"/>
      <c r="D83" s="54" t="s">
        <v>74</v>
      </c>
      <c r="E83" s="107"/>
      <c r="F83" s="54"/>
      <c r="G83" s="3"/>
      <c r="H83" s="55">
        <v>233933.38</v>
      </c>
      <c r="I83" s="306"/>
      <c r="J83" s="170">
        <f t="shared" si="14"/>
        <v>1.9206353037766832</v>
      </c>
      <c r="K83" s="306"/>
      <c r="L83" s="59">
        <v>121800</v>
      </c>
      <c r="M83" s="307"/>
      <c r="N83" s="3"/>
      <c r="O83" s="55">
        <v>30473.97</v>
      </c>
      <c r="P83" s="306"/>
      <c r="Q83" s="156">
        <f t="shared" si="15"/>
        <v>1.674393956043956</v>
      </c>
      <c r="R83" s="306"/>
      <c r="S83" s="59">
        <v>18200</v>
      </c>
      <c r="T83" s="61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</row>
    <row r="84" spans="2:39" s="213" customFormat="1" x14ac:dyDescent="0.2">
      <c r="B84" s="40"/>
      <c r="C84" s="51"/>
      <c r="D84" s="49" t="s">
        <v>75</v>
      </c>
      <c r="E84" s="107"/>
      <c r="F84" s="54"/>
      <c r="G84" s="3"/>
      <c r="H84" s="55">
        <v>-99065.25999999998</v>
      </c>
      <c r="I84" s="306"/>
      <c r="J84" s="170">
        <f t="shared" si="14"/>
        <v>-8.0602555508848699</v>
      </c>
      <c r="K84" s="306"/>
      <c r="L84" s="59">
        <v>12290.585499999986</v>
      </c>
      <c r="M84" s="307"/>
      <c r="N84" s="3"/>
      <c r="O84" s="55">
        <v>-77101.759999999995</v>
      </c>
      <c r="P84" s="306"/>
      <c r="Q84" s="156">
        <f t="shared" si="15"/>
        <v>3.9083560595332929</v>
      </c>
      <c r="R84" s="306"/>
      <c r="S84" s="59">
        <v>-19727.414500000014</v>
      </c>
      <c r="T84" s="61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</row>
    <row r="85" spans="2:39" s="312" customFormat="1" ht="15.75" customHeight="1" x14ac:dyDescent="0.2">
      <c r="B85" s="40"/>
      <c r="C85" s="71"/>
      <c r="D85" s="49" t="s">
        <v>76</v>
      </c>
      <c r="F85" s="74"/>
      <c r="G85" s="3"/>
      <c r="H85" s="55">
        <v>3344401.7900000005</v>
      </c>
      <c r="I85" s="313"/>
      <c r="J85" s="170">
        <f t="shared" si="14"/>
        <v>1.0871493161924182</v>
      </c>
      <c r="K85" s="313"/>
      <c r="L85" s="59">
        <v>3076304</v>
      </c>
      <c r="M85" s="314"/>
      <c r="N85" s="3"/>
      <c r="O85" s="55">
        <v>855347.02999999991</v>
      </c>
      <c r="P85" s="313"/>
      <c r="Q85" s="156">
        <f t="shared" si="15"/>
        <v>1.1121749085916086</v>
      </c>
      <c r="R85" s="313"/>
      <c r="S85" s="59">
        <v>769076</v>
      </c>
      <c r="T85" s="315"/>
    </row>
    <row r="86" spans="2:39" s="312" customFormat="1" x14ac:dyDescent="0.2">
      <c r="B86" s="40"/>
      <c r="C86" s="316"/>
      <c r="D86" s="49" t="s">
        <v>77</v>
      </c>
      <c r="F86" s="317"/>
      <c r="G86" s="3"/>
      <c r="H86" s="55">
        <v>1062064.47</v>
      </c>
      <c r="I86" s="318"/>
      <c r="J86" s="170">
        <f t="shared" si="14"/>
        <v>0.80920387012773698</v>
      </c>
      <c r="K86" s="318"/>
      <c r="L86" s="59">
        <v>1312480.71</v>
      </c>
      <c r="M86" s="307"/>
      <c r="N86" s="3"/>
      <c r="O86" s="55">
        <v>83329.25999999998</v>
      </c>
      <c r="P86" s="318"/>
      <c r="Q86" s="156">
        <f t="shared" si="15"/>
        <v>0.4333513668318873</v>
      </c>
      <c r="R86" s="318"/>
      <c r="S86" s="59">
        <v>192290.28999999998</v>
      </c>
      <c r="T86" s="61"/>
    </row>
    <row r="87" spans="2:39" s="319" customFormat="1" ht="15.75" customHeight="1" x14ac:dyDescent="0.2">
      <c r="B87" s="40"/>
      <c r="C87" s="51"/>
      <c r="D87" s="49" t="s">
        <v>78</v>
      </c>
      <c r="E87" s="107"/>
      <c r="F87" s="54"/>
      <c r="G87" s="3"/>
      <c r="H87" s="55">
        <v>904421.01</v>
      </c>
      <c r="I87" s="306"/>
      <c r="J87" s="170">
        <f t="shared" si="14"/>
        <v>0.75306283076549507</v>
      </c>
      <c r="K87" s="306"/>
      <c r="L87" s="59">
        <v>1200990.1074000001</v>
      </c>
      <c r="M87" s="307"/>
      <c r="N87" s="3"/>
      <c r="O87" s="55">
        <v>138405.71</v>
      </c>
      <c r="P87" s="306"/>
      <c r="Q87" s="156">
        <f t="shared" si="15"/>
        <v>0.75157074844274763</v>
      </c>
      <c r="R87" s="306"/>
      <c r="S87" s="59">
        <v>184155.26454</v>
      </c>
      <c r="T87" s="61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</row>
    <row r="88" spans="2:39" s="319" customFormat="1" ht="15.75" customHeight="1" x14ac:dyDescent="0.2">
      <c r="B88" s="40"/>
      <c r="C88" s="51"/>
      <c r="D88" s="49" t="s">
        <v>79</v>
      </c>
      <c r="E88" s="107"/>
      <c r="F88" s="54"/>
      <c r="G88" s="3"/>
      <c r="H88" s="55"/>
      <c r="I88" s="306"/>
      <c r="J88" s="170"/>
      <c r="K88" s="306"/>
      <c r="L88" s="59">
        <v>108462.9</v>
      </c>
      <c r="M88" s="307"/>
      <c r="N88" s="3"/>
      <c r="O88" s="55"/>
      <c r="P88" s="306"/>
      <c r="Q88" s="156"/>
      <c r="R88" s="306"/>
      <c r="S88" s="59">
        <v>16207.099999999999</v>
      </c>
      <c r="T88" s="61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</row>
    <row r="89" spans="2:39" s="312" customFormat="1" x14ac:dyDescent="0.2">
      <c r="B89" s="40"/>
      <c r="C89" s="320"/>
      <c r="D89" s="49" t="s">
        <v>80</v>
      </c>
      <c r="F89" s="321"/>
      <c r="G89" s="3"/>
      <c r="H89" s="55">
        <v>532036.22</v>
      </c>
      <c r="I89" s="322"/>
      <c r="J89" s="170">
        <f t="shared" si="14"/>
        <v>0.72353665663825184</v>
      </c>
      <c r="K89" s="323"/>
      <c r="L89" s="59">
        <v>735327.25</v>
      </c>
      <c r="M89" s="307"/>
      <c r="N89" s="3"/>
      <c r="O89" s="55">
        <v>133559.5</v>
      </c>
      <c r="Q89" s="156">
        <f t="shared" si="15"/>
        <v>0.98849391294256517</v>
      </c>
      <c r="S89" s="59">
        <v>135114.13500000001</v>
      </c>
      <c r="T89" s="61"/>
    </row>
    <row r="90" spans="2:39" s="312" customFormat="1" ht="15.75" customHeight="1" x14ac:dyDescent="0.2">
      <c r="B90" s="40"/>
      <c r="C90" s="51"/>
      <c r="D90" s="49" t="s">
        <v>81</v>
      </c>
      <c r="F90" s="324"/>
      <c r="G90" s="3"/>
      <c r="H90" s="55">
        <v>750573.3899999999</v>
      </c>
      <c r="I90" s="306"/>
      <c r="J90" s="170">
        <f>IF(L90=0, " ", H90/L90)</f>
        <v>1.3137702116058068</v>
      </c>
      <c r="K90" s="306"/>
      <c r="L90" s="59">
        <v>571312.53500000003</v>
      </c>
      <c r="M90" s="307"/>
      <c r="N90" s="3"/>
      <c r="O90" s="55">
        <v>147272.74</v>
      </c>
      <c r="P90" s="306"/>
      <c r="Q90" s="156">
        <f t="shared" si="15"/>
        <v>0.84542723763526106</v>
      </c>
      <c r="R90" s="306"/>
      <c r="S90" s="59">
        <v>174199.19</v>
      </c>
      <c r="T90" s="61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</row>
    <row r="91" spans="2:39" s="312" customFormat="1" ht="15.75" customHeight="1" x14ac:dyDescent="0.2">
      <c r="B91" s="40"/>
      <c r="C91" s="71"/>
      <c r="D91" s="49" t="s">
        <v>82</v>
      </c>
      <c r="F91" s="325"/>
      <c r="G91" s="3"/>
      <c r="H91" s="55">
        <v>214664.57</v>
      </c>
      <c r="I91" s="313"/>
      <c r="J91" s="326">
        <f>IF(L91=0, " ", H91/L91)</f>
        <v>0.68837032932428532</v>
      </c>
      <c r="K91" s="313"/>
      <c r="L91" s="59">
        <v>311844.59999999998</v>
      </c>
      <c r="M91" s="314"/>
      <c r="N91" s="3"/>
      <c r="O91" s="55">
        <v>136140.69</v>
      </c>
      <c r="P91" s="313"/>
      <c r="Q91" s="156">
        <f t="shared" si="15"/>
        <v>0.56987823278365524</v>
      </c>
      <c r="R91" s="313"/>
      <c r="S91" s="59">
        <v>238894.35</v>
      </c>
      <c r="T91" s="315"/>
    </row>
    <row r="92" spans="2:39" s="312" customFormat="1" ht="13.5" customHeight="1" x14ac:dyDescent="0.2">
      <c r="B92" s="40"/>
      <c r="C92" s="316"/>
      <c r="D92" s="49" t="s">
        <v>83</v>
      </c>
      <c r="F92" s="327"/>
      <c r="G92" s="3"/>
      <c r="H92" s="55">
        <v>1303856.1399999999</v>
      </c>
      <c r="I92" s="313"/>
      <c r="J92" s="170">
        <f>IF(L92=0, " ", H92/L92)</f>
        <v>0.91495671580750881</v>
      </c>
      <c r="K92" s="313"/>
      <c r="L92" s="59">
        <v>1425046.8</v>
      </c>
      <c r="M92" s="307"/>
      <c r="N92" s="3"/>
      <c r="O92" s="55">
        <v>174302.67</v>
      </c>
      <c r="P92" s="313"/>
      <c r="Q92" s="156">
        <f>O92/S92</f>
        <v>0.82490088208144441</v>
      </c>
      <c r="R92" s="313"/>
      <c r="S92" s="59">
        <v>211301.35</v>
      </c>
      <c r="T92" s="61"/>
    </row>
    <row r="93" spans="2:39" s="312" customFormat="1" x14ac:dyDescent="0.2">
      <c r="B93" s="40"/>
      <c r="C93" s="316"/>
      <c r="D93" s="49" t="s">
        <v>84</v>
      </c>
      <c r="F93" s="317"/>
      <c r="G93" s="3"/>
      <c r="H93" s="55">
        <v>621295.46</v>
      </c>
      <c r="I93" s="318"/>
      <c r="J93" s="170">
        <f t="shared" si="14"/>
        <v>1.1687989172399476</v>
      </c>
      <c r="K93" s="318"/>
      <c r="L93" s="59">
        <v>531567.44999999995</v>
      </c>
      <c r="M93" s="307"/>
      <c r="N93" s="3"/>
      <c r="O93" s="55">
        <v>127854.73999999998</v>
      </c>
      <c r="P93" s="318"/>
      <c r="Q93" s="156">
        <f t="shared" si="15"/>
        <v>1.1634867088970444</v>
      </c>
      <c r="R93" s="318"/>
      <c r="S93" s="59">
        <v>109889.3</v>
      </c>
      <c r="T93" s="61"/>
    </row>
    <row r="94" spans="2:39" s="213" customFormat="1" x14ac:dyDescent="0.2">
      <c r="B94" s="40"/>
      <c r="C94" s="51"/>
      <c r="D94" s="49"/>
      <c r="E94" s="107"/>
      <c r="F94" s="54"/>
      <c r="G94" s="3"/>
      <c r="H94" s="116"/>
      <c r="I94" s="306"/>
      <c r="J94" s="170"/>
      <c r="K94" s="306"/>
      <c r="L94" s="59"/>
      <c r="M94" s="307"/>
      <c r="N94" s="3"/>
      <c r="O94" s="116"/>
      <c r="P94" s="306"/>
      <c r="Q94" s="156"/>
      <c r="R94" s="306"/>
      <c r="S94" s="59"/>
      <c r="T94" s="61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</row>
    <row r="95" spans="2:39" s="213" customFormat="1" x14ac:dyDescent="0.2">
      <c r="B95" s="40"/>
      <c r="C95" s="51"/>
      <c r="D95" s="107"/>
      <c r="E95" s="107"/>
      <c r="F95" s="121" t="s">
        <v>85</v>
      </c>
      <c r="G95" s="3"/>
      <c r="H95" s="122">
        <f>SUM(H79:H94)</f>
        <v>11736301.630000003</v>
      </c>
      <c r="I95" s="64"/>
      <c r="J95" s="328">
        <f>H95/L95</f>
        <v>0.92533726912853853</v>
      </c>
      <c r="K95" s="231"/>
      <c r="L95" s="329">
        <f>SUM(L79:L94)</f>
        <v>12683269.1404</v>
      </c>
      <c r="M95" s="121"/>
      <c r="N95" s="3"/>
      <c r="O95" s="122">
        <f>SUM(O79:O94)</f>
        <v>2076076.3799999997</v>
      </c>
      <c r="P95" s="64"/>
      <c r="Q95" s="328">
        <f>O95/S95</f>
        <v>0.85419258114927532</v>
      </c>
      <c r="R95" s="330"/>
      <c r="S95" s="329">
        <f>SUM(S79:S94)</f>
        <v>2430454.7075399999</v>
      </c>
      <c r="T95" s="69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212"/>
      <c r="AK95" s="212"/>
      <c r="AL95" s="212"/>
      <c r="AM95" s="212"/>
    </row>
    <row r="96" spans="2:39" s="216" customFormat="1" ht="12.75" customHeight="1" x14ac:dyDescent="0.2">
      <c r="B96" s="127"/>
      <c r="C96" s="128"/>
      <c r="D96" s="129"/>
      <c r="E96" s="129"/>
      <c r="F96" s="331"/>
      <c r="G96" s="3"/>
      <c r="H96" s="137">
        <v>11736301.630000001</v>
      </c>
      <c r="I96" s="332"/>
      <c r="J96" s="333"/>
      <c r="K96" s="332"/>
      <c r="L96" s="334"/>
      <c r="M96" s="335"/>
      <c r="N96" s="3"/>
      <c r="O96" s="336">
        <v>2076076.3799999997</v>
      </c>
      <c r="P96" s="332"/>
      <c r="Q96" s="333"/>
      <c r="R96" s="332"/>
      <c r="S96" s="334"/>
      <c r="T96" s="337"/>
    </row>
    <row r="97" spans="2:39" s="213" customFormat="1" ht="16.5" customHeight="1" x14ac:dyDescent="0.2">
      <c r="B97" s="40"/>
      <c r="C97" s="338"/>
      <c r="D97" s="339"/>
      <c r="E97" s="339"/>
      <c r="F97" s="340" t="s">
        <v>86</v>
      </c>
      <c r="G97" s="3"/>
      <c r="H97" s="341"/>
      <c r="I97" s="342"/>
      <c r="J97" s="343"/>
      <c r="K97" s="342"/>
      <c r="L97" s="344"/>
      <c r="M97" s="345"/>
      <c r="N97" s="3"/>
      <c r="O97" s="341"/>
      <c r="P97" s="346"/>
      <c r="Q97" s="343"/>
      <c r="R97" s="342"/>
      <c r="S97" s="344"/>
      <c r="T97" s="347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</row>
    <row r="98" spans="2:39" s="213" customFormat="1" ht="15" customHeight="1" x14ac:dyDescent="0.2">
      <c r="B98" s="40"/>
      <c r="C98" s="51"/>
      <c r="D98" s="54" t="s">
        <v>87</v>
      </c>
      <c r="E98" s="107"/>
      <c r="F98" s="54"/>
      <c r="G98" s="3"/>
      <c r="H98" s="55">
        <v>673398.5199999999</v>
      </c>
      <c r="I98" s="311"/>
      <c r="J98" s="156">
        <f>IF(L98=0, " ", H98/L98)</f>
        <v>1.5289141019250305</v>
      </c>
      <c r="K98" s="306"/>
      <c r="L98" s="169">
        <v>440442.35</v>
      </c>
      <c r="M98" s="307"/>
      <c r="N98" s="3"/>
      <c r="O98" s="55">
        <v>99496.43</v>
      </c>
      <c r="P98" s="306"/>
      <c r="Q98" s="170">
        <f>O98/S98</f>
        <v>1.5117901833434251</v>
      </c>
      <c r="R98" s="306"/>
      <c r="S98" s="169">
        <v>65813.649999999994</v>
      </c>
      <c r="T98" s="61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</row>
    <row r="99" spans="2:39" s="213" customFormat="1" ht="12.75" customHeight="1" x14ac:dyDescent="0.2">
      <c r="B99" s="40"/>
      <c r="C99" s="51"/>
      <c r="D99" s="54" t="s">
        <v>88</v>
      </c>
      <c r="E99" s="107"/>
      <c r="F99" s="54"/>
      <c r="G99" s="3"/>
      <c r="H99" s="55">
        <v>472099.08000000007</v>
      </c>
      <c r="I99" s="311"/>
      <c r="J99" s="156">
        <f>IF(L99=0, " ", H99/L99)</f>
        <v>0.92946108969238261</v>
      </c>
      <c r="K99" s="306"/>
      <c r="L99" s="169">
        <v>507927.75</v>
      </c>
      <c r="M99" s="307"/>
      <c r="N99" s="3"/>
      <c r="O99" s="55">
        <v>71418.52</v>
      </c>
      <c r="P99" s="306"/>
      <c r="Q99" s="170">
        <f t="shared" ref="Q99:Q100" si="16">O99/S99</f>
        <v>0.94098956154537883</v>
      </c>
      <c r="R99" s="306"/>
      <c r="S99" s="169">
        <v>75897.25</v>
      </c>
      <c r="T99" s="61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</row>
    <row r="100" spans="2:39" s="213" customFormat="1" ht="12.75" customHeight="1" x14ac:dyDescent="0.2">
      <c r="B100" s="40"/>
      <c r="C100" s="51"/>
      <c r="D100" s="54" t="s">
        <v>89</v>
      </c>
      <c r="E100" s="107"/>
      <c r="F100" s="54"/>
      <c r="G100" s="3"/>
      <c r="H100" s="55">
        <v>161034.83000000002</v>
      </c>
      <c r="I100" s="311"/>
      <c r="J100" s="170">
        <f>IF(L100=0, " ", H100/L100)</f>
        <v>0.78964491415376081</v>
      </c>
      <c r="K100" s="306"/>
      <c r="L100" s="169">
        <v>203933.22</v>
      </c>
      <c r="M100" s="307"/>
      <c r="N100" s="3"/>
      <c r="O100" s="55">
        <v>24457.329999999998</v>
      </c>
      <c r="P100" s="306"/>
      <c r="Q100" s="170">
        <f t="shared" si="16"/>
        <v>0.80259595612871548</v>
      </c>
      <c r="R100" s="306"/>
      <c r="S100" s="169">
        <v>30472.78</v>
      </c>
      <c r="T100" s="61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2"/>
      <c r="AL100" s="212"/>
      <c r="AM100" s="212"/>
    </row>
    <row r="101" spans="2:39" s="353" customFormat="1" x14ac:dyDescent="0.2">
      <c r="B101" s="40"/>
      <c r="C101" s="348"/>
      <c r="D101" s="98" t="s">
        <v>90</v>
      </c>
      <c r="E101" s="95"/>
      <c r="F101" s="98"/>
      <c r="G101" s="3"/>
      <c r="H101" s="55">
        <v>1526342.27</v>
      </c>
      <c r="I101" s="113"/>
      <c r="J101" s="170">
        <f>IF(L101=0, " ", H101/L101)</f>
        <v>0.93308457676466727</v>
      </c>
      <c r="K101" s="349"/>
      <c r="L101" s="169">
        <v>1635802.7</v>
      </c>
      <c r="M101" s="350"/>
      <c r="N101" s="3"/>
      <c r="O101" s="55">
        <v>227544.83</v>
      </c>
      <c r="P101" s="349"/>
      <c r="Q101" s="170">
        <f>O101/S101</f>
        <v>0.64071993721900111</v>
      </c>
      <c r="R101" s="349"/>
      <c r="S101" s="169">
        <v>355139.3</v>
      </c>
      <c r="T101" s="351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</row>
    <row r="102" spans="2:39" s="353" customFormat="1" ht="15.75" customHeight="1" x14ac:dyDescent="0.2">
      <c r="B102" s="40"/>
      <c r="C102" s="348"/>
      <c r="D102" s="98" t="s">
        <v>91</v>
      </c>
      <c r="E102" s="95"/>
      <c r="F102" s="98"/>
      <c r="G102" s="3"/>
      <c r="H102" s="55">
        <v>64162</v>
      </c>
      <c r="I102" s="113"/>
      <c r="J102" s="170">
        <f>IF(L102=0, " ", H102/L102)</f>
        <v>0.42774666666666666</v>
      </c>
      <c r="K102" s="349"/>
      <c r="L102" s="169">
        <v>150000</v>
      </c>
      <c r="M102" s="350"/>
      <c r="N102" s="3"/>
      <c r="O102" s="55"/>
      <c r="P102" s="349"/>
      <c r="Q102" s="170"/>
      <c r="R102" s="349"/>
      <c r="S102" s="169"/>
      <c r="T102" s="351"/>
      <c r="U102" s="352"/>
      <c r="V102" s="352"/>
      <c r="W102" s="352"/>
      <c r="X102" s="352"/>
      <c r="Y102" s="352"/>
      <c r="Z102" s="352"/>
      <c r="AA102" s="352"/>
      <c r="AB102" s="352"/>
      <c r="AC102" s="352"/>
      <c r="AD102" s="352"/>
      <c r="AE102" s="352"/>
      <c r="AF102" s="352"/>
      <c r="AG102" s="352"/>
      <c r="AH102" s="352"/>
      <c r="AI102" s="352"/>
      <c r="AJ102" s="352"/>
      <c r="AK102" s="352"/>
      <c r="AL102" s="352"/>
      <c r="AM102" s="352"/>
    </row>
    <row r="103" spans="2:39" s="213" customFormat="1" ht="16.5" customHeight="1" x14ac:dyDescent="0.2">
      <c r="B103" s="40"/>
      <c r="C103" s="51"/>
      <c r="D103" s="49"/>
      <c r="E103" s="107"/>
      <c r="F103" s="54"/>
      <c r="G103" s="3"/>
      <c r="H103" s="116"/>
      <c r="I103" s="311"/>
      <c r="J103" s="156"/>
      <c r="K103" s="306"/>
      <c r="L103" s="59"/>
      <c r="M103" s="307"/>
      <c r="N103" s="3"/>
      <c r="O103" s="116"/>
      <c r="P103" s="306"/>
      <c r="Q103" s="156"/>
      <c r="R103" s="306"/>
      <c r="S103" s="59"/>
      <c r="T103" s="61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</row>
    <row r="104" spans="2:39" s="213" customFormat="1" ht="12.75" customHeight="1" x14ac:dyDescent="0.2">
      <c r="B104" s="40"/>
      <c r="C104" s="51"/>
      <c r="D104" s="107"/>
      <c r="E104" s="107"/>
      <c r="F104" s="121" t="s">
        <v>92</v>
      </c>
      <c r="G104" s="3"/>
      <c r="H104" s="122">
        <f>SUM(H98:H102)</f>
        <v>2897036.7</v>
      </c>
      <c r="I104" s="231"/>
      <c r="J104" s="214">
        <f>H104/L104</f>
        <v>0.9860218386537325</v>
      </c>
      <c r="K104" s="231"/>
      <c r="L104" s="329">
        <f>SUM(L98:L102)</f>
        <v>2938106.02</v>
      </c>
      <c r="M104" s="121"/>
      <c r="N104" s="3"/>
      <c r="O104" s="122">
        <f>SUM(O98:O102)</f>
        <v>422917.11</v>
      </c>
      <c r="P104" s="231"/>
      <c r="Q104" s="214">
        <f>O104/S104</f>
        <v>0.80200773726948138</v>
      </c>
      <c r="R104" s="231"/>
      <c r="S104" s="329">
        <f>SUM(S98:S102)</f>
        <v>527322.98</v>
      </c>
      <c r="T104" s="69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</row>
    <row r="105" spans="2:39" s="216" customFormat="1" ht="12.75" customHeight="1" x14ac:dyDescent="0.2">
      <c r="B105" s="127"/>
      <c r="C105" s="128"/>
      <c r="D105" s="129"/>
      <c r="E105" s="129"/>
      <c r="F105" s="331"/>
      <c r="G105" s="3"/>
      <c r="H105" s="137">
        <v>2897036.7</v>
      </c>
      <c r="I105" s="332">
        <v>1</v>
      </c>
      <c r="J105" s="333"/>
      <c r="K105" s="332"/>
      <c r="L105" s="354"/>
      <c r="M105" s="335"/>
      <c r="N105" s="3"/>
      <c r="O105" s="336">
        <v>422917.11</v>
      </c>
      <c r="P105" s="332"/>
      <c r="Q105" s="333"/>
      <c r="R105" s="332"/>
      <c r="S105" s="354"/>
      <c r="T105" s="337"/>
    </row>
    <row r="106" spans="2:39" s="50" customFormat="1" x14ac:dyDescent="0.2">
      <c r="B106" s="40"/>
      <c r="C106" s="355"/>
      <c r="D106" s="356"/>
      <c r="E106" s="356"/>
      <c r="F106" s="357" t="s">
        <v>93</v>
      </c>
      <c r="G106" s="3"/>
      <c r="H106" s="358">
        <f>SUM(H33,H51,H65,H95,H104,H57)</f>
        <v>95450196.389999986</v>
      </c>
      <c r="I106" s="359">
        <f>SUM(I33,I51,I57,I65)</f>
        <v>244343.02660580029</v>
      </c>
      <c r="J106" s="432"/>
      <c r="K106" s="433"/>
      <c r="L106" s="360">
        <f>SUM(L33,L51,L57,L65,L95,L104)</f>
        <v>120885822.49223463</v>
      </c>
      <c r="M106" s="361">
        <f>SUM(M33,M51,M57,M65)</f>
        <v>298671.98157499998</v>
      </c>
      <c r="N106" s="3"/>
      <c r="O106" s="358">
        <f>SUM(O33,O51,O65,O95,O104,O57)</f>
        <v>24502127.179999996</v>
      </c>
      <c r="P106" s="362">
        <f>SUM(P33,P51,P54)</f>
        <v>4670011</v>
      </c>
      <c r="Q106" s="432"/>
      <c r="R106" s="433"/>
      <c r="S106" s="360">
        <f>SUM(S33,S51,S57,S65,S95,S104)</f>
        <v>24744543.481040005</v>
      </c>
      <c r="T106" s="363">
        <f>SUM(T33,T51,T57,)</f>
        <v>6318212.8839999996</v>
      </c>
      <c r="U106" s="49"/>
      <c r="V106" s="49"/>
      <c r="W106" s="112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</row>
    <row r="107" spans="2:39" s="50" customFormat="1" ht="19.5" customHeight="1" x14ac:dyDescent="0.2">
      <c r="B107" s="40"/>
      <c r="C107" s="51"/>
      <c r="D107" s="107"/>
      <c r="E107" s="107"/>
      <c r="F107" s="364"/>
      <c r="G107" s="3"/>
      <c r="H107" s="365">
        <f>H106/L106</f>
        <v>0.7895896675239269</v>
      </c>
      <c r="I107" s="366">
        <f>I106/M106</f>
        <v>0.81809825386799107</v>
      </c>
      <c r="J107" s="367"/>
      <c r="K107" s="368"/>
      <c r="L107" s="369"/>
      <c r="M107" s="370"/>
      <c r="N107" s="3"/>
      <c r="O107" s="365">
        <f>O106/S106</f>
        <v>0.99020324213191668</v>
      </c>
      <c r="P107" s="366">
        <f>P106/T106</f>
        <v>0.73913479740864019</v>
      </c>
      <c r="Q107" s="367"/>
      <c r="R107" s="368"/>
      <c r="S107" s="369"/>
      <c r="T107" s="370"/>
      <c r="U107" s="49"/>
      <c r="V107" s="49"/>
      <c r="W107" s="112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 spans="2:39" s="50" customFormat="1" x14ac:dyDescent="0.2">
      <c r="B108" s="40"/>
      <c r="C108" s="371"/>
      <c r="D108" s="49"/>
      <c r="E108" s="49"/>
      <c r="F108" s="121" t="s">
        <v>68</v>
      </c>
      <c r="G108" s="3"/>
      <c r="H108" s="372"/>
      <c r="I108" s="373">
        <f>I106/8760</f>
        <v>27.893039566872179</v>
      </c>
      <c r="J108" s="374"/>
      <c r="K108" s="231"/>
      <c r="L108" s="375"/>
      <c r="M108" s="376">
        <f>M106/8760</f>
        <v>34.094975065639268</v>
      </c>
      <c r="N108" s="3"/>
      <c r="O108" s="372"/>
      <c r="P108" s="373"/>
      <c r="Q108" s="374"/>
      <c r="R108" s="231"/>
      <c r="S108" s="375"/>
      <c r="T108" s="69"/>
      <c r="U108" s="49"/>
      <c r="V108" s="49"/>
      <c r="W108" s="112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</row>
    <row r="109" spans="2:39" s="213" customFormat="1" x14ac:dyDescent="0.2">
      <c r="B109" s="40"/>
      <c r="C109" s="377"/>
      <c r="D109" s="378"/>
      <c r="E109" s="378"/>
      <c r="F109" s="379" t="s">
        <v>94</v>
      </c>
      <c r="G109" s="3"/>
      <c r="H109" s="380"/>
      <c r="I109" s="381"/>
      <c r="J109" s="382"/>
      <c r="K109" s="383"/>
      <c r="L109" s="384"/>
      <c r="M109" s="385"/>
      <c r="N109" s="3"/>
      <c r="O109" s="380"/>
      <c r="P109" s="386"/>
      <c r="Q109" s="382"/>
      <c r="R109" s="383"/>
      <c r="S109" s="384"/>
      <c r="T109" s="385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</row>
    <row r="110" spans="2:39" s="213" customFormat="1" x14ac:dyDescent="0.2">
      <c r="B110" s="40"/>
      <c r="C110" s="51">
        <v>150</v>
      </c>
      <c r="D110" s="54" t="s">
        <v>95</v>
      </c>
      <c r="E110" s="107"/>
      <c r="F110" s="54"/>
      <c r="G110" s="3"/>
      <c r="H110" s="55">
        <v>3646448.9900000007</v>
      </c>
      <c r="I110" s="306"/>
      <c r="J110" s="156">
        <f>IF(L110=0, " ", H110/L110)</f>
        <v>1.6643091810767707</v>
      </c>
      <c r="K110" s="306"/>
      <c r="L110" s="59">
        <v>2190968.5</v>
      </c>
      <c r="M110" s="307"/>
      <c r="N110" s="3"/>
      <c r="O110" s="387"/>
      <c r="P110" s="306"/>
      <c r="Q110" s="156"/>
      <c r="R110" s="306"/>
      <c r="S110" s="59"/>
      <c r="T110" s="61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</row>
    <row r="111" spans="2:39" s="213" customFormat="1" x14ac:dyDescent="0.2">
      <c r="B111" s="40"/>
      <c r="C111" s="51"/>
      <c r="D111" s="54" t="s">
        <v>96</v>
      </c>
      <c r="E111" s="107"/>
      <c r="F111" s="54"/>
      <c r="G111" s="3"/>
      <c r="H111" s="116">
        <v>47317.63</v>
      </c>
      <c r="I111" s="306"/>
      <c r="J111" s="156">
        <f>IF(L111=0, " ", H111/L111)</f>
        <v>0.1391695</v>
      </c>
      <c r="K111" s="306"/>
      <c r="L111" s="59">
        <v>340000</v>
      </c>
      <c r="M111" s="307"/>
      <c r="N111" s="3"/>
      <c r="O111" s="116">
        <v>5100</v>
      </c>
      <c r="P111" s="306"/>
      <c r="Q111" s="156"/>
      <c r="R111" s="306"/>
      <c r="S111" s="59">
        <v>160000</v>
      </c>
      <c r="T111" s="61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</row>
    <row r="112" spans="2:39" s="213" customFormat="1" x14ac:dyDescent="0.2">
      <c r="B112" s="40"/>
      <c r="C112" s="51"/>
      <c r="D112" s="49" t="s">
        <v>97</v>
      </c>
      <c r="E112" s="107"/>
      <c r="F112" s="54"/>
      <c r="G112" s="3"/>
      <c r="H112" s="116">
        <v>13317.9</v>
      </c>
      <c r="I112" s="306"/>
      <c r="J112" s="156"/>
      <c r="K112" s="306"/>
      <c r="L112" s="59"/>
      <c r="M112" s="307"/>
      <c r="N112" s="3"/>
      <c r="O112" s="116"/>
      <c r="P112" s="306"/>
      <c r="Q112" s="156"/>
      <c r="R112" s="306"/>
      <c r="S112" s="59"/>
      <c r="T112" s="61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</row>
    <row r="113" spans="2:39" s="213" customFormat="1" x14ac:dyDescent="0.2">
      <c r="B113" s="40"/>
      <c r="C113" s="51"/>
      <c r="D113" s="49"/>
      <c r="E113" s="107"/>
      <c r="F113" s="54"/>
      <c r="G113" s="3"/>
      <c r="H113" s="116"/>
      <c r="I113" s="306"/>
      <c r="J113" s="156"/>
      <c r="K113" s="306"/>
      <c r="L113" s="59"/>
      <c r="M113" s="307"/>
      <c r="N113" s="3"/>
      <c r="O113" s="116"/>
      <c r="P113" s="306"/>
      <c r="Q113" s="156"/>
      <c r="R113" s="306"/>
      <c r="S113" s="59"/>
      <c r="T113" s="61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212"/>
      <c r="AL113" s="212"/>
      <c r="AM113" s="212"/>
    </row>
    <row r="114" spans="2:39" s="50" customFormat="1" x14ac:dyDescent="0.2">
      <c r="B114" s="40"/>
      <c r="C114" s="51"/>
      <c r="D114" s="107"/>
      <c r="E114" s="107"/>
      <c r="F114" s="121" t="s">
        <v>98</v>
      </c>
      <c r="G114" s="3"/>
      <c r="H114" s="122">
        <f>SUM(H110:H112)</f>
        <v>3707084.5200000005</v>
      </c>
      <c r="I114" s="123">
        <f>SUM(I111:I111)</f>
        <v>0</v>
      </c>
      <c r="J114" s="214">
        <f>H114/L114</f>
        <v>1.4646901057836161</v>
      </c>
      <c r="K114" s="66">
        <f>SUM(K111:K111)</f>
        <v>0</v>
      </c>
      <c r="L114" s="67">
        <f>SUM(L110:L111)</f>
        <v>2530968.5</v>
      </c>
      <c r="M114" s="124"/>
      <c r="N114" s="3"/>
      <c r="O114" s="122">
        <f>SUM(O110:O112)</f>
        <v>5100</v>
      </c>
      <c r="P114" s="123">
        <f>SUM(P111:P111)</f>
        <v>0</v>
      </c>
      <c r="Q114" s="214">
        <f>O114/S114</f>
        <v>3.1875000000000001E-2</v>
      </c>
      <c r="R114" s="66">
        <f>SUM(R111:R111)</f>
        <v>0</v>
      </c>
      <c r="S114" s="67">
        <f>SUM(S110:S111)</f>
        <v>160000</v>
      </c>
      <c r="T114" s="124">
        <v>0</v>
      </c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</row>
    <row r="115" spans="2:39" s="141" customFormat="1" x14ac:dyDescent="0.2">
      <c r="B115" s="127"/>
      <c r="C115" s="388"/>
      <c r="D115" s="389"/>
      <c r="E115" s="389"/>
      <c r="F115" s="390"/>
      <c r="G115" s="3"/>
      <c r="H115" s="137">
        <v>3707084.5200000005</v>
      </c>
      <c r="I115" s="391"/>
      <c r="J115" s="392"/>
      <c r="K115" s="393"/>
      <c r="L115" s="394"/>
      <c r="M115" s="395"/>
      <c r="N115" s="3"/>
      <c r="O115" s="137">
        <v>5100</v>
      </c>
      <c r="P115" s="391"/>
      <c r="Q115" s="392"/>
      <c r="R115" s="393"/>
      <c r="S115" s="394"/>
      <c r="T115" s="395"/>
    </row>
    <row r="116" spans="2:39" s="50" customFormat="1" ht="18" customHeight="1" x14ac:dyDescent="0.2">
      <c r="B116" s="40"/>
      <c r="C116" s="355"/>
      <c r="D116" s="356"/>
      <c r="E116" s="356"/>
      <c r="F116" s="357" t="s">
        <v>67</v>
      </c>
      <c r="G116" s="3"/>
      <c r="H116" s="358">
        <f>SUM(H114+H106)</f>
        <v>99157280.909999982</v>
      </c>
      <c r="I116" s="359">
        <f>SUM(I106,I114)</f>
        <v>244343.02660580029</v>
      </c>
      <c r="J116" s="432"/>
      <c r="K116" s="433"/>
      <c r="L116" s="396">
        <f>SUM(L106,L114)</f>
        <v>123416790.99223463</v>
      </c>
      <c r="M116" s="361">
        <f>ROUND(SUM(M106,M114),0)</f>
        <v>298672</v>
      </c>
      <c r="N116" s="3"/>
      <c r="O116" s="358">
        <f>SUM(O114+O106)</f>
        <v>24507227.179999996</v>
      </c>
      <c r="P116" s="362">
        <f>SUM(P106,P114)</f>
        <v>4670011</v>
      </c>
      <c r="Q116" s="432"/>
      <c r="R116" s="433"/>
      <c r="S116" s="360">
        <f>SUM(S106,S111:S111)</f>
        <v>24904543.481040005</v>
      </c>
      <c r="T116" s="363">
        <f>SUM(T106,T114)</f>
        <v>6318212.8839999996</v>
      </c>
      <c r="U116" s="49"/>
      <c r="V116" s="49"/>
      <c r="W116" s="112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</row>
    <row r="117" spans="2:39" s="50" customFormat="1" x14ac:dyDescent="0.2">
      <c r="B117" s="40"/>
      <c r="C117" s="371"/>
      <c r="D117" s="49"/>
      <c r="E117" s="49"/>
      <c r="F117" s="121" t="s">
        <v>68</v>
      </c>
      <c r="G117" s="3"/>
      <c r="H117" s="397"/>
      <c r="I117" s="373">
        <f>I116/8760</f>
        <v>27.893039566872179</v>
      </c>
      <c r="J117" s="374"/>
      <c r="K117" s="231"/>
      <c r="L117" s="375"/>
      <c r="M117" s="398">
        <f>M116/8760</f>
        <v>34.094977168949775</v>
      </c>
      <c r="N117" s="3"/>
      <c r="O117" s="399"/>
      <c r="P117" s="373"/>
      <c r="Q117" s="374"/>
      <c r="R117" s="231"/>
      <c r="S117" s="375"/>
      <c r="T117" s="398"/>
      <c r="U117" s="49"/>
      <c r="V117" s="49"/>
      <c r="W117" s="112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 spans="2:39" s="261" customFormat="1" ht="15" customHeight="1" x14ac:dyDescent="0.2">
      <c r="B118" s="40"/>
      <c r="C118" s="400"/>
      <c r="D118" s="401"/>
      <c r="E118" s="401"/>
      <c r="F118" s="402"/>
      <c r="G118" s="3"/>
      <c r="H118" s="403">
        <f>H116/L116</f>
        <v>0.80343428242465764</v>
      </c>
      <c r="I118" s="404">
        <f>I116/M116</f>
        <v>0.81809820339971706</v>
      </c>
      <c r="J118" s="405"/>
      <c r="K118" s="406"/>
      <c r="L118" s="407"/>
      <c r="M118" s="408"/>
      <c r="N118" s="3"/>
      <c r="O118" s="403">
        <f>O116/S116</f>
        <v>0.98404643307987205</v>
      </c>
      <c r="P118" s="404">
        <f>P116/T116</f>
        <v>0.73913479740864019</v>
      </c>
      <c r="Q118" s="405"/>
      <c r="R118" s="406"/>
      <c r="S118" s="407"/>
      <c r="T118" s="408"/>
      <c r="U118" s="271"/>
      <c r="V118" s="271"/>
      <c r="W118" s="272"/>
      <c r="X118" s="271"/>
      <c r="Y118" s="271"/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1"/>
      <c r="AK118" s="271"/>
      <c r="AL118" s="271"/>
      <c r="AM118" s="271"/>
    </row>
    <row r="119" spans="2:39" s="50" customFormat="1" x14ac:dyDescent="0.2">
      <c r="B119" s="40"/>
      <c r="C119" s="409"/>
      <c r="D119" s="97"/>
      <c r="E119" s="97"/>
      <c r="F119" s="410"/>
      <c r="G119" s="3"/>
      <c r="H119" s="371"/>
      <c r="I119" s="49"/>
      <c r="J119" s="411"/>
      <c r="K119" s="49"/>
      <c r="L119" s="411"/>
      <c r="M119" s="54"/>
      <c r="N119" s="3"/>
      <c r="O119" s="371"/>
      <c r="P119" s="49"/>
      <c r="Q119" s="411"/>
      <c r="R119" s="49"/>
      <c r="S119" s="411"/>
      <c r="T119" s="54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 spans="2:39" s="213" customFormat="1" x14ac:dyDescent="0.2">
      <c r="B120" s="40"/>
      <c r="C120" s="51"/>
      <c r="D120" s="49"/>
      <c r="E120" s="107"/>
      <c r="F120" s="54"/>
      <c r="G120" s="3"/>
      <c r="H120" s="116"/>
      <c r="I120" s="306"/>
      <c r="J120" s="156"/>
      <c r="K120" s="306"/>
      <c r="L120" s="59"/>
      <c r="M120" s="307"/>
      <c r="N120" s="3"/>
      <c r="O120" s="116"/>
      <c r="P120" s="306"/>
      <c r="Q120" s="156"/>
      <c r="R120" s="306"/>
      <c r="S120" s="59"/>
      <c r="T120" s="307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</row>
    <row r="121" spans="2:39" s="213" customFormat="1" x14ac:dyDescent="0.2">
      <c r="B121" s="40"/>
      <c r="C121" s="51"/>
      <c r="D121" s="107"/>
      <c r="E121" s="107"/>
      <c r="F121" s="54"/>
      <c r="G121" s="3"/>
      <c r="H121" s="116"/>
      <c r="I121" s="306"/>
      <c r="J121" s="156"/>
      <c r="K121" s="306"/>
      <c r="L121" s="59"/>
      <c r="M121" s="307"/>
      <c r="N121" s="3"/>
      <c r="O121" s="116"/>
      <c r="P121" s="306"/>
      <c r="Q121" s="156"/>
      <c r="R121" s="306"/>
      <c r="S121" s="59"/>
      <c r="T121" s="307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</row>
    <row r="122" spans="2:39" s="50" customFormat="1" ht="15.75" thickBot="1" x14ac:dyDescent="0.25">
      <c r="B122" s="40"/>
      <c r="C122" s="412"/>
      <c r="D122" s="236"/>
      <c r="E122" s="236"/>
      <c r="F122" s="413"/>
      <c r="G122" s="3"/>
      <c r="H122" s="414"/>
      <c r="I122" s="415"/>
      <c r="J122" s="416"/>
      <c r="K122" s="241"/>
      <c r="L122" s="417"/>
      <c r="M122" s="418"/>
      <c r="N122" s="3"/>
      <c r="O122" s="414"/>
      <c r="P122" s="415"/>
      <c r="Q122" s="416"/>
      <c r="R122" s="241"/>
      <c r="S122" s="417"/>
      <c r="T122" s="418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 spans="2:39" s="50" customFormat="1" x14ac:dyDescent="0.2">
      <c r="B123" s="107"/>
      <c r="C123" s="53"/>
      <c r="D123" s="53"/>
      <c r="E123" s="53"/>
      <c r="F123" s="107"/>
      <c r="G123" s="3"/>
      <c r="H123" s="49"/>
      <c r="I123" s="419"/>
      <c r="J123" s="49"/>
      <c r="K123" s="49"/>
      <c r="L123" s="49"/>
      <c r="M123" s="49"/>
      <c r="N123" s="3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5" spans="2:39" ht="15" customHeight="1" x14ac:dyDescent="0.2">
      <c r="B125" s="107"/>
      <c r="C125" s="438" t="s">
        <v>99</v>
      </c>
      <c r="D125" s="439"/>
      <c r="E125" s="439"/>
      <c r="F125" s="440"/>
      <c r="O125" s="4"/>
    </row>
    <row r="126" spans="2:39" x14ac:dyDescent="0.2">
      <c r="B126" s="107"/>
      <c r="C126" s="420">
        <v>1</v>
      </c>
      <c r="D126" s="420"/>
      <c r="E126" s="420"/>
      <c r="F126" s="2" t="s">
        <v>100</v>
      </c>
      <c r="H126" s="421"/>
      <c r="I126" s="421"/>
      <c r="O126" s="421"/>
      <c r="P126" s="421"/>
    </row>
    <row r="127" spans="2:39" x14ac:dyDescent="0.2">
      <c r="B127" s="5"/>
      <c r="C127" s="420"/>
      <c r="D127" s="420"/>
      <c r="E127" s="420"/>
      <c r="F127" s="422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2:39" x14ac:dyDescent="0.2">
      <c r="B128" s="5"/>
      <c r="C128" s="420"/>
      <c r="D128" s="420"/>
      <c r="E128" s="420"/>
      <c r="F128" s="422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2:39" x14ac:dyDescent="0.2">
      <c r="B129" s="5"/>
      <c r="C129" s="420"/>
      <c r="D129" s="420"/>
      <c r="E129" s="420"/>
      <c r="F129" s="422"/>
      <c r="I129" s="423"/>
      <c r="P129" s="423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2:39" x14ac:dyDescent="0.2">
      <c r="B130" s="5"/>
      <c r="C130" s="422" t="s">
        <v>101</v>
      </c>
      <c r="D130" s="424"/>
      <c r="E130" s="424"/>
      <c r="F130" s="422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2:39" x14ac:dyDescent="0.2">
      <c r="B131" s="5"/>
      <c r="E131" s="425" t="s">
        <v>102</v>
      </c>
      <c r="F131" s="426">
        <v>42650195</v>
      </c>
      <c r="H131" s="427">
        <v>381790.12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2:39" x14ac:dyDescent="0.2">
      <c r="E132" s="425" t="s">
        <v>103</v>
      </c>
      <c r="F132" s="426">
        <v>42650207</v>
      </c>
      <c r="H132" s="427">
        <v>448107.79999999993</v>
      </c>
    </row>
    <row r="133" spans="2:39" x14ac:dyDescent="0.2">
      <c r="B133" s="5"/>
      <c r="E133" s="425" t="s">
        <v>104</v>
      </c>
      <c r="F133" s="426">
        <v>42651700</v>
      </c>
      <c r="H133" s="427">
        <v>300000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2:39" x14ac:dyDescent="0.2">
      <c r="B134" s="5"/>
      <c r="H134" s="427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9" spans="2:39" x14ac:dyDescent="0.2">
      <c r="B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2:39" x14ac:dyDescent="0.2">
      <c r="B140" s="5"/>
      <c r="C140" s="53"/>
      <c r="D140" s="53"/>
      <c r="E140" s="53"/>
      <c r="F140" s="1"/>
      <c r="H140" s="427"/>
      <c r="I140" s="428"/>
      <c r="K140" s="429"/>
      <c r="O140" s="427"/>
      <c r="P140" s="428"/>
      <c r="R140" s="429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2:39" x14ac:dyDescent="0.2">
      <c r="B141" s="5"/>
      <c r="C141" s="1"/>
      <c r="D141" s="1"/>
      <c r="E141" s="1"/>
      <c r="F141" s="1"/>
      <c r="H141" s="4"/>
      <c r="I141" s="428"/>
      <c r="O141" s="4"/>
      <c r="P141" s="428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2:39" ht="14.25" customHeight="1" x14ac:dyDescent="0.2">
      <c r="B142" s="5"/>
      <c r="C142" s="107"/>
      <c r="D142" s="107"/>
      <c r="E142" s="107"/>
      <c r="F142" s="1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</sheetData>
  <mergeCells count="14">
    <mergeCell ref="H12:M12"/>
    <mergeCell ref="O12:T12"/>
    <mergeCell ref="B70:B75"/>
    <mergeCell ref="C125:F125"/>
    <mergeCell ref="H10:M10"/>
    <mergeCell ref="O10:T10"/>
    <mergeCell ref="C11:C12"/>
    <mergeCell ref="D11:F12"/>
    <mergeCell ref="H11:I11"/>
    <mergeCell ref="J11:K11"/>
    <mergeCell ref="L11:M11"/>
    <mergeCell ref="O11:P11"/>
    <mergeCell ref="Q11:R11"/>
    <mergeCell ref="S11:T11"/>
  </mergeCells>
  <conditionalFormatting sqref="H33">
    <cfRule type="cellIs" dxfId="25" priority="26" operator="notBetween">
      <formula>$H$34+3</formula>
      <formula>$H$34-3</formula>
    </cfRule>
  </conditionalFormatting>
  <conditionalFormatting sqref="H51">
    <cfRule type="cellIs" dxfId="24" priority="25" operator="notBetween">
      <formula>$H$52+3</formula>
      <formula>$H$52-3</formula>
    </cfRule>
  </conditionalFormatting>
  <conditionalFormatting sqref="H57">
    <cfRule type="cellIs" dxfId="23" priority="24" operator="notBetween">
      <formula>$H$58+3</formula>
      <formula>$H$58-3</formula>
    </cfRule>
  </conditionalFormatting>
  <conditionalFormatting sqref="H65">
    <cfRule type="cellIs" dxfId="22" priority="23" operator="notBetween">
      <formula>$H$66+3</formula>
      <formula>$H$66-3</formula>
    </cfRule>
  </conditionalFormatting>
  <conditionalFormatting sqref="H95">
    <cfRule type="cellIs" dxfId="21" priority="22" operator="notBetween">
      <formula>$H$96+3</formula>
      <formula>$H$96-3</formula>
    </cfRule>
  </conditionalFormatting>
  <conditionalFormatting sqref="H104">
    <cfRule type="cellIs" dxfId="20" priority="21" operator="notBetween">
      <formula>$H$105+3</formula>
      <formula>$H$105-3</formula>
    </cfRule>
  </conditionalFormatting>
  <conditionalFormatting sqref="H114">
    <cfRule type="cellIs" dxfId="19" priority="20" operator="notBetween">
      <formula>$H$115+3</formula>
      <formula>$H$115-3</formula>
    </cfRule>
  </conditionalFormatting>
  <conditionalFormatting sqref="I33">
    <cfRule type="cellIs" dxfId="18" priority="19" operator="notBetween">
      <formula>$I$34+3</formula>
      <formula>$I$34-3</formula>
    </cfRule>
  </conditionalFormatting>
  <conditionalFormatting sqref="I57">
    <cfRule type="cellIs" dxfId="17" priority="18" operator="notBetween">
      <formula>$I$58+3</formula>
      <formula>$I$58-3</formula>
    </cfRule>
  </conditionalFormatting>
  <conditionalFormatting sqref="I65">
    <cfRule type="cellIs" dxfId="16" priority="17" operator="notBetween">
      <formula>$I$66+3</formula>
      <formula>$I$66-3</formula>
    </cfRule>
  </conditionalFormatting>
  <conditionalFormatting sqref="O33">
    <cfRule type="cellIs" dxfId="15" priority="16" operator="notBetween">
      <formula>$O$34+3</formula>
      <formula>$O$34-3</formula>
    </cfRule>
  </conditionalFormatting>
  <conditionalFormatting sqref="O51">
    <cfRule type="cellIs" dxfId="14" priority="15" operator="notBetween">
      <formula>$O$52+3</formula>
      <formula>$O$52-3</formula>
    </cfRule>
  </conditionalFormatting>
  <conditionalFormatting sqref="O57">
    <cfRule type="cellIs" dxfId="13" priority="14" operator="notBetween">
      <formula>$O$58+3</formula>
      <formula>$O$58-3</formula>
    </cfRule>
  </conditionalFormatting>
  <conditionalFormatting sqref="O65">
    <cfRule type="cellIs" dxfId="12" priority="13" operator="notBetween">
      <formula>$O$66+3</formula>
      <formula>$O$66-3</formula>
    </cfRule>
  </conditionalFormatting>
  <conditionalFormatting sqref="O95">
    <cfRule type="cellIs" dxfId="11" priority="12" operator="notBetween">
      <formula>$O$96+3</formula>
      <formula>$O$96-3</formula>
    </cfRule>
  </conditionalFormatting>
  <conditionalFormatting sqref="O104">
    <cfRule type="cellIs" dxfId="10" priority="11" operator="notBetween">
      <formula>$O$105+3</formula>
      <formula>$O$105-3</formula>
    </cfRule>
  </conditionalFormatting>
  <conditionalFormatting sqref="P33">
    <cfRule type="cellIs" dxfId="9" priority="10" operator="notBetween">
      <formula>$P$34+3</formula>
      <formula>$P$34-3</formula>
    </cfRule>
  </conditionalFormatting>
  <conditionalFormatting sqref="P51">
    <cfRule type="cellIs" dxfId="8" priority="9" operator="notBetween">
      <formula>$P$52+3</formula>
      <formula>$P$52-3</formula>
    </cfRule>
  </conditionalFormatting>
  <conditionalFormatting sqref="I51">
    <cfRule type="cellIs" dxfId="7" priority="2" operator="notBetween">
      <formula>$I52+3</formula>
      <formula>$I$52-3</formula>
    </cfRule>
  </conditionalFormatting>
  <conditionalFormatting sqref="O114">
    <cfRule type="cellIs" dxfId="6" priority="1" operator="notBetween">
      <formula>$O$115+3</formula>
      <formula>$O$115-3</formula>
    </cfRule>
  </conditionalFormatting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5" min="1" max="19" man="1"/>
  </rowBreaks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notBetween" id="{A0E5D80C-6749-49DE-BC6D-4630DDC4D8A9}">
            <xm:f>'C:\2-Budget &amp; Administration\Tracking\2022 Program Tracking\Tracking\[2022 Energy Efficiency Program Tracking - MASTER.xlsx]Gas Cost '!#REF!+3</xm:f>
            <xm:f>'C:\2-Budget &amp; Administration\Tracking\2022 Program Tracking\Tracking\[2022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O116</xm:sqref>
        </x14:conditionalFormatting>
        <x14:conditionalFormatting xmlns:xm="http://schemas.microsoft.com/office/excel/2006/main">
          <x14:cfRule type="cellIs" priority="7" operator="notBetween" id="{D3F34CAC-4C4E-4729-86D5-D854808E05E7}">
            <xm:f>'C:\2-Budget &amp; Administration\Tracking\2022 Program Tracking\Tracking\[2022 Energy Efficiency Program Tracking - MASTER.xlsx]Therms Data Entry'!#REF!+3</xm:f>
            <xm:f>'C:\2-Budget &amp; Administration\Tracking\2022 Program Tracking\Tracking\[2022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P116</xm:sqref>
        </x14:conditionalFormatting>
        <x14:conditionalFormatting xmlns:xm="http://schemas.microsoft.com/office/excel/2006/main">
          <x14:cfRule type="cellIs" priority="6" operator="notBetween" id="{62ED1DB7-CBC4-4003-8C9F-D8A849AD9873}">
            <xm:f>'C:\2-Budget &amp; Administration\Tracking\2022 Program Tracking\Tracking\[2022 Energy Efficiency Program Tracking - MASTER.xlsx]Elec Cost '!#REF!+3</xm:f>
            <xm:f>'C:\2-Budget &amp; Administration\Tracking\2022 Program Tracking\Tracking\[2022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H116</xm:sqref>
        </x14:conditionalFormatting>
        <x14:conditionalFormatting xmlns:xm="http://schemas.microsoft.com/office/excel/2006/main">
          <x14:cfRule type="cellIs" priority="5" operator="notBetween" id="{4ACDA925-11D7-4FB4-97E5-253363734F98}">
            <xm:f>(('C:\2-Budget &amp; Administration\Tracking\2022 Program Tracking\Tracking\[2022 Energy Efficiency Program Tracking - MASTER.xlsx]kWh Data Entry'!#REF!)/1000)+3</xm:f>
            <xm:f>(('C:\2-Budget &amp; Administration\Tracking\2022 Program Tracking\Tracking\[2022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I116</xm:sqref>
        </x14:conditionalFormatting>
        <x14:conditionalFormatting xmlns:xm="http://schemas.microsoft.com/office/excel/2006/main">
          <x14:cfRule type="cellIs" priority="4" operator="notBetween" id="{4AC307FA-58A2-4C8B-823C-1048D66EBBE7}">
            <xm:f>'C:\2-Budget &amp; Administration\Tracking\2022 Program Tracking\Tracking\[2022 Energy Efficiency Program Tracking - MASTER.xlsx]Gas Cost '!#REF!+3</xm:f>
            <xm:f>'C:\2-Budget &amp; Administration\Tracking\2022 Program Tracking\Tracking\[2022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O70</xm:sqref>
        </x14:conditionalFormatting>
        <x14:conditionalFormatting xmlns:xm="http://schemas.microsoft.com/office/excel/2006/main">
          <x14:cfRule type="cellIs" priority="3" operator="notBetween" id="{CE785FB5-DA4C-4C88-A610-735D181BA001}">
            <xm:f>'C:\2-Budget &amp; Administration\Tracking\2022 Program Tracking\Tracking\[2022 Energy Efficiency Program Tracking - MASTER.xlsx]Elec Cost '!#REF!+3</xm:f>
            <xm:f>'C:\2-Budget &amp; Administration\Tracking\2022 Program Tracking\Tracking\[2022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EEA83C55D21244A58F152C829FF8BF" ma:contentTypeVersion="44" ma:contentTypeDescription="" ma:contentTypeScope="" ma:versionID="767544a9700ba06602c3c66ff1d908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2021-10-29T07:00:00+00:00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277B9B-7435-46F4-A61B-971BF7A7CABA}"/>
</file>

<file path=customXml/itemProps2.xml><?xml version="1.0" encoding="utf-8"?>
<ds:datastoreItem xmlns:ds="http://schemas.openxmlformats.org/officeDocument/2006/customXml" ds:itemID="{4122878F-9D0A-45FF-BD25-B8519F2D40B9}"/>
</file>

<file path=customXml/itemProps3.xml><?xml version="1.0" encoding="utf-8"?>
<ds:datastoreItem xmlns:ds="http://schemas.openxmlformats.org/officeDocument/2006/customXml" ds:itemID="{DC797CF7-00BA-45E1-8374-C448DAC01128}"/>
</file>

<file path=customXml/itemProps4.xml><?xml version="1.0" encoding="utf-8"?>
<ds:datastoreItem xmlns:ds="http://schemas.openxmlformats.org/officeDocument/2006/customXml" ds:itemID="{B6DD33F3-03E7-4E0B-A467-D6568B544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cp:lastPrinted>2023-03-14T17:57:43Z</cp:lastPrinted>
  <dcterms:created xsi:type="dcterms:W3CDTF">2023-03-09T21:21:15Z</dcterms:created>
  <dcterms:modified xsi:type="dcterms:W3CDTF">2023-03-28T21:58:32Z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0x0101006E56B4D1795A2E4DB2F0B01679ED314A0091EEA83C55D21244A58F152C829FF8BF</vt:lpwstr>
  </property>
  <property fmtid="{D5CDD505-2E9C-101B-9397-08002B2CF9AE}" pid="3" name="_docset_NoMedatataSyncRequired">
    <vt:lpwstr>False</vt:lpwstr>
  </property>
</Properties>
</file>