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08" windowWidth="14520" windowHeight="13176" tabRatio="716"/>
  </bookViews>
  <sheets>
    <sheet name="Lead E" sheetId="1" r:id="rId1"/>
    <sheet name="Addition-Retire Source" sheetId="15" r:id="rId2"/>
    <sheet name="Retirement Summary" sheetId="16" r:id="rId3"/>
    <sheet name="Retirement Detail" sheetId="10" r:id="rId4"/>
    <sheet name="Retirement Depr Exp" sheetId="11" r:id="rId5"/>
    <sheet name="Retirement ADFIT" sheetId="14" r:id="rId6"/>
    <sheet name="Addition" sheetId="13" r:id="rId7"/>
    <sheet name="IRS DFIT" sheetId="5" r:id="rId8"/>
    <sheet name="MACRS W 50% BONUS" sheetId="8" r:id="rId9"/>
  </sheets>
  <externalReferences>
    <externalReference r:id="rId10"/>
  </externalReferences>
  <definedNames>
    <definedName name="_xlnm._FilterDatabase" localSheetId="3" hidden="1">'Retirement Detail'!$A$1:$P$14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E14" i="13" l="1"/>
  <c r="E13" i="13"/>
  <c r="E32" i="13" l="1"/>
  <c r="C6" i="15" l="1"/>
  <c r="C10" i="15"/>
  <c r="C17" i="15"/>
  <c r="C9" i="15" l="1"/>
  <c r="C11" i="15" l="1"/>
  <c r="E30" i="13"/>
  <c r="D13" i="1"/>
  <c r="B23" i="16" l="1"/>
  <c r="D23" i="16" l="1"/>
  <c r="B30" i="16"/>
  <c r="B29" i="16"/>
  <c r="B31" i="16" l="1"/>
  <c r="D33" i="16" l="1"/>
  <c r="C33" i="16"/>
  <c r="F6" i="16"/>
  <c r="F7" i="16"/>
  <c r="F8" i="16"/>
  <c r="F9" i="16"/>
  <c r="F10" i="16"/>
  <c r="F11" i="16"/>
  <c r="F12" i="16"/>
  <c r="F13" i="16"/>
  <c r="F14" i="16"/>
  <c r="F15" i="16"/>
  <c r="F16" i="16"/>
  <c r="F17" i="16"/>
  <c r="D16" i="1" s="1"/>
  <c r="F5" i="16"/>
  <c r="C3" i="13" l="1"/>
  <c r="F18" i="16"/>
  <c r="C16" i="1" s="1"/>
  <c r="B19" i="14"/>
  <c r="E16" i="1" l="1"/>
  <c r="D32" i="16"/>
  <c r="E31" i="13"/>
  <c r="E82" i="13" s="1"/>
  <c r="C21" i="11"/>
  <c r="C31" i="1" l="1"/>
  <c r="D34" i="16"/>
  <c r="B9" i="13" a="1"/>
  <c r="D9" i="13" s="1"/>
  <c r="B6" i="13" a="1"/>
  <c r="P6" i="13" s="1"/>
  <c r="C5" i="13"/>
  <c r="D5" i="13" s="1"/>
  <c r="E5" i="13" s="1"/>
  <c r="F5" i="13" s="1"/>
  <c r="G5" i="13" s="1"/>
  <c r="H5" i="13" s="1"/>
  <c r="I5" i="13" s="1"/>
  <c r="J5" i="13" s="1"/>
  <c r="K5" i="13" s="1"/>
  <c r="L5" i="13" s="1"/>
  <c r="M5" i="13" s="1"/>
  <c r="N5" i="13" s="1"/>
  <c r="O5" i="13" s="1"/>
  <c r="P5" i="13" s="1"/>
  <c r="B8" i="13" s="1"/>
  <c r="C8" i="13" s="1"/>
  <c r="D8" i="13" s="1"/>
  <c r="E8" i="13" s="1"/>
  <c r="F8" i="13" s="1"/>
  <c r="G8" i="13" s="1"/>
  <c r="C30" i="13"/>
  <c r="C31" i="13" l="1"/>
  <c r="C82" i="13" s="1"/>
  <c r="C21" i="1" s="1"/>
  <c r="G30" i="13"/>
  <c r="I30" i="13" s="1"/>
  <c r="E9" i="13"/>
  <c r="B6" i="13"/>
  <c r="F6" i="13"/>
  <c r="J6" i="13"/>
  <c r="N6" i="13"/>
  <c r="B9" i="13"/>
  <c r="F9" i="13"/>
  <c r="E6" i="13"/>
  <c r="I6" i="13"/>
  <c r="M6" i="13"/>
  <c r="D3" i="13"/>
  <c r="C6" i="13"/>
  <c r="G6" i="13"/>
  <c r="K6" i="13"/>
  <c r="O6" i="13"/>
  <c r="C9" i="13"/>
  <c r="G9" i="13"/>
  <c r="D6" i="13"/>
  <c r="H6" i="13"/>
  <c r="L6" i="13"/>
  <c r="B30" i="13" l="1"/>
  <c r="D30" i="13" s="1"/>
  <c r="H9" i="13"/>
  <c r="C32" i="13"/>
  <c r="G31" i="13"/>
  <c r="G82" i="13" s="1"/>
  <c r="C22" i="1" s="1"/>
  <c r="E3" i="13"/>
  <c r="G32" i="13" l="1"/>
  <c r="C33" i="13"/>
  <c r="B31" i="13"/>
  <c r="D31" i="13" s="1"/>
  <c r="I31" i="13"/>
  <c r="B22" i="11"/>
  <c r="C16" i="10"/>
  <c r="B16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D16" i="10" s="1"/>
  <c r="B22" i="16" l="1"/>
  <c r="B24" i="16" s="1"/>
  <c r="B5" i="16"/>
  <c r="B20" i="11"/>
  <c r="C6" i="11" s="1"/>
  <c r="C7" i="16" s="1"/>
  <c r="I32" i="13"/>
  <c r="B32" i="13"/>
  <c r="D32" i="13" s="1"/>
  <c r="F30" i="13"/>
  <c r="C34" i="13"/>
  <c r="E33" i="13"/>
  <c r="G33" i="13" s="1"/>
  <c r="C13" i="11" l="1"/>
  <c r="C14" i="16" s="1"/>
  <c r="C11" i="11"/>
  <c r="C12" i="16" s="1"/>
  <c r="C12" i="11"/>
  <c r="C13" i="16" s="1"/>
  <c r="C7" i="11"/>
  <c r="C8" i="16" s="1"/>
  <c r="C5" i="11"/>
  <c r="C8" i="11"/>
  <c r="C9" i="16" s="1"/>
  <c r="B6" i="16"/>
  <c r="C14" i="11"/>
  <c r="C10" i="11"/>
  <c r="C11" i="16" s="1"/>
  <c r="C9" i="11"/>
  <c r="C10" i="16" s="1"/>
  <c r="I33" i="13"/>
  <c r="F31" i="13"/>
  <c r="H30" i="13"/>
  <c r="J30" i="13" s="1"/>
  <c r="K30" i="13" s="1"/>
  <c r="L30" i="13" s="1"/>
  <c r="B33" i="13"/>
  <c r="D33" i="13" s="1"/>
  <c r="C35" i="13"/>
  <c r="E35" i="13" s="1"/>
  <c r="E34" i="13"/>
  <c r="G34" i="13" s="1"/>
  <c r="B7" i="16" l="1"/>
  <c r="C15" i="11"/>
  <c r="C15" i="16"/>
  <c r="C6" i="16"/>
  <c r="C5" i="16"/>
  <c r="I34" i="13"/>
  <c r="F32" i="13"/>
  <c r="H31" i="13"/>
  <c r="J31" i="13" s="1"/>
  <c r="K31" i="13" s="1"/>
  <c r="B34" i="13"/>
  <c r="D34" i="13" s="1"/>
  <c r="B4" i="13" s="1"/>
  <c r="G35" i="13"/>
  <c r="C36" i="13"/>
  <c r="E36" i="13" s="1"/>
  <c r="C23" i="16" l="1"/>
  <c r="D5" i="16" s="1"/>
  <c r="B8" i="16"/>
  <c r="C16" i="16"/>
  <c r="C19" i="16" s="1"/>
  <c r="C32" i="16" s="1"/>
  <c r="C16" i="11"/>
  <c r="L31" i="13"/>
  <c r="K82" i="13"/>
  <c r="C24" i="1" s="1"/>
  <c r="I35" i="13"/>
  <c r="B35" i="13"/>
  <c r="D35" i="13" s="1"/>
  <c r="G36" i="13"/>
  <c r="C37" i="13"/>
  <c r="E37" i="13" s="1"/>
  <c r="F33" i="13"/>
  <c r="H32" i="13"/>
  <c r="J32" i="13" s="1"/>
  <c r="K32" i="13" s="1"/>
  <c r="L32" i="13" s="1"/>
  <c r="C34" i="16" l="1"/>
  <c r="C35" i="16" s="1"/>
  <c r="C30" i="1" s="1"/>
  <c r="C29" i="1"/>
  <c r="E29" i="1" s="1"/>
  <c r="B9" i="16"/>
  <c r="D6" i="16"/>
  <c r="E5" i="16"/>
  <c r="I36" i="13"/>
  <c r="C38" i="13"/>
  <c r="E38" i="13" s="1"/>
  <c r="G37" i="13"/>
  <c r="B36" i="13"/>
  <c r="F34" i="13"/>
  <c r="H33" i="13"/>
  <c r="J33" i="13" s="1"/>
  <c r="K33" i="13" s="1"/>
  <c r="L33" i="13" s="1"/>
  <c r="B10" i="16" l="1"/>
  <c r="D7" i="16"/>
  <c r="E6" i="16"/>
  <c r="E30" i="1"/>
  <c r="C15" i="1"/>
  <c r="C17" i="1" s="1"/>
  <c r="I37" i="13"/>
  <c r="F35" i="13"/>
  <c r="H34" i="13"/>
  <c r="J34" i="13" s="1"/>
  <c r="K34" i="13" s="1"/>
  <c r="L34" i="13" s="1"/>
  <c r="C39" i="13"/>
  <c r="E39" i="13" s="1"/>
  <c r="B37" i="13"/>
  <c r="D36" i="13"/>
  <c r="E15" i="1" l="1"/>
  <c r="D8" i="16"/>
  <c r="E7" i="16"/>
  <c r="B11" i="16"/>
  <c r="F36" i="13"/>
  <c r="H35" i="13"/>
  <c r="J35" i="13" s="1"/>
  <c r="K35" i="13" s="1"/>
  <c r="L35" i="13" s="1"/>
  <c r="B38" i="13"/>
  <c r="D37" i="13"/>
  <c r="C40" i="13"/>
  <c r="E40" i="13" s="1"/>
  <c r="G38" i="13"/>
  <c r="E17" i="1" l="1"/>
  <c r="D9" i="16"/>
  <c r="E8" i="16"/>
  <c r="B12" i="16"/>
  <c r="G39" i="13"/>
  <c r="I38" i="13"/>
  <c r="F37" i="13"/>
  <c r="H36" i="13"/>
  <c r="J36" i="13" s="1"/>
  <c r="K36" i="13" s="1"/>
  <c r="L36" i="13" s="1"/>
  <c r="C41" i="13"/>
  <c r="E41" i="13" s="1"/>
  <c r="D38" i="13"/>
  <c r="B39" i="13"/>
  <c r="D39" i="13" s="1"/>
  <c r="D10" i="16" l="1"/>
  <c r="E9" i="16"/>
  <c r="B13" i="16"/>
  <c r="B40" i="13"/>
  <c r="G40" i="13"/>
  <c r="I39" i="13"/>
  <c r="C42" i="13"/>
  <c r="E42" i="13" s="1"/>
  <c r="F38" i="13"/>
  <c r="H37" i="13"/>
  <c r="J37" i="13" s="1"/>
  <c r="K37" i="13" s="1"/>
  <c r="L37" i="13" s="1"/>
  <c r="D11" i="16" l="1"/>
  <c r="E10" i="16"/>
  <c r="B14" i="16"/>
  <c r="F39" i="13"/>
  <c r="H38" i="13"/>
  <c r="J38" i="13" s="1"/>
  <c r="K38" i="13" s="1"/>
  <c r="L38" i="13" s="1"/>
  <c r="C43" i="13"/>
  <c r="E43" i="13" s="1"/>
  <c r="B41" i="13"/>
  <c r="D41" i="13" s="1"/>
  <c r="D40" i="13"/>
  <c r="G41" i="13"/>
  <c r="I40" i="13"/>
  <c r="B15" i="16" l="1"/>
  <c r="D12" i="16"/>
  <c r="E11" i="16"/>
  <c r="C44" i="13"/>
  <c r="E44" i="13" s="1"/>
  <c r="G42" i="13"/>
  <c r="I41" i="13"/>
  <c r="B42" i="13"/>
  <c r="F40" i="13"/>
  <c r="H39" i="13"/>
  <c r="J39" i="13" s="1"/>
  <c r="K39" i="13" s="1"/>
  <c r="L39" i="13" s="1"/>
  <c r="D13" i="16" l="1"/>
  <c r="E12" i="16"/>
  <c r="B18" i="16"/>
  <c r="C13" i="1" s="1"/>
  <c r="F41" i="13"/>
  <c r="H40" i="13"/>
  <c r="J40" i="13" s="1"/>
  <c r="K40" i="13" s="1"/>
  <c r="L40" i="13" s="1"/>
  <c r="B43" i="13"/>
  <c r="D43" i="13" s="1"/>
  <c r="D42" i="13"/>
  <c r="C45" i="13"/>
  <c r="E45" i="13" s="1"/>
  <c r="G43" i="13"/>
  <c r="I42" i="13"/>
  <c r="C27" i="8"/>
  <c r="B27" i="8"/>
  <c r="D26" i="8"/>
  <c r="E26" i="8" s="1"/>
  <c r="D25" i="8"/>
  <c r="E25" i="8" s="1"/>
  <c r="D24" i="8"/>
  <c r="E24" i="8" s="1"/>
  <c r="D23" i="8"/>
  <c r="E23" i="8" s="1"/>
  <c r="H22" i="8"/>
  <c r="G22" i="8"/>
  <c r="D22" i="8"/>
  <c r="E22" i="8" s="1"/>
  <c r="I21" i="8"/>
  <c r="J21" i="8" s="1"/>
  <c r="D21" i="8"/>
  <c r="E21" i="8" s="1"/>
  <c r="I20" i="8"/>
  <c r="J20" i="8" s="1"/>
  <c r="D20" i="8"/>
  <c r="E20" i="8" s="1"/>
  <c r="BA19" i="8"/>
  <c r="AZ19" i="8"/>
  <c r="M19" i="8"/>
  <c r="L19" i="8"/>
  <c r="I19" i="8"/>
  <c r="J19" i="8" s="1"/>
  <c r="D19" i="8"/>
  <c r="E19" i="8" s="1"/>
  <c r="BB18" i="8"/>
  <c r="BC18" i="8" s="1"/>
  <c r="N18" i="8"/>
  <c r="O18" i="8" s="1"/>
  <c r="I18" i="8"/>
  <c r="J18" i="8" s="1"/>
  <c r="D18" i="8"/>
  <c r="E18" i="8" s="1"/>
  <c r="BB17" i="8"/>
  <c r="BC17" i="8" s="1"/>
  <c r="AV17" i="8"/>
  <c r="AU17" i="8"/>
  <c r="AG17" i="8"/>
  <c r="AF17" i="8"/>
  <c r="N17" i="8"/>
  <c r="O17" i="8" s="1"/>
  <c r="I17" i="8"/>
  <c r="J17" i="8" s="1"/>
  <c r="D17" i="8"/>
  <c r="E17" i="8" s="1"/>
  <c r="BB16" i="8"/>
  <c r="BC16" i="8" s="1"/>
  <c r="AW16" i="8"/>
  <c r="AX16" i="8" s="1"/>
  <c r="AQ16" i="8"/>
  <c r="AP16" i="8"/>
  <c r="AH16" i="8"/>
  <c r="AI16" i="8" s="1"/>
  <c r="N16" i="8"/>
  <c r="O16" i="8" s="1"/>
  <c r="I16" i="8"/>
  <c r="J16" i="8" s="1"/>
  <c r="D16" i="8"/>
  <c r="E16" i="8" s="1"/>
  <c r="BB15" i="8"/>
  <c r="BC15" i="8" s="1"/>
  <c r="AW15" i="8"/>
  <c r="AX15" i="8" s="1"/>
  <c r="AR15" i="8"/>
  <c r="AS15" i="8" s="1"/>
  <c r="AH15" i="8"/>
  <c r="AI15" i="8" s="1"/>
  <c r="N15" i="8"/>
  <c r="O15" i="8" s="1"/>
  <c r="I15" i="8"/>
  <c r="J15" i="8" s="1"/>
  <c r="D15" i="8"/>
  <c r="E15" i="8" s="1"/>
  <c r="BB14" i="8"/>
  <c r="BC14" i="8" s="1"/>
  <c r="AW14" i="8"/>
  <c r="AX14" i="8" s="1"/>
  <c r="AR14" i="8"/>
  <c r="AS14" i="8" s="1"/>
  <c r="AH14" i="8"/>
  <c r="AI14" i="8" s="1"/>
  <c r="R14" i="8"/>
  <c r="Q14" i="8"/>
  <c r="N14" i="8"/>
  <c r="O14" i="8" s="1"/>
  <c r="I14" i="8"/>
  <c r="J14" i="8" s="1"/>
  <c r="D14" i="8"/>
  <c r="E14" i="8" s="1"/>
  <c r="BB13" i="8"/>
  <c r="BC13" i="8" s="1"/>
  <c r="AW13" i="8"/>
  <c r="AX13" i="8" s="1"/>
  <c r="AR13" i="8"/>
  <c r="AS13" i="8" s="1"/>
  <c r="AH13" i="8"/>
  <c r="AI13" i="8" s="1"/>
  <c r="S13" i="8"/>
  <c r="T13" i="8" s="1"/>
  <c r="N13" i="8"/>
  <c r="O13" i="8" s="1"/>
  <c r="I13" i="8"/>
  <c r="J13" i="8" s="1"/>
  <c r="D13" i="8"/>
  <c r="E13" i="8" s="1"/>
  <c r="BB12" i="8"/>
  <c r="BC12" i="8" s="1"/>
  <c r="AW12" i="8"/>
  <c r="AX12" i="8" s="1"/>
  <c r="AR12" i="8"/>
  <c r="AS12" i="8" s="1"/>
  <c r="AH12" i="8"/>
  <c r="AI12" i="8" s="1"/>
  <c r="W12" i="8"/>
  <c r="V12" i="8"/>
  <c r="S12" i="8"/>
  <c r="T12" i="8" s="1"/>
  <c r="N12" i="8"/>
  <c r="O12" i="8" s="1"/>
  <c r="I12" i="8"/>
  <c r="J12" i="8" s="1"/>
  <c r="D12" i="8"/>
  <c r="E12" i="8" s="1"/>
  <c r="BB11" i="8"/>
  <c r="BC11" i="8" s="1"/>
  <c r="AW11" i="8"/>
  <c r="AX11" i="8" s="1"/>
  <c r="AR11" i="8"/>
  <c r="AS11" i="8" s="1"/>
  <c r="AH11" i="8"/>
  <c r="AI11" i="8" s="1"/>
  <c r="X11" i="8"/>
  <c r="Y11" i="8" s="1"/>
  <c r="S11" i="8"/>
  <c r="T11" i="8" s="1"/>
  <c r="N11" i="8"/>
  <c r="O11" i="8" s="1"/>
  <c r="I11" i="8"/>
  <c r="J11" i="8" s="1"/>
  <c r="D11" i="8"/>
  <c r="E11" i="8" s="1"/>
  <c r="BB10" i="8"/>
  <c r="BC10" i="8" s="1"/>
  <c r="AW10" i="8"/>
  <c r="AX10" i="8" s="1"/>
  <c r="AR10" i="8"/>
  <c r="AS10" i="8" s="1"/>
  <c r="AL10" i="8"/>
  <c r="AH10" i="8"/>
  <c r="AI10" i="8" s="1"/>
  <c r="AB10" i="8"/>
  <c r="AA10" i="8"/>
  <c r="X10" i="8"/>
  <c r="Y10" i="8" s="1"/>
  <c r="S10" i="8"/>
  <c r="T10" i="8" s="1"/>
  <c r="N10" i="8"/>
  <c r="O10" i="8" s="1"/>
  <c r="I10" i="8"/>
  <c r="J10" i="8" s="1"/>
  <c r="D10" i="8"/>
  <c r="E10" i="8" s="1"/>
  <c r="BB9" i="8"/>
  <c r="BC9" i="8" s="1"/>
  <c r="AX9" i="8"/>
  <c r="AW9" i="8"/>
  <c r="AS9" i="8"/>
  <c r="AR9" i="8"/>
  <c r="AK9" i="8"/>
  <c r="AM9" i="8" s="1"/>
  <c r="AN9" i="8" s="1"/>
  <c r="AH9" i="8"/>
  <c r="AI9" i="8" s="1"/>
  <c r="AC9" i="8"/>
  <c r="AD9" i="8" s="1"/>
  <c r="X9" i="8"/>
  <c r="Y9" i="8" s="1"/>
  <c r="S9" i="8"/>
  <c r="T9" i="8" s="1"/>
  <c r="N9" i="8"/>
  <c r="O9" i="8" s="1"/>
  <c r="I9" i="8"/>
  <c r="J9" i="8" s="1"/>
  <c r="D9" i="8"/>
  <c r="E9" i="8" s="1"/>
  <c r="BB8" i="8"/>
  <c r="BC8" i="8" s="1"/>
  <c r="AW8" i="8"/>
  <c r="AX8" i="8" s="1"/>
  <c r="AR8" i="8"/>
  <c r="AS8" i="8" s="1"/>
  <c r="AM8" i="8"/>
  <c r="AN8" i="8" s="1"/>
  <c r="AK8" i="8"/>
  <c r="AI8" i="8"/>
  <c r="AH8" i="8"/>
  <c r="AD8" i="8"/>
  <c r="AC8" i="8"/>
  <c r="Y8" i="8"/>
  <c r="X8" i="8"/>
  <c r="T8" i="8"/>
  <c r="S8" i="8"/>
  <c r="O8" i="8"/>
  <c r="N8" i="8"/>
  <c r="J8" i="8"/>
  <c r="I8" i="8"/>
  <c r="E8" i="8"/>
  <c r="D8" i="8"/>
  <c r="BC7" i="8"/>
  <c r="BB7" i="8"/>
  <c r="AX7" i="8"/>
  <c r="AW7" i="8"/>
  <c r="AS7" i="8"/>
  <c r="AR7" i="8"/>
  <c r="AK7" i="8"/>
  <c r="AM7" i="8" s="1"/>
  <c r="AN7" i="8" s="1"/>
  <c r="AH7" i="8"/>
  <c r="AI7" i="8" s="1"/>
  <c r="AC7" i="8"/>
  <c r="AD7" i="8" s="1"/>
  <c r="X7" i="8"/>
  <c r="Y7" i="8" s="1"/>
  <c r="S7" i="8"/>
  <c r="T7" i="8" s="1"/>
  <c r="N7" i="8"/>
  <c r="O7" i="8" s="1"/>
  <c r="I7" i="8"/>
  <c r="J7" i="8" s="1"/>
  <c r="D7" i="8"/>
  <c r="E7" i="8" s="1"/>
  <c r="BB6" i="8"/>
  <c r="BC6" i="8" s="1"/>
  <c r="AW6" i="8"/>
  <c r="AW17" i="8" s="1"/>
  <c r="AR6" i="8"/>
  <c r="AS6" i="8" s="1"/>
  <c r="AM6" i="8"/>
  <c r="AM10" i="8" s="1"/>
  <c r="AK6" i="8"/>
  <c r="AK10" i="8" s="1"/>
  <c r="AI6" i="8"/>
  <c r="AH6" i="8"/>
  <c r="AD6" i="8"/>
  <c r="AC6" i="8"/>
  <c r="AC10" i="8" s="1"/>
  <c r="Y6" i="8"/>
  <c r="X6" i="8"/>
  <c r="T6" i="8"/>
  <c r="S6" i="8"/>
  <c r="O6" i="8"/>
  <c r="N6" i="8"/>
  <c r="N19" i="8" s="1"/>
  <c r="J6" i="8"/>
  <c r="I6" i="8"/>
  <c r="E6" i="8"/>
  <c r="D6" i="8"/>
  <c r="D27" i="8" s="1"/>
  <c r="BB5" i="8"/>
  <c r="D14" i="16" l="1"/>
  <c r="E13" i="16"/>
  <c r="E13" i="1"/>
  <c r="F42" i="13"/>
  <c r="H41" i="13"/>
  <c r="J41" i="13" s="1"/>
  <c r="K41" i="13" s="1"/>
  <c r="L41" i="13" s="1"/>
  <c r="G44" i="13"/>
  <c r="I43" i="13"/>
  <c r="C46" i="13"/>
  <c r="B44" i="13"/>
  <c r="D44" i="13" s="1"/>
  <c r="AS16" i="8"/>
  <c r="BC19" i="8"/>
  <c r="E27" i="8"/>
  <c r="J22" i="8"/>
  <c r="O19" i="8"/>
  <c r="T14" i="8"/>
  <c r="Y12" i="8"/>
  <c r="AD10" i="8"/>
  <c r="AI17" i="8"/>
  <c r="X12" i="8"/>
  <c r="S14" i="8"/>
  <c r="AR16" i="8"/>
  <c r="AH17" i="8"/>
  <c r="BB19" i="8"/>
  <c r="I22" i="8"/>
  <c r="AN6" i="8"/>
  <c r="AN10" i="8" s="1"/>
  <c r="AX6" i="8"/>
  <c r="AX17" i="8" s="1"/>
  <c r="D15" i="16" l="1"/>
  <c r="E14" i="16"/>
  <c r="E46" i="13"/>
  <c r="G45" i="13"/>
  <c r="I44" i="13"/>
  <c r="B45" i="13"/>
  <c r="D45" i="13" s="1"/>
  <c r="C47" i="13"/>
  <c r="E47" i="13" s="1"/>
  <c r="F43" i="13"/>
  <c r="H42" i="13"/>
  <c r="J42" i="13" s="1"/>
  <c r="K42" i="13" s="1"/>
  <c r="L42" i="13" s="1"/>
  <c r="D16" i="16" l="1"/>
  <c r="E15" i="16"/>
  <c r="C48" i="13"/>
  <c r="E48" i="13" s="1"/>
  <c r="B46" i="13"/>
  <c r="D46" i="13" s="1"/>
  <c r="C4" i="13" s="1"/>
  <c r="F44" i="13"/>
  <c r="H43" i="13"/>
  <c r="J43" i="13" s="1"/>
  <c r="K43" i="13" s="1"/>
  <c r="L43" i="13" s="1"/>
  <c r="G46" i="13"/>
  <c r="I45" i="13"/>
  <c r="D17" i="16" l="1"/>
  <c r="E16" i="16"/>
  <c r="G47" i="13"/>
  <c r="I47" i="13" s="1"/>
  <c r="I46" i="13"/>
  <c r="B47" i="13"/>
  <c r="D47" i="13" s="1"/>
  <c r="C49" i="13"/>
  <c r="E49" i="13" s="1"/>
  <c r="F45" i="13"/>
  <c r="F46" i="13" s="1"/>
  <c r="H44" i="13"/>
  <c r="J44" i="13" s="1"/>
  <c r="K44" i="13" s="1"/>
  <c r="L44" i="13" s="1"/>
  <c r="D14" i="1" l="1"/>
  <c r="E17" i="16"/>
  <c r="E18" i="16" s="1"/>
  <c r="D18" i="16"/>
  <c r="C14" i="1" s="1"/>
  <c r="C18" i="1" s="1"/>
  <c r="H45" i="13"/>
  <c r="J45" i="13" s="1"/>
  <c r="K45" i="13" s="1"/>
  <c r="L45" i="13" s="1"/>
  <c r="B48" i="13"/>
  <c r="C50" i="13"/>
  <c r="E50" i="13" s="1"/>
  <c r="G48" i="13"/>
  <c r="D18" i="1" l="1"/>
  <c r="E14" i="1"/>
  <c r="G49" i="13"/>
  <c r="I48" i="13"/>
  <c r="C51" i="13"/>
  <c r="E51" i="13" s="1"/>
  <c r="B49" i="13"/>
  <c r="D48" i="13"/>
  <c r="F47" i="13"/>
  <c r="H47" i="13" s="1"/>
  <c r="H46" i="13"/>
  <c r="E18" i="1" l="1"/>
  <c r="J46" i="13"/>
  <c r="K46" i="13" s="1"/>
  <c r="F15" i="5" s="1"/>
  <c r="D35" i="16"/>
  <c r="C32" i="1" s="1"/>
  <c r="F48" i="13"/>
  <c r="C52" i="13"/>
  <c r="E52" i="13" s="1"/>
  <c r="B50" i="13"/>
  <c r="D49" i="13"/>
  <c r="G50" i="13"/>
  <c r="I49" i="13"/>
  <c r="C23" i="1" l="1"/>
  <c r="C25" i="1" s="1"/>
  <c r="E32" i="1"/>
  <c r="C33" i="1"/>
  <c r="L46" i="13"/>
  <c r="F49" i="13"/>
  <c r="J47" i="13"/>
  <c r="K47" i="13" s="1"/>
  <c r="H48" i="13"/>
  <c r="J48" i="13" s="1"/>
  <c r="K48" i="13" s="1"/>
  <c r="F17" i="5" s="1"/>
  <c r="G51" i="13"/>
  <c r="I50" i="13"/>
  <c r="B51" i="13"/>
  <c r="D50" i="13"/>
  <c r="C53" i="13"/>
  <c r="E53" i="13" s="1"/>
  <c r="E23" i="1" l="1"/>
  <c r="F16" i="5"/>
  <c r="L47" i="13"/>
  <c r="L48" i="13"/>
  <c r="E17" i="5" s="1"/>
  <c r="C54" i="13"/>
  <c r="D51" i="13"/>
  <c r="B52" i="13"/>
  <c r="F50" i="13"/>
  <c r="H49" i="13"/>
  <c r="J49" i="13" s="1"/>
  <c r="K49" i="13" s="1"/>
  <c r="G52" i="13"/>
  <c r="I51" i="13"/>
  <c r="E25" i="1" l="1"/>
  <c r="C26" i="1"/>
  <c r="E54" i="13"/>
  <c r="L49" i="13"/>
  <c r="E18" i="5" s="1"/>
  <c r="F18" i="5"/>
  <c r="E16" i="5"/>
  <c r="G53" i="13"/>
  <c r="I52" i="13"/>
  <c r="F51" i="13"/>
  <c r="H50" i="13"/>
  <c r="J50" i="13" s="1"/>
  <c r="K50" i="13" s="1"/>
  <c r="D52" i="13"/>
  <c r="B53" i="13"/>
  <c r="C55" i="13"/>
  <c r="E55" i="13" s="1"/>
  <c r="L50" i="13" l="1"/>
  <c r="E19" i="5" s="1"/>
  <c r="F19" i="5"/>
  <c r="B54" i="13"/>
  <c r="D53" i="13"/>
  <c r="F52" i="13"/>
  <c r="H51" i="13"/>
  <c r="J51" i="13" s="1"/>
  <c r="K51" i="13" s="1"/>
  <c r="G54" i="13"/>
  <c r="I53" i="13"/>
  <c r="C56" i="13"/>
  <c r="E56" i="13" s="1"/>
  <c r="L51" i="13" l="1"/>
  <c r="E20" i="5" s="1"/>
  <c r="F20" i="5"/>
  <c r="G55" i="13"/>
  <c r="I54" i="13"/>
  <c r="F53" i="13"/>
  <c r="H52" i="13"/>
  <c r="J52" i="13" s="1"/>
  <c r="K52" i="13" s="1"/>
  <c r="C57" i="13"/>
  <c r="E57" i="13" s="1"/>
  <c r="B55" i="13"/>
  <c r="D54" i="13"/>
  <c r="L52" i="13" l="1"/>
  <c r="E21" i="5" s="1"/>
  <c r="F21" i="5"/>
  <c r="F54" i="13"/>
  <c r="H53" i="13"/>
  <c r="J53" i="13" s="1"/>
  <c r="K53" i="13" s="1"/>
  <c r="G56" i="13"/>
  <c r="I55" i="13"/>
  <c r="C58" i="13"/>
  <c r="B56" i="13"/>
  <c r="D55" i="13"/>
  <c r="E58" i="13" l="1"/>
  <c r="E84" i="13" s="1"/>
  <c r="C85" i="13"/>
  <c r="L53" i="13"/>
  <c r="F22" i="5"/>
  <c r="C59" i="13"/>
  <c r="D56" i="13"/>
  <c r="B57" i="13"/>
  <c r="G57" i="13"/>
  <c r="I56" i="13"/>
  <c r="F55" i="13"/>
  <c r="H54" i="13"/>
  <c r="J54" i="13" s="1"/>
  <c r="K54" i="13" s="1"/>
  <c r="C60" i="13" l="1"/>
  <c r="E60" i="13" s="1"/>
  <c r="E59" i="13"/>
  <c r="L54" i="13"/>
  <c r="E23" i="5" s="1"/>
  <c r="F23" i="5"/>
  <c r="E22" i="5"/>
  <c r="F56" i="13"/>
  <c r="H55" i="13"/>
  <c r="J55" i="13" s="1"/>
  <c r="K55" i="13" s="1"/>
  <c r="B58" i="13"/>
  <c r="B85" i="13" s="1"/>
  <c r="D57" i="13"/>
  <c r="G58" i="13"/>
  <c r="G85" i="13" s="1"/>
  <c r="I57" i="13"/>
  <c r="D31" i="1"/>
  <c r="D33" i="1" l="1"/>
  <c r="L55" i="13"/>
  <c r="E24" i="5" s="1"/>
  <c r="F24" i="5"/>
  <c r="E31" i="1"/>
  <c r="C87" i="13"/>
  <c r="D21" i="1"/>
  <c r="G59" i="13"/>
  <c r="G60" i="13" s="1"/>
  <c r="I60" i="13" s="1"/>
  <c r="I58" i="13"/>
  <c r="I85" i="13" s="1"/>
  <c r="B59" i="13"/>
  <c r="D58" i="13"/>
  <c r="D84" i="13" s="1"/>
  <c r="C61" i="13"/>
  <c r="F57" i="13"/>
  <c r="H56" i="13"/>
  <c r="J56" i="13" s="1"/>
  <c r="K56" i="13" s="1"/>
  <c r="D4" i="13" l="1"/>
  <c r="E33" i="1"/>
  <c r="L56" i="13"/>
  <c r="E25" i="5" s="1"/>
  <c r="F25" i="5"/>
  <c r="D59" i="13"/>
  <c r="E4" i="13" s="1"/>
  <c r="B60" i="13"/>
  <c r="D60" i="13" s="1"/>
  <c r="F4" i="13" s="1"/>
  <c r="E21" i="1"/>
  <c r="E61" i="13"/>
  <c r="C62" i="13"/>
  <c r="B87" i="13"/>
  <c r="F58" i="13"/>
  <c r="F85" i="13" s="1"/>
  <c r="H57" i="13"/>
  <c r="J57" i="13" s="1"/>
  <c r="K57" i="13" s="1"/>
  <c r="D22" i="1"/>
  <c r="I59" i="13"/>
  <c r="E37" i="1" l="1"/>
  <c r="L57" i="13"/>
  <c r="E26" i="5" s="1"/>
  <c r="F26" i="5"/>
  <c r="E22" i="1"/>
  <c r="B61" i="13"/>
  <c r="D61" i="13" s="1"/>
  <c r="G4" i="13" s="1"/>
  <c r="G61" i="13"/>
  <c r="C63" i="13"/>
  <c r="E62" i="13"/>
  <c r="F59" i="13"/>
  <c r="F60" i="13" s="1"/>
  <c r="H60" i="13" s="1"/>
  <c r="J60" i="13" s="1"/>
  <c r="K60" i="13" s="1"/>
  <c r="H58" i="13"/>
  <c r="E38" i="1" l="1"/>
  <c r="J58" i="13"/>
  <c r="K58" i="13" s="1"/>
  <c r="L58" i="13" s="1"/>
  <c r="H85" i="13"/>
  <c r="H59" i="13"/>
  <c r="G62" i="13"/>
  <c r="I61" i="13"/>
  <c r="C64" i="13"/>
  <c r="E63" i="13"/>
  <c r="B62" i="13"/>
  <c r="D62" i="13" s="1"/>
  <c r="H4" i="13" s="1"/>
  <c r="K85" i="13" l="1"/>
  <c r="F27" i="5"/>
  <c r="E27" i="5"/>
  <c r="L84" i="13"/>
  <c r="B63" i="13"/>
  <c r="D63" i="13" s="1"/>
  <c r="I4" i="13" s="1"/>
  <c r="F61" i="13"/>
  <c r="G63" i="13"/>
  <c r="I62" i="13"/>
  <c r="J59" i="13"/>
  <c r="K59" i="13" s="1"/>
  <c r="L60" i="13" s="1"/>
  <c r="E64" i="13"/>
  <c r="C65" i="13"/>
  <c r="G64" i="13" l="1"/>
  <c r="I63" i="13"/>
  <c r="L59" i="13"/>
  <c r="F62" i="13"/>
  <c r="H61" i="13"/>
  <c r="J61" i="13" s="1"/>
  <c r="K61" i="13" s="1"/>
  <c r="L61" i="13" s="1"/>
  <c r="B64" i="13"/>
  <c r="D64" i="13" s="1"/>
  <c r="J4" i="13" s="1"/>
  <c r="E65" i="13"/>
  <c r="C66" i="13"/>
  <c r="F63" i="13" l="1"/>
  <c r="H62" i="13"/>
  <c r="J62" i="13" s="1"/>
  <c r="K62" i="13" s="1"/>
  <c r="L62" i="13" s="1"/>
  <c r="C67" i="13"/>
  <c r="E66" i="13"/>
  <c r="B65" i="13"/>
  <c r="D65" i="13" s="1"/>
  <c r="K4" i="13" s="1"/>
  <c r="G65" i="13"/>
  <c r="I64" i="13"/>
  <c r="C68" i="13" l="1"/>
  <c r="E67" i="13"/>
  <c r="G66" i="13"/>
  <c r="I65" i="13"/>
  <c r="B66" i="13"/>
  <c r="D66" i="13" s="1"/>
  <c r="L4" i="13" s="1"/>
  <c r="F64" i="13"/>
  <c r="H63" i="13"/>
  <c r="J63" i="13" s="1"/>
  <c r="K63" i="13" s="1"/>
  <c r="L63" i="13" s="1"/>
  <c r="G67" i="13" l="1"/>
  <c r="I66" i="13"/>
  <c r="C69" i="13"/>
  <c r="E68" i="13"/>
  <c r="B67" i="13"/>
  <c r="D67" i="13" s="1"/>
  <c r="M4" i="13" s="1"/>
  <c r="F65" i="13"/>
  <c r="H64" i="13"/>
  <c r="J64" i="13" s="1"/>
  <c r="K64" i="13" s="1"/>
  <c r="L64" i="13" s="1"/>
  <c r="E69" i="13" l="1"/>
  <c r="C70" i="13"/>
  <c r="B68" i="13"/>
  <c r="D68" i="13" s="1"/>
  <c r="N4" i="13" s="1"/>
  <c r="F66" i="13"/>
  <c r="H65" i="13"/>
  <c r="J65" i="13" s="1"/>
  <c r="K65" i="13" s="1"/>
  <c r="L65" i="13" s="1"/>
  <c r="G68" i="13"/>
  <c r="I67" i="13"/>
  <c r="F67" i="13" l="1"/>
  <c r="H66" i="13"/>
  <c r="J66" i="13" s="1"/>
  <c r="K66" i="13" s="1"/>
  <c r="L66" i="13" s="1"/>
  <c r="B69" i="13"/>
  <c r="D69" i="13" s="1"/>
  <c r="O4" i="13" s="1"/>
  <c r="C71" i="13"/>
  <c r="E70" i="13"/>
  <c r="G69" i="13"/>
  <c r="I68" i="13"/>
  <c r="B70" i="13" l="1"/>
  <c r="D70" i="13" s="1"/>
  <c r="P4" i="13" s="1"/>
  <c r="C72" i="13"/>
  <c r="E71" i="13"/>
  <c r="G70" i="13"/>
  <c r="I69" i="13"/>
  <c r="F68" i="13"/>
  <c r="H67" i="13"/>
  <c r="J67" i="13" s="1"/>
  <c r="K67" i="13" s="1"/>
  <c r="L67" i="13" s="1"/>
  <c r="G71" i="13" l="1"/>
  <c r="I70" i="13"/>
  <c r="F69" i="13"/>
  <c r="H68" i="13"/>
  <c r="J68" i="13" s="1"/>
  <c r="K68" i="13" s="1"/>
  <c r="L68" i="13" s="1"/>
  <c r="E72" i="13"/>
  <c r="C73" i="13"/>
  <c r="B71" i="13"/>
  <c r="D71" i="13" s="1"/>
  <c r="B7" i="13" s="1"/>
  <c r="E73" i="13" l="1"/>
  <c r="C74" i="13"/>
  <c r="F70" i="13"/>
  <c r="H69" i="13"/>
  <c r="J69" i="13" s="1"/>
  <c r="K69" i="13" s="1"/>
  <c r="L69" i="13" s="1"/>
  <c r="B72" i="13"/>
  <c r="D72" i="13" s="1"/>
  <c r="C7" i="13" s="1"/>
  <c r="G72" i="13"/>
  <c r="I71" i="13"/>
  <c r="B73" i="13" l="1"/>
  <c r="C75" i="13"/>
  <c r="E74" i="13"/>
  <c r="G73" i="13"/>
  <c r="I72" i="13"/>
  <c r="F71" i="13"/>
  <c r="H70" i="13"/>
  <c r="J70" i="13" s="1"/>
  <c r="K70" i="13" s="1"/>
  <c r="L70" i="13" s="1"/>
  <c r="D73" i="13" l="1"/>
  <c r="D7" i="13" s="1"/>
  <c r="F72" i="13"/>
  <c r="H71" i="13"/>
  <c r="J71" i="13" s="1"/>
  <c r="K71" i="13" s="1"/>
  <c r="L71" i="13" s="1"/>
  <c r="B74" i="13"/>
  <c r="C76" i="13"/>
  <c r="E75" i="13"/>
  <c r="G74" i="13"/>
  <c r="I73" i="13"/>
  <c r="F73" i="13" l="1"/>
  <c r="H73" i="13" s="1"/>
  <c r="D74" i="13"/>
  <c r="E7" i="13" s="1"/>
  <c r="E76" i="13"/>
  <c r="C77" i="13"/>
  <c r="B75" i="13"/>
  <c r="G75" i="13"/>
  <c r="I74" i="13"/>
  <c r="H72" i="13"/>
  <c r="J72" i="13" s="1"/>
  <c r="K72" i="13" s="1"/>
  <c r="L72" i="13" s="1"/>
  <c r="F74" i="13" l="1"/>
  <c r="H74" i="13" s="1"/>
  <c r="D75" i="13"/>
  <c r="F7" i="13" s="1"/>
  <c r="B76" i="13"/>
  <c r="G76" i="13"/>
  <c r="I75" i="13"/>
  <c r="C78" i="13"/>
  <c r="E77" i="13"/>
  <c r="J73" i="13"/>
  <c r="K73" i="13" s="1"/>
  <c r="L73" i="13" s="1"/>
  <c r="F75" i="13" l="1"/>
  <c r="H75" i="13" s="1"/>
  <c r="D76" i="13"/>
  <c r="G7" i="13" s="1"/>
  <c r="J74" i="13"/>
  <c r="K74" i="13" s="1"/>
  <c r="L74" i="13" s="1"/>
  <c r="B77" i="13"/>
  <c r="C79" i="13"/>
  <c r="E78" i="13"/>
  <c r="G77" i="13"/>
  <c r="I76" i="13"/>
  <c r="F76" i="13" l="1"/>
  <c r="H76" i="13" s="1"/>
  <c r="B78" i="13"/>
  <c r="G78" i="13"/>
  <c r="I77" i="13"/>
  <c r="J75" i="13"/>
  <c r="K75" i="13" s="1"/>
  <c r="L75" i="13" s="1"/>
  <c r="I78" i="13" l="1"/>
  <c r="E79" i="13" s="1"/>
  <c r="G79" i="13" s="1"/>
  <c r="J76" i="13"/>
  <c r="K76" i="13" s="1"/>
  <c r="L76" i="13" s="1"/>
  <c r="B79" i="13"/>
  <c r="I79" i="13" l="1"/>
  <c r="J77" i="13"/>
  <c r="K77" i="13" s="1"/>
  <c r="L77" i="13" s="1"/>
  <c r="J78" i="13" l="1"/>
  <c r="K78" i="13" s="1"/>
  <c r="L78" i="13" s="1"/>
  <c r="J79" i="13" l="1"/>
  <c r="K79" i="13" l="1"/>
  <c r="L79" i="13" s="1"/>
  <c r="F87" i="13"/>
  <c r="L87" i="13" l="1"/>
  <c r="G87" i="13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B31" i="5" l="1"/>
  <c r="B30" i="5"/>
  <c r="B29" i="5"/>
  <c r="C28" i="5"/>
  <c r="H16" i="5" s="1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H17" i="5" l="1"/>
  <c r="G16" i="5"/>
  <c r="H18" i="5" l="1"/>
  <c r="G17" i="5"/>
  <c r="G18" i="5" l="1"/>
  <c r="H19" i="5"/>
  <c r="H20" i="5" l="1"/>
  <c r="G19" i="5"/>
  <c r="G20" i="5" l="1"/>
  <c r="H21" i="5"/>
  <c r="G21" i="5" l="1"/>
  <c r="H22" i="5"/>
  <c r="H23" i="5" l="1"/>
  <c r="G22" i="5"/>
  <c r="G23" i="5" l="1"/>
  <c r="H24" i="5"/>
  <c r="H25" i="5" l="1"/>
  <c r="G24" i="5"/>
  <c r="G25" i="5" l="1"/>
  <c r="H26" i="5"/>
  <c r="H27" i="5" l="1"/>
  <c r="G27" i="5" s="1"/>
  <c r="G26" i="5"/>
  <c r="J15" i="5" l="1"/>
  <c r="I16" i="5" l="1"/>
  <c r="J16" i="5" s="1"/>
  <c r="I17" i="5" l="1"/>
  <c r="J17" i="5" s="1"/>
  <c r="I18" i="5" l="1"/>
  <c r="J18" i="5" s="1"/>
  <c r="I19" i="5" l="1"/>
  <c r="J19" i="5" s="1"/>
  <c r="I20" i="5" l="1"/>
  <c r="J20" i="5" s="1"/>
  <c r="I21" i="5" l="1"/>
  <c r="J21" i="5" s="1"/>
  <c r="I22" i="5" l="1"/>
  <c r="J22" i="5" s="1"/>
  <c r="I23" i="5" l="1"/>
  <c r="J23" i="5" s="1"/>
  <c r="I24" i="5" l="1"/>
  <c r="J24" i="5" s="1"/>
  <c r="I25" i="5" l="1"/>
  <c r="J25" i="5" s="1"/>
  <c r="I26" i="5"/>
  <c r="F30" i="5"/>
  <c r="F31" i="5" s="1"/>
  <c r="J26" i="5" l="1"/>
  <c r="I27" i="5"/>
  <c r="I28" i="5" s="1"/>
  <c r="J27" i="5" l="1"/>
  <c r="E28" i="5"/>
  <c r="E29" i="5" s="1"/>
  <c r="J30" i="5" l="1"/>
  <c r="D24" i="1" s="1"/>
  <c r="E24" i="1" l="1"/>
  <c r="D26" i="1"/>
  <c r="E26" i="1" l="1"/>
</calcChain>
</file>

<file path=xl/comments1.xml><?xml version="1.0" encoding="utf-8"?>
<comments xmlns="http://schemas.openxmlformats.org/spreadsheetml/2006/main">
  <authors>
    <author>nchar</author>
  </authors>
  <commentList>
    <comment ref="C23" authorId="0">
      <text>
        <r>
          <rPr>
            <sz val="8"/>
            <color indexed="81"/>
            <rFont val="Tahoma"/>
            <family val="2"/>
          </rPr>
          <t>This amount represents A/D at Sept 30, 2015:
"A/D at July1, 2016 less Depreciation Expense Oct 2015 -  July 2015"</t>
        </r>
      </text>
    </comment>
  </commentList>
</comments>
</file>

<file path=xl/sharedStrings.xml><?xml version="1.0" encoding="utf-8"?>
<sst xmlns="http://schemas.openxmlformats.org/spreadsheetml/2006/main" count="332" uniqueCount="229">
  <si>
    <t>PUGET SOUND ENERGY-ELECTRIC</t>
  </si>
  <si>
    <t>LINE</t>
  </si>
  <si>
    <t>NO.</t>
  </si>
  <si>
    <t>DESCRIPTION</t>
  </si>
  <si>
    <t>TEST YEAR</t>
  </si>
  <si>
    <t>PROFORMA</t>
  </si>
  <si>
    <t>ADJUSTMENT</t>
  </si>
  <si>
    <t>PLANT BALANCE</t>
  </si>
  <si>
    <t xml:space="preserve">ACCUM DEPRECIATION </t>
  </si>
  <si>
    <t>TOTAL  RATEBASE</t>
  </si>
  <si>
    <t>Accumulated</t>
  </si>
  <si>
    <t>Balance</t>
  </si>
  <si>
    <t>Expense</t>
  </si>
  <si>
    <t>a</t>
  </si>
  <si>
    <t>b</t>
  </si>
  <si>
    <t>c</t>
  </si>
  <si>
    <t>Book Basis</t>
  </si>
  <si>
    <t>Date</t>
  </si>
  <si>
    <t>Depreciation Expense</t>
  </si>
  <si>
    <t>Net Book Value</t>
  </si>
  <si>
    <t>NBV Diff</t>
  </si>
  <si>
    <t>ADFIT</t>
  </si>
  <si>
    <t>DFIT</t>
  </si>
  <si>
    <t>Tax</t>
  </si>
  <si>
    <t>Book</t>
  </si>
  <si>
    <t>Book &gt; Tax</t>
  </si>
  <si>
    <t>(a)</t>
  </si>
  <si>
    <t>(b)</t>
  </si>
  <si>
    <t>PUGET SOUND ENERGY</t>
  </si>
  <si>
    <t>DETERMINATION OF RATE YEAR DEFERRED FEDERAL INCOME TAX ARISING FROM DEPRECIATION</t>
  </si>
  <si>
    <t>DFIT arising from Depreciation Expense</t>
  </si>
  <si>
    <t>AMA Calculation</t>
  </si>
  <si>
    <t>IRS Calculation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</si>
  <si>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</si>
  <si>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</si>
  <si>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</si>
  <si>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</si>
  <si>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</si>
  <si>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</si>
  <si>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</si>
  <si>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</si>
  <si>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</si>
  <si>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</si>
  <si>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Taxes</t>
  </si>
  <si>
    <t>to include</t>
  </si>
  <si>
    <t>in Period</t>
  </si>
  <si>
    <t>Amount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</si>
  <si>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</si>
  <si>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</si>
  <si>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</si>
  <si>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</si>
  <si>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</si>
  <si>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</si>
  <si>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</si>
  <si>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</si>
  <si>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</si>
  <si>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Depreciable Plant Balance</t>
  </si>
  <si>
    <t>Accumulated Depreciation</t>
  </si>
  <si>
    <t>Expense (o)</t>
  </si>
  <si>
    <t>= - curr mos</t>
  </si>
  <si>
    <t>x Tax Table</t>
  </si>
  <si>
    <t>mos.</t>
  </si>
  <si>
    <t>35%</t>
  </si>
  <si>
    <t>MACRS WITH 50% BONUS</t>
  </si>
  <si>
    <t>200DB</t>
  </si>
  <si>
    <t>STRAIGHT LINE (FOR SOFTWARE)</t>
  </si>
  <si>
    <t>150 DB</t>
  </si>
  <si>
    <t>Year</t>
  </si>
  <si>
    <t>20-Years</t>
  </si>
  <si>
    <t>15-Years</t>
  </si>
  <si>
    <t>12-Years</t>
  </si>
  <si>
    <t>7-Years</t>
  </si>
  <si>
    <t>5-Years</t>
  </si>
  <si>
    <t>3-Years</t>
  </si>
  <si>
    <t>10-Years</t>
  </si>
  <si>
    <t>9-Years</t>
  </si>
  <si>
    <t>with Bonus Depreciation</t>
  </si>
  <si>
    <t>check</t>
  </si>
  <si>
    <t>GOLDENDALE CAPACITY UPGRADE</t>
  </si>
  <si>
    <t>20 Year MACRS Table</t>
  </si>
  <si>
    <t>Total</t>
  </si>
  <si>
    <t>12ME December 2019</t>
  </si>
  <si>
    <t>12ME December 2020</t>
  </si>
  <si>
    <t>12ME December 2021</t>
  </si>
  <si>
    <t>12ME December 2022</t>
  </si>
  <si>
    <t>12ME December 2023</t>
  </si>
  <si>
    <t>12ME December 2024</t>
  </si>
  <si>
    <t>12ME December 2025</t>
  </si>
  <si>
    <t>12ME December 2026</t>
  </si>
  <si>
    <t>12ME December 2027</t>
  </si>
  <si>
    <t>12ME December 2028</t>
  </si>
  <si>
    <t>12ME December 2029</t>
  </si>
  <si>
    <t>12ME December 2030</t>
  </si>
  <si>
    <t>12ME December 2031</t>
  </si>
  <si>
    <t>12ME December 2032</t>
  </si>
  <si>
    <t>12ME December 2033</t>
  </si>
  <si>
    <t>12ME December 2034</t>
  </si>
  <si>
    <t>12ME December 2035</t>
  </si>
  <si>
    <t>12ME December 2036</t>
  </si>
  <si>
    <t>12ME December 2037</t>
  </si>
  <si>
    <t>12ME December 2038</t>
  </si>
  <si>
    <t>12ME December 2039</t>
  </si>
  <si>
    <t>x Depr % ÷ 12</t>
  </si>
  <si>
    <t>Use 100% of Book per Tax Dept</t>
  </si>
  <si>
    <t>current==&gt;</t>
  </si>
  <si>
    <t>proposed==&gt;</t>
  </si>
  <si>
    <t>Tax (c) = (a)</t>
  </si>
  <si>
    <t>Book (d) = (b)</t>
  </si>
  <si>
    <t xml:space="preserve">Book  </t>
  </si>
  <si>
    <t>(e) = prior</t>
  </si>
  <si>
    <t>(f) = prior</t>
  </si>
  <si>
    <t>(j) = - (i) *</t>
  </si>
  <si>
    <t>(j) + prior</t>
  </si>
  <si>
    <t>mos- (c)</t>
  </si>
  <si>
    <t>mos - (d)</t>
  </si>
  <si>
    <t>(g) = (a) + (e)</t>
  </si>
  <si>
    <t>(h) = (b) + (f)</t>
  </si>
  <si>
    <t>(i) = (h) - (g)</t>
  </si>
  <si>
    <t>mos (j)</t>
  </si>
  <si>
    <t>GRC RATE YEAR ENDED DECEMBER 30, 2018</t>
  </si>
  <si>
    <t>FOR THE TWELVE MONTHS ENDED SEPTEMBER 30, 2016</t>
  </si>
  <si>
    <t>INCREASE (DECREASE) NOI</t>
  </si>
  <si>
    <t>GOLDENDALE CAPACITY UPGRADE OPERATING EXPENSE</t>
  </si>
  <si>
    <t>accum_qty</t>
  </si>
  <si>
    <t>accum_cost</t>
  </si>
  <si>
    <t>allo_res</t>
  </si>
  <si>
    <t>NBV</t>
  </si>
  <si>
    <t>month</t>
  </si>
  <si>
    <t>description</t>
  </si>
  <si>
    <t>business_segment_desc</t>
  </si>
  <si>
    <t>asset_loc</t>
  </si>
  <si>
    <t>utility_account_id</t>
  </si>
  <si>
    <t>property_unit</t>
  </si>
  <si>
    <t>asset_id</t>
  </si>
  <si>
    <t>eng_in_service_year</t>
  </si>
  <si>
    <t>in_service_year</t>
  </si>
  <si>
    <t>work_order_number</t>
  </si>
  <si>
    <t>Puget Sound Energy</t>
  </si>
  <si>
    <t>Electric</t>
  </si>
  <si>
    <t>Goldendale Generation Facility</t>
  </si>
  <si>
    <t>Goldendale Generation Facility : GNR-GLD</t>
  </si>
  <si>
    <t xml:space="preserve">Combustion Liner:  </t>
  </si>
  <si>
    <t>GLD Combustion Inpsection - WO 103007579</t>
  </si>
  <si>
    <t>103007579</t>
  </si>
  <si>
    <t xml:space="preserve">Cowl Cap:  </t>
  </si>
  <si>
    <t xml:space="preserve">Fuel Nozzle:  </t>
  </si>
  <si>
    <t>GLD 2015 Unplanned CI - WO 103007856</t>
  </si>
  <si>
    <t>103007856</t>
  </si>
  <si>
    <t xml:space="preserve">Nozzles/Vanes:  </t>
  </si>
  <si>
    <t>Gld Compressor Repair order 103003697</t>
  </si>
  <si>
    <t>103003697</t>
  </si>
  <si>
    <t>Gld Compressor Repair order 131102001</t>
  </si>
  <si>
    <t>131102001</t>
  </si>
  <si>
    <t xml:space="preserve">Gld Compressor Repair order 103003698 </t>
  </si>
  <si>
    <t>103003698</t>
  </si>
  <si>
    <t>GLD CT Hot Gas Path - WO 103006178</t>
  </si>
  <si>
    <t>103006178</t>
  </si>
  <si>
    <t>Gld Compressor Repair order 131102000</t>
  </si>
  <si>
    <t>131102000</t>
  </si>
  <si>
    <t xml:space="preserve">Rotor Blade Bucket:  </t>
  </si>
  <si>
    <t xml:space="preserve">Shrouds:  </t>
  </si>
  <si>
    <t xml:space="preserve">Transition Piece:  </t>
  </si>
  <si>
    <t>Goldendale Capacity Upgrade</t>
  </si>
  <si>
    <t>Depreciation Expense from October 2015 to August 2016 (These assets were retired in August 2016)</t>
  </si>
  <si>
    <t>FERC</t>
  </si>
  <si>
    <t>Monthly Depreciation Expense</t>
  </si>
  <si>
    <t>E 3440 PRO Gen, Goldendale</t>
  </si>
  <si>
    <t xml:space="preserve">4) </t>
  </si>
  <si>
    <t>Total Depreciation Expense</t>
  </si>
  <si>
    <t>Notes:</t>
  </si>
  <si>
    <t xml:space="preserve">1) Deprecation Base </t>
  </si>
  <si>
    <t>2) Annual Provision Rate for E 3440</t>
  </si>
  <si>
    <t>3) Monthly Provision Rate for E 3440</t>
  </si>
  <si>
    <t>4) PSE uses straight line depreciation following a mid-month convention where one half month of depreciation is booked during the first and last month of service</t>
  </si>
  <si>
    <r>
      <t>UTILITY PLANT RATEBASE -</t>
    </r>
    <r>
      <rPr>
        <i/>
        <u/>
        <sz val="10"/>
        <rFont val="Times New Roman"/>
        <family val="1"/>
      </rPr>
      <t xml:space="preserve"> </t>
    </r>
    <r>
      <rPr>
        <b/>
        <i/>
        <u/>
        <sz val="10"/>
        <rFont val="Times New Roman"/>
        <family val="1"/>
      </rPr>
      <t>RETIRED ASSET</t>
    </r>
  </si>
  <si>
    <r>
      <t xml:space="preserve">UTILITY PLANT RATEBASE - </t>
    </r>
    <r>
      <rPr>
        <b/>
        <i/>
        <u/>
        <sz val="10"/>
        <rFont val="Times New Roman"/>
        <family val="1"/>
      </rPr>
      <t>NEW ADDITION</t>
    </r>
  </si>
  <si>
    <t>Total Addition</t>
  </si>
  <si>
    <t>years</t>
  </si>
  <si>
    <t>Goldendale Retired Assets</t>
  </si>
  <si>
    <t>AMA</t>
  </si>
  <si>
    <t>1. Addition: Totals by FERC Account</t>
  </si>
  <si>
    <t>Aug. 2016</t>
  </si>
  <si>
    <t>Oct. 2016</t>
  </si>
  <si>
    <t>1)</t>
  </si>
  <si>
    <t>2. Depreciation Expense for the Goldendale Capacity Upgrade</t>
  </si>
  <si>
    <t>Sept. 2016</t>
  </si>
  <si>
    <t>2)</t>
  </si>
  <si>
    <t>3. Retirement: Totals by FERC Account</t>
  </si>
  <si>
    <t>Total Retirement</t>
  </si>
  <si>
    <t>4. Total Reserve Balance for E 3440 PRO Gen, Goldendale in Sept. 2016</t>
  </si>
  <si>
    <t>3)</t>
  </si>
  <si>
    <t>Note</t>
  </si>
  <si>
    <t>1. Late charge unitization of $63k in October 2016</t>
  </si>
  <si>
    <t>2. Annual Provision Rate for E 3440</t>
  </si>
  <si>
    <t>3. E 3440 PRO Gen, Goldendale Reserve Balance in Power Plant is -$27M because of the early retirement of $25M.</t>
  </si>
  <si>
    <t>EOP</t>
  </si>
  <si>
    <t>A/D prior to July</t>
  </si>
  <si>
    <t>NBV, July 2016</t>
  </si>
  <si>
    <t>Plant Balance</t>
  </si>
  <si>
    <t>New Rate</t>
  </si>
  <si>
    <t>Escalation</t>
  </si>
  <si>
    <t>Current Rate</t>
  </si>
  <si>
    <t xml:space="preserve">ACCUM DEFERRED FIT </t>
  </si>
  <si>
    <t>Depr Exp at new rate</t>
  </si>
  <si>
    <t>INCREASE (DECREASE) FIT @</t>
  </si>
  <si>
    <t>Difference</t>
  </si>
  <si>
    <t xml:space="preserve">Depreciation Exp Escalation </t>
  </si>
  <si>
    <t>Retired Asset</t>
  </si>
  <si>
    <t>New Addition</t>
  </si>
  <si>
    <t>Depr Exp at old rate</t>
  </si>
  <si>
    <t>Cr</t>
  </si>
  <si>
    <t>Dr</t>
  </si>
  <si>
    <t>TOTAL DEPRECIATION</t>
  </si>
  <si>
    <t>RATE YEAR JANUARY 1, 2018 to DECEMBER 31, 2018</t>
  </si>
  <si>
    <t>September 30, 2016  *</t>
  </si>
  <si>
    <t>*Using these balances to represent the rate year AMA</t>
  </si>
  <si>
    <t xml:space="preserve">Goldendale Capcity Upgrade Book &amp; Tax Depreciation: </t>
  </si>
  <si>
    <t>Total - 12ME SEP '16</t>
  </si>
  <si>
    <t>AMA - 12ME SEP' 16</t>
  </si>
  <si>
    <t>RETIRED ASSET DERPRECATION EXPENSE</t>
  </si>
  <si>
    <t>NEW ASSET DEPRECIATION EXPENSE</t>
  </si>
  <si>
    <t>Page 9.09</t>
  </si>
  <si>
    <t>A/D PORTION INCLUDED IN DEPRECIATION STUDY</t>
  </si>
  <si>
    <t>DFIT PORTION INCLUDED IN DEPRECIATION STUDY</t>
  </si>
  <si>
    <t>DEP EXP PORTION INCLUDED IN DEPRECIATION STUDY</t>
  </si>
  <si>
    <t>In service Date August 25, 2016</t>
  </si>
  <si>
    <t>Total - 12ME DEC '18</t>
  </si>
  <si>
    <t>AMA - 12ME DEC '18</t>
  </si>
  <si>
    <t>DFIT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</si>
</sst>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0.000%"/>
    <numFmt numFmtId="168" formatCode="[$-409]mmm\-yy;@"/>
    <numFmt numFmtId="169" formatCode="[$-409]mmmm\ d\,\ yyyy;@"/>
    <numFmt numFmtId="170" formatCode="&quot;$&quot;#,##0.00"/>
    <numFmt numFmtId="171" formatCode="0.0"/>
    <numFmt numFmtId="172" formatCode="_(* #,##0.0000_);_(* \(#,##0.0000\);_(* &quot;-&quot;_);_(@_)"/>
    <numFmt numFmtId="173" formatCode="0.000000%"/>
    <numFmt numFmtId="174" formatCode="0.0000000%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Arial"/>
      <family val="2"/>
    </font>
    <font>
      <b/>
      <i/>
      <sz val="10"/>
      <name val="Times New Roman"/>
      <family val="1"/>
    </font>
    <font>
      <sz val="10"/>
      <name val="Symbol"/>
      <family val="1"/>
      <charset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14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i/>
      <u/>
      <sz val="10"/>
      <name val="Times New Roman"/>
      <family val="1"/>
    </font>
    <font>
      <b/>
      <i/>
      <u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>
      <alignment horizontal="left" wrapText="1"/>
    </xf>
    <xf numFmtId="44" fontId="26" fillId="0" borderId="0" applyFont="0" applyFill="0" applyBorder="0" applyAlignment="0" applyProtection="0"/>
  </cellStyleXfs>
  <cellXfs count="276">
    <xf numFmtId="0" fontId="0" fillId="0" borderId="0" xfId="0"/>
    <xf numFmtId="42" fontId="0" fillId="0" borderId="0" xfId="0" applyNumberFormat="1"/>
    <xf numFmtId="14" fontId="0" fillId="0" borderId="0" xfId="0" applyNumberFormat="1"/>
    <xf numFmtId="0" fontId="0" fillId="0" borderId="4" xfId="0" applyBorder="1" applyAlignment="1">
      <alignment horizontal="center"/>
    </xf>
    <xf numFmtId="171" fontId="22" fillId="0" borderId="0" xfId="0" applyNumberFormat="1" applyFont="1"/>
    <xf numFmtId="0" fontId="3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166" fontId="4" fillId="0" borderId="0" xfId="0" applyNumberFormat="1" applyFont="1" applyFill="1" applyAlignment="1" applyProtection="1">
      <alignment horizontal="centerContinuous"/>
      <protection locked="0"/>
    </xf>
    <xf numFmtId="166" fontId="4" fillId="0" borderId="0" xfId="0" applyNumberFormat="1" applyFont="1" applyFill="1" applyAlignment="1">
      <alignment horizontal="centerContinuous"/>
    </xf>
    <xf numFmtId="15" fontId="4" fillId="0" borderId="0" xfId="0" applyNumberFormat="1" applyFont="1" applyFill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166" fontId="4" fillId="0" borderId="0" xfId="0" applyNumberFormat="1" applyFont="1" applyFill="1" applyAlignment="1">
      <alignment horizontal="right"/>
    </xf>
    <xf numFmtId="41" fontId="5" fillId="0" borderId="0" xfId="0" applyNumberFormat="1" applyFont="1" applyFill="1"/>
    <xf numFmtId="42" fontId="5" fillId="0" borderId="3" xfId="0" applyNumberFormat="1" applyFont="1" applyFill="1" applyBorder="1"/>
    <xf numFmtId="0" fontId="0" fillId="0" borderId="0" xfId="0" applyNumberFormat="1" applyAlignment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166" fontId="1" fillId="0" borderId="0" xfId="0" applyNumberFormat="1" applyFont="1" applyFill="1" applyBorder="1" applyAlignment="1">
      <alignment horizontal="left"/>
    </xf>
    <xf numFmtId="41" fontId="1" fillId="0" borderId="12" xfId="0" applyNumberFormat="1" applyFont="1" applyFill="1" applyBorder="1" applyAlignment="1">
      <alignment horizontal="left"/>
    </xf>
    <xf numFmtId="166" fontId="3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6" fontId="1" fillId="0" borderId="0" xfId="0" applyNumberFormat="1" applyFont="1" applyFill="1" applyAlignment="1">
      <alignment horizontal="left"/>
    </xf>
    <xf numFmtId="166" fontId="7" fillId="0" borderId="0" xfId="0" applyNumberFormat="1" applyFont="1" applyFill="1" applyAlignment="1">
      <alignment horizontal="left"/>
    </xf>
    <xf numFmtId="0" fontId="0" fillId="0" borderId="14" xfId="0" applyNumberFormat="1" applyFill="1" applyBorder="1" applyAlignment="1">
      <alignment horizontal="center"/>
    </xf>
    <xf numFmtId="166" fontId="1" fillId="0" borderId="21" xfId="0" applyNumberFormat="1" applyFont="1" applyFill="1" applyBorder="1" applyAlignment="1">
      <alignment horizontal="centerContinuous"/>
    </xf>
    <xf numFmtId="166" fontId="1" fillId="0" borderId="1" xfId="0" applyNumberFormat="1" applyFont="1" applyFill="1" applyBorder="1" applyAlignment="1">
      <alignment horizontal="centerContinuous"/>
    </xf>
    <xf numFmtId="166" fontId="1" fillId="0" borderId="22" xfId="0" applyNumberFormat="1" applyFont="1" applyFill="1" applyBorder="1" applyAlignment="1">
      <alignment horizontal="centerContinuous"/>
    </xf>
    <xf numFmtId="0" fontId="0" fillId="0" borderId="23" xfId="0" applyNumberFormat="1" applyFill="1" applyBorder="1" applyAlignment="1">
      <alignment horizontal="center"/>
    </xf>
    <xf numFmtId="166" fontId="1" fillId="0" borderId="6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centerContinuous"/>
    </xf>
    <xf numFmtId="166" fontId="1" fillId="0" borderId="22" xfId="0" applyNumberFormat="1" applyFont="1" applyFill="1" applyBorder="1" applyAlignment="1">
      <alignment horizontal="centerContinuous"/>
    </xf>
    <xf numFmtId="166" fontId="1" fillId="0" borderId="21" xfId="0" applyNumberFormat="1" applyFont="1" applyFill="1" applyBorder="1" applyAlignment="1">
      <alignment horizontal="centerContinuous"/>
    </xf>
    <xf numFmtId="166" fontId="1" fillId="0" borderId="7" xfId="0" applyNumberFormat="1" applyFont="1" applyFill="1" applyBorder="1" applyAlignment="1">
      <alignment horizontal="left"/>
    </xf>
    <xf numFmtId="166" fontId="1" fillId="0" borderId="8" xfId="0" applyNumberFormat="1" applyFont="1" applyFill="1" applyBorder="1" applyAlignment="1">
      <alignment horizontal="left"/>
    </xf>
    <xf numFmtId="166" fontId="1" fillId="0" borderId="12" xfId="0" applyNumberFormat="1" applyFont="1" applyFill="1" applyBorder="1" applyAlignment="1">
      <alignment horizontal="center"/>
    </xf>
    <xf numFmtId="166" fontId="1" fillId="0" borderId="8" xfId="0" applyNumberFormat="1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6" fontId="1" fillId="0" borderId="12" xfId="0" applyNumberFormat="1" applyFont="1" applyFill="1" applyBorder="1" applyAlignment="1">
      <alignment horizontal="left"/>
    </xf>
    <xf numFmtId="166" fontId="1" fillId="0" borderId="8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" fillId="0" borderId="11" xfId="0" applyNumberFormat="1" applyFon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center"/>
    </xf>
    <xf numFmtId="166" fontId="1" fillId="0" borderId="13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 vertical="top"/>
    </xf>
    <xf numFmtId="17" fontId="1" fillId="0" borderId="0" xfId="0" applyNumberFormat="1" applyFont="1" applyFill="1" applyBorder="1" applyAlignment="1">
      <alignment horizontal="center" vertical="top"/>
    </xf>
    <xf numFmtId="41" fontId="1" fillId="0" borderId="0" xfId="0" applyNumberFormat="1" applyFont="1" applyFill="1" applyBorder="1" applyAlignment="1">
      <alignment horizontal="center" vertical="top"/>
    </xf>
    <xf numFmtId="41" fontId="1" fillId="0" borderId="12" xfId="0" applyNumberFormat="1" applyFont="1" applyFill="1" applyBorder="1" applyAlignment="1">
      <alignment horizontal="center" vertical="top"/>
    </xf>
    <xf numFmtId="37" fontId="1" fillId="0" borderId="0" xfId="0" applyNumberFormat="1" applyFont="1" applyFill="1" applyBorder="1" applyAlignment="1">
      <alignment horizontal="center" vertical="top"/>
    </xf>
    <xf numFmtId="166" fontId="1" fillId="0" borderId="0" xfId="0" applyNumberFormat="1" applyFont="1" applyFill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17" fontId="1" fillId="0" borderId="4" xfId="0" applyNumberFormat="1" applyFont="1" applyFill="1" applyBorder="1" applyAlignment="1">
      <alignment horizontal="center"/>
    </xf>
    <xf numFmtId="41" fontId="1" fillId="0" borderId="4" xfId="0" applyNumberFormat="1" applyFont="1" applyFill="1" applyBorder="1" applyAlignment="1">
      <alignment horizontal="center"/>
    </xf>
    <xf numFmtId="41" fontId="1" fillId="0" borderId="13" xfId="0" applyNumberFormat="1" applyFont="1" applyFill="1" applyBorder="1" applyAlignment="1">
      <alignment horizontal="center"/>
    </xf>
    <xf numFmtId="37" fontId="1" fillId="0" borderId="4" xfId="0" applyNumberFormat="1" applyFont="1" applyFill="1" applyBorder="1" applyAlignment="1">
      <alignment horizontal="center"/>
    </xf>
    <xf numFmtId="41" fontId="1" fillId="0" borderId="4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left"/>
    </xf>
    <xf numFmtId="37" fontId="1" fillId="0" borderId="8" xfId="0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42" fontId="1" fillId="0" borderId="12" xfId="0" applyNumberFormat="1" applyFont="1" applyFill="1" applyBorder="1" applyAlignment="1">
      <alignment horizontal="left"/>
    </xf>
    <xf numFmtId="0" fontId="1" fillId="0" borderId="24" xfId="0" applyNumberFormat="1" applyFont="1" applyFill="1" applyBorder="1" applyAlignment="1">
      <alignment horizontal="center"/>
    </xf>
    <xf numFmtId="41" fontId="1" fillId="0" borderId="3" xfId="0" applyNumberFormat="1" applyFont="1" applyFill="1" applyBorder="1" applyAlignment="1">
      <alignment horizontal="left"/>
    </xf>
    <xf numFmtId="37" fontId="1" fillId="0" borderId="0" xfId="0" applyNumberFormat="1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left"/>
    </xf>
    <xf numFmtId="42" fontId="1" fillId="0" borderId="25" xfId="0" applyNumberFormat="1" applyFont="1" applyFill="1" applyBorder="1" applyAlignment="1">
      <alignment horizontal="left"/>
    </xf>
    <xf numFmtId="42" fontId="3" fillId="0" borderId="20" xfId="0" applyNumberFormat="1" applyFont="1" applyFill="1" applyBorder="1" applyAlignment="1">
      <alignment horizontal="left"/>
    </xf>
    <xf numFmtId="166" fontId="1" fillId="0" borderId="11" xfId="0" applyNumberFormat="1" applyFont="1" applyFill="1" applyBorder="1" applyAlignment="1">
      <alignment horizontal="left"/>
    </xf>
    <xf numFmtId="166" fontId="1" fillId="0" borderId="4" xfId="0" applyNumberFormat="1" applyFont="1" applyFill="1" applyBorder="1" applyAlignment="1">
      <alignment horizontal="left"/>
    </xf>
    <xf numFmtId="166" fontId="1" fillId="0" borderId="13" xfId="0" applyNumberFormat="1" applyFont="1" applyFill="1" applyBorder="1" applyAlignment="1">
      <alignment horizontal="left"/>
    </xf>
    <xf numFmtId="42" fontId="5" fillId="0" borderId="0" xfId="0" applyNumberFormat="1" applyFont="1" applyFill="1" applyBorder="1"/>
    <xf numFmtId="166" fontId="4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Alignment="1">
      <alignment horizontal="left"/>
    </xf>
    <xf numFmtId="166" fontId="1" fillId="0" borderId="0" xfId="0" applyNumberFormat="1" applyFont="1" applyFill="1" applyAlignment="1">
      <alignment horizontal="left"/>
    </xf>
    <xf numFmtId="166" fontId="1" fillId="0" borderId="0" xfId="0" applyNumberFormat="1" applyFont="1" applyFill="1" applyAlignment="1">
      <alignment horizontal="right"/>
    </xf>
    <xf numFmtId="9" fontId="1" fillId="0" borderId="0" xfId="0" applyNumberFormat="1" applyFont="1" applyFill="1" applyAlignment="1">
      <alignment horizontal="left"/>
    </xf>
    <xf numFmtId="166" fontId="1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left"/>
    </xf>
    <xf numFmtId="13" fontId="1" fillId="0" borderId="0" xfId="0" applyNumberFormat="1" applyFont="1" applyFill="1"/>
    <xf numFmtId="0" fontId="1" fillId="0" borderId="0" xfId="0" applyFont="1" applyFill="1" applyAlignment="1">
      <alignment horizontal="right"/>
    </xf>
    <xf numFmtId="6" fontId="11" fillId="0" borderId="0" xfId="0" applyNumberFormat="1" applyFont="1" applyFill="1" applyAlignment="1"/>
    <xf numFmtId="164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3" fillId="0" borderId="14" xfId="0" applyNumberFormat="1" applyFont="1" applyFill="1" applyBorder="1" applyAlignment="1"/>
    <xf numFmtId="0" fontId="3" fillId="0" borderId="14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9" fontId="2" fillId="0" borderId="0" xfId="0" applyNumberFormat="1" applyFont="1" applyFill="1" applyAlignment="1"/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"/>
    </xf>
    <xf numFmtId="166" fontId="3" fillId="0" borderId="19" xfId="0" applyNumberFormat="1" applyFont="1" applyFill="1" applyBorder="1" applyAlignment="1">
      <alignment horizontal="center"/>
    </xf>
    <xf numFmtId="166" fontId="3" fillId="0" borderId="27" xfId="0" quotePrefix="1" applyNumberFormat="1" applyFont="1" applyFill="1" applyBorder="1" applyAlignment="1">
      <alignment horizontal="center"/>
    </xf>
    <xf numFmtId="41" fontId="1" fillId="0" borderId="26" xfId="0" applyNumberFormat="1" applyFont="1" applyFill="1" applyBorder="1" applyAlignment="1"/>
    <xf numFmtId="41" fontId="1" fillId="0" borderId="32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168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41" fontId="12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12" fontId="1" fillId="0" borderId="0" xfId="0" applyNumberFormat="1" applyFont="1" applyFill="1" applyAlignment="1"/>
    <xf numFmtId="167" fontId="3" fillId="0" borderId="15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5" fillId="0" borderId="4" xfId="0" applyFont="1" applyBorder="1"/>
    <xf numFmtId="0" fontId="17" fillId="2" borderId="4" xfId="0" applyFont="1" applyFill="1" applyBorder="1" applyAlignment="1">
      <alignment horizontal="center"/>
    </xf>
    <xf numFmtId="167" fontId="5" fillId="0" borderId="0" xfId="0" applyNumberFormat="1" applyFont="1"/>
    <xf numFmtId="167" fontId="5" fillId="0" borderId="3" xfId="0" applyNumberFormat="1" applyFont="1" applyBorder="1"/>
    <xf numFmtId="167" fontId="5" fillId="0" borderId="0" xfId="0" applyNumberFormat="1" applyFont="1" applyBorder="1"/>
    <xf numFmtId="167" fontId="5" fillId="0" borderId="1" xfId="0" applyNumberFormat="1" applyFont="1" applyBorder="1"/>
    <xf numFmtId="0" fontId="1" fillId="0" borderId="0" xfId="0" applyFont="1" applyFill="1" applyAlignment="1">
      <alignment horizontal="center" wrapText="1"/>
    </xf>
    <xf numFmtId="165" fontId="14" fillId="0" borderId="13" xfId="0" applyNumberFormat="1" applyFont="1" applyFill="1" applyBorder="1" applyAlignment="1">
      <alignment horizontal="left"/>
    </xf>
    <xf numFmtId="166" fontId="14" fillId="0" borderId="4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center"/>
    </xf>
    <xf numFmtId="0" fontId="3" fillId="0" borderId="29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0" fontId="19" fillId="0" borderId="0" xfId="0" applyFont="1"/>
    <xf numFmtId="0" fontId="10" fillId="0" borderId="0" xfId="0" applyNumberFormat="1" applyFont="1" applyAlignment="1"/>
    <xf numFmtId="0" fontId="1" fillId="0" borderId="0" xfId="0" applyFont="1" applyFill="1"/>
    <xf numFmtId="42" fontId="1" fillId="0" borderId="0" xfId="0" applyNumberFormat="1" applyFont="1" applyFill="1"/>
    <xf numFmtId="41" fontId="1" fillId="0" borderId="0" xfId="0" applyNumberFormat="1" applyFont="1" applyFill="1"/>
    <xf numFmtId="41" fontId="18" fillId="0" borderId="37" xfId="0" applyNumberFormat="1" applyFont="1" applyFill="1" applyBorder="1" applyAlignment="1">
      <alignment horizontal="center"/>
    </xf>
    <xf numFmtId="41" fontId="18" fillId="0" borderId="0" xfId="0" applyNumberFormat="1" applyFont="1" applyFill="1" applyBorder="1" applyAlignment="1">
      <alignment horizontal="center"/>
    </xf>
    <xf numFmtId="41" fontId="0" fillId="0" borderId="0" xfId="0" applyNumberFormat="1"/>
    <xf numFmtId="167" fontId="3" fillId="0" borderId="0" xfId="0" applyNumberFormat="1" applyFont="1" applyFill="1" applyBorder="1" applyAlignment="1">
      <alignment horizontal="center"/>
    </xf>
    <xf numFmtId="10" fontId="3" fillId="0" borderId="15" xfId="0" applyNumberFormat="1" applyFont="1" applyFill="1" applyBorder="1" applyAlignment="1">
      <alignment horizontal="center"/>
    </xf>
    <xf numFmtId="169" fontId="1" fillId="0" borderId="31" xfId="0" applyNumberFormat="1" applyFont="1" applyFill="1" applyBorder="1" applyAlignment="1">
      <alignment horizontal="right"/>
    </xf>
    <xf numFmtId="13" fontId="1" fillId="0" borderId="0" xfId="0" applyNumberFormat="1" applyFont="1" applyFill="1" applyAlignment="1"/>
    <xf numFmtId="172" fontId="1" fillId="0" borderId="0" xfId="0" applyNumberFormat="1" applyFont="1" applyFill="1" applyAlignment="1"/>
    <xf numFmtId="0" fontId="20" fillId="0" borderId="9" xfId="0" applyNumberFormat="1" applyFont="1" applyFill="1" applyBorder="1" applyAlignment="1">
      <alignment horizontal="right" vertical="center"/>
    </xf>
    <xf numFmtId="0" fontId="0" fillId="0" borderId="0" xfId="0" applyFill="1"/>
    <xf numFmtId="0" fontId="21" fillId="3" borderId="0" xfId="0" applyFont="1" applyFill="1"/>
    <xf numFmtId="3" fontId="21" fillId="3" borderId="0" xfId="0" applyNumberFormat="1" applyFont="1" applyFill="1"/>
    <xf numFmtId="0" fontId="22" fillId="0" borderId="0" xfId="0" applyFont="1"/>
    <xf numFmtId="3" fontId="22" fillId="0" borderId="0" xfId="0" applyNumberFormat="1" applyFont="1"/>
    <xf numFmtId="22" fontId="22" fillId="0" borderId="0" xfId="0" applyNumberFormat="1" applyFont="1" applyAlignment="1">
      <alignment horizontal="right"/>
    </xf>
    <xf numFmtId="0" fontId="22" fillId="0" borderId="0" xfId="0" applyNumberFormat="1" applyFont="1"/>
    <xf numFmtId="3" fontId="22" fillId="0" borderId="3" xfId="0" applyNumberFormat="1" applyFont="1" applyBorder="1"/>
    <xf numFmtId="0" fontId="23" fillId="0" borderId="0" xfId="0" applyFont="1"/>
    <xf numFmtId="0" fontId="22" fillId="0" borderId="0" xfId="0" applyFont="1" applyBorder="1"/>
    <xf numFmtId="0" fontId="21" fillId="0" borderId="0" xfId="0" applyFont="1"/>
    <xf numFmtId="44" fontId="21" fillId="0" borderId="0" xfId="0" applyNumberFormat="1" applyFont="1" applyAlignment="1">
      <alignment horizontal="center"/>
    </xf>
    <xf numFmtId="0" fontId="21" fillId="0" borderId="1" xfId="0" applyFont="1" applyBorder="1"/>
    <xf numFmtId="44" fontId="21" fillId="0" borderId="5" xfId="0" applyNumberFormat="1" applyFont="1" applyBorder="1" applyAlignment="1">
      <alignment horizontal="center"/>
    </xf>
    <xf numFmtId="17" fontId="22" fillId="0" borderId="5" xfId="0" applyNumberFormat="1" applyFont="1" applyBorder="1"/>
    <xf numFmtId="170" fontId="22" fillId="0" borderId="5" xfId="0" applyNumberFormat="1" applyFont="1" applyBorder="1"/>
    <xf numFmtId="44" fontId="21" fillId="0" borderId="0" xfId="0" applyNumberFormat="1" applyFont="1" applyBorder="1" applyAlignment="1">
      <alignment horizontal="center"/>
    </xf>
    <xf numFmtId="17" fontId="22" fillId="0" borderId="0" xfId="0" applyNumberFormat="1" applyFont="1" applyBorder="1"/>
    <xf numFmtId="170" fontId="22" fillId="0" borderId="0" xfId="0" applyNumberFormat="1" applyFont="1" applyBorder="1"/>
    <xf numFmtId="44" fontId="21" fillId="0" borderId="3" xfId="0" applyNumberFormat="1" applyFont="1" applyBorder="1" applyAlignment="1">
      <alignment horizontal="center"/>
    </xf>
    <xf numFmtId="17" fontId="22" fillId="0" borderId="3" xfId="0" applyNumberFormat="1" applyFont="1" applyBorder="1"/>
    <xf numFmtId="170" fontId="22" fillId="0" borderId="3" xfId="0" applyNumberFormat="1" applyFont="1" applyBorder="1"/>
    <xf numFmtId="0" fontId="22" fillId="0" borderId="2" xfId="0" applyFont="1" applyBorder="1"/>
    <xf numFmtId="3" fontId="22" fillId="0" borderId="0" xfId="0" applyNumberFormat="1" applyFont="1" applyBorder="1"/>
    <xf numFmtId="10" fontId="22" fillId="0" borderId="0" xfId="0" applyNumberFormat="1" applyFont="1" applyBorder="1"/>
    <xf numFmtId="10" fontId="22" fillId="0" borderId="0" xfId="0" applyNumberFormat="1" applyFont="1"/>
    <xf numFmtId="0" fontId="23" fillId="0" borderId="0" xfId="2" applyFont="1"/>
    <xf numFmtId="0" fontId="22" fillId="0" borderId="0" xfId="2" applyFont="1"/>
    <xf numFmtId="0" fontId="22" fillId="0" borderId="0" xfId="2" applyFont="1" applyBorder="1"/>
    <xf numFmtId="0" fontId="21" fillId="0" borderId="0" xfId="2" applyFont="1"/>
    <xf numFmtId="44" fontId="21" fillId="0" borderId="0" xfId="2" applyNumberFormat="1" applyFont="1" applyAlignment="1">
      <alignment horizontal="center"/>
    </xf>
    <xf numFmtId="44" fontId="21" fillId="0" borderId="5" xfId="2" applyNumberFormat="1" applyFont="1" applyBorder="1" applyAlignment="1">
      <alignment horizontal="center"/>
    </xf>
    <xf numFmtId="17" fontId="22" fillId="0" borderId="5" xfId="2" applyNumberFormat="1" applyFont="1" applyBorder="1"/>
    <xf numFmtId="170" fontId="22" fillId="0" borderId="5" xfId="2" applyNumberFormat="1" applyFont="1" applyBorder="1"/>
    <xf numFmtId="0" fontId="22" fillId="0" borderId="4" xfId="2" applyFont="1" applyBorder="1"/>
    <xf numFmtId="170" fontId="22" fillId="0" borderId="4" xfId="2" applyNumberFormat="1" applyFont="1" applyBorder="1"/>
    <xf numFmtId="0" fontId="22" fillId="0" borderId="3" xfId="2" applyFont="1" applyBorder="1"/>
    <xf numFmtId="170" fontId="22" fillId="0" borderId="3" xfId="2" applyNumberFormat="1" applyFont="1" applyBorder="1"/>
    <xf numFmtId="170" fontId="22" fillId="0" borderId="0" xfId="2" applyNumberFormat="1" applyFont="1" applyBorder="1"/>
    <xf numFmtId="0" fontId="21" fillId="0" borderId="0" xfId="2" applyFont="1" applyBorder="1"/>
    <xf numFmtId="0" fontId="22" fillId="0" borderId="1" xfId="2" applyFont="1" applyBorder="1"/>
    <xf numFmtId="17" fontId="22" fillId="0" borderId="1" xfId="2" applyNumberFormat="1" applyFont="1" applyBorder="1"/>
    <xf numFmtId="170" fontId="22" fillId="0" borderId="1" xfId="3" applyNumberFormat="1" applyFont="1" applyBorder="1"/>
    <xf numFmtId="0" fontId="21" fillId="0" borderId="3" xfId="2" applyFont="1" applyBorder="1"/>
    <xf numFmtId="170" fontId="22" fillId="0" borderId="3" xfId="3" applyNumberFormat="1" applyFont="1" applyBorder="1"/>
    <xf numFmtId="44" fontId="22" fillId="0" borderId="0" xfId="2" applyNumberFormat="1" applyFont="1"/>
    <xf numFmtId="17" fontId="22" fillId="0" borderId="4" xfId="2" applyNumberFormat="1" applyFont="1" applyBorder="1"/>
    <xf numFmtId="44" fontId="21" fillId="0" borderId="1" xfId="2" applyNumberFormat="1" applyFont="1" applyBorder="1" applyAlignment="1">
      <alignment horizontal="center"/>
    </xf>
    <xf numFmtId="170" fontId="22" fillId="0" borderId="1" xfId="2" applyNumberFormat="1" applyFont="1" applyBorder="1"/>
    <xf numFmtId="0" fontId="22" fillId="0" borderId="2" xfId="2" applyFont="1" applyBorder="1"/>
    <xf numFmtId="10" fontId="22" fillId="0" borderId="0" xfId="2" applyNumberFormat="1" applyFont="1" applyBorder="1"/>
    <xf numFmtId="44" fontId="22" fillId="0" borderId="0" xfId="2" applyNumberFormat="1" applyFont="1" applyBorder="1"/>
    <xf numFmtId="0" fontId="22" fillId="0" borderId="0" xfId="2" applyFont="1" applyAlignment="1">
      <alignment vertical="center"/>
    </xf>
    <xf numFmtId="0" fontId="3" fillId="0" borderId="38" xfId="0" applyNumberFormat="1" applyFont="1" applyBorder="1" applyAlignment="1">
      <alignment horizontal="centerContinuous" vertical="center" wrapText="1"/>
    </xf>
    <xf numFmtId="0" fontId="3" fillId="0" borderId="38" xfId="0" applyNumberFormat="1" applyFont="1" applyFill="1" applyBorder="1" applyAlignment="1">
      <alignment horizontal="centerContinuous" vertical="center" wrapText="1"/>
    </xf>
    <xf numFmtId="3" fontId="0" fillId="0" borderId="0" xfId="0" applyNumberFormat="1"/>
    <xf numFmtId="3" fontId="0" fillId="0" borderId="4" xfId="0" applyNumberFormat="1" applyBorder="1"/>
    <xf numFmtId="0" fontId="0" fillId="0" borderId="4" xfId="0" applyBorder="1"/>
    <xf numFmtId="42" fontId="0" fillId="0" borderId="4" xfId="0" applyNumberFormat="1" applyBorder="1"/>
    <xf numFmtId="165" fontId="27" fillId="0" borderId="39" xfId="1" applyNumberFormat="1" applyFont="1" applyBorder="1"/>
    <xf numFmtId="10" fontId="0" fillId="0" borderId="0" xfId="0" applyNumberFormat="1"/>
    <xf numFmtId="165" fontId="28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42" fontId="8" fillId="0" borderId="0" xfId="0" applyNumberFormat="1" applyFont="1" applyFill="1" applyBorder="1"/>
    <xf numFmtId="10" fontId="0" fillId="0" borderId="4" xfId="0" applyNumberFormat="1" applyBorder="1"/>
    <xf numFmtId="165" fontId="1" fillId="0" borderId="0" xfId="0" applyNumberFormat="1" applyFont="1" applyFill="1"/>
    <xf numFmtId="43" fontId="1" fillId="0" borderId="0" xfId="0" applyNumberFormat="1" applyFont="1" applyFill="1"/>
    <xf numFmtId="169" fontId="1" fillId="0" borderId="33" xfId="0" quotePrefix="1" applyNumberFormat="1" applyFont="1" applyFill="1" applyBorder="1" applyAlignment="1">
      <alignment horizontal="right"/>
    </xf>
    <xf numFmtId="166" fontId="6" fillId="0" borderId="0" xfId="0" applyNumberFormat="1" applyFont="1" applyAlignment="1">
      <alignment horizontal="centerContinuous"/>
    </xf>
    <xf numFmtId="0" fontId="1" fillId="0" borderId="0" xfId="0" applyFont="1" applyFill="1" applyAlignment="1">
      <alignment horizontal="centerContinuous"/>
    </xf>
    <xf numFmtId="41" fontId="1" fillId="0" borderId="37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center"/>
    </xf>
    <xf numFmtId="164" fontId="0" fillId="0" borderId="0" xfId="5" applyNumberFormat="1" applyFont="1"/>
    <xf numFmtId="164" fontId="0" fillId="0" borderId="4" xfId="5" applyNumberFormat="1" applyFont="1" applyBorder="1"/>
    <xf numFmtId="165" fontId="28" fillId="0" borderId="0" xfId="1" applyNumberFormat="1" applyFont="1" applyFill="1"/>
    <xf numFmtId="0" fontId="19" fillId="0" borderId="0" xfId="0" applyFont="1" applyFill="1"/>
    <xf numFmtId="166" fontId="5" fillId="0" borderId="0" xfId="0" applyNumberFormat="1" applyFont="1" applyFill="1" applyAlignment="1"/>
    <xf numFmtId="0" fontId="5" fillId="0" borderId="0" xfId="0" applyNumberFormat="1" applyFont="1" applyFill="1" applyAlignment="1"/>
    <xf numFmtId="166" fontId="5" fillId="0" borderId="0" xfId="0" applyNumberFormat="1" applyFont="1" applyFill="1" applyAlignment="1">
      <alignment horizontal="left"/>
    </xf>
    <xf numFmtId="166" fontId="6" fillId="0" borderId="0" xfId="0" applyNumberFormat="1" applyFont="1" applyFill="1" applyAlignment="1">
      <alignment horizontal="left"/>
    </xf>
    <xf numFmtId="166" fontId="6" fillId="0" borderId="0" xfId="0" applyNumberFormat="1" applyFont="1" applyFill="1" applyAlignment="1">
      <alignment horizontal="centerContinuous"/>
    </xf>
    <xf numFmtId="0" fontId="19" fillId="0" borderId="0" xfId="0" applyFont="1" applyFill="1" applyAlignment="1"/>
    <xf numFmtId="169" fontId="11" fillId="0" borderId="26" xfId="0" applyNumberFormat="1" applyFont="1" applyFill="1" applyBorder="1" applyAlignment="1">
      <alignment horizontal="left"/>
    </xf>
    <xf numFmtId="164" fontId="11" fillId="0" borderId="0" xfId="0" applyNumberFormat="1" applyFont="1" applyFill="1" applyAlignment="1"/>
    <xf numFmtId="42" fontId="13" fillId="0" borderId="0" xfId="0" applyNumberFormat="1" applyFont="1" applyFill="1" applyAlignment="1">
      <alignment horizontal="center"/>
    </xf>
    <xf numFmtId="43" fontId="0" fillId="0" borderId="0" xfId="0" applyNumberFormat="1" applyFill="1"/>
    <xf numFmtId="0" fontId="3" fillId="0" borderId="16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Continuous" vertical="center"/>
    </xf>
    <xf numFmtId="0" fontId="3" fillId="0" borderId="18" xfId="0" applyNumberFormat="1" applyFont="1" applyFill="1" applyBorder="1" applyAlignment="1">
      <alignment horizontal="centerContinuous" vertical="center"/>
    </xf>
    <xf numFmtId="166" fontId="3" fillId="0" borderId="16" xfId="0" applyNumberFormat="1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center"/>
    </xf>
    <xf numFmtId="10" fontId="10" fillId="0" borderId="10" xfId="0" applyNumberFormat="1" applyFont="1" applyFill="1" applyBorder="1" applyAlignment="1">
      <alignment horizontal="center"/>
    </xf>
    <xf numFmtId="0" fontId="1" fillId="0" borderId="19" xfId="0" applyNumberFormat="1" applyFont="1" applyFill="1" applyBorder="1" applyAlignment="1"/>
    <xf numFmtId="9" fontId="3" fillId="0" borderId="19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166" fontId="3" fillId="0" borderId="27" xfId="0" applyNumberFormat="1" applyFont="1" applyFill="1" applyBorder="1" applyAlignment="1">
      <alignment horizontal="center"/>
    </xf>
    <xf numFmtId="9" fontId="3" fillId="0" borderId="27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6" fontId="1" fillId="0" borderId="26" xfId="0" applyNumberFormat="1" applyFont="1" applyFill="1" applyBorder="1" applyAlignment="1"/>
    <xf numFmtId="41" fontId="18" fillId="0" borderId="26" xfId="0" applyNumberFormat="1" applyFont="1" applyFill="1" applyBorder="1" applyAlignment="1"/>
    <xf numFmtId="41" fontId="1" fillId="0" borderId="12" xfId="0" applyNumberFormat="1" applyFont="1" applyFill="1" applyBorder="1" applyAlignment="1"/>
    <xf numFmtId="168" fontId="3" fillId="0" borderId="31" xfId="0" applyNumberFormat="1" applyFont="1" applyFill="1" applyBorder="1" applyAlignment="1">
      <alignment horizontal="center"/>
    </xf>
    <xf numFmtId="168" fontId="3" fillId="0" borderId="33" xfId="0" applyNumberFormat="1" applyFont="1" applyFill="1" applyBorder="1" applyAlignment="1">
      <alignment horizontal="center"/>
    </xf>
    <xf numFmtId="41" fontId="3" fillId="0" borderId="30" xfId="0" applyNumberFormat="1" applyFont="1" applyFill="1" applyBorder="1" applyAlignment="1"/>
    <xf numFmtId="41" fontId="1" fillId="0" borderId="34" xfId="0" applyNumberFormat="1" applyFont="1" applyFill="1" applyBorder="1" applyAlignment="1"/>
    <xf numFmtId="41" fontId="1" fillId="0" borderId="35" xfId="0" applyNumberFormat="1" applyFont="1" applyFill="1" applyBorder="1" applyAlignment="1"/>
    <xf numFmtId="41" fontId="3" fillId="0" borderId="35" xfId="0" applyNumberFormat="1" applyFont="1" applyFill="1" applyBorder="1" applyAlignment="1"/>
    <xf numFmtId="41" fontId="1" fillId="0" borderId="30" xfId="0" applyNumberFormat="1" applyFont="1" applyFill="1" applyBorder="1" applyAlignment="1"/>
    <xf numFmtId="41" fontId="3" fillId="0" borderId="36" xfId="0" applyNumberFormat="1" applyFont="1" applyFill="1" applyBorder="1" applyAlignment="1"/>
    <xf numFmtId="41" fontId="0" fillId="0" borderId="0" xfId="0" applyNumberFormat="1" applyFill="1"/>
    <xf numFmtId="3" fontId="0" fillId="0" borderId="4" xfId="0" applyNumberFormat="1" applyFill="1" applyBorder="1"/>
    <xf numFmtId="3" fontId="22" fillId="0" borderId="0" xfId="0" applyNumberFormat="1" applyFont="1" applyFill="1"/>
    <xf numFmtId="0" fontId="22" fillId="0" borderId="0" xfId="0" applyFont="1" applyFill="1"/>
    <xf numFmtId="0" fontId="22" fillId="0" borderId="0" xfId="0" applyFont="1" applyFill="1" applyBorder="1"/>
    <xf numFmtId="42" fontId="0" fillId="0" borderId="0" xfId="0" applyNumberFormat="1" applyFill="1"/>
    <xf numFmtId="174" fontId="1" fillId="0" borderId="0" xfId="0" applyNumberFormat="1" applyFont="1" applyFill="1" applyAlignment="1"/>
    <xf numFmtId="173" fontId="10" fillId="0" borderId="0" xfId="0" applyNumberFormat="1" applyFont="1" applyFill="1" applyBorder="1" applyAlignment="1">
      <alignment horizontal="center"/>
    </xf>
    <xf numFmtId="166" fontId="4" fillId="0" borderId="0" xfId="4" applyFont="1" applyFill="1" applyAlignment="1">
      <alignment horizontal="left"/>
    </xf>
    <xf numFmtId="0" fontId="30" fillId="0" borderId="0" xfId="0" applyFont="1" applyFill="1"/>
    <xf numFmtId="9" fontId="27" fillId="0" borderId="0" xfId="0" applyNumberFormat="1" applyFont="1"/>
    <xf numFmtId="9" fontId="5" fillId="0" borderId="0" xfId="4" applyNumberFormat="1" applyFont="1" applyFill="1" applyBorder="1" applyAlignment="1"/>
    <xf numFmtId="0" fontId="31" fillId="0" borderId="0" xfId="0" applyFont="1" applyFill="1"/>
    <xf numFmtId="165" fontId="5" fillId="0" borderId="0" xfId="1" applyNumberFormat="1" applyFont="1"/>
    <xf numFmtId="0" fontId="31" fillId="0" borderId="0" xfId="0" applyFont="1"/>
    <xf numFmtId="0" fontId="22" fillId="0" borderId="1" xfId="0" applyFont="1" applyBorder="1" applyAlignment="1">
      <alignment horizontal="right"/>
    </xf>
    <xf numFmtId="0" fontId="22" fillId="0" borderId="0" xfId="0" applyFont="1" applyAlignment="1">
      <alignment horizontal="left" vertical="center" wrapText="1"/>
    </xf>
  </cellXfs>
  <cellStyles count="6">
    <cellStyle name="Comma" xfId="1" builtinId="3"/>
    <cellStyle name="Comma 2" xfId="3"/>
    <cellStyle name="Currency" xfId="5" builtinId="4"/>
    <cellStyle name="Normal" xfId="0" builtinId="0"/>
    <cellStyle name="Normal 2" xfId="2"/>
    <cellStyle name="Normal 2 8" xfId="4"/>
  </cellStyles>
  <dxfs count="0"/>
  <tableStyles count="0" defaultTableStyle="TableStyleMedium9" defaultPivotStyle="PivotStyleLight16"/>
  <colors>
    <mruColors>
      <color rgb="FF0066FF"/>
      <color rgb="FFFF3399"/>
      <color rgb="FF0000FF"/>
      <color rgb="FFFFCCFF"/>
      <color rgb="FFCC99FF"/>
      <color rgb="FFE2F2F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@%20170033-Electric%20Dep%20Study%20Settl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E"/>
      <sheetName val="Electric"/>
      <sheetName val="Elec Study Rpt"/>
      <sheetName val="Col 1&amp;2 $18.5M"/>
      <sheetName val="Col 3&amp;4 2027"/>
      <sheetName val="Common"/>
      <sheetName val="Comm Study Rpt"/>
      <sheetName val="DFIT Depr Stdy 8.06E"/>
      <sheetName val="403.1 Depr"/>
      <sheetName val="Elec Accretion"/>
      <sheetName val="Depr Oct15-Sep16 Revised"/>
      <sheetName val="CC300"/>
      <sheetName val="RB&amp;ISbyFERC"/>
    </sheetNames>
    <sheetDataSet>
      <sheetData sheetId="0"/>
      <sheetData sheetId="1"/>
      <sheetData sheetId="2"/>
      <sheetData sheetId="3">
        <row r="228">
          <cell r="F228">
            <v>1.5500000000000002E-2</v>
          </cell>
          <cell r="G228">
            <v>8.5587680465645549E-2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abSelected="1" topLeftCell="A9" workbookViewId="0">
      <selection activeCell="C13" sqref="C13"/>
    </sheetView>
  </sheetViews>
  <sheetFormatPr defaultColWidth="9.109375" defaultRowHeight="13.8" x14ac:dyDescent="0.3"/>
  <cols>
    <col min="1" max="1" width="9.109375" style="133"/>
    <col min="2" max="2" width="55.5546875" style="133" customWidth="1"/>
    <col min="3" max="3" width="14.88671875" style="133" customWidth="1"/>
    <col min="4" max="4" width="14.5546875" style="224" customWidth="1"/>
    <col min="5" max="5" width="13.6640625" style="133" bestFit="1" customWidth="1"/>
    <col min="6" max="6" width="12.33203125" style="133" bestFit="1" customWidth="1"/>
    <col min="7" max="16384" width="9.109375" style="133"/>
  </cols>
  <sheetData>
    <row r="1" spans="1:6" ht="13.95" x14ac:dyDescent="0.3">
      <c r="A1" s="132"/>
      <c r="B1" s="132"/>
      <c r="C1" s="132"/>
      <c r="D1" s="90"/>
      <c r="E1" s="17"/>
      <c r="F1" s="132"/>
    </row>
    <row r="2" spans="1:6" ht="13.95" x14ac:dyDescent="0.3">
      <c r="A2" s="5"/>
      <c r="B2" s="134"/>
      <c r="C2" s="132"/>
      <c r="D2" s="90"/>
      <c r="E2" s="17" t="s">
        <v>221</v>
      </c>
      <c r="F2" s="132"/>
    </row>
    <row r="3" spans="1:6" ht="13.95" x14ac:dyDescent="0.3">
      <c r="A3" s="132"/>
      <c r="B3" s="132"/>
      <c r="C3" s="132"/>
      <c r="D3" s="90"/>
      <c r="E3" s="78"/>
      <c r="F3" s="132"/>
    </row>
    <row r="4" spans="1:6" ht="13.95" x14ac:dyDescent="0.3">
      <c r="A4" s="13" t="s">
        <v>0</v>
      </c>
      <c r="B4" s="13"/>
      <c r="C4" s="14"/>
      <c r="D4" s="14"/>
      <c r="E4" s="14"/>
      <c r="F4" s="132"/>
    </row>
    <row r="5" spans="1:6" ht="13.95" x14ac:dyDescent="0.3">
      <c r="A5" s="14" t="s">
        <v>78</v>
      </c>
      <c r="B5" s="14"/>
      <c r="C5" s="14"/>
      <c r="D5" s="14"/>
      <c r="E5" s="15"/>
      <c r="F5" s="132"/>
    </row>
    <row r="6" spans="1:6" ht="13.95" x14ac:dyDescent="0.3">
      <c r="A6" s="14" t="s">
        <v>120</v>
      </c>
      <c r="B6" s="14"/>
      <c r="C6" s="14"/>
      <c r="D6" s="14"/>
      <c r="E6" s="16"/>
      <c r="F6" s="132"/>
    </row>
    <row r="7" spans="1:6" ht="13.95" x14ac:dyDescent="0.3">
      <c r="A7" s="14" t="s">
        <v>119</v>
      </c>
      <c r="B7" s="14"/>
      <c r="C7" s="14"/>
      <c r="D7" s="14"/>
      <c r="E7" s="16"/>
      <c r="F7" s="132"/>
    </row>
    <row r="8" spans="1:6" ht="13.95" x14ac:dyDescent="0.3">
      <c r="A8" s="7"/>
      <c r="B8" s="21"/>
      <c r="C8" s="7"/>
      <c r="D8" s="8"/>
      <c r="E8" s="7"/>
      <c r="F8" s="132"/>
    </row>
    <row r="9" spans="1:6" ht="13.95" x14ac:dyDescent="0.3">
      <c r="A9" s="9" t="s">
        <v>1</v>
      </c>
      <c r="B9" s="7"/>
      <c r="C9" s="10"/>
      <c r="D9" s="10"/>
      <c r="E9" s="10"/>
      <c r="F9" s="132"/>
    </row>
    <row r="10" spans="1:6" ht="13.95" x14ac:dyDescent="0.3">
      <c r="A10" s="11" t="s">
        <v>2</v>
      </c>
      <c r="B10" s="12" t="s">
        <v>3</v>
      </c>
      <c r="C10" s="11" t="s">
        <v>4</v>
      </c>
      <c r="D10" s="11" t="s">
        <v>5</v>
      </c>
      <c r="E10" s="11" t="s">
        <v>6</v>
      </c>
      <c r="F10" s="132"/>
    </row>
    <row r="11" spans="1:6" ht="13.95" x14ac:dyDescent="0.3">
      <c r="A11" s="6"/>
      <c r="B11" s="6"/>
      <c r="C11" s="6"/>
      <c r="D11" s="6"/>
      <c r="E11" s="6"/>
      <c r="F11" s="132"/>
    </row>
    <row r="12" spans="1:6" ht="13.95" x14ac:dyDescent="0.3">
      <c r="A12" s="8">
        <v>1</v>
      </c>
      <c r="B12" s="216" t="s">
        <v>174</v>
      </c>
      <c r="C12" s="217"/>
      <c r="D12" s="217"/>
      <c r="E12" s="217"/>
      <c r="F12" s="135"/>
    </row>
    <row r="13" spans="1:6" ht="13.95" x14ac:dyDescent="0.3">
      <c r="A13" s="8">
        <f>+A12+1</f>
        <v>2</v>
      </c>
      <c r="B13" s="225" t="s">
        <v>7</v>
      </c>
      <c r="C13" s="208">
        <f>'Retirement Summary'!B18</f>
        <v>21985164.197500002</v>
      </c>
      <c r="D13" s="223">
        <f>'Retirement Summary'!B17</f>
        <v>0</v>
      </c>
      <c r="E13" s="208">
        <f t="shared" ref="E13:E17" si="0">D13-C13</f>
        <v>-21985164.197500002</v>
      </c>
      <c r="F13" s="136"/>
    </row>
    <row r="14" spans="1:6" ht="13.95" x14ac:dyDescent="0.3">
      <c r="A14" s="8">
        <f t="shared" ref="A14:A38" si="1">+A13+1</f>
        <v>3</v>
      </c>
      <c r="B14" s="225" t="s">
        <v>8</v>
      </c>
      <c r="C14" s="208">
        <f>'Retirement Summary'!D18</f>
        <v>-4782184.9428318273</v>
      </c>
      <c r="D14" s="223">
        <f>'Retirement Summary'!D17</f>
        <v>17053554.294432983</v>
      </c>
      <c r="E14" s="208">
        <f t="shared" si="0"/>
        <v>21835739.237264812</v>
      </c>
      <c r="F14" s="137"/>
    </row>
    <row r="15" spans="1:6" ht="13.95" x14ac:dyDescent="0.3">
      <c r="A15" s="8">
        <f t="shared" si="1"/>
        <v>4</v>
      </c>
      <c r="B15" s="225" t="s">
        <v>222</v>
      </c>
      <c r="C15" s="208">
        <f ca="1">-C30/2</f>
        <v>-770444.58162956533</v>
      </c>
      <c r="D15" s="223"/>
      <c r="E15" s="208">
        <f t="shared" ca="1" si="0"/>
        <v>770444.58162956533</v>
      </c>
      <c r="F15" s="137"/>
    </row>
    <row r="16" spans="1:6" ht="13.95" x14ac:dyDescent="0.3">
      <c r="A16" s="8">
        <f t="shared" si="1"/>
        <v>5</v>
      </c>
      <c r="B16" s="226" t="s">
        <v>202</v>
      </c>
      <c r="C16" s="208">
        <f>'Retirement Summary'!F18</f>
        <v>-1771037.4357740821</v>
      </c>
      <c r="D16" s="223">
        <f>'Retirement Summary'!F17</f>
        <v>0</v>
      </c>
      <c r="E16" s="208">
        <f t="shared" si="0"/>
        <v>1771037.4357740821</v>
      </c>
      <c r="F16" s="135"/>
    </row>
    <row r="17" spans="1:6" ht="13.95" x14ac:dyDescent="0.3">
      <c r="A17" s="8">
        <f t="shared" si="1"/>
        <v>6</v>
      </c>
      <c r="B17" s="225" t="s">
        <v>223</v>
      </c>
      <c r="C17" s="208">
        <f ca="1">-C15*$C$36</f>
        <v>269655.60357034783</v>
      </c>
      <c r="D17" s="223"/>
      <c r="E17" s="208">
        <f t="shared" ca="1" si="0"/>
        <v>-269655.60357034783</v>
      </c>
      <c r="F17" s="135"/>
    </row>
    <row r="18" spans="1:6" ht="14.4" thickBot="1" x14ac:dyDescent="0.35">
      <c r="A18" s="8">
        <f t="shared" si="1"/>
        <v>7</v>
      </c>
      <c r="B18" s="227" t="s">
        <v>9</v>
      </c>
      <c r="C18" s="19">
        <f ca="1">SUM(C13:C17)</f>
        <v>14931152.840834877</v>
      </c>
      <c r="D18" s="19">
        <f t="shared" ref="D18:E18" si="2">SUM(D13:D17)</f>
        <v>17053554.294432983</v>
      </c>
      <c r="E18" s="19">
        <f t="shared" ca="1" si="2"/>
        <v>2122401.45359811</v>
      </c>
    </row>
    <row r="19" spans="1:6" ht="12" customHeight="1" thickTop="1" x14ac:dyDescent="0.3">
      <c r="A19" s="8">
        <f t="shared" si="1"/>
        <v>8</v>
      </c>
      <c r="B19" s="228"/>
      <c r="C19" s="77"/>
      <c r="D19" s="211"/>
      <c r="E19" s="77"/>
      <c r="F19" s="135"/>
    </row>
    <row r="20" spans="1:6" ht="13.95" x14ac:dyDescent="0.3">
      <c r="A20" s="8">
        <f t="shared" si="1"/>
        <v>9</v>
      </c>
      <c r="B20" s="229" t="s">
        <v>175</v>
      </c>
      <c r="C20" s="217"/>
      <c r="D20" s="217"/>
      <c r="E20" s="217"/>
      <c r="F20" s="135"/>
    </row>
    <row r="21" spans="1:6" ht="13.95" x14ac:dyDescent="0.3">
      <c r="A21" s="8">
        <f t="shared" si="1"/>
        <v>10</v>
      </c>
      <c r="B21" s="225" t="s">
        <v>7</v>
      </c>
      <c r="C21" s="208">
        <f>Addition!C82</f>
        <v>3134072.5099999993</v>
      </c>
      <c r="D21" s="223">
        <f>Addition!C85</f>
        <v>25072580.079999987</v>
      </c>
      <c r="E21" s="208">
        <f t="shared" ref="E21:E25" si="3">D21-C21</f>
        <v>21938507.569999989</v>
      </c>
      <c r="F21" s="214"/>
    </row>
    <row r="22" spans="1:6" ht="13.95" x14ac:dyDescent="0.3">
      <c r="A22" s="8">
        <f t="shared" si="1"/>
        <v>11</v>
      </c>
      <c r="B22" s="225" t="s">
        <v>8</v>
      </c>
      <c r="C22" s="208">
        <f>Addition!G82</f>
        <v>-3364.9770921440963</v>
      </c>
      <c r="D22" s="223">
        <f ca="1">Addition!G85</f>
        <v>-1607188.8953450497</v>
      </c>
      <c r="E22" s="208">
        <f t="shared" ca="1" si="3"/>
        <v>-1603823.9182529056</v>
      </c>
      <c r="F22" s="213"/>
    </row>
    <row r="23" spans="1:6" ht="13.95" x14ac:dyDescent="0.3">
      <c r="A23" s="8">
        <f t="shared" si="1"/>
        <v>12</v>
      </c>
      <c r="B23" s="225" t="s">
        <v>222</v>
      </c>
      <c r="C23" s="208">
        <f ca="1">-C32/2</f>
        <v>-109553.08143874648</v>
      </c>
      <c r="D23" s="223"/>
      <c r="E23" s="208">
        <f t="shared" ca="1" si="3"/>
        <v>109553.08143874648</v>
      </c>
      <c r="F23" s="213"/>
    </row>
    <row r="24" spans="1:6" ht="13.95" x14ac:dyDescent="0.3">
      <c r="A24" s="8">
        <f t="shared" si="1"/>
        <v>13</v>
      </c>
      <c r="B24" s="226" t="s">
        <v>202</v>
      </c>
      <c r="C24" s="208">
        <f>Addition!K82</f>
        <v>-150563.60204358294</v>
      </c>
      <c r="D24" s="18">
        <f ca="1">'IRS DFIT'!J30</f>
        <v>-4537903.8039487666</v>
      </c>
      <c r="E24" s="208">
        <f t="shared" ca="1" si="3"/>
        <v>-4387340.2019051835</v>
      </c>
      <c r="F24" s="135"/>
    </row>
    <row r="25" spans="1:6" ht="13.95" x14ac:dyDescent="0.3">
      <c r="A25" s="8">
        <f t="shared" si="1"/>
        <v>14</v>
      </c>
      <c r="B25" s="225" t="s">
        <v>223</v>
      </c>
      <c r="C25" s="208">
        <f ca="1">-C23*$C$36</f>
        <v>38343.578503561264</v>
      </c>
      <c r="D25" s="18"/>
      <c r="E25" s="208">
        <f t="shared" ca="1" si="3"/>
        <v>-38343.578503561264</v>
      </c>
      <c r="F25" s="135"/>
    </row>
    <row r="26" spans="1:6" ht="14.4" thickBot="1" x14ac:dyDescent="0.35">
      <c r="A26" s="8">
        <f t="shared" si="1"/>
        <v>15</v>
      </c>
      <c r="B26" s="227" t="s">
        <v>9</v>
      </c>
      <c r="C26" s="19">
        <f ca="1">SUM(C21:C25)</f>
        <v>2908934.4279290871</v>
      </c>
      <c r="D26" s="19">
        <f t="shared" ref="D26:E26" ca="1" si="4">SUM(D21:D25)</f>
        <v>18927487.380706169</v>
      </c>
      <c r="E26" s="19">
        <f t="shared" ca="1" si="4"/>
        <v>16018552.952777086</v>
      </c>
      <c r="F26" s="136"/>
    </row>
    <row r="27" spans="1:6" ht="15" thickTop="1" x14ac:dyDescent="0.3">
      <c r="A27" s="8">
        <f t="shared" si="1"/>
        <v>16</v>
      </c>
      <c r="B27" s="230"/>
      <c r="C27"/>
      <c r="D27" s="147"/>
      <c r="E27"/>
      <c r="F27" s="132"/>
    </row>
    <row r="28" spans="1:6" ht="13.95" x14ac:dyDescent="0.3">
      <c r="A28" s="8">
        <f t="shared" si="1"/>
        <v>17</v>
      </c>
      <c r="B28" s="229" t="s">
        <v>122</v>
      </c>
      <c r="C28" s="217"/>
      <c r="D28" s="217"/>
      <c r="E28" s="217"/>
      <c r="F28" s="132"/>
    </row>
    <row r="29" spans="1:6" ht="13.95" x14ac:dyDescent="0.3">
      <c r="A29" s="8">
        <f t="shared" si="1"/>
        <v>18</v>
      </c>
      <c r="B29" s="225" t="s">
        <v>219</v>
      </c>
      <c r="C29" s="208">
        <f>'Retirement Summary'!C32</f>
        <v>340770.04506125004</v>
      </c>
      <c r="D29" s="223">
        <v>0</v>
      </c>
      <c r="E29" s="208">
        <f t="shared" ref="E29:E32" si="5">D29-C29</f>
        <v>-340770.04506125004</v>
      </c>
      <c r="F29" s="132"/>
    </row>
    <row r="30" spans="1:6" ht="13.95" x14ac:dyDescent="0.3">
      <c r="A30" s="8">
        <f t="shared" si="1"/>
        <v>19</v>
      </c>
      <c r="B30" s="225" t="s">
        <v>224</v>
      </c>
      <c r="C30" s="18">
        <f ca="1">'Retirement Summary'!C35</f>
        <v>1540889.1632591307</v>
      </c>
      <c r="D30" s="223">
        <v>0</v>
      </c>
      <c r="E30" s="208">
        <f t="shared" ca="1" si="5"/>
        <v>-1540889.1632591307</v>
      </c>
      <c r="F30" s="132"/>
    </row>
    <row r="31" spans="1:6" ht="13.95" x14ac:dyDescent="0.3">
      <c r="A31" s="8">
        <f t="shared" si="1"/>
        <v>20</v>
      </c>
      <c r="B31" s="225" t="s">
        <v>220</v>
      </c>
      <c r="C31" s="18">
        <f>'Retirement Summary'!D32</f>
        <v>48455.670126874989</v>
      </c>
      <c r="D31" s="223">
        <f ca="1">Addition!E84</f>
        <v>2145903.9723363491</v>
      </c>
      <c r="E31" s="208">
        <f t="shared" ca="1" si="5"/>
        <v>2097448.3022094741</v>
      </c>
    </row>
    <row r="32" spans="1:6" ht="13.95" x14ac:dyDescent="0.3">
      <c r="A32" s="8">
        <f t="shared" si="1"/>
        <v>21</v>
      </c>
      <c r="B32" s="225" t="s">
        <v>224</v>
      </c>
      <c r="C32" s="18">
        <f ca="1">'Retirement Summary'!D35</f>
        <v>219106.16287749296</v>
      </c>
      <c r="D32" s="223"/>
      <c r="E32" s="208">
        <f t="shared" ca="1" si="5"/>
        <v>-219106.16287749296</v>
      </c>
    </row>
    <row r="33" spans="1:6" ht="14.4" thickBot="1" x14ac:dyDescent="0.35">
      <c r="A33" s="8">
        <f t="shared" si="1"/>
        <v>22</v>
      </c>
      <c r="B33" s="225" t="s">
        <v>212</v>
      </c>
      <c r="C33" s="19">
        <f ca="1">SUM(C29:C32)</f>
        <v>2149221.0413247487</v>
      </c>
      <c r="D33" s="19">
        <f t="shared" ref="D33:E33" ca="1" si="6">SUM(D29:D32)</f>
        <v>2145903.9723363491</v>
      </c>
      <c r="E33" s="19">
        <f t="shared" ca="1" si="6"/>
        <v>-3317.0689883994637</v>
      </c>
    </row>
    <row r="34" spans="1:6" ht="15" thickTop="1" x14ac:dyDescent="0.3">
      <c r="A34" s="8">
        <f t="shared" si="1"/>
        <v>23</v>
      </c>
      <c r="B34" s="224"/>
      <c r="C34"/>
      <c r="D34" s="147"/>
      <c r="E34"/>
      <c r="F34"/>
    </row>
    <row r="35" spans="1:6" ht="14.4" x14ac:dyDescent="0.3">
      <c r="A35" s="8">
        <f t="shared" si="1"/>
        <v>24</v>
      </c>
      <c r="B35" s="90"/>
      <c r="C35"/>
      <c r="D35" s="147"/>
      <c r="E35"/>
      <c r="F35"/>
    </row>
    <row r="36" spans="1:6" ht="14.4" x14ac:dyDescent="0.3">
      <c r="A36" s="8">
        <f t="shared" si="1"/>
        <v>25</v>
      </c>
      <c r="B36" s="268" t="s">
        <v>228</v>
      </c>
      <c r="C36" s="269">
        <v>0.35</v>
      </c>
      <c r="D36" s="147"/>
      <c r="E36"/>
      <c r="F36"/>
    </row>
    <row r="37" spans="1:6" ht="15" x14ac:dyDescent="0.25">
      <c r="A37" s="8">
        <f t="shared" si="1"/>
        <v>26</v>
      </c>
      <c r="B37" s="267" t="s">
        <v>204</v>
      </c>
      <c r="C37" s="270">
        <v>0.21</v>
      </c>
      <c r="D37" s="271"/>
      <c r="E37" s="272">
        <f ca="1">-E33*C37</f>
        <v>696.58448756388736</v>
      </c>
      <c r="F37"/>
    </row>
    <row r="38" spans="1:6" ht="15.75" thickBot="1" x14ac:dyDescent="0.3">
      <c r="A38" s="8">
        <f t="shared" si="1"/>
        <v>27</v>
      </c>
      <c r="B38" s="267" t="s">
        <v>121</v>
      </c>
      <c r="C38" s="273"/>
      <c r="D38" s="271"/>
      <c r="E38" s="19">
        <f ca="1">-E33-E37</f>
        <v>2620.4845008355765</v>
      </c>
      <c r="F38"/>
    </row>
    <row r="39" spans="1:6" ht="15" thickTop="1" x14ac:dyDescent="0.3">
      <c r="A39" s="8"/>
      <c r="C39"/>
      <c r="D39" s="147"/>
      <c r="E39"/>
      <c r="F39"/>
    </row>
    <row r="40" spans="1:6" ht="14.4" x14ac:dyDescent="0.3">
      <c r="A40" s="8"/>
      <c r="B40"/>
      <c r="C40"/>
      <c r="D40" s="147"/>
      <c r="E40"/>
      <c r="F40"/>
    </row>
    <row r="41" spans="1:6" ht="14.4" x14ac:dyDescent="0.3">
      <c r="A41" s="8"/>
      <c r="B41"/>
      <c r="C41"/>
      <c r="D41" s="147"/>
      <c r="E41"/>
      <c r="F41"/>
    </row>
    <row r="42" spans="1:6" ht="14.4" x14ac:dyDescent="0.3">
      <c r="A42" s="8"/>
      <c r="B42"/>
      <c r="C42"/>
      <c r="D42" s="147"/>
      <c r="E42"/>
      <c r="F42"/>
    </row>
    <row r="43" spans="1:6" ht="14.4" x14ac:dyDescent="0.3">
      <c r="A43" s="8"/>
      <c r="B43"/>
      <c r="C43"/>
      <c r="D43" s="147"/>
      <c r="E43"/>
      <c r="F43"/>
    </row>
    <row r="44" spans="1:6" ht="14.4" x14ac:dyDescent="0.3">
      <c r="A44" s="8"/>
      <c r="B44"/>
      <c r="C44"/>
      <c r="D44" s="147"/>
      <c r="E44"/>
      <c r="F44"/>
    </row>
    <row r="45" spans="1:6" ht="14.4" x14ac:dyDescent="0.3">
      <c r="A45" s="8"/>
      <c r="B45"/>
      <c r="C45"/>
      <c r="D45" s="147"/>
      <c r="E45"/>
      <c r="F45"/>
    </row>
    <row r="46" spans="1:6" ht="14.4" x14ac:dyDescent="0.3">
      <c r="A46" s="8"/>
      <c r="B46"/>
      <c r="C46"/>
      <c r="D46" s="147"/>
      <c r="E46"/>
      <c r="F46"/>
    </row>
    <row r="47" spans="1:6" ht="14.4" x14ac:dyDescent="0.3">
      <c r="A47" s="8"/>
      <c r="B47"/>
      <c r="C47"/>
      <c r="D47" s="147"/>
      <c r="E47"/>
      <c r="F47"/>
    </row>
    <row r="48" spans="1:6" ht="14.4" x14ac:dyDescent="0.3">
      <c r="A48" s="8"/>
      <c r="B48"/>
      <c r="C48"/>
      <c r="D48" s="147"/>
      <c r="E48"/>
      <c r="F48"/>
    </row>
    <row r="49" spans="1:6" ht="14.4" x14ac:dyDescent="0.3">
      <c r="A49" s="8"/>
      <c r="B49"/>
      <c r="C49"/>
      <c r="D49" s="147"/>
      <c r="E49"/>
      <c r="F49"/>
    </row>
    <row r="50" spans="1:6" ht="14.4" x14ac:dyDescent="0.3">
      <c r="A50" s="8"/>
      <c r="B50"/>
      <c r="C50"/>
      <c r="D50" s="147"/>
      <c r="E50"/>
      <c r="F50"/>
    </row>
    <row r="51" spans="1:6" ht="14.4" x14ac:dyDescent="0.3">
      <c r="A51" s="8"/>
      <c r="B51"/>
      <c r="C51"/>
      <c r="D51" s="147"/>
      <c r="E51"/>
      <c r="F51"/>
    </row>
    <row r="52" spans="1:6" ht="14.4" x14ac:dyDescent="0.3">
      <c r="A52" s="8"/>
      <c r="B52"/>
      <c r="C52"/>
      <c r="D52" s="147"/>
      <c r="E52"/>
      <c r="F52"/>
    </row>
    <row r="53" spans="1:6" ht="14.4" x14ac:dyDescent="0.3">
      <c r="A53" s="8"/>
      <c r="B53"/>
      <c r="C53"/>
      <c r="D53" s="147"/>
      <c r="E53"/>
      <c r="F53"/>
    </row>
    <row r="54" spans="1:6" ht="14.4" x14ac:dyDescent="0.3">
      <c r="A54" s="8"/>
      <c r="B54"/>
      <c r="C54"/>
      <c r="D54" s="147"/>
      <c r="E54"/>
      <c r="F54"/>
    </row>
    <row r="55" spans="1:6" ht="14.4" x14ac:dyDescent="0.3">
      <c r="A55" s="8"/>
      <c r="B55"/>
      <c r="C55"/>
      <c r="D55" s="147"/>
      <c r="E55"/>
      <c r="F55"/>
    </row>
    <row r="56" spans="1:6" ht="14.4" x14ac:dyDescent="0.3">
      <c r="A56" s="8"/>
      <c r="B56"/>
      <c r="C56"/>
      <c r="D56" s="147"/>
      <c r="E56"/>
      <c r="F56"/>
    </row>
    <row r="57" spans="1:6" ht="14.4" x14ac:dyDescent="0.3">
      <c r="A57" s="8"/>
      <c r="B57"/>
      <c r="C57"/>
      <c r="D57" s="147"/>
      <c r="E57"/>
      <c r="F57"/>
    </row>
    <row r="58" spans="1:6" ht="14.4" x14ac:dyDescent="0.3">
      <c r="A58" s="8"/>
      <c r="B58"/>
      <c r="C58"/>
      <c r="D58" s="147"/>
      <c r="E58"/>
      <c r="F58"/>
    </row>
    <row r="59" spans="1:6" ht="14.4" x14ac:dyDescent="0.3">
      <c r="A59" s="8"/>
      <c r="B59"/>
      <c r="C59"/>
      <c r="D59" s="147"/>
      <c r="E59"/>
      <c r="F59"/>
    </row>
    <row r="60" spans="1:6" ht="14.4" x14ac:dyDescent="0.3">
      <c r="A60" s="8"/>
      <c r="B60"/>
      <c r="C60"/>
      <c r="D60" s="147"/>
      <c r="E60"/>
      <c r="F60"/>
    </row>
    <row r="61" spans="1:6" ht="14.4" x14ac:dyDescent="0.3">
      <c r="A61" s="8"/>
      <c r="B61"/>
      <c r="C61"/>
      <c r="D61" s="147"/>
      <c r="E61"/>
      <c r="F61"/>
    </row>
    <row r="62" spans="1:6" ht="14.4" x14ac:dyDescent="0.3">
      <c r="A62" s="8"/>
      <c r="B62"/>
      <c r="C62"/>
      <c r="D62" s="147"/>
      <c r="E62"/>
      <c r="F62"/>
    </row>
    <row r="63" spans="1:6" ht="14.4" x14ac:dyDescent="0.3">
      <c r="A63" s="8"/>
      <c r="B63"/>
      <c r="C63"/>
      <c r="D63" s="147"/>
      <c r="E63"/>
      <c r="F63"/>
    </row>
    <row r="64" spans="1:6" ht="14.4" x14ac:dyDescent="0.3">
      <c r="A64" s="8"/>
      <c r="B64"/>
      <c r="C64"/>
      <c r="D64" s="147"/>
      <c r="E64"/>
      <c r="F64"/>
    </row>
    <row r="65" spans="1:6" ht="14.4" x14ac:dyDescent="0.3">
      <c r="A65" s="8"/>
      <c r="B65"/>
      <c r="C65"/>
      <c r="D65" s="147"/>
      <c r="E65"/>
      <c r="F65"/>
    </row>
    <row r="66" spans="1:6" ht="14.4" x14ac:dyDescent="0.3">
      <c r="A66" s="8"/>
      <c r="B66"/>
      <c r="C66"/>
      <c r="D66" s="147"/>
      <c r="E66"/>
      <c r="F66"/>
    </row>
    <row r="67" spans="1:6" ht="14.4" x14ac:dyDescent="0.3">
      <c r="A67" s="8"/>
      <c r="B67"/>
      <c r="C67"/>
      <c r="D67" s="147"/>
      <c r="E67"/>
      <c r="F67"/>
    </row>
    <row r="68" spans="1:6" ht="14.4" x14ac:dyDescent="0.3">
      <c r="A68"/>
      <c r="B68"/>
      <c r="C68"/>
      <c r="D68" s="147"/>
      <c r="E68"/>
      <c r="F68"/>
    </row>
    <row r="69" spans="1:6" ht="14.4" x14ac:dyDescent="0.3">
      <c r="A69"/>
      <c r="B69"/>
      <c r="C69"/>
      <c r="D69" s="147"/>
      <c r="E69"/>
      <c r="F69"/>
    </row>
    <row r="70" spans="1:6" ht="14.4" x14ac:dyDescent="0.3">
      <c r="A70"/>
      <c r="B70"/>
      <c r="C70"/>
      <c r="D70" s="147"/>
      <c r="E70"/>
      <c r="F70"/>
    </row>
    <row r="71" spans="1:6" ht="14.4" x14ac:dyDescent="0.3">
      <c r="A71"/>
      <c r="B71"/>
      <c r="C71"/>
      <c r="D71" s="147"/>
      <c r="E71"/>
      <c r="F71"/>
    </row>
    <row r="72" spans="1:6" ht="14.4" x14ac:dyDescent="0.3">
      <c r="A72"/>
      <c r="B72"/>
      <c r="C72"/>
      <c r="D72" s="147"/>
      <c r="E72"/>
      <c r="F72"/>
    </row>
    <row r="73" spans="1:6" ht="14.4" x14ac:dyDescent="0.3">
      <c r="A73"/>
      <c r="B73"/>
      <c r="C73"/>
      <c r="D73" s="147"/>
      <c r="E73"/>
      <c r="F73"/>
    </row>
    <row r="74" spans="1:6" ht="14.4" x14ac:dyDescent="0.3">
      <c r="A74"/>
      <c r="B74"/>
      <c r="C74"/>
      <c r="D74" s="147"/>
      <c r="E74"/>
      <c r="F74"/>
    </row>
    <row r="75" spans="1:6" ht="14.4" x14ac:dyDescent="0.3">
      <c r="A75"/>
      <c r="B75"/>
      <c r="C75"/>
      <c r="D75" s="147"/>
      <c r="E75"/>
      <c r="F75"/>
    </row>
    <row r="76" spans="1:6" ht="14.4" x14ac:dyDescent="0.3">
      <c r="A76"/>
      <c r="B76"/>
      <c r="C76"/>
      <c r="D76" s="147"/>
      <c r="E76"/>
      <c r="F76"/>
    </row>
    <row r="77" spans="1:6" ht="14.4" x14ac:dyDescent="0.3">
      <c r="A77"/>
      <c r="B77"/>
      <c r="C77"/>
      <c r="D77" s="147"/>
      <c r="E77"/>
      <c r="F77"/>
    </row>
    <row r="78" spans="1:6" ht="14.4" x14ac:dyDescent="0.3">
      <c r="A78"/>
      <c r="B78"/>
      <c r="C78"/>
      <c r="D78" s="147"/>
      <c r="E78"/>
      <c r="F78"/>
    </row>
    <row r="79" spans="1:6" ht="14.4" x14ac:dyDescent="0.3">
      <c r="A79"/>
      <c r="B79"/>
      <c r="C79"/>
      <c r="D79" s="147"/>
      <c r="E79"/>
      <c r="F79"/>
    </row>
    <row r="80" spans="1:6" ht="14.4" x14ac:dyDescent="0.3">
      <c r="A80"/>
      <c r="B80"/>
      <c r="C80"/>
      <c r="D80" s="147"/>
      <c r="E80"/>
      <c r="F80"/>
    </row>
    <row r="81" spans="1:6" ht="14.4" x14ac:dyDescent="0.3">
      <c r="A81"/>
      <c r="B81"/>
      <c r="C81"/>
      <c r="D81" s="147"/>
      <c r="E81"/>
      <c r="F81"/>
    </row>
    <row r="82" spans="1:6" ht="14.4" x14ac:dyDescent="0.3">
      <c r="A82"/>
      <c r="B82"/>
      <c r="C82"/>
      <c r="D82" s="147"/>
      <c r="E82"/>
      <c r="F82"/>
    </row>
    <row r="83" spans="1:6" ht="14.4" x14ac:dyDescent="0.3">
      <c r="A83"/>
      <c r="B83"/>
      <c r="C83"/>
      <c r="D83" s="147"/>
      <c r="E83"/>
      <c r="F83"/>
    </row>
    <row r="84" spans="1:6" ht="14.4" x14ac:dyDescent="0.3">
      <c r="A84"/>
      <c r="B84"/>
      <c r="C84"/>
      <c r="D84" s="147"/>
      <c r="E84"/>
      <c r="F84"/>
    </row>
    <row r="85" spans="1:6" ht="14.4" x14ac:dyDescent="0.3">
      <c r="A85"/>
      <c r="B85"/>
      <c r="C85"/>
      <c r="D85" s="147"/>
      <c r="E85"/>
      <c r="F85"/>
    </row>
    <row r="86" spans="1:6" ht="14.4" x14ac:dyDescent="0.3">
      <c r="A86"/>
      <c r="B86"/>
      <c r="C86"/>
      <c r="D86" s="147"/>
      <c r="E86"/>
      <c r="F86"/>
    </row>
    <row r="87" spans="1:6" ht="14.4" x14ac:dyDescent="0.3">
      <c r="A87"/>
      <c r="B87"/>
      <c r="C87"/>
      <c r="D87" s="147"/>
      <c r="E87"/>
      <c r="F87"/>
    </row>
    <row r="88" spans="1:6" ht="14.4" x14ac:dyDescent="0.3">
      <c r="A88"/>
      <c r="B88"/>
      <c r="C88"/>
      <c r="D88" s="147"/>
      <c r="E88"/>
      <c r="F88"/>
    </row>
    <row r="89" spans="1:6" ht="14.4" x14ac:dyDescent="0.3">
      <c r="A89"/>
      <c r="B89"/>
      <c r="C89"/>
      <c r="D89" s="147"/>
      <c r="E89"/>
      <c r="F89"/>
    </row>
    <row r="90" spans="1:6" ht="14.4" x14ac:dyDescent="0.3">
      <c r="A90"/>
      <c r="B90"/>
      <c r="C90"/>
      <c r="D90" s="147"/>
      <c r="E90"/>
      <c r="F90"/>
    </row>
    <row r="91" spans="1:6" ht="14.4" x14ac:dyDescent="0.3">
      <c r="A91"/>
      <c r="B91"/>
      <c r="C91"/>
      <c r="D91" s="147"/>
      <c r="E91"/>
      <c r="F91"/>
    </row>
    <row r="92" spans="1:6" ht="14.4" x14ac:dyDescent="0.3">
      <c r="A92"/>
      <c r="B92"/>
      <c r="C92"/>
      <c r="D92" s="147"/>
      <c r="E92"/>
      <c r="F92"/>
    </row>
    <row r="93" spans="1:6" ht="14.4" x14ac:dyDescent="0.3">
      <c r="A93"/>
      <c r="B93"/>
      <c r="C93"/>
      <c r="D93" s="147"/>
      <c r="E93"/>
      <c r="F93"/>
    </row>
    <row r="94" spans="1:6" ht="14.4" x14ac:dyDescent="0.3">
      <c r="A94"/>
      <c r="B94"/>
      <c r="C94"/>
      <c r="D94" s="147"/>
      <c r="E94"/>
      <c r="F94"/>
    </row>
    <row r="95" spans="1:6" ht="14.4" x14ac:dyDescent="0.3">
      <c r="A95"/>
      <c r="B95"/>
      <c r="C95"/>
      <c r="D95" s="147"/>
      <c r="E95"/>
      <c r="F95"/>
    </row>
  </sheetData>
  <pageMargins left="0.75" right="0.65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>
      <selection activeCell="C6" sqref="C6"/>
    </sheetView>
  </sheetViews>
  <sheetFormatPr defaultColWidth="9.109375" defaultRowHeight="13.8" x14ac:dyDescent="0.3"/>
  <cols>
    <col min="1" max="1" width="31" style="174" customWidth="1"/>
    <col min="2" max="2" width="22.88671875" style="174" customWidth="1"/>
    <col min="3" max="3" width="17.6640625" style="174" customWidth="1"/>
    <col min="4" max="4" width="3.6640625" style="174" customWidth="1"/>
    <col min="5" max="5" width="10.44140625" style="175" bestFit="1" customWidth="1"/>
    <col min="6" max="10" width="9.109375" style="175"/>
    <col min="11" max="16384" width="9.109375" style="174"/>
  </cols>
  <sheetData>
    <row r="1" spans="1:5" ht="13.95" x14ac:dyDescent="0.3">
      <c r="A1" s="173" t="s">
        <v>162</v>
      </c>
    </row>
    <row r="2" spans="1:5" ht="6" customHeight="1" x14ac:dyDescent="0.3">
      <c r="A2" s="173"/>
    </row>
    <row r="3" spans="1:5" ht="13.95" x14ac:dyDescent="0.3">
      <c r="A3" s="176" t="s">
        <v>180</v>
      </c>
      <c r="C3" s="177"/>
    </row>
    <row r="4" spans="1:5" ht="13.95" x14ac:dyDescent="0.3">
      <c r="A4" s="178" t="s">
        <v>166</v>
      </c>
      <c r="B4" s="179" t="s">
        <v>181</v>
      </c>
      <c r="C4" s="180">
        <v>25009378.129999995</v>
      </c>
    </row>
    <row r="5" spans="1:5" ht="13.95" x14ac:dyDescent="0.3">
      <c r="A5" s="181"/>
      <c r="B5" s="181" t="s">
        <v>182</v>
      </c>
      <c r="C5" s="182">
        <v>63201.95</v>
      </c>
      <c r="D5" s="174" t="s">
        <v>183</v>
      </c>
    </row>
    <row r="6" spans="1:5" ht="14.4" thickBot="1" x14ac:dyDescent="0.35">
      <c r="A6" s="183"/>
      <c r="B6" s="183" t="s">
        <v>176</v>
      </c>
      <c r="C6" s="184">
        <f>SUM(C4:C5)</f>
        <v>25072580.079999994</v>
      </c>
    </row>
    <row r="7" spans="1:5" ht="14.4" thickTop="1" x14ac:dyDescent="0.3">
      <c r="A7" s="175"/>
      <c r="B7" s="175"/>
      <c r="C7" s="185"/>
    </row>
    <row r="8" spans="1:5" ht="13.95" x14ac:dyDescent="0.3">
      <c r="A8" s="186" t="s">
        <v>184</v>
      </c>
      <c r="B8" s="175"/>
      <c r="C8" s="185"/>
    </row>
    <row r="9" spans="1:5" ht="13.95" x14ac:dyDescent="0.3">
      <c r="A9" s="178" t="s">
        <v>166</v>
      </c>
      <c r="B9" s="179" t="s">
        <v>181</v>
      </c>
      <c r="C9" s="180">
        <f>+($C$4*$B$24/12)/2</f>
        <v>16151.890042291663</v>
      </c>
    </row>
    <row r="10" spans="1:5" ht="13.95" x14ac:dyDescent="0.3">
      <c r="A10" s="181"/>
      <c r="B10" s="181" t="s">
        <v>185</v>
      </c>
      <c r="C10" s="185">
        <f>(+$C$4*$B$24/12)</f>
        <v>32303.780084583326</v>
      </c>
      <c r="E10" s="185"/>
    </row>
    <row r="11" spans="1:5" ht="14.4" thickBot="1" x14ac:dyDescent="0.35">
      <c r="A11" s="183"/>
      <c r="B11" s="183" t="s">
        <v>168</v>
      </c>
      <c r="C11" s="184">
        <f>SUM(C9:C10)</f>
        <v>48455.670126874989</v>
      </c>
      <c r="D11" s="174" t="s">
        <v>186</v>
      </c>
    </row>
    <row r="12" spans="1:5" ht="6.75" customHeight="1" thickTop="1" x14ac:dyDescent="0.3">
      <c r="A12" s="175"/>
      <c r="B12" s="175"/>
      <c r="C12" s="185"/>
    </row>
    <row r="13" spans="1:5" ht="13.95" x14ac:dyDescent="0.3">
      <c r="A13" s="175"/>
      <c r="C13" s="185"/>
    </row>
    <row r="14" spans="1:5" ht="13.95" x14ac:dyDescent="0.3">
      <c r="A14" s="175"/>
      <c r="B14" s="175"/>
      <c r="C14" s="185"/>
    </row>
    <row r="15" spans="1:5" ht="13.95" x14ac:dyDescent="0.3">
      <c r="A15" s="176" t="s">
        <v>187</v>
      </c>
    </row>
    <row r="16" spans="1:5" ht="13.95" x14ac:dyDescent="0.3">
      <c r="A16" s="187" t="s">
        <v>166</v>
      </c>
      <c r="B16" s="188" t="s">
        <v>181</v>
      </c>
      <c r="C16" s="189">
        <v>-25125901.940000001</v>
      </c>
    </row>
    <row r="17" spans="1:6" ht="14.4" thickBot="1" x14ac:dyDescent="0.35">
      <c r="A17" s="190"/>
      <c r="B17" s="183" t="s">
        <v>188</v>
      </c>
      <c r="C17" s="191">
        <f>+C16</f>
        <v>-25125901.940000001</v>
      </c>
      <c r="E17" s="175" t="s">
        <v>210</v>
      </c>
      <c r="F17" s="175">
        <v>101</v>
      </c>
    </row>
    <row r="18" spans="1:6" ht="14.4" thickTop="1" x14ac:dyDescent="0.3">
      <c r="A18" s="176"/>
      <c r="B18" s="192"/>
    </row>
    <row r="19" spans="1:6" ht="13.95" x14ac:dyDescent="0.3">
      <c r="A19" s="176" t="s">
        <v>189</v>
      </c>
      <c r="B19" s="193"/>
    </row>
    <row r="20" spans="1:6" ht="13.95" x14ac:dyDescent="0.3">
      <c r="A20" s="194" t="s">
        <v>166</v>
      </c>
      <c r="B20" s="188" t="s">
        <v>185</v>
      </c>
      <c r="C20" s="195">
        <v>-26665758.100000001</v>
      </c>
      <c r="D20" s="174" t="s">
        <v>190</v>
      </c>
      <c r="E20" s="175" t="s">
        <v>211</v>
      </c>
      <c r="F20" s="175">
        <v>108</v>
      </c>
    </row>
    <row r="21" spans="1:6" ht="13.95" x14ac:dyDescent="0.3">
      <c r="A21" s="175"/>
      <c r="B21" s="175"/>
      <c r="C21" s="185"/>
    </row>
    <row r="22" spans="1:6" ht="14.4" thickBot="1" x14ac:dyDescent="0.35">
      <c r="A22" s="196" t="s">
        <v>191</v>
      </c>
      <c r="B22" s="196"/>
      <c r="C22" s="196"/>
      <c r="D22" s="196"/>
      <c r="E22" s="196"/>
      <c r="F22" s="196"/>
    </row>
    <row r="23" spans="1:6" ht="13.95" x14ac:dyDescent="0.3">
      <c r="A23" s="174" t="s">
        <v>192</v>
      </c>
    </row>
    <row r="24" spans="1:6" ht="13.95" x14ac:dyDescent="0.3">
      <c r="A24" s="174" t="s">
        <v>193</v>
      </c>
      <c r="B24" s="197">
        <v>1.55E-2</v>
      </c>
    </row>
    <row r="25" spans="1:6" ht="13.95" x14ac:dyDescent="0.3">
      <c r="A25" s="174" t="s">
        <v>194</v>
      </c>
    </row>
    <row r="26" spans="1:6" ht="13.95" x14ac:dyDescent="0.3">
      <c r="F26" s="198"/>
    </row>
    <row r="27" spans="1:6" ht="13.95" x14ac:dyDescent="0.3">
      <c r="A27" s="199"/>
    </row>
  </sheetData>
  <pageMargins left="0.7" right="0.7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F35"/>
  <sheetViews>
    <sheetView topLeftCell="A8" workbookViewId="0">
      <selection activeCell="D23" sqref="D23"/>
    </sheetView>
  </sheetViews>
  <sheetFormatPr defaultRowHeight="14.4" x14ac:dyDescent="0.3"/>
  <cols>
    <col min="1" max="1" width="20.5546875" bestFit="1" customWidth="1"/>
    <col min="2" max="2" width="14.6640625" bestFit="1" customWidth="1"/>
    <col min="3" max="3" width="16.6640625" customWidth="1"/>
    <col min="4" max="4" width="14" customWidth="1"/>
    <col min="5" max="5" width="14.5546875" customWidth="1"/>
    <col min="6" max="6" width="17.6640625" customWidth="1"/>
    <col min="7" max="7" width="28.44140625" customWidth="1"/>
  </cols>
  <sheetData>
    <row r="2" spans="1:6" ht="9" customHeight="1" x14ac:dyDescent="0.3"/>
    <row r="3" spans="1:6" ht="26.4" x14ac:dyDescent="0.3">
      <c r="B3" s="200" t="s">
        <v>56</v>
      </c>
      <c r="C3" s="200" t="s">
        <v>18</v>
      </c>
      <c r="D3" s="200" t="s">
        <v>57</v>
      </c>
      <c r="E3" s="201" t="s">
        <v>126</v>
      </c>
      <c r="F3" s="201" t="s">
        <v>21</v>
      </c>
    </row>
    <row r="4" spans="1:6" ht="8.25" customHeight="1" x14ac:dyDescent="0.3"/>
    <row r="5" spans="1:6" x14ac:dyDescent="0.3">
      <c r="A5" s="143">
        <v>42277</v>
      </c>
      <c r="B5" s="202">
        <f>'Retirement Detail'!B16</f>
        <v>25125901.940000001</v>
      </c>
      <c r="C5" s="202">
        <f>'Retirement Depr Exp'!C5</f>
        <v>32454.290005833336</v>
      </c>
      <c r="D5" s="202">
        <f>C23</f>
        <v>-7731577.600505772</v>
      </c>
      <c r="E5" s="202">
        <f>+B5+D5</f>
        <v>17394324.339494228</v>
      </c>
      <c r="F5" s="1">
        <f>'Retirement ADFIT'!B5</f>
        <v>-1925092.4066313882</v>
      </c>
    </row>
    <row r="6" spans="1:6" x14ac:dyDescent="0.3">
      <c r="A6" s="143">
        <v>42308</v>
      </c>
      <c r="B6" s="202">
        <f>+B5</f>
        <v>25125901.940000001</v>
      </c>
      <c r="C6" s="202">
        <f>'Retirement Depr Exp'!C5</f>
        <v>32454.290005833336</v>
      </c>
      <c r="D6" s="202">
        <f>+D5-C6</f>
        <v>-7764031.890511605</v>
      </c>
      <c r="E6" s="202">
        <f t="shared" ref="E6:E17" si="0">+B6+D6</f>
        <v>17361870.049488395</v>
      </c>
      <c r="F6" s="1">
        <f>'Retirement ADFIT'!B6</f>
        <v>-1943982.9331706502</v>
      </c>
    </row>
    <row r="7" spans="1:6" x14ac:dyDescent="0.3">
      <c r="A7" s="143">
        <v>42338</v>
      </c>
      <c r="B7" s="202">
        <f t="shared" ref="B7:B15" si="1">+B6</f>
        <v>25125901.940000001</v>
      </c>
      <c r="C7" s="202">
        <f>'Retirement Depr Exp'!C6</f>
        <v>32454.290005833336</v>
      </c>
      <c r="D7" s="202">
        <f t="shared" ref="D7:D15" si="2">+D6-C7</f>
        <v>-7796486.1805174379</v>
      </c>
      <c r="E7" s="202">
        <f t="shared" si="0"/>
        <v>17329415.759482563</v>
      </c>
      <c r="F7" s="1">
        <f>'Retirement ADFIT'!B7</f>
        <v>-1962873.4597099121</v>
      </c>
    </row>
    <row r="8" spans="1:6" x14ac:dyDescent="0.3">
      <c r="A8" s="143">
        <v>42369</v>
      </c>
      <c r="B8" s="202">
        <f t="shared" si="1"/>
        <v>25125901.940000001</v>
      </c>
      <c r="C8" s="202">
        <f>'Retirement Depr Exp'!C7</f>
        <v>32454.290005833336</v>
      </c>
      <c r="D8" s="202">
        <f t="shared" si="2"/>
        <v>-7828940.4705232708</v>
      </c>
      <c r="E8" s="202">
        <f t="shared" si="0"/>
        <v>17296961.46947673</v>
      </c>
      <c r="F8" s="1">
        <f>'Retirement ADFIT'!B8</f>
        <v>-1981763.986249174</v>
      </c>
    </row>
    <row r="9" spans="1:6" x14ac:dyDescent="0.3">
      <c r="A9" s="143">
        <v>42400</v>
      </c>
      <c r="B9" s="202">
        <f t="shared" si="1"/>
        <v>25125901.940000001</v>
      </c>
      <c r="C9" s="202">
        <f>'Retirement Depr Exp'!C8</f>
        <v>32454.290005833336</v>
      </c>
      <c r="D9" s="202">
        <f t="shared" si="2"/>
        <v>-7861394.7605291037</v>
      </c>
      <c r="E9" s="202">
        <f t="shared" si="0"/>
        <v>17264507.179470897</v>
      </c>
      <c r="F9" s="1">
        <f>'Retirement ADFIT'!B9</f>
        <v>-2000654.5127884361</v>
      </c>
    </row>
    <row r="10" spans="1:6" x14ac:dyDescent="0.3">
      <c r="A10" s="143">
        <v>42428</v>
      </c>
      <c r="B10" s="202">
        <f t="shared" si="1"/>
        <v>25125901.940000001</v>
      </c>
      <c r="C10" s="202">
        <f>'Retirement Depr Exp'!C9</f>
        <v>32454.290005833336</v>
      </c>
      <c r="D10" s="202">
        <f t="shared" si="2"/>
        <v>-7893849.0505349366</v>
      </c>
      <c r="E10" s="202">
        <f t="shared" si="0"/>
        <v>17232052.889465064</v>
      </c>
      <c r="F10" s="1">
        <f>'Retirement ADFIT'!B10</f>
        <v>-2019545.0393276981</v>
      </c>
    </row>
    <row r="11" spans="1:6" x14ac:dyDescent="0.3">
      <c r="A11" s="143">
        <v>42460</v>
      </c>
      <c r="B11" s="202">
        <f t="shared" si="1"/>
        <v>25125901.940000001</v>
      </c>
      <c r="C11" s="202">
        <f>'Retirement Depr Exp'!C10</f>
        <v>32454.290005833336</v>
      </c>
      <c r="D11" s="202">
        <f t="shared" si="2"/>
        <v>-7926303.3405407695</v>
      </c>
      <c r="E11" s="202">
        <f t="shared" si="0"/>
        <v>17199598.599459231</v>
      </c>
      <c r="F11" s="1">
        <f>'Retirement ADFIT'!B11</f>
        <v>-2038435.56586696</v>
      </c>
    </row>
    <row r="12" spans="1:6" x14ac:dyDescent="0.3">
      <c r="A12" s="143">
        <v>42490</v>
      </c>
      <c r="B12" s="202">
        <f t="shared" si="1"/>
        <v>25125901.940000001</v>
      </c>
      <c r="C12" s="202">
        <f>'Retirement Depr Exp'!C11</f>
        <v>32454.290005833336</v>
      </c>
      <c r="D12" s="202">
        <f t="shared" si="2"/>
        <v>-7958757.6305466024</v>
      </c>
      <c r="E12" s="202">
        <f t="shared" si="0"/>
        <v>17167144.309453398</v>
      </c>
      <c r="F12" s="1">
        <f>'Retirement ADFIT'!B12</f>
        <v>-2057326.0924062219</v>
      </c>
    </row>
    <row r="13" spans="1:6" x14ac:dyDescent="0.3">
      <c r="A13" s="143">
        <v>42521</v>
      </c>
      <c r="B13" s="202">
        <f t="shared" si="1"/>
        <v>25125901.940000001</v>
      </c>
      <c r="C13" s="202">
        <f>'Retirement Depr Exp'!C12</f>
        <v>32454.290005833336</v>
      </c>
      <c r="D13" s="202">
        <f t="shared" si="2"/>
        <v>-7991211.9205524353</v>
      </c>
      <c r="E13" s="202">
        <f t="shared" si="0"/>
        <v>17134690.019447565</v>
      </c>
      <c r="F13" s="1">
        <f>'Retirement ADFIT'!B13</f>
        <v>-2076216.6189454838</v>
      </c>
    </row>
    <row r="14" spans="1:6" x14ac:dyDescent="0.3">
      <c r="A14" s="143">
        <v>42551</v>
      </c>
      <c r="B14" s="202">
        <f t="shared" si="1"/>
        <v>25125901.940000001</v>
      </c>
      <c r="C14" s="202">
        <f>'Retirement Depr Exp'!C13</f>
        <v>32454.290005833336</v>
      </c>
      <c r="D14" s="202">
        <f t="shared" si="2"/>
        <v>-8023666.2105582682</v>
      </c>
      <c r="E14" s="202">
        <f t="shared" si="0"/>
        <v>17102235.729441732</v>
      </c>
      <c r="F14" s="1">
        <f>'Retirement ADFIT'!B14</f>
        <v>-2095107.145484746</v>
      </c>
    </row>
    <row r="15" spans="1:6" x14ac:dyDescent="0.3">
      <c r="A15" s="143">
        <v>42582</v>
      </c>
      <c r="B15" s="202">
        <f t="shared" si="1"/>
        <v>25125901.940000001</v>
      </c>
      <c r="C15" s="202">
        <f>'Retirement Depr Exp'!C14</f>
        <v>32454.290005833336</v>
      </c>
      <c r="D15" s="202">
        <f t="shared" si="2"/>
        <v>-8056120.5005641012</v>
      </c>
      <c r="E15" s="202">
        <f t="shared" si="0"/>
        <v>17069781.439435899</v>
      </c>
      <c r="F15" s="1">
        <f>'Retirement ADFIT'!B15</f>
        <v>-2113997.6720240079</v>
      </c>
    </row>
    <row r="16" spans="1:6" x14ac:dyDescent="0.3">
      <c r="A16" s="143">
        <v>42613</v>
      </c>
      <c r="B16" s="202"/>
      <c r="C16" s="202">
        <f>'Retirement Depr Exp'!C15</f>
        <v>16227.145002916668</v>
      </c>
      <c r="D16" s="202">
        <f>+D15-C16+B22</f>
        <v>17053554.294432983</v>
      </c>
      <c r="E16" s="202">
        <f t="shared" si="0"/>
        <v>17053554.294432983</v>
      </c>
      <c r="F16" s="1">
        <f>'Retirement ADFIT'!B16</f>
        <v>0</v>
      </c>
    </row>
    <row r="17" spans="1:6" x14ac:dyDescent="0.3">
      <c r="A17" s="215" t="s">
        <v>214</v>
      </c>
      <c r="B17" s="203"/>
      <c r="C17" s="204"/>
      <c r="D17" s="203">
        <f>+D16</f>
        <v>17053554.294432983</v>
      </c>
      <c r="E17" s="202">
        <f t="shared" si="0"/>
        <v>17053554.294432983</v>
      </c>
      <c r="F17" s="205">
        <f>'Retirement ADFIT'!B17</f>
        <v>0</v>
      </c>
    </row>
    <row r="18" spans="1:6" x14ac:dyDescent="0.3">
      <c r="A18" t="s">
        <v>179</v>
      </c>
      <c r="B18" s="206">
        <f>(B5+B17+SUM(B6:B16)*2)/24</f>
        <v>21985164.197500002</v>
      </c>
      <c r="D18" s="206">
        <f>(D5+D17+SUM(D6:D16)*2)/24</f>
        <v>-4782184.9428318273</v>
      </c>
      <c r="E18" s="206">
        <f>(E5+E17+SUM(E6:E16)*2)/24</f>
        <v>17202979.254668172</v>
      </c>
      <c r="F18" s="206">
        <f>(F5+F17+SUM(F6:F16)*2)/24</f>
        <v>-1771037.4357740821</v>
      </c>
    </row>
    <row r="19" spans="1:6" x14ac:dyDescent="0.3">
      <c r="A19" t="s">
        <v>195</v>
      </c>
      <c r="C19" s="206">
        <f>SUM(C6:C17)</f>
        <v>340770.04506125004</v>
      </c>
    </row>
    <row r="20" spans="1:6" ht="14.25" customHeight="1" x14ac:dyDescent="0.3"/>
    <row r="21" spans="1:6" x14ac:dyDescent="0.3">
      <c r="A21" t="s">
        <v>197</v>
      </c>
    </row>
    <row r="22" spans="1:6" x14ac:dyDescent="0.3">
      <c r="A22" t="s">
        <v>198</v>
      </c>
      <c r="B22" s="202">
        <f>+'Retirement Detail'!B16</f>
        <v>25125901.940000001</v>
      </c>
    </row>
    <row r="23" spans="1:6" x14ac:dyDescent="0.3">
      <c r="A23" s="204" t="s">
        <v>196</v>
      </c>
      <c r="B23" s="260">
        <f>-'Retirement Detail'!C16</f>
        <v>-8056120.5005641058</v>
      </c>
      <c r="C23" s="202">
        <f>B23+SUM(C6:C15)</f>
        <v>-7731577.600505772</v>
      </c>
      <c r="D23" s="202">
        <f>-B23</f>
        <v>8056120.5005641058</v>
      </c>
    </row>
    <row r="24" spans="1:6" x14ac:dyDescent="0.3">
      <c r="A24" t="s">
        <v>126</v>
      </c>
      <c r="B24" s="202">
        <f>SUM(B22:B23)</f>
        <v>17069781.439435896</v>
      </c>
    </row>
    <row r="25" spans="1:6" ht="14.25" customHeight="1" x14ac:dyDescent="0.3">
      <c r="B25" s="202"/>
    </row>
    <row r="26" spans="1:6" ht="14.25" customHeight="1" x14ac:dyDescent="0.3">
      <c r="A26" t="s">
        <v>215</v>
      </c>
      <c r="B26" s="202"/>
    </row>
    <row r="27" spans="1:6" ht="20.25" customHeight="1" x14ac:dyDescent="0.3">
      <c r="B27" s="202"/>
    </row>
    <row r="28" spans="1:6" x14ac:dyDescent="0.3">
      <c r="A28" t="s">
        <v>206</v>
      </c>
      <c r="C28" t="s">
        <v>207</v>
      </c>
      <c r="D28" t="s">
        <v>208</v>
      </c>
    </row>
    <row r="29" spans="1:6" x14ac:dyDescent="0.3">
      <c r="A29" t="s">
        <v>201</v>
      </c>
      <c r="B29" s="207">
        <f ca="1">Addition!E13</f>
        <v>1.5500000000000002E-2</v>
      </c>
    </row>
    <row r="30" spans="1:6" x14ac:dyDescent="0.3">
      <c r="A30" t="s">
        <v>199</v>
      </c>
      <c r="B30" s="207">
        <f ca="1">Addition!E14</f>
        <v>8.5587680465645549E-2</v>
      </c>
      <c r="C30" s="207"/>
      <c r="D30" s="209"/>
      <c r="E30" s="210"/>
    </row>
    <row r="31" spans="1:6" x14ac:dyDescent="0.3">
      <c r="A31" t="s">
        <v>200</v>
      </c>
      <c r="B31" s="207">
        <f ca="1">+B30/B29</f>
        <v>5.5217858364932608</v>
      </c>
    </row>
    <row r="32" spans="1:6" x14ac:dyDescent="0.3">
      <c r="A32" t="s">
        <v>209</v>
      </c>
      <c r="C32" s="221">
        <f>+C19</f>
        <v>340770.04506125004</v>
      </c>
      <c r="D32" s="221">
        <f>'Addition-Retire Source'!C11</f>
        <v>48455.670126874989</v>
      </c>
    </row>
    <row r="33" spans="1:4" x14ac:dyDescent="0.3">
      <c r="A33" s="204"/>
      <c r="B33" s="204"/>
      <c r="C33" s="212">
        <f ca="1">+B31</f>
        <v>5.5217858364932608</v>
      </c>
      <c r="D33" s="212">
        <f ca="1">+B31</f>
        <v>5.5217858364932608</v>
      </c>
    </row>
    <row r="34" spans="1:4" x14ac:dyDescent="0.3">
      <c r="A34" s="204" t="s">
        <v>203</v>
      </c>
      <c r="B34" s="204"/>
      <c r="C34" s="222">
        <f ca="1">+C32*C33</f>
        <v>1881659.2083203807</v>
      </c>
      <c r="D34" s="222">
        <f ca="1">+D32*D33</f>
        <v>267561.83300436795</v>
      </c>
    </row>
    <row r="35" spans="1:4" x14ac:dyDescent="0.3">
      <c r="A35" t="s">
        <v>205</v>
      </c>
      <c r="C35" s="221">
        <f ca="1">+C34-C32</f>
        <v>1540889.1632591307</v>
      </c>
      <c r="D35" s="221">
        <f ca="1">+D34-D32</f>
        <v>219106.16287749296</v>
      </c>
    </row>
  </sheetData>
  <pageMargins left="0.7" right="0.7" top="0.75" bottom="0.75" header="0.3" footer="0.3"/>
  <pageSetup scale="9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Normal="100" workbookViewId="0">
      <selection activeCell="J2" sqref="J2"/>
    </sheetView>
  </sheetViews>
  <sheetFormatPr defaultColWidth="9.109375" defaultRowHeight="13.8" x14ac:dyDescent="0.3"/>
  <cols>
    <col min="1" max="1" width="9.33203125" style="150" bestFit="1" customWidth="1"/>
    <col min="2" max="2" width="12.6640625" style="151" customWidth="1"/>
    <col min="3" max="4" width="10.88671875" style="151" customWidth="1"/>
    <col min="5" max="5" width="15.109375" style="150" bestFit="1" customWidth="1"/>
    <col min="6" max="8" width="9.109375" style="150"/>
    <col min="9" max="9" width="35.88671875" style="150" customWidth="1"/>
    <col min="10" max="10" width="9.33203125" style="150" bestFit="1" customWidth="1"/>
    <col min="11" max="11" width="16.5546875" style="150" customWidth="1"/>
    <col min="12" max="12" width="9.33203125" style="150" bestFit="1" customWidth="1"/>
    <col min="13" max="13" width="9.109375" style="150"/>
    <col min="14" max="15" width="15.109375" style="150" bestFit="1" customWidth="1"/>
    <col min="16" max="16" width="12.109375" style="150" customWidth="1"/>
    <col min="17" max="16384" width="9.109375" style="150"/>
  </cols>
  <sheetData>
    <row r="1" spans="1:16" ht="13.95" x14ac:dyDescent="0.3">
      <c r="A1" s="148" t="s">
        <v>123</v>
      </c>
      <c r="B1" s="149" t="s">
        <v>124</v>
      </c>
      <c r="C1" s="149" t="s">
        <v>125</v>
      </c>
      <c r="D1" s="149" t="s">
        <v>126</v>
      </c>
      <c r="E1" s="148" t="s">
        <v>127</v>
      </c>
      <c r="F1" s="148" t="s">
        <v>128</v>
      </c>
      <c r="G1" s="148" t="s">
        <v>129</v>
      </c>
      <c r="H1" s="148" t="s">
        <v>128</v>
      </c>
      <c r="I1" s="148" t="s">
        <v>130</v>
      </c>
      <c r="J1" s="148" t="s">
        <v>131</v>
      </c>
      <c r="K1" s="148" t="s">
        <v>132</v>
      </c>
      <c r="L1" s="148" t="s">
        <v>133</v>
      </c>
      <c r="M1" s="148" t="s">
        <v>128</v>
      </c>
      <c r="N1" s="148" t="s">
        <v>134</v>
      </c>
      <c r="O1" s="148" t="s">
        <v>135</v>
      </c>
      <c r="P1" s="148" t="s">
        <v>136</v>
      </c>
    </row>
    <row r="2" spans="1:16" ht="13.95" x14ac:dyDescent="0.3">
      <c r="A2" s="150">
        <v>14</v>
      </c>
      <c r="B2" s="261">
        <v>1066292.3600000001</v>
      </c>
      <c r="C2" s="151">
        <v>130571.071561406</v>
      </c>
      <c r="D2" s="151">
        <f>B2-C2</f>
        <v>935721.28843859409</v>
      </c>
      <c r="E2" s="152">
        <v>42552</v>
      </c>
      <c r="F2" s="150" t="s">
        <v>137</v>
      </c>
      <c r="G2" s="150" t="s">
        <v>138</v>
      </c>
      <c r="H2" s="150" t="s">
        <v>139</v>
      </c>
      <c r="I2" s="150" t="s">
        <v>140</v>
      </c>
      <c r="J2" s="150">
        <v>13440</v>
      </c>
      <c r="K2" s="150" t="s">
        <v>141</v>
      </c>
      <c r="L2" s="150">
        <v>18245715</v>
      </c>
      <c r="M2" s="150" t="s">
        <v>142</v>
      </c>
      <c r="N2" s="152">
        <v>41816</v>
      </c>
      <c r="O2" s="152">
        <v>41791</v>
      </c>
      <c r="P2" s="153" t="s">
        <v>143</v>
      </c>
    </row>
    <row r="3" spans="1:16" ht="13.95" x14ac:dyDescent="0.3">
      <c r="A3" s="150">
        <v>14</v>
      </c>
      <c r="B3" s="151">
        <v>1066292.3600000001</v>
      </c>
      <c r="C3" s="151">
        <v>130571.071561406</v>
      </c>
      <c r="D3" s="151">
        <f t="shared" ref="D3:D14" si="0">B3-C3</f>
        <v>935721.28843859409</v>
      </c>
      <c r="E3" s="152">
        <v>42552</v>
      </c>
      <c r="F3" s="150" t="s">
        <v>137</v>
      </c>
      <c r="G3" s="150" t="s">
        <v>138</v>
      </c>
      <c r="H3" s="150" t="s">
        <v>139</v>
      </c>
      <c r="I3" s="150" t="s">
        <v>140</v>
      </c>
      <c r="J3" s="150">
        <v>13440</v>
      </c>
      <c r="K3" s="150" t="s">
        <v>144</v>
      </c>
      <c r="L3" s="150">
        <v>18245718</v>
      </c>
      <c r="M3" s="150" t="s">
        <v>142</v>
      </c>
      <c r="N3" s="152">
        <v>41816</v>
      </c>
      <c r="O3" s="152">
        <v>41791</v>
      </c>
      <c r="P3" s="153" t="s">
        <v>143</v>
      </c>
    </row>
    <row r="4" spans="1:16" ht="13.95" x14ac:dyDescent="0.3">
      <c r="A4" s="150">
        <v>14</v>
      </c>
      <c r="B4" s="151">
        <v>1338073.26</v>
      </c>
      <c r="C4" s="151">
        <v>85202.805004712398</v>
      </c>
      <c r="D4" s="151">
        <f t="shared" si="0"/>
        <v>1252870.4549952876</v>
      </c>
      <c r="E4" s="152">
        <v>42552</v>
      </c>
      <c r="F4" s="150" t="s">
        <v>137</v>
      </c>
      <c r="G4" s="150" t="s">
        <v>138</v>
      </c>
      <c r="H4" s="150" t="s">
        <v>139</v>
      </c>
      <c r="I4" s="150" t="s">
        <v>140</v>
      </c>
      <c r="J4" s="150">
        <v>13440</v>
      </c>
      <c r="K4" s="150" t="s">
        <v>145</v>
      </c>
      <c r="L4" s="150">
        <v>23924900</v>
      </c>
      <c r="M4" s="150" t="s">
        <v>146</v>
      </c>
      <c r="N4" s="152">
        <v>42313</v>
      </c>
      <c r="O4" s="152">
        <v>42309</v>
      </c>
      <c r="P4" s="153" t="s">
        <v>147</v>
      </c>
    </row>
    <row r="5" spans="1:16" ht="13.95" x14ac:dyDescent="0.3">
      <c r="A5" s="150">
        <v>1</v>
      </c>
      <c r="B5" s="151">
        <v>42601.93</v>
      </c>
      <c r="C5" s="151">
        <v>22745.026006457301</v>
      </c>
      <c r="D5" s="151">
        <f t="shared" si="0"/>
        <v>19856.903993542699</v>
      </c>
      <c r="E5" s="152">
        <v>42552</v>
      </c>
      <c r="F5" s="150" t="s">
        <v>137</v>
      </c>
      <c r="G5" s="150" t="s">
        <v>138</v>
      </c>
      <c r="H5" s="150" t="s">
        <v>139</v>
      </c>
      <c r="I5" s="150" t="s">
        <v>140</v>
      </c>
      <c r="J5" s="150">
        <v>13440</v>
      </c>
      <c r="K5" s="150" t="s">
        <v>148</v>
      </c>
      <c r="L5" s="150">
        <v>4380105</v>
      </c>
      <c r="M5" s="150" t="s">
        <v>149</v>
      </c>
      <c r="N5" s="152">
        <v>39365</v>
      </c>
      <c r="O5" s="152">
        <v>39356</v>
      </c>
      <c r="P5" s="153" t="s">
        <v>150</v>
      </c>
    </row>
    <row r="6" spans="1:16" ht="13.95" x14ac:dyDescent="0.3">
      <c r="A6" s="150">
        <v>1</v>
      </c>
      <c r="B6" s="151">
        <v>1215723.9099999999</v>
      </c>
      <c r="C6" s="151">
        <v>649070.87424494501</v>
      </c>
      <c r="D6" s="151">
        <f t="shared" si="0"/>
        <v>566653.03575505491</v>
      </c>
      <c r="E6" s="152">
        <v>42552</v>
      </c>
      <c r="F6" s="150" t="s">
        <v>137</v>
      </c>
      <c r="G6" s="150" t="s">
        <v>138</v>
      </c>
      <c r="H6" s="150" t="s">
        <v>139</v>
      </c>
      <c r="I6" s="150" t="s">
        <v>140</v>
      </c>
      <c r="J6" s="150">
        <v>13440</v>
      </c>
      <c r="K6" s="150" t="s">
        <v>148</v>
      </c>
      <c r="L6" s="150">
        <v>4380117</v>
      </c>
      <c r="M6" s="150" t="s">
        <v>151</v>
      </c>
      <c r="N6" s="152">
        <v>39386</v>
      </c>
      <c r="O6" s="152">
        <v>39356</v>
      </c>
      <c r="P6" s="153" t="s">
        <v>152</v>
      </c>
    </row>
    <row r="7" spans="1:16" ht="13.95" x14ac:dyDescent="0.3">
      <c r="A7" s="150">
        <v>1</v>
      </c>
      <c r="B7" s="151">
        <v>28796.959999999999</v>
      </c>
      <c r="C7" s="151">
        <v>15374.599322305599</v>
      </c>
      <c r="D7" s="151">
        <f t="shared" si="0"/>
        <v>13422.3606776944</v>
      </c>
      <c r="E7" s="152">
        <v>42552</v>
      </c>
      <c r="F7" s="150" t="s">
        <v>137</v>
      </c>
      <c r="G7" s="150" t="s">
        <v>138</v>
      </c>
      <c r="H7" s="150" t="s">
        <v>139</v>
      </c>
      <c r="I7" s="150" t="s">
        <v>140</v>
      </c>
      <c r="J7" s="150">
        <v>13440</v>
      </c>
      <c r="K7" s="150" t="s">
        <v>148</v>
      </c>
      <c r="L7" s="150">
        <v>4380108</v>
      </c>
      <c r="M7" s="150" t="s">
        <v>153</v>
      </c>
      <c r="N7" s="152">
        <v>39365</v>
      </c>
      <c r="O7" s="152">
        <v>39356</v>
      </c>
      <c r="P7" s="153" t="s">
        <v>154</v>
      </c>
    </row>
    <row r="8" spans="1:16" ht="13.95" x14ac:dyDescent="0.3">
      <c r="A8" s="150">
        <v>1</v>
      </c>
      <c r="B8" s="151">
        <v>2851569.89</v>
      </c>
      <c r="C8" s="151">
        <v>852009.645920421</v>
      </c>
      <c r="D8" s="151">
        <f t="shared" si="0"/>
        <v>1999560.2440795791</v>
      </c>
      <c r="E8" s="152">
        <v>42552</v>
      </c>
      <c r="F8" s="150" t="s">
        <v>137</v>
      </c>
      <c r="G8" s="150" t="s">
        <v>138</v>
      </c>
      <c r="H8" s="150" t="s">
        <v>139</v>
      </c>
      <c r="I8" s="150" t="s">
        <v>140</v>
      </c>
      <c r="J8" s="150">
        <v>13440</v>
      </c>
      <c r="K8" s="150" t="s">
        <v>148</v>
      </c>
      <c r="L8" s="150">
        <v>11404185</v>
      </c>
      <c r="M8" s="150" t="s">
        <v>155</v>
      </c>
      <c r="N8" s="152">
        <v>40737</v>
      </c>
      <c r="O8" s="152">
        <v>40725</v>
      </c>
      <c r="P8" s="153" t="s">
        <v>156</v>
      </c>
    </row>
    <row r="9" spans="1:16" ht="13.95" x14ac:dyDescent="0.3">
      <c r="A9" s="150">
        <v>1</v>
      </c>
      <c r="B9" s="151">
        <v>1130121.25</v>
      </c>
      <c r="C9" s="151">
        <v>603367.90426396299</v>
      </c>
      <c r="D9" s="151">
        <f t="shared" si="0"/>
        <v>526753.34573603701</v>
      </c>
      <c r="E9" s="152">
        <v>42552</v>
      </c>
      <c r="F9" s="150" t="s">
        <v>137</v>
      </c>
      <c r="G9" s="150" t="s">
        <v>138</v>
      </c>
      <c r="H9" s="150" t="s">
        <v>139</v>
      </c>
      <c r="I9" s="150" t="s">
        <v>140</v>
      </c>
      <c r="J9" s="150">
        <v>13440</v>
      </c>
      <c r="K9" s="150" t="s">
        <v>148</v>
      </c>
      <c r="L9" s="150">
        <v>4380111</v>
      </c>
      <c r="M9" s="150" t="s">
        <v>157</v>
      </c>
      <c r="N9" s="152">
        <v>39386</v>
      </c>
      <c r="O9" s="152">
        <v>39356</v>
      </c>
      <c r="P9" s="153" t="s">
        <v>158</v>
      </c>
    </row>
    <row r="10" spans="1:16" ht="13.95" x14ac:dyDescent="0.3">
      <c r="A10" s="150">
        <v>2</v>
      </c>
      <c r="B10" s="151">
        <v>8720018.0700000003</v>
      </c>
      <c r="C10" s="151">
        <v>2605420.8014660901</v>
      </c>
      <c r="D10" s="151">
        <f t="shared" si="0"/>
        <v>6114597.2685339097</v>
      </c>
      <c r="E10" s="152">
        <v>42552</v>
      </c>
      <c r="F10" s="150" t="s">
        <v>137</v>
      </c>
      <c r="G10" s="150" t="s">
        <v>138</v>
      </c>
      <c r="H10" s="150" t="s">
        <v>139</v>
      </c>
      <c r="I10" s="150" t="s">
        <v>140</v>
      </c>
      <c r="J10" s="150">
        <v>13440</v>
      </c>
      <c r="K10" s="150" t="s">
        <v>159</v>
      </c>
      <c r="L10" s="150">
        <v>11404186</v>
      </c>
      <c r="M10" s="150" t="s">
        <v>155</v>
      </c>
      <c r="N10" s="152">
        <v>40737</v>
      </c>
      <c r="O10" s="152">
        <v>40725</v>
      </c>
      <c r="P10" s="153" t="s">
        <v>156</v>
      </c>
    </row>
    <row r="11" spans="1:16" ht="13.95" x14ac:dyDescent="0.3">
      <c r="A11" s="150">
        <v>1</v>
      </c>
      <c r="B11" s="151">
        <v>3696961.46</v>
      </c>
      <c r="C11" s="151">
        <v>1973795.19079465</v>
      </c>
      <c r="D11" s="151">
        <f t="shared" si="0"/>
        <v>1723166.26920535</v>
      </c>
      <c r="E11" s="152">
        <v>42552</v>
      </c>
      <c r="F11" s="150" t="s">
        <v>137</v>
      </c>
      <c r="G11" s="150" t="s">
        <v>138</v>
      </c>
      <c r="H11" s="150" t="s">
        <v>139</v>
      </c>
      <c r="I11" s="150" t="s">
        <v>140</v>
      </c>
      <c r="J11" s="150">
        <v>13440</v>
      </c>
      <c r="K11" s="150" t="s">
        <v>159</v>
      </c>
      <c r="L11" s="150">
        <v>4380109</v>
      </c>
      <c r="M11" s="150" t="s">
        <v>157</v>
      </c>
      <c r="N11" s="152">
        <v>39386</v>
      </c>
      <c r="O11" s="152">
        <v>39356</v>
      </c>
      <c r="P11" s="153" t="s">
        <v>158</v>
      </c>
    </row>
    <row r="12" spans="1:16" ht="13.95" x14ac:dyDescent="0.3">
      <c r="A12" s="150">
        <v>1</v>
      </c>
      <c r="B12" s="151">
        <v>810487.70000000007</v>
      </c>
      <c r="C12" s="151">
        <v>432716.635476697</v>
      </c>
      <c r="D12" s="151">
        <f t="shared" si="0"/>
        <v>377771.06452330307</v>
      </c>
      <c r="E12" s="152">
        <v>42552</v>
      </c>
      <c r="F12" s="150" t="s">
        <v>137</v>
      </c>
      <c r="G12" s="150" t="s">
        <v>138</v>
      </c>
      <c r="H12" s="150" t="s">
        <v>139</v>
      </c>
      <c r="I12" s="150" t="s">
        <v>140</v>
      </c>
      <c r="J12" s="150">
        <v>13440</v>
      </c>
      <c r="K12" s="150" t="s">
        <v>160</v>
      </c>
      <c r="L12" s="150">
        <v>4380115</v>
      </c>
      <c r="M12" s="150" t="s">
        <v>151</v>
      </c>
      <c r="N12" s="152">
        <v>39386</v>
      </c>
      <c r="O12" s="152">
        <v>39356</v>
      </c>
      <c r="P12" s="153" t="s">
        <v>152</v>
      </c>
    </row>
    <row r="13" spans="1:16" ht="13.95" x14ac:dyDescent="0.3">
      <c r="A13" s="150">
        <v>1</v>
      </c>
      <c r="B13" s="151">
        <v>955291.81</v>
      </c>
      <c r="C13" s="151">
        <v>285427.98114226799</v>
      </c>
      <c r="D13" s="151">
        <f t="shared" si="0"/>
        <v>669863.82885773201</v>
      </c>
      <c r="E13" s="152">
        <v>42552</v>
      </c>
      <c r="F13" s="150" t="s">
        <v>137</v>
      </c>
      <c r="G13" s="150" t="s">
        <v>138</v>
      </c>
      <c r="H13" s="150" t="s">
        <v>139</v>
      </c>
      <c r="I13" s="150" t="s">
        <v>140</v>
      </c>
      <c r="J13" s="150">
        <v>13440</v>
      </c>
      <c r="K13" s="150" t="s">
        <v>160</v>
      </c>
      <c r="L13" s="150">
        <v>11404189</v>
      </c>
      <c r="M13" s="150" t="s">
        <v>155</v>
      </c>
      <c r="N13" s="152">
        <v>40737</v>
      </c>
      <c r="O13" s="152">
        <v>40725</v>
      </c>
      <c r="P13" s="153" t="s">
        <v>156</v>
      </c>
    </row>
    <row r="14" spans="1:16" ht="13.95" x14ac:dyDescent="0.3">
      <c r="A14" s="150">
        <v>14</v>
      </c>
      <c r="B14" s="151">
        <v>2203670.98</v>
      </c>
      <c r="C14" s="151">
        <v>269846.89379878301</v>
      </c>
      <c r="D14" s="151">
        <f t="shared" si="0"/>
        <v>1933824.086201217</v>
      </c>
      <c r="E14" s="152">
        <v>42552</v>
      </c>
      <c r="F14" s="150" t="s">
        <v>137</v>
      </c>
      <c r="G14" s="150" t="s">
        <v>138</v>
      </c>
      <c r="H14" s="150" t="s">
        <v>139</v>
      </c>
      <c r="I14" s="150" t="s">
        <v>140</v>
      </c>
      <c r="J14" s="150">
        <v>13440</v>
      </c>
      <c r="K14" s="150" t="s">
        <v>161</v>
      </c>
      <c r="L14" s="150">
        <v>18245710</v>
      </c>
      <c r="M14" s="150" t="s">
        <v>142</v>
      </c>
      <c r="N14" s="152">
        <v>41816</v>
      </c>
      <c r="O14" s="152">
        <v>41791</v>
      </c>
      <c r="P14" s="153" t="s">
        <v>143</v>
      </c>
    </row>
    <row r="15" spans="1:16" ht="3.75" customHeight="1" x14ac:dyDescent="0.3"/>
    <row r="16" spans="1:16" ht="14.4" thickBot="1" x14ac:dyDescent="0.35">
      <c r="B16" s="154">
        <f>SUM(B2:B14)</f>
        <v>25125901.940000001</v>
      </c>
      <c r="C16" s="154">
        <f>SUM(C2:C14)</f>
        <v>8056120.5005641058</v>
      </c>
      <c r="D16" s="154">
        <f>SUM(D2:D14)</f>
        <v>17069781.439435899</v>
      </c>
    </row>
    <row r="17" spans="10:11" ht="14.4" thickTop="1" x14ac:dyDescent="0.3">
      <c r="J17" s="262"/>
      <c r="K17" s="262"/>
    </row>
  </sheetData>
  <autoFilter ref="A1:P14"/>
  <pageMargins left="0.55000000000000004" right="0.28999999999999998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zoomScaleNormal="100" workbookViewId="0">
      <selection activeCell="F26" sqref="F26"/>
    </sheetView>
  </sheetViews>
  <sheetFormatPr defaultColWidth="9.109375" defaultRowHeight="13.8" x14ac:dyDescent="0.3"/>
  <cols>
    <col min="1" max="1" width="31" style="150" customWidth="1"/>
    <col min="2" max="2" width="22.88671875" style="150" customWidth="1"/>
    <col min="3" max="3" width="17.6640625" style="150" customWidth="1"/>
    <col min="4" max="4" width="11.6640625" style="150" customWidth="1"/>
    <col min="5" max="5" width="10.44140625" style="156" bestFit="1" customWidth="1"/>
    <col min="6" max="9" width="9.109375" style="156"/>
    <col min="10" max="16384" width="9.109375" style="150"/>
  </cols>
  <sheetData>
    <row r="1" spans="1:4" ht="13.95" x14ac:dyDescent="0.3">
      <c r="A1" s="155" t="s">
        <v>162</v>
      </c>
    </row>
    <row r="2" spans="1:4" ht="6" customHeight="1" x14ac:dyDescent="0.3">
      <c r="A2" s="155"/>
    </row>
    <row r="3" spans="1:4" ht="13.95" x14ac:dyDescent="0.3">
      <c r="A3" s="157" t="s">
        <v>163</v>
      </c>
      <c r="C3" s="158"/>
    </row>
    <row r="4" spans="1:4" ht="13.95" x14ac:dyDescent="0.3">
      <c r="A4" s="159" t="s">
        <v>164</v>
      </c>
      <c r="B4" s="274" t="s">
        <v>165</v>
      </c>
      <c r="C4" s="274"/>
    </row>
    <row r="5" spans="1:4" ht="13.95" x14ac:dyDescent="0.3">
      <c r="A5" s="160" t="s">
        <v>166</v>
      </c>
      <c r="B5" s="161">
        <v>42278</v>
      </c>
      <c r="C5" s="162">
        <f t="shared" ref="C5:C14" si="0">+$B$20*$B$22</f>
        <v>32454.290005833336</v>
      </c>
    </row>
    <row r="6" spans="1:4" ht="13.95" x14ac:dyDescent="0.3">
      <c r="A6" s="163"/>
      <c r="B6" s="164">
        <v>42309</v>
      </c>
      <c r="C6" s="165">
        <f t="shared" si="0"/>
        <v>32454.290005833336</v>
      </c>
    </row>
    <row r="7" spans="1:4" ht="13.95" x14ac:dyDescent="0.3">
      <c r="A7" s="163"/>
      <c r="B7" s="164">
        <v>42339</v>
      </c>
      <c r="C7" s="165">
        <f t="shared" si="0"/>
        <v>32454.290005833336</v>
      </c>
    </row>
    <row r="8" spans="1:4" ht="13.95" x14ac:dyDescent="0.3">
      <c r="A8" s="163"/>
      <c r="B8" s="164">
        <v>42370</v>
      </c>
      <c r="C8" s="165">
        <f t="shared" si="0"/>
        <v>32454.290005833336</v>
      </c>
    </row>
    <row r="9" spans="1:4" ht="13.95" x14ac:dyDescent="0.3">
      <c r="A9" s="163"/>
      <c r="B9" s="164">
        <v>42401</v>
      </c>
      <c r="C9" s="165">
        <f t="shared" si="0"/>
        <v>32454.290005833336</v>
      </c>
    </row>
    <row r="10" spans="1:4" ht="13.95" x14ac:dyDescent="0.3">
      <c r="A10" s="163"/>
      <c r="B10" s="164">
        <v>42430</v>
      </c>
      <c r="C10" s="165">
        <f t="shared" si="0"/>
        <v>32454.290005833336</v>
      </c>
    </row>
    <row r="11" spans="1:4" ht="13.95" x14ac:dyDescent="0.3">
      <c r="A11" s="163"/>
      <c r="B11" s="164">
        <v>42461</v>
      </c>
      <c r="C11" s="165">
        <f t="shared" si="0"/>
        <v>32454.290005833336</v>
      </c>
    </row>
    <row r="12" spans="1:4" ht="13.95" x14ac:dyDescent="0.3">
      <c r="A12" s="163"/>
      <c r="B12" s="164">
        <v>42491</v>
      </c>
      <c r="C12" s="165">
        <f t="shared" si="0"/>
        <v>32454.290005833336</v>
      </c>
    </row>
    <row r="13" spans="1:4" ht="13.95" x14ac:dyDescent="0.3">
      <c r="A13" s="163"/>
      <c r="B13" s="164">
        <v>42522</v>
      </c>
      <c r="C13" s="165">
        <f t="shared" si="0"/>
        <v>32454.290005833336</v>
      </c>
    </row>
    <row r="14" spans="1:4" ht="13.95" x14ac:dyDescent="0.3">
      <c r="A14" s="163"/>
      <c r="B14" s="164">
        <v>42552</v>
      </c>
      <c r="C14" s="165">
        <f t="shared" si="0"/>
        <v>32454.290005833336</v>
      </c>
    </row>
    <row r="15" spans="1:4" ht="13.95" x14ac:dyDescent="0.3">
      <c r="A15" s="163"/>
      <c r="B15" s="164">
        <v>42583</v>
      </c>
      <c r="C15" s="165">
        <f>+C14/2</f>
        <v>16227.145002916668</v>
      </c>
      <c r="D15" s="150" t="s">
        <v>167</v>
      </c>
    </row>
    <row r="16" spans="1:4" ht="14.4" thickBot="1" x14ac:dyDescent="0.35">
      <c r="A16" s="166"/>
      <c r="B16" s="167" t="s">
        <v>168</v>
      </c>
      <c r="C16" s="168">
        <f>SUM(C5:C15)</f>
        <v>340770.04506125004</v>
      </c>
    </row>
    <row r="17" spans="1:8" ht="14.4" thickTop="1" x14ac:dyDescent="0.3">
      <c r="A17" s="163"/>
      <c r="B17" s="164"/>
      <c r="C17" s="165"/>
    </row>
    <row r="18" spans="1:8" ht="13.95" x14ac:dyDescent="0.3">
      <c r="A18" s="156"/>
      <c r="B18" s="156"/>
      <c r="C18" s="165"/>
    </row>
    <row r="19" spans="1:8" ht="14.4" thickBot="1" x14ac:dyDescent="0.35">
      <c r="A19" s="169" t="s">
        <v>169</v>
      </c>
      <c r="B19" s="169"/>
      <c r="C19" s="169"/>
      <c r="D19" s="169"/>
      <c r="E19" s="169"/>
    </row>
    <row r="20" spans="1:8" ht="13.95" x14ac:dyDescent="0.3">
      <c r="A20" s="156" t="s">
        <v>170</v>
      </c>
      <c r="B20" s="170">
        <f>'Retirement Detail'!B16</f>
        <v>25125901.940000001</v>
      </c>
      <c r="F20" s="261"/>
      <c r="G20" s="262"/>
      <c r="H20" s="263"/>
    </row>
    <row r="21" spans="1:8" ht="13.95" x14ac:dyDescent="0.3">
      <c r="A21" s="150" t="s">
        <v>171</v>
      </c>
      <c r="B21" s="171">
        <v>1.55E-2</v>
      </c>
      <c r="C21" s="4">
        <f>100/1.55</f>
        <v>64.516129032258064</v>
      </c>
      <c r="D21" s="150" t="s">
        <v>177</v>
      </c>
    </row>
    <row r="22" spans="1:8" ht="13.95" x14ac:dyDescent="0.3">
      <c r="A22" s="150" t="s">
        <v>172</v>
      </c>
      <c r="B22" s="172">
        <f>+B21/12</f>
        <v>1.2916666666666667E-3</v>
      </c>
    </row>
    <row r="23" spans="1:8" ht="24.75" customHeight="1" x14ac:dyDescent="0.3">
      <c r="A23" s="275" t="s">
        <v>173</v>
      </c>
      <c r="B23" s="275"/>
      <c r="C23" s="275"/>
      <c r="D23" s="275"/>
      <c r="E23" s="275"/>
    </row>
  </sheetData>
  <mergeCells count="2">
    <mergeCell ref="B4:C4"/>
    <mergeCell ref="A23:E23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9" sqref="B9"/>
    </sheetView>
  </sheetViews>
  <sheetFormatPr defaultRowHeight="14.4" x14ac:dyDescent="0.3"/>
  <cols>
    <col min="1" max="1" width="10.6640625" bestFit="1" customWidth="1"/>
    <col min="2" max="2" width="12.33203125" bestFit="1" customWidth="1"/>
  </cols>
  <sheetData>
    <row r="1" spans="1:4" x14ac:dyDescent="0.3">
      <c r="A1" t="s">
        <v>178</v>
      </c>
    </row>
    <row r="4" spans="1:4" x14ac:dyDescent="0.3">
      <c r="A4" s="3" t="s">
        <v>35</v>
      </c>
      <c r="B4" s="3" t="s">
        <v>21</v>
      </c>
    </row>
    <row r="5" spans="1:4" x14ac:dyDescent="0.3">
      <c r="A5" s="2">
        <v>42277</v>
      </c>
      <c r="B5" s="264">
        <v>-1925092.4066313882</v>
      </c>
      <c r="C5" s="147"/>
      <c r="D5" s="147"/>
    </row>
    <row r="6" spans="1:4" x14ac:dyDescent="0.3">
      <c r="A6" s="2">
        <v>42308</v>
      </c>
      <c r="B6" s="140">
        <v>-1943982.9331706502</v>
      </c>
    </row>
    <row r="7" spans="1:4" x14ac:dyDescent="0.3">
      <c r="A7" s="2">
        <v>42338</v>
      </c>
      <c r="B7" s="140">
        <v>-1962873.4597099121</v>
      </c>
    </row>
    <row r="8" spans="1:4" x14ac:dyDescent="0.3">
      <c r="A8" s="2">
        <v>42369</v>
      </c>
      <c r="B8" s="140">
        <v>-1981763.986249174</v>
      </c>
    </row>
    <row r="9" spans="1:4" x14ac:dyDescent="0.3">
      <c r="A9" s="2">
        <v>42400</v>
      </c>
      <c r="B9" s="140">
        <v>-2000654.5127884361</v>
      </c>
    </row>
    <row r="10" spans="1:4" x14ac:dyDescent="0.3">
      <c r="A10" s="2">
        <v>42429</v>
      </c>
      <c r="B10" s="140">
        <v>-2019545.0393276981</v>
      </c>
    </row>
    <row r="11" spans="1:4" x14ac:dyDescent="0.3">
      <c r="A11" s="2">
        <v>42460</v>
      </c>
      <c r="B11" s="140">
        <v>-2038435.56586696</v>
      </c>
    </row>
    <row r="12" spans="1:4" x14ac:dyDescent="0.3">
      <c r="A12" s="2">
        <v>42490</v>
      </c>
      <c r="B12" s="140">
        <v>-2057326.0924062219</v>
      </c>
    </row>
    <row r="13" spans="1:4" x14ac:dyDescent="0.3">
      <c r="A13" s="2">
        <v>42521</v>
      </c>
      <c r="B13" s="140">
        <v>-2076216.6189454838</v>
      </c>
    </row>
    <row r="14" spans="1:4" x14ac:dyDescent="0.3">
      <c r="A14" s="2">
        <v>42551</v>
      </c>
      <c r="B14" s="140">
        <v>-2095107.145484746</v>
      </c>
    </row>
    <row r="15" spans="1:4" x14ac:dyDescent="0.3">
      <c r="A15" s="2">
        <v>42582</v>
      </c>
      <c r="B15" s="140">
        <v>-2113997.6720240079</v>
      </c>
    </row>
    <row r="16" spans="1:4" x14ac:dyDescent="0.3">
      <c r="A16" s="2">
        <v>42613</v>
      </c>
      <c r="B16" s="140">
        <v>0</v>
      </c>
    </row>
    <row r="17" spans="1:2" x14ac:dyDescent="0.3">
      <c r="A17" s="2">
        <v>42643</v>
      </c>
      <c r="B17" s="140">
        <v>0</v>
      </c>
    </row>
    <row r="19" spans="1:2" x14ac:dyDescent="0.3">
      <c r="A19" t="s">
        <v>179</v>
      </c>
      <c r="B19" s="1">
        <f>(B5+B17+SUM(B6:B16)*2)/24</f>
        <v>-1771037.4357740821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"/>
  <sheetViews>
    <sheetView zoomScale="88" zoomScaleNormal="88" workbookViewId="0">
      <pane xSplit="1" ySplit="29" topLeftCell="D59" activePane="bottomRight" state="frozen"/>
      <selection activeCell="D26" sqref="D26"/>
      <selection pane="topRight" activeCell="D26" sqref="D26"/>
      <selection pane="bottomLeft" activeCell="D26" sqref="D26"/>
      <selection pane="bottomRight" activeCell="E14" sqref="E14"/>
    </sheetView>
  </sheetViews>
  <sheetFormatPr defaultColWidth="8.88671875" defaultRowHeight="13.2" outlineLevelRow="1" x14ac:dyDescent="0.25"/>
  <cols>
    <col min="1" max="1" width="37.33203125" style="90" customWidth="1"/>
    <col min="2" max="2" width="15.88671875" style="90" customWidth="1"/>
    <col min="3" max="3" width="16" style="90" customWidth="1"/>
    <col min="4" max="4" width="18.109375" style="90" customWidth="1"/>
    <col min="5" max="5" width="13.44140625" style="90" customWidth="1"/>
    <col min="6" max="7" width="15.5546875" style="90" bestFit="1" customWidth="1"/>
    <col min="8" max="8" width="14.109375" style="90" bestFit="1" customWidth="1"/>
    <col min="9" max="10" width="14.33203125" style="90" bestFit="1" customWidth="1"/>
    <col min="11" max="11" width="14.5546875" style="90" bestFit="1" customWidth="1"/>
    <col min="12" max="12" width="13.5546875" style="90" bestFit="1" customWidth="1"/>
    <col min="13" max="16" width="11.33203125" style="90" customWidth="1"/>
    <col min="17" max="17" width="8.88671875" style="90"/>
    <col min="18" max="18" width="10.6640625" style="90" customWidth="1"/>
    <col min="19" max="22" width="8.88671875" style="90"/>
    <col min="23" max="23" width="9.33203125" style="90" bestFit="1" customWidth="1"/>
    <col min="24" max="16384" width="8.88671875" style="90"/>
  </cols>
  <sheetData>
    <row r="1" spans="1:23" s="135" customFormat="1" ht="14.4" x14ac:dyDescent="0.3">
      <c r="A1" s="79" t="s">
        <v>216</v>
      </c>
      <c r="B1" s="80"/>
      <c r="C1" s="80"/>
      <c r="D1" s="80"/>
      <c r="E1" s="80"/>
      <c r="F1" s="147"/>
      <c r="G1" s="147"/>
      <c r="H1" s="147"/>
      <c r="I1" s="147"/>
      <c r="J1" s="147"/>
      <c r="K1" s="147"/>
      <c r="L1" s="80"/>
      <c r="M1" s="80"/>
      <c r="N1" s="81"/>
      <c r="O1" s="82"/>
      <c r="P1" s="81"/>
      <c r="Q1" s="80"/>
      <c r="R1" s="80"/>
      <c r="S1" s="80"/>
      <c r="T1" s="80"/>
      <c r="U1" s="81"/>
    </row>
    <row r="2" spans="1:23" s="135" customFormat="1" ht="26.4" x14ac:dyDescent="0.25">
      <c r="A2" s="83"/>
      <c r="C2" s="84" t="s">
        <v>16</v>
      </c>
      <c r="D2" s="124" t="s">
        <v>103</v>
      </c>
      <c r="F2" s="80"/>
      <c r="G2" s="85"/>
      <c r="H2" s="85"/>
      <c r="I2" s="86"/>
      <c r="J2" s="80"/>
      <c r="K2" s="80"/>
      <c r="L2" s="80"/>
      <c r="M2" s="80"/>
      <c r="N2" s="87"/>
      <c r="O2" s="82"/>
      <c r="P2" s="81"/>
      <c r="S2" s="80"/>
      <c r="T2" s="80"/>
      <c r="U2" s="80"/>
    </row>
    <row r="3" spans="1:23" s="135" customFormat="1" ht="18" customHeight="1" x14ac:dyDescent="0.25">
      <c r="A3" s="231" t="s">
        <v>225</v>
      </c>
      <c r="C3" s="232">
        <f>'Addition-Retire Source'!C6</f>
        <v>25072580.079999994</v>
      </c>
      <c r="D3" s="88">
        <f>+C3*100%</f>
        <v>25072580.079999994</v>
      </c>
      <c r="E3" s="88">
        <f>+C3-D3</f>
        <v>0</v>
      </c>
      <c r="F3" s="80"/>
      <c r="G3" s="89"/>
      <c r="H3" s="80"/>
      <c r="L3" s="22"/>
      <c r="M3" s="22"/>
      <c r="N3" s="87"/>
      <c r="O3" s="82"/>
      <c r="P3" s="85"/>
      <c r="S3" s="80"/>
      <c r="T3" s="80"/>
      <c r="U3" s="80"/>
    </row>
    <row r="4" spans="1:23" s="135" customFormat="1" ht="12.75" customHeight="1" x14ac:dyDescent="0.25">
      <c r="A4" s="90"/>
      <c r="B4" s="233" t="str">
        <f>IF(ROUND(SUM(D30:D34)/$D$3-B6,5)=0,"OK","not ok")</f>
        <v>OK</v>
      </c>
      <c r="C4" s="233" t="str">
        <f>IF(ROUND(SUM(D35:D46)/$D$3-C6,5)=0,"OK","not ok")</f>
        <v>OK</v>
      </c>
      <c r="D4" s="233" t="str">
        <f>IF(ROUND(SUM(D47:D58)/$D$3-D6,5)=0,"OK","not ok")</f>
        <v>OK</v>
      </c>
      <c r="E4" s="233" t="str">
        <f>IF(ROUND(SUM(D59)/$D$3-E6,5)=0,"OK","not ok")</f>
        <v>OK</v>
      </c>
      <c r="F4" s="233" t="str">
        <f>IF(ROUND(SUM(D60)/$D$3-F6,5)=0,"OK","not ok")</f>
        <v>OK</v>
      </c>
      <c r="G4" s="233" t="str">
        <f>IF(ROUND(SUM(D61)/$D$3-G6,5)=0,"OK","not ok")</f>
        <v>OK</v>
      </c>
      <c r="H4" s="233" t="str">
        <f>IF(ROUND(SUM(D62)/$D$3-H6,5)=0,"OK","not ok")</f>
        <v>OK</v>
      </c>
      <c r="I4" s="233" t="str">
        <f>IF(ROUND(SUM(D63)/$D$3-I6,5)=0,"OK","not ok")</f>
        <v>OK</v>
      </c>
      <c r="J4" s="233" t="str">
        <f>IF(ROUND(SUM(D64)/$D$3-J6,5)=0,"OK","not ok")</f>
        <v>OK</v>
      </c>
      <c r="K4" s="233" t="str">
        <f>IF(ROUND(SUM(D65)/$D$3-K6,5)=0,"OK","not ok")</f>
        <v>OK</v>
      </c>
      <c r="L4" s="233" t="str">
        <f>IF(ROUND(SUM(D66)/$D$3-L6,5)=0,"OK","not ok")</f>
        <v>OK</v>
      </c>
      <c r="M4" s="233" t="str">
        <f>IF(ROUND(SUM(D67)/$D$3-M6,5)=0,"OK","not ok")</f>
        <v>OK</v>
      </c>
      <c r="N4" s="233" t="str">
        <f>IF(ROUND(SUM(D68)/$D$3-N6,5)=0,"OK","not ok")</f>
        <v>OK</v>
      </c>
      <c r="O4" s="233" t="str">
        <f>IF(ROUND(SUM(D69)/$D$3-O6,5)=0,"OK","not ok")</f>
        <v>OK</v>
      </c>
      <c r="P4" s="233" t="str">
        <f>IF(ROUND(SUM(D70)/$D$3-P6,5)=0,"OK","not ok")</f>
        <v>OK</v>
      </c>
    </row>
    <row r="5" spans="1:23" s="135" customFormat="1" x14ac:dyDescent="0.25">
      <c r="A5" s="91" t="s">
        <v>79</v>
      </c>
      <c r="B5" s="92">
        <v>2016</v>
      </c>
      <c r="C5" s="92">
        <f>+B5+1</f>
        <v>2017</v>
      </c>
      <c r="D5" s="92">
        <f t="shared" ref="D5:E5" si="0">+C5+1</f>
        <v>2018</v>
      </c>
      <c r="E5" s="92">
        <f t="shared" si="0"/>
        <v>2019</v>
      </c>
      <c r="F5" s="92">
        <f>+E5+1</f>
        <v>2020</v>
      </c>
      <c r="G5" s="92">
        <f t="shared" ref="G5:P5" si="1">+F5+1</f>
        <v>2021</v>
      </c>
      <c r="H5" s="92">
        <f t="shared" si="1"/>
        <v>2022</v>
      </c>
      <c r="I5" s="92">
        <f t="shared" si="1"/>
        <v>2023</v>
      </c>
      <c r="J5" s="92">
        <f t="shared" si="1"/>
        <v>2024</v>
      </c>
      <c r="K5" s="92">
        <f t="shared" si="1"/>
        <v>2025</v>
      </c>
      <c r="L5" s="92">
        <f t="shared" si="1"/>
        <v>2026</v>
      </c>
      <c r="M5" s="92">
        <f t="shared" si="1"/>
        <v>2027</v>
      </c>
      <c r="N5" s="92">
        <f t="shared" si="1"/>
        <v>2028</v>
      </c>
      <c r="O5" s="92">
        <f t="shared" si="1"/>
        <v>2029</v>
      </c>
      <c r="P5" s="92">
        <f t="shared" si="1"/>
        <v>2030</v>
      </c>
    </row>
    <row r="6" spans="1:23" s="135" customFormat="1" x14ac:dyDescent="0.25">
      <c r="A6" s="93" t="s">
        <v>76</v>
      </c>
      <c r="B6" s="111">
        <f t="array" ref="B6:P6">TRANSPOSE('MACRS W 50% BONUS'!E6:E20)</f>
        <v>0.51875000000000004</v>
      </c>
      <c r="C6" s="111">
        <v>3.6095000000000002E-2</v>
      </c>
      <c r="D6" s="111">
        <v>3.3384999999999998E-2</v>
      </c>
      <c r="E6" s="111">
        <v>3.0884999999999999E-2</v>
      </c>
      <c r="F6" s="111">
        <v>2.8565E-2</v>
      </c>
      <c r="G6" s="111">
        <v>2.6425000000000001E-2</v>
      </c>
      <c r="H6" s="111">
        <v>2.444E-2</v>
      </c>
      <c r="I6" s="111">
        <v>2.2610000000000002E-2</v>
      </c>
      <c r="J6" s="111">
        <v>2.231E-2</v>
      </c>
      <c r="K6" s="111">
        <v>2.2304999999999998E-2</v>
      </c>
      <c r="L6" s="111">
        <v>2.231E-2</v>
      </c>
      <c r="M6" s="111">
        <v>2.2304999999999998E-2</v>
      </c>
      <c r="N6" s="111">
        <v>2.231E-2</v>
      </c>
      <c r="O6" s="111">
        <v>2.2304999999999998E-2</v>
      </c>
      <c r="P6" s="111">
        <v>2.231E-2</v>
      </c>
    </row>
    <row r="7" spans="1:23" s="135" customFormat="1" ht="14.4" x14ac:dyDescent="0.3">
      <c r="A7" s="94"/>
      <c r="B7" s="233" t="str">
        <f>IF(ROUND(SUM(D71)/$D$3-B9,5)=0,"OK","not ok")</f>
        <v>OK</v>
      </c>
      <c r="C7" s="233" t="str">
        <f>IF(ROUND(SUM(D72)/$D$3-C9,5)=0,"OK","not ok")</f>
        <v>OK</v>
      </c>
      <c r="D7" s="233" t="str">
        <f>IF(ROUND(SUM(D73)/$D$3-D9,5)=0,"OK","not ok")</f>
        <v>OK</v>
      </c>
      <c r="E7" s="233" t="str">
        <f>IF(ROUND(SUM(D74)/$D$3-E9,5)=0,"OK","not ok")</f>
        <v>OK</v>
      </c>
      <c r="F7" s="233" t="str">
        <f>IF(ROUND(SUM(D75)/$D$3-F9,5)=0,"OK","not ok")</f>
        <v>OK</v>
      </c>
      <c r="G7" s="233" t="str">
        <f>IF(ROUND(SUM(D76)/$D$3-G9,5)=0,"OK","not ok")</f>
        <v>OK</v>
      </c>
      <c r="H7" s="141"/>
      <c r="I7" s="141"/>
      <c r="J7" s="141"/>
      <c r="K7" s="147"/>
      <c r="L7" s="147"/>
      <c r="M7" s="147"/>
      <c r="N7" s="147"/>
      <c r="O7" s="141"/>
      <c r="P7" s="141"/>
    </row>
    <row r="8" spans="1:23" s="135" customFormat="1" ht="14.4" x14ac:dyDescent="0.3">
      <c r="A8" s="94"/>
      <c r="B8" s="92">
        <f>+P5+1</f>
        <v>2031</v>
      </c>
      <c r="C8" s="92">
        <f>+B8+1</f>
        <v>2032</v>
      </c>
      <c r="D8" s="92">
        <f t="shared" ref="D8:E8" si="2">+C8+1</f>
        <v>2033</v>
      </c>
      <c r="E8" s="92">
        <f t="shared" si="2"/>
        <v>2034</v>
      </c>
      <c r="F8" s="92">
        <f>+E8+1</f>
        <v>2035</v>
      </c>
      <c r="G8" s="92">
        <f>+F8+1</f>
        <v>2036</v>
      </c>
      <c r="H8" s="92" t="s">
        <v>80</v>
      </c>
      <c r="I8" s="147"/>
      <c r="J8" s="147"/>
      <c r="K8" s="147"/>
      <c r="L8" s="147"/>
      <c r="M8" s="147"/>
      <c r="N8" s="147"/>
      <c r="O8" s="147"/>
      <c r="P8" s="147"/>
    </row>
    <row r="9" spans="1:23" s="135" customFormat="1" ht="14.4" x14ac:dyDescent="0.3">
      <c r="A9" s="94"/>
      <c r="B9" s="111">
        <f t="array" ref="B9:G9">TRANSPOSE('MACRS W 50% BONUS'!E21:E26)</f>
        <v>2.2304999999999998E-2</v>
      </c>
      <c r="C9" s="111">
        <v>2.231E-2</v>
      </c>
      <c r="D9" s="111">
        <v>2.2304999999999998E-2</v>
      </c>
      <c r="E9" s="111">
        <v>2.231E-2</v>
      </c>
      <c r="F9" s="111">
        <v>2.2304999999999998E-2</v>
      </c>
      <c r="G9" s="111">
        <v>1.1155E-2</v>
      </c>
      <c r="H9" s="142">
        <f>SUM(B6:P6,B9:G9)</f>
        <v>1.0000000000000004</v>
      </c>
      <c r="I9" s="147"/>
      <c r="J9" s="147"/>
      <c r="K9" s="147"/>
      <c r="L9" s="147"/>
      <c r="M9" s="147"/>
      <c r="N9" s="147"/>
      <c r="O9" s="234"/>
      <c r="P9" s="147"/>
    </row>
    <row r="10" spans="1:23" s="135" customFormat="1" ht="14.4" x14ac:dyDescent="0.3">
      <c r="A10" s="94"/>
      <c r="B10" s="147"/>
      <c r="C10" s="147"/>
      <c r="D10" s="147"/>
      <c r="E10" s="147"/>
      <c r="I10" s="95"/>
      <c r="J10" s="95"/>
      <c r="K10" s="147"/>
      <c r="L10" s="147"/>
      <c r="M10" s="147"/>
      <c r="N10" s="147"/>
      <c r="O10" s="95"/>
      <c r="P10" s="95"/>
      <c r="Q10" s="95"/>
      <c r="R10" s="95"/>
      <c r="S10" s="95"/>
      <c r="T10" s="95"/>
      <c r="U10" s="95"/>
      <c r="V10" s="95"/>
      <c r="W10" s="96"/>
    </row>
    <row r="11" spans="1:23" ht="5.0999999999999996" customHeight="1" thickBot="1" x14ac:dyDescent="0.3"/>
    <row r="12" spans="1:23" x14ac:dyDescent="0.25">
      <c r="A12" s="235" t="s">
        <v>17</v>
      </c>
      <c r="B12" s="236" t="s">
        <v>56</v>
      </c>
      <c r="C12" s="237"/>
      <c r="D12" s="236" t="s">
        <v>18</v>
      </c>
      <c r="E12" s="237"/>
      <c r="F12" s="236" t="s">
        <v>57</v>
      </c>
      <c r="G12" s="237"/>
      <c r="H12" s="236" t="s">
        <v>19</v>
      </c>
      <c r="I12" s="237"/>
      <c r="J12" s="238" t="s">
        <v>20</v>
      </c>
      <c r="K12" s="238" t="s">
        <v>21</v>
      </c>
      <c r="L12" s="238" t="s">
        <v>22</v>
      </c>
    </row>
    <row r="13" spans="1:23" x14ac:dyDescent="0.25">
      <c r="A13" s="239"/>
      <c r="B13" s="97"/>
      <c r="C13" s="98"/>
      <c r="D13" s="146" t="s">
        <v>104</v>
      </c>
      <c r="E13" s="240">
        <f ca="1">[1]Electric!$F$228</f>
        <v>1.5500000000000002E-2</v>
      </c>
      <c r="F13" s="97"/>
      <c r="G13" s="97"/>
      <c r="H13" s="97"/>
      <c r="I13" s="99"/>
      <c r="J13" s="100"/>
      <c r="K13" s="100"/>
      <c r="L13" s="100"/>
    </row>
    <row r="14" spans="1:23" x14ac:dyDescent="0.25">
      <c r="A14" s="239"/>
      <c r="B14" s="97"/>
      <c r="C14" s="98"/>
      <c r="D14" s="146" t="s">
        <v>105</v>
      </c>
      <c r="E14" s="240">
        <f ca="1">[1]Electric!$G$228</f>
        <v>8.5587680465645549E-2</v>
      </c>
      <c r="F14" s="97"/>
      <c r="G14" s="97"/>
      <c r="H14" s="97"/>
      <c r="I14" s="99"/>
      <c r="J14" s="100"/>
      <c r="K14" s="100"/>
      <c r="L14" s="100" t="s">
        <v>58</v>
      </c>
    </row>
    <row r="15" spans="1:23" x14ac:dyDescent="0.25">
      <c r="A15" s="241"/>
      <c r="B15" s="129" t="s">
        <v>23</v>
      </c>
      <c r="C15" s="99" t="s">
        <v>24</v>
      </c>
      <c r="D15" s="129" t="s">
        <v>106</v>
      </c>
      <c r="E15" s="99" t="s">
        <v>107</v>
      </c>
      <c r="F15" s="129" t="s">
        <v>23</v>
      </c>
      <c r="G15" s="99" t="s">
        <v>24</v>
      </c>
      <c r="H15" s="129" t="s">
        <v>23</v>
      </c>
      <c r="I15" s="99" t="s">
        <v>108</v>
      </c>
      <c r="J15" s="100" t="s">
        <v>25</v>
      </c>
      <c r="K15" s="242">
        <v>0.35</v>
      </c>
      <c r="L15" s="100" t="s">
        <v>59</v>
      </c>
    </row>
    <row r="16" spans="1:23" x14ac:dyDescent="0.25">
      <c r="A16" s="241"/>
      <c r="B16" s="129"/>
      <c r="C16" s="99"/>
      <c r="D16" s="129" t="s">
        <v>60</v>
      </c>
      <c r="E16" s="99" t="s">
        <v>102</v>
      </c>
      <c r="F16" s="129" t="s">
        <v>109</v>
      </c>
      <c r="G16" s="99" t="s">
        <v>110</v>
      </c>
      <c r="H16" s="129"/>
      <c r="I16" s="99"/>
      <c r="J16" s="100"/>
      <c r="K16" s="242" t="s">
        <v>111</v>
      </c>
      <c r="L16" s="100" t="s">
        <v>112</v>
      </c>
    </row>
    <row r="17" spans="1:20" x14ac:dyDescent="0.25">
      <c r="A17" s="243"/>
      <c r="B17" s="131" t="s">
        <v>26</v>
      </c>
      <c r="C17" s="130" t="s">
        <v>27</v>
      </c>
      <c r="D17" s="131"/>
      <c r="E17" s="130" t="s">
        <v>61</v>
      </c>
      <c r="F17" s="131" t="s">
        <v>113</v>
      </c>
      <c r="G17" s="130" t="s">
        <v>114</v>
      </c>
      <c r="H17" s="131" t="s">
        <v>115</v>
      </c>
      <c r="I17" s="130" t="s">
        <v>116</v>
      </c>
      <c r="J17" s="244" t="s">
        <v>117</v>
      </c>
      <c r="K17" s="245" t="s">
        <v>62</v>
      </c>
      <c r="L17" s="101" t="s">
        <v>118</v>
      </c>
    </row>
    <row r="18" spans="1:20" x14ac:dyDescent="0.25">
      <c r="A18" s="219"/>
      <c r="B18" s="219"/>
      <c r="C18" s="219"/>
      <c r="D18" s="219"/>
      <c r="E18" s="219"/>
      <c r="F18" s="219"/>
      <c r="G18" s="219"/>
      <c r="H18" s="219"/>
      <c r="I18" s="219"/>
      <c r="J18" s="246"/>
      <c r="K18" s="247"/>
      <c r="L18" s="220"/>
    </row>
    <row r="19" spans="1:20" hidden="1" outlineLevel="1" x14ac:dyDescent="0.25">
      <c r="A19" s="143">
        <v>42277</v>
      </c>
      <c r="B19" s="219"/>
      <c r="C19" s="219"/>
      <c r="D19" s="219"/>
      <c r="E19" s="219"/>
      <c r="F19" s="219"/>
      <c r="G19" s="219"/>
      <c r="H19" s="219"/>
      <c r="I19" s="219"/>
      <c r="J19" s="246"/>
      <c r="K19" s="247"/>
      <c r="L19" s="220"/>
    </row>
    <row r="20" spans="1:20" hidden="1" outlineLevel="1" x14ac:dyDescent="0.25">
      <c r="A20" s="143">
        <v>42308</v>
      </c>
      <c r="B20" s="219"/>
      <c r="C20" s="219"/>
      <c r="D20" s="219"/>
      <c r="E20" s="219"/>
      <c r="F20" s="219"/>
      <c r="G20" s="219"/>
      <c r="H20" s="219"/>
      <c r="I20" s="219"/>
      <c r="J20" s="246"/>
      <c r="K20" s="247"/>
      <c r="L20" s="220"/>
    </row>
    <row r="21" spans="1:20" hidden="1" outlineLevel="1" x14ac:dyDescent="0.25">
      <c r="A21" s="143">
        <v>42338</v>
      </c>
      <c r="B21" s="219"/>
      <c r="C21" s="219"/>
      <c r="D21" s="219"/>
      <c r="E21" s="219"/>
      <c r="F21" s="219"/>
      <c r="G21" s="219"/>
      <c r="H21" s="219"/>
      <c r="I21" s="219"/>
      <c r="J21" s="246"/>
      <c r="K21" s="247"/>
      <c r="L21" s="220"/>
    </row>
    <row r="22" spans="1:20" hidden="1" outlineLevel="1" x14ac:dyDescent="0.25">
      <c r="A22" s="143">
        <v>42369</v>
      </c>
      <c r="B22" s="219"/>
      <c r="C22" s="219"/>
      <c r="D22" s="219"/>
      <c r="E22" s="219"/>
      <c r="F22" s="219"/>
      <c r="G22" s="219"/>
      <c r="H22" s="219"/>
      <c r="I22" s="219"/>
      <c r="J22" s="246"/>
      <c r="K22" s="247"/>
      <c r="L22" s="220"/>
    </row>
    <row r="23" spans="1:20" hidden="1" outlineLevel="1" x14ac:dyDescent="0.25">
      <c r="A23" s="143">
        <v>42400</v>
      </c>
      <c r="B23" s="219"/>
      <c r="C23" s="219"/>
      <c r="D23" s="219"/>
      <c r="E23" s="219"/>
      <c r="F23" s="219"/>
      <c r="G23" s="219"/>
      <c r="H23" s="219"/>
      <c r="I23" s="219"/>
      <c r="J23" s="246"/>
      <c r="K23" s="247"/>
      <c r="L23" s="220"/>
    </row>
    <row r="24" spans="1:20" hidden="1" outlineLevel="1" x14ac:dyDescent="0.25">
      <c r="A24" s="143">
        <v>42429</v>
      </c>
      <c r="B24" s="219"/>
      <c r="C24" s="219"/>
      <c r="D24" s="219"/>
      <c r="E24" s="219"/>
      <c r="F24" s="219"/>
      <c r="G24" s="219"/>
      <c r="H24" s="219"/>
      <c r="I24" s="219"/>
      <c r="J24" s="246"/>
      <c r="K24" s="247"/>
      <c r="L24" s="220"/>
    </row>
    <row r="25" spans="1:20" hidden="1" outlineLevel="1" x14ac:dyDescent="0.25">
      <c r="A25" s="143">
        <v>42460</v>
      </c>
      <c r="B25" s="219"/>
      <c r="C25" s="219"/>
      <c r="D25" s="219"/>
      <c r="E25" s="219"/>
      <c r="F25" s="219"/>
      <c r="G25" s="219"/>
      <c r="H25" s="219"/>
      <c r="I25" s="219"/>
      <c r="J25" s="246"/>
      <c r="K25" s="247"/>
      <c r="L25" s="220"/>
    </row>
    <row r="26" spans="1:20" hidden="1" outlineLevel="1" x14ac:dyDescent="0.25">
      <c r="A26" s="143">
        <v>42490</v>
      </c>
      <c r="B26" s="219"/>
      <c r="C26" s="219"/>
      <c r="D26" s="219"/>
      <c r="E26" s="219"/>
      <c r="F26" s="219"/>
      <c r="G26" s="219"/>
      <c r="H26" s="219"/>
      <c r="I26" s="219"/>
      <c r="J26" s="246"/>
      <c r="K26" s="247"/>
      <c r="L26" s="220"/>
    </row>
    <row r="27" spans="1:20" hidden="1" outlineLevel="1" x14ac:dyDescent="0.25">
      <c r="A27" s="143">
        <v>42521</v>
      </c>
      <c r="B27" s="219"/>
      <c r="C27" s="219"/>
      <c r="D27" s="219"/>
      <c r="E27" s="219"/>
      <c r="F27" s="219"/>
      <c r="G27" s="219"/>
      <c r="H27" s="219"/>
      <c r="I27" s="219"/>
      <c r="J27" s="246"/>
      <c r="K27" s="247"/>
      <c r="L27" s="220"/>
    </row>
    <row r="28" spans="1:20" hidden="1" outlineLevel="1" x14ac:dyDescent="0.25">
      <c r="A28" s="143">
        <v>42551</v>
      </c>
      <c r="B28" s="219"/>
      <c r="C28" s="219"/>
      <c r="D28" s="219"/>
      <c r="E28" s="219"/>
      <c r="F28" s="219"/>
      <c r="G28" s="219"/>
      <c r="H28" s="219"/>
      <c r="I28" s="219"/>
      <c r="J28" s="246"/>
      <c r="K28" s="247"/>
      <c r="L28" s="220"/>
    </row>
    <row r="29" spans="1:20" ht="17.25" hidden="1" customHeight="1" outlineLevel="1" x14ac:dyDescent="0.25">
      <c r="A29" s="143">
        <v>42582</v>
      </c>
    </row>
    <row r="30" spans="1:20" collapsed="1" x14ac:dyDescent="0.25">
      <c r="A30" s="143">
        <v>42613</v>
      </c>
      <c r="B30" s="248">
        <f>+D3</f>
        <v>25072580.079999994</v>
      </c>
      <c r="C30" s="248">
        <f>+C3</f>
        <v>25072580.079999994</v>
      </c>
      <c r="D30" s="102">
        <f>B30*$B$6/5</f>
        <v>2601280.1832999997</v>
      </c>
      <c r="E30" s="249">
        <f>'Addition-Retire Source'!C9</f>
        <v>16151.890042291663</v>
      </c>
      <c r="F30" s="102">
        <f t="shared" ref="F30:G45" si="3">F29-D30</f>
        <v>-2601280.1832999997</v>
      </c>
      <c r="G30" s="102">
        <f t="shared" si="3"/>
        <v>-16151.890042291663</v>
      </c>
      <c r="H30" s="102">
        <f t="shared" ref="H30:I61" si="4">B30+F30</f>
        <v>22471299.896699995</v>
      </c>
      <c r="I30" s="102">
        <f t="shared" si="4"/>
        <v>25056428.189957704</v>
      </c>
      <c r="J30" s="102">
        <f>I30-H30</f>
        <v>2585128.2932577096</v>
      </c>
      <c r="K30" s="102">
        <f>-J30*$K$15</f>
        <v>-904794.90264019836</v>
      </c>
      <c r="L30" s="103">
        <f>-K30+K29</f>
        <v>904794.90264019836</v>
      </c>
      <c r="M30" s="104"/>
      <c r="N30" s="104"/>
      <c r="O30" s="104"/>
      <c r="P30" s="104"/>
      <c r="Q30" s="104"/>
      <c r="R30" s="104"/>
      <c r="S30" s="104"/>
      <c r="T30" s="104"/>
    </row>
    <row r="31" spans="1:20" x14ac:dyDescent="0.25">
      <c r="A31" s="143">
        <v>42643</v>
      </c>
      <c r="B31" s="105">
        <f>+B30</f>
        <v>25072580.079999994</v>
      </c>
      <c r="C31" s="102">
        <f t="shared" ref="B31:C46" si="5">C30</f>
        <v>25072580.079999994</v>
      </c>
      <c r="D31" s="102">
        <f>B31*$B$6/5</f>
        <v>2601280.1832999997</v>
      </c>
      <c r="E31" s="249">
        <f>'Addition-Retire Source'!C10</f>
        <v>32303.780084583326</v>
      </c>
      <c r="F31" s="102">
        <f t="shared" si="3"/>
        <v>-5202560.3665999994</v>
      </c>
      <c r="G31" s="102">
        <f t="shared" si="3"/>
        <v>-48455.670126874989</v>
      </c>
      <c r="H31" s="102">
        <f t="shared" si="4"/>
        <v>19870019.713399995</v>
      </c>
      <c r="I31" s="102">
        <f t="shared" si="4"/>
        <v>25024124.40987312</v>
      </c>
      <c r="J31" s="102">
        <f t="shared" ref="J31:J32" si="6">I31-H31</f>
        <v>5154104.6964731254</v>
      </c>
      <c r="K31" s="102">
        <f t="shared" ref="K31:K79" si="7">-J31*$K$15</f>
        <v>-1803936.6437655939</v>
      </c>
      <c r="L31" s="103">
        <f t="shared" ref="L31:L32" si="8">-K31+K30</f>
        <v>899141.74112539552</v>
      </c>
      <c r="M31" s="104"/>
      <c r="N31" s="104"/>
      <c r="O31" s="104"/>
      <c r="P31" s="104"/>
      <c r="Q31" s="104"/>
      <c r="R31" s="104"/>
      <c r="S31" s="104"/>
      <c r="T31" s="104"/>
    </row>
    <row r="32" spans="1:20" ht="14.4" x14ac:dyDescent="0.3">
      <c r="A32" s="143">
        <v>42674</v>
      </c>
      <c r="B32" s="105">
        <f t="shared" ref="B32:B36" si="9">+B31</f>
        <v>25072580.079999994</v>
      </c>
      <c r="C32" s="102">
        <f t="shared" si="5"/>
        <v>25072580.079999994</v>
      </c>
      <c r="D32" s="102">
        <f t="shared" ref="D32:D34" si="10">B32*$B$6/5</f>
        <v>2601280.1832999997</v>
      </c>
      <c r="E32" s="102">
        <f ca="1">C32*E$13/12</f>
        <v>32385.415936666661</v>
      </c>
      <c r="F32" s="102">
        <f t="shared" si="3"/>
        <v>-7803840.5498999991</v>
      </c>
      <c r="G32" s="105">
        <f t="shared" ca="1" si="3"/>
        <v>-80841.086063541647</v>
      </c>
      <c r="H32" s="105">
        <f t="shared" si="4"/>
        <v>17268739.530099995</v>
      </c>
      <c r="I32" s="102">
        <f t="shared" ca="1" si="4"/>
        <v>24991738.993936453</v>
      </c>
      <c r="J32" s="105">
        <f t="shared" ca="1" si="6"/>
        <v>7722999.4638364576</v>
      </c>
      <c r="K32" s="102">
        <f t="shared" ca="1" si="7"/>
        <v>-2703049.8123427602</v>
      </c>
      <c r="L32" s="250">
        <f t="shared" ca="1" si="8"/>
        <v>899113.16857716627</v>
      </c>
      <c r="M32" s="147"/>
      <c r="N32" s="104"/>
      <c r="O32" s="104"/>
      <c r="P32" s="104"/>
      <c r="Q32" s="104"/>
      <c r="R32" s="104"/>
      <c r="S32" s="104"/>
      <c r="T32" s="104"/>
    </row>
    <row r="33" spans="1:20" ht="14.4" x14ac:dyDescent="0.3">
      <c r="A33" s="143">
        <v>42704</v>
      </c>
      <c r="B33" s="105">
        <f t="shared" si="9"/>
        <v>25072580.079999994</v>
      </c>
      <c r="C33" s="102">
        <f t="shared" si="5"/>
        <v>25072580.079999994</v>
      </c>
      <c r="D33" s="102">
        <f t="shared" si="10"/>
        <v>2601280.1832999997</v>
      </c>
      <c r="E33" s="102">
        <f t="shared" ref="E33:E46" ca="1" si="11">C33*E$13/12</f>
        <v>32385.415936666661</v>
      </c>
      <c r="F33" s="102">
        <f t="shared" si="3"/>
        <v>-10405120.733199999</v>
      </c>
      <c r="G33" s="102">
        <f t="shared" ca="1" si="3"/>
        <v>-113226.5020002083</v>
      </c>
      <c r="H33" s="102">
        <f t="shared" si="4"/>
        <v>14667459.346799996</v>
      </c>
      <c r="I33" s="102">
        <f t="shared" ca="1" si="4"/>
        <v>24959353.577999786</v>
      </c>
      <c r="J33" s="102">
        <f ca="1">I33-H33</f>
        <v>10291894.23119979</v>
      </c>
      <c r="K33" s="102">
        <f t="shared" ca="1" si="7"/>
        <v>-3602162.9809199264</v>
      </c>
      <c r="L33" s="103">
        <f ca="1">-K33+K32</f>
        <v>899113.16857716627</v>
      </c>
      <c r="M33" s="147"/>
      <c r="N33" s="104"/>
      <c r="O33" s="104"/>
      <c r="P33" s="104"/>
      <c r="Q33" s="104"/>
      <c r="R33" s="104"/>
      <c r="S33" s="104"/>
      <c r="T33" s="104"/>
    </row>
    <row r="34" spans="1:20" ht="14.4" x14ac:dyDescent="0.3">
      <c r="A34" s="143">
        <v>42735</v>
      </c>
      <c r="B34" s="102">
        <f t="shared" si="9"/>
        <v>25072580.079999994</v>
      </c>
      <c r="C34" s="102">
        <f t="shared" si="5"/>
        <v>25072580.079999994</v>
      </c>
      <c r="D34" s="102">
        <f t="shared" si="10"/>
        <v>2601280.1832999997</v>
      </c>
      <c r="E34" s="102">
        <f t="shared" ca="1" si="11"/>
        <v>32385.415936666661</v>
      </c>
      <c r="F34" s="102">
        <f t="shared" si="3"/>
        <v>-13006400.916499998</v>
      </c>
      <c r="G34" s="102">
        <f t="shared" ca="1" si="3"/>
        <v>-145611.91793687496</v>
      </c>
      <c r="H34" s="102">
        <f t="shared" si="4"/>
        <v>12066179.163499996</v>
      </c>
      <c r="I34" s="102">
        <f t="shared" ca="1" si="4"/>
        <v>24926968.162063118</v>
      </c>
      <c r="J34" s="102">
        <f ca="1">I34-H34</f>
        <v>12860788.998563122</v>
      </c>
      <c r="K34" s="102">
        <f t="shared" ca="1" si="7"/>
        <v>-4501276.1494970927</v>
      </c>
      <c r="L34" s="103">
        <f ca="1">-K34+K33</f>
        <v>899113.16857716627</v>
      </c>
      <c r="M34" s="147"/>
      <c r="N34" s="104"/>
      <c r="O34" s="104"/>
      <c r="P34" s="104"/>
      <c r="Q34" s="104"/>
      <c r="R34" s="104"/>
      <c r="S34" s="104"/>
      <c r="T34" s="104"/>
    </row>
    <row r="35" spans="1:20" ht="14.4" x14ac:dyDescent="0.3">
      <c r="A35" s="143">
        <v>42766</v>
      </c>
      <c r="B35" s="105">
        <f t="shared" si="9"/>
        <v>25072580.079999994</v>
      </c>
      <c r="C35" s="102">
        <f t="shared" si="5"/>
        <v>25072580.079999994</v>
      </c>
      <c r="D35" s="102">
        <f>B35*$C$6/12</f>
        <v>75416.231498966648</v>
      </c>
      <c r="E35" s="102">
        <f t="shared" ca="1" si="11"/>
        <v>32385.415936666661</v>
      </c>
      <c r="F35" s="102">
        <f t="shared" si="3"/>
        <v>-13081817.147998964</v>
      </c>
      <c r="G35" s="105">
        <f t="shared" ca="1" si="3"/>
        <v>-177997.33387354162</v>
      </c>
      <c r="H35" s="105">
        <f t="shared" si="4"/>
        <v>11990762.93200103</v>
      </c>
      <c r="I35" s="102">
        <f t="shared" ca="1" si="4"/>
        <v>24894582.746126454</v>
      </c>
      <c r="J35" s="105">
        <f t="shared" ref="J35:J79" ca="1" si="12">I35-H35</f>
        <v>12903819.814125424</v>
      </c>
      <c r="K35" s="102">
        <f t="shared" ca="1" si="7"/>
        <v>-4516336.9349438986</v>
      </c>
      <c r="L35" s="250">
        <f ca="1">-K35+K34</f>
        <v>15060.785446805879</v>
      </c>
      <c r="M35" s="147"/>
      <c r="N35" s="104"/>
      <c r="O35" s="104"/>
      <c r="P35" s="104"/>
      <c r="Q35" s="104"/>
      <c r="R35" s="104"/>
      <c r="S35" s="104"/>
      <c r="T35" s="104"/>
    </row>
    <row r="36" spans="1:20" ht="14.4" x14ac:dyDescent="0.3">
      <c r="A36" s="143">
        <v>42794</v>
      </c>
      <c r="B36" s="105">
        <f t="shared" si="9"/>
        <v>25072580.079999994</v>
      </c>
      <c r="C36" s="102">
        <f t="shared" si="5"/>
        <v>25072580.079999994</v>
      </c>
      <c r="D36" s="102">
        <f t="shared" ref="D36:D42" si="13">B36*$C$6/12</f>
        <v>75416.231498966648</v>
      </c>
      <c r="E36" s="102">
        <f t="shared" ca="1" si="11"/>
        <v>32385.415936666661</v>
      </c>
      <c r="F36" s="102">
        <f t="shared" si="3"/>
        <v>-13157233.37949793</v>
      </c>
      <c r="G36" s="102">
        <f t="shared" ca="1" si="3"/>
        <v>-210382.74981020828</v>
      </c>
      <c r="H36" s="102">
        <f t="shared" si="4"/>
        <v>11915346.700502064</v>
      </c>
      <c r="I36" s="102">
        <f t="shared" ca="1" si="4"/>
        <v>24862197.330189787</v>
      </c>
      <c r="J36" s="102">
        <f t="shared" ca="1" si="12"/>
        <v>12946850.629687723</v>
      </c>
      <c r="K36" s="102">
        <f t="shared" ca="1" si="7"/>
        <v>-4531397.7203907026</v>
      </c>
      <c r="L36" s="103">
        <f t="shared" ref="L36:L79" ca="1" si="14">-K36+K35</f>
        <v>15060.785446804017</v>
      </c>
      <c r="M36" s="147"/>
      <c r="N36" s="104"/>
      <c r="O36" s="104"/>
      <c r="P36" s="104"/>
      <c r="Q36" s="104"/>
      <c r="R36" s="104"/>
      <c r="S36" s="104"/>
      <c r="T36" s="104"/>
    </row>
    <row r="37" spans="1:20" x14ac:dyDescent="0.25">
      <c r="A37" s="143">
        <v>42825</v>
      </c>
      <c r="B37" s="102">
        <f t="shared" si="5"/>
        <v>25072580.079999994</v>
      </c>
      <c r="C37" s="102">
        <f t="shared" si="5"/>
        <v>25072580.079999994</v>
      </c>
      <c r="D37" s="102">
        <f t="shared" si="13"/>
        <v>75416.231498966648</v>
      </c>
      <c r="E37" s="102">
        <f t="shared" ca="1" si="11"/>
        <v>32385.415936666661</v>
      </c>
      <c r="F37" s="102">
        <f t="shared" si="3"/>
        <v>-13232649.610996896</v>
      </c>
      <c r="G37" s="102">
        <f t="shared" ca="1" si="3"/>
        <v>-242768.16574687493</v>
      </c>
      <c r="H37" s="102">
        <f t="shared" si="4"/>
        <v>11839930.469003098</v>
      </c>
      <c r="I37" s="102">
        <f t="shared" ca="1" si="4"/>
        <v>24829811.914253119</v>
      </c>
      <c r="J37" s="102">
        <f t="shared" ca="1" si="12"/>
        <v>12989881.445250021</v>
      </c>
      <c r="K37" s="102">
        <f t="shared" ca="1" si="7"/>
        <v>-4546458.5058375075</v>
      </c>
      <c r="L37" s="103">
        <f t="shared" ca="1" si="14"/>
        <v>15060.785446804948</v>
      </c>
      <c r="M37" s="105"/>
      <c r="N37" s="104"/>
      <c r="O37" s="104"/>
      <c r="P37" s="104"/>
      <c r="Q37" s="104"/>
      <c r="R37" s="104"/>
      <c r="S37" s="104"/>
      <c r="T37" s="104"/>
    </row>
    <row r="38" spans="1:20" x14ac:dyDescent="0.25">
      <c r="A38" s="143">
        <v>42855</v>
      </c>
      <c r="B38" s="102">
        <f t="shared" si="5"/>
        <v>25072580.079999994</v>
      </c>
      <c r="C38" s="102">
        <f t="shared" si="5"/>
        <v>25072580.079999994</v>
      </c>
      <c r="D38" s="102">
        <f t="shared" si="13"/>
        <v>75416.231498966648</v>
      </c>
      <c r="E38" s="102">
        <f t="shared" ca="1" si="11"/>
        <v>32385.415936666661</v>
      </c>
      <c r="F38" s="102">
        <f t="shared" si="3"/>
        <v>-13308065.842495862</v>
      </c>
      <c r="G38" s="102">
        <f t="shared" ca="1" si="3"/>
        <v>-275153.58168354159</v>
      </c>
      <c r="H38" s="102">
        <f t="shared" si="4"/>
        <v>11764514.237504132</v>
      </c>
      <c r="I38" s="102">
        <f t="shared" ca="1" si="4"/>
        <v>24797426.498316452</v>
      </c>
      <c r="J38" s="102">
        <f t="shared" ca="1" si="12"/>
        <v>13032912.26081232</v>
      </c>
      <c r="K38" s="102">
        <f t="shared" ca="1" si="7"/>
        <v>-4561519.2912843116</v>
      </c>
      <c r="L38" s="103">
        <f t="shared" ca="1" si="14"/>
        <v>15060.785446804017</v>
      </c>
      <c r="M38" s="105"/>
      <c r="N38" s="104"/>
      <c r="O38" s="104"/>
      <c r="P38" s="104"/>
      <c r="Q38" s="104"/>
      <c r="R38" s="104"/>
      <c r="S38" s="104"/>
      <c r="T38" s="104"/>
    </row>
    <row r="39" spans="1:20" x14ac:dyDescent="0.25">
      <c r="A39" s="143">
        <v>42886</v>
      </c>
      <c r="B39" s="102">
        <f t="shared" si="5"/>
        <v>25072580.079999994</v>
      </c>
      <c r="C39" s="102">
        <f t="shared" si="5"/>
        <v>25072580.079999994</v>
      </c>
      <c r="D39" s="102">
        <f>B39*$C$6/12</f>
        <v>75416.231498966648</v>
      </c>
      <c r="E39" s="102">
        <f t="shared" ca="1" si="11"/>
        <v>32385.415936666661</v>
      </c>
      <c r="F39" s="102">
        <f t="shared" si="3"/>
        <v>-13383482.073994828</v>
      </c>
      <c r="G39" s="102">
        <f t="shared" ca="1" si="3"/>
        <v>-307538.99762020825</v>
      </c>
      <c r="H39" s="102">
        <f t="shared" si="4"/>
        <v>11689098.006005166</v>
      </c>
      <c r="I39" s="102">
        <f t="shared" ca="1" si="4"/>
        <v>24765041.082379784</v>
      </c>
      <c r="J39" s="102">
        <f t="shared" ca="1" si="12"/>
        <v>13075943.076374618</v>
      </c>
      <c r="K39" s="102">
        <f t="shared" ca="1" si="7"/>
        <v>-4576580.0767311165</v>
      </c>
      <c r="L39" s="103">
        <f t="shared" ca="1" si="14"/>
        <v>15060.785446804948</v>
      </c>
      <c r="M39" s="105"/>
      <c r="N39" s="144"/>
      <c r="O39" s="104"/>
      <c r="P39" s="104"/>
      <c r="Q39" s="104"/>
      <c r="R39" s="104"/>
      <c r="S39" s="104"/>
      <c r="T39" s="104"/>
    </row>
    <row r="40" spans="1:20" x14ac:dyDescent="0.25">
      <c r="A40" s="143">
        <v>42916</v>
      </c>
      <c r="B40" s="102">
        <f t="shared" si="5"/>
        <v>25072580.079999994</v>
      </c>
      <c r="C40" s="102">
        <f t="shared" si="5"/>
        <v>25072580.079999994</v>
      </c>
      <c r="D40" s="102">
        <f t="shared" si="13"/>
        <v>75416.231498966648</v>
      </c>
      <c r="E40" s="102">
        <f t="shared" ca="1" si="11"/>
        <v>32385.415936666661</v>
      </c>
      <c r="F40" s="102">
        <f t="shared" si="3"/>
        <v>-13458898.305493794</v>
      </c>
      <c r="G40" s="102">
        <f t="shared" ca="1" si="3"/>
        <v>-339924.4135568749</v>
      </c>
      <c r="H40" s="102">
        <f t="shared" si="4"/>
        <v>11613681.7745062</v>
      </c>
      <c r="I40" s="102">
        <f t="shared" ca="1" si="4"/>
        <v>24732655.666443121</v>
      </c>
      <c r="J40" s="102">
        <f t="shared" ca="1" si="12"/>
        <v>13118973.891936921</v>
      </c>
      <c r="K40" s="102">
        <f t="shared" ca="1" si="7"/>
        <v>-4591640.8621779215</v>
      </c>
      <c r="L40" s="103">
        <f t="shared" ca="1" si="14"/>
        <v>15060.785446804948</v>
      </c>
      <c r="M40" s="105"/>
      <c r="N40" s="104"/>
      <c r="O40" s="104"/>
      <c r="P40" s="104"/>
      <c r="Q40" s="104"/>
      <c r="R40" s="104"/>
      <c r="S40" s="104"/>
      <c r="T40" s="104"/>
    </row>
    <row r="41" spans="1:20" x14ac:dyDescent="0.25">
      <c r="A41" s="143">
        <v>42947</v>
      </c>
      <c r="B41" s="102">
        <f t="shared" si="5"/>
        <v>25072580.079999994</v>
      </c>
      <c r="C41" s="102">
        <f t="shared" si="5"/>
        <v>25072580.079999994</v>
      </c>
      <c r="D41" s="102">
        <f>B41*$C$6/12</f>
        <v>75416.231498966648</v>
      </c>
      <c r="E41" s="102">
        <f t="shared" ca="1" si="11"/>
        <v>32385.415936666661</v>
      </c>
      <c r="F41" s="102">
        <f t="shared" si="3"/>
        <v>-13534314.53699276</v>
      </c>
      <c r="G41" s="102">
        <f t="shared" ca="1" si="3"/>
        <v>-372309.82949354156</v>
      </c>
      <c r="H41" s="102">
        <f t="shared" si="4"/>
        <v>11538265.543007234</v>
      </c>
      <c r="I41" s="102">
        <f t="shared" ca="1" si="4"/>
        <v>24700270.250506453</v>
      </c>
      <c r="J41" s="102">
        <f t="shared" ca="1" si="12"/>
        <v>13162004.707499219</v>
      </c>
      <c r="K41" s="102">
        <f t="shared" ca="1" si="7"/>
        <v>-4606701.6476247264</v>
      </c>
      <c r="L41" s="103">
        <f t="shared" ca="1" si="14"/>
        <v>15060.785446804948</v>
      </c>
      <c r="M41" s="105"/>
      <c r="N41" s="104"/>
      <c r="O41" s="104"/>
      <c r="P41" s="104"/>
      <c r="Q41" s="104"/>
      <c r="R41" s="104"/>
      <c r="S41" s="104"/>
      <c r="T41" s="104"/>
    </row>
    <row r="42" spans="1:20" x14ac:dyDescent="0.25">
      <c r="A42" s="143">
        <v>42978</v>
      </c>
      <c r="B42" s="102">
        <f t="shared" si="5"/>
        <v>25072580.079999994</v>
      </c>
      <c r="C42" s="102">
        <f t="shared" si="5"/>
        <v>25072580.079999994</v>
      </c>
      <c r="D42" s="102">
        <f t="shared" si="13"/>
        <v>75416.231498966648</v>
      </c>
      <c r="E42" s="102">
        <f t="shared" ca="1" si="11"/>
        <v>32385.415936666661</v>
      </c>
      <c r="F42" s="102">
        <f t="shared" si="3"/>
        <v>-13609730.768491726</v>
      </c>
      <c r="G42" s="102">
        <f t="shared" ca="1" si="3"/>
        <v>-404695.24543020822</v>
      </c>
      <c r="H42" s="102">
        <f t="shared" si="4"/>
        <v>11462849.311508268</v>
      </c>
      <c r="I42" s="102">
        <f t="shared" ca="1" si="4"/>
        <v>24667884.834569786</v>
      </c>
      <c r="J42" s="102">
        <f t="shared" ca="1" si="12"/>
        <v>13205035.523061518</v>
      </c>
      <c r="K42" s="102">
        <f t="shared" ca="1" si="7"/>
        <v>-4621762.4330715304</v>
      </c>
      <c r="L42" s="103">
        <f t="shared" ca="1" si="14"/>
        <v>15060.785446804017</v>
      </c>
      <c r="M42" s="105"/>
      <c r="N42" s="104"/>
      <c r="O42" s="104"/>
      <c r="P42" s="104"/>
      <c r="Q42" s="104"/>
      <c r="R42" s="104"/>
      <c r="S42" s="104"/>
      <c r="T42" s="104"/>
    </row>
    <row r="43" spans="1:20" x14ac:dyDescent="0.25">
      <c r="A43" s="143">
        <v>43008</v>
      </c>
      <c r="B43" s="102">
        <f t="shared" si="5"/>
        <v>25072580.079999994</v>
      </c>
      <c r="C43" s="102">
        <f t="shared" si="5"/>
        <v>25072580.079999994</v>
      </c>
      <c r="D43" s="102">
        <f>B43*$C$6/12</f>
        <v>75416.231498966648</v>
      </c>
      <c r="E43" s="102">
        <f ca="1">C43*E$13/12</f>
        <v>32385.415936666661</v>
      </c>
      <c r="F43" s="102">
        <f t="shared" si="3"/>
        <v>-13685146.999990692</v>
      </c>
      <c r="G43" s="102">
        <f t="shared" ca="1" si="3"/>
        <v>-437080.66136687488</v>
      </c>
      <c r="H43" s="102">
        <f t="shared" si="4"/>
        <v>11387433.080009302</v>
      </c>
      <c r="I43" s="102">
        <f t="shared" ca="1" si="4"/>
        <v>24635499.418633118</v>
      </c>
      <c r="J43" s="102">
        <f t="shared" ca="1" si="12"/>
        <v>13248066.338623816</v>
      </c>
      <c r="K43" s="102">
        <f t="shared" ca="1" si="7"/>
        <v>-4636823.2185183354</v>
      </c>
      <c r="L43" s="103">
        <f t="shared" ca="1" si="14"/>
        <v>15060.785446804948</v>
      </c>
      <c r="M43" s="105"/>
      <c r="N43" s="145"/>
      <c r="O43" s="110"/>
      <c r="P43" s="104"/>
      <c r="Q43" s="104"/>
      <c r="R43" s="104"/>
      <c r="S43" s="104"/>
      <c r="T43" s="104"/>
    </row>
    <row r="44" spans="1:20" x14ac:dyDescent="0.25">
      <c r="A44" s="143">
        <v>43039</v>
      </c>
      <c r="B44" s="102">
        <f t="shared" si="5"/>
        <v>25072580.079999994</v>
      </c>
      <c r="C44" s="102">
        <f t="shared" si="5"/>
        <v>25072580.079999994</v>
      </c>
      <c r="D44" s="102">
        <f>B44*$C$6/12</f>
        <v>75416.231498966648</v>
      </c>
      <c r="E44" s="102">
        <f t="shared" ca="1" si="11"/>
        <v>32385.415936666661</v>
      </c>
      <c r="F44" s="102">
        <f t="shared" si="3"/>
        <v>-13760563.231489658</v>
      </c>
      <c r="G44" s="102">
        <f t="shared" ca="1" si="3"/>
        <v>-469466.07730354153</v>
      </c>
      <c r="H44" s="102">
        <f t="shared" si="4"/>
        <v>11312016.848510336</v>
      </c>
      <c r="I44" s="102">
        <f t="shared" ca="1" si="4"/>
        <v>24603114.002696455</v>
      </c>
      <c r="J44" s="102">
        <f t="shared" ca="1" si="12"/>
        <v>13291097.154186118</v>
      </c>
      <c r="K44" s="102">
        <f t="shared" ca="1" si="7"/>
        <v>-4651884.0039651413</v>
      </c>
      <c r="L44" s="103">
        <f t="shared" ca="1" si="14"/>
        <v>15060.785446805879</v>
      </c>
      <c r="M44" s="105"/>
      <c r="N44" s="104"/>
      <c r="O44" s="104"/>
      <c r="P44" s="104"/>
      <c r="Q44" s="104"/>
      <c r="R44" s="104"/>
      <c r="S44" s="104"/>
      <c r="T44" s="104"/>
    </row>
    <row r="45" spans="1:20" x14ac:dyDescent="0.25">
      <c r="A45" s="143">
        <v>43069</v>
      </c>
      <c r="B45" s="102">
        <f t="shared" si="5"/>
        <v>25072580.079999994</v>
      </c>
      <c r="C45" s="102">
        <f t="shared" si="5"/>
        <v>25072580.079999994</v>
      </c>
      <c r="D45" s="102">
        <f>B45*$C$6/12</f>
        <v>75416.231498966648</v>
      </c>
      <c r="E45" s="102">
        <f t="shared" ca="1" si="11"/>
        <v>32385.415936666661</v>
      </c>
      <c r="F45" s="102">
        <f t="shared" si="3"/>
        <v>-13835979.462988624</v>
      </c>
      <c r="G45" s="102">
        <f t="shared" ca="1" si="3"/>
        <v>-501851.49324020819</v>
      </c>
      <c r="H45" s="102">
        <f t="shared" si="4"/>
        <v>11236600.61701137</v>
      </c>
      <c r="I45" s="102">
        <f t="shared" ca="1" si="4"/>
        <v>24570728.586759787</v>
      </c>
      <c r="J45" s="102">
        <f t="shared" ca="1" si="12"/>
        <v>13334127.969748417</v>
      </c>
      <c r="K45" s="102">
        <f t="shared" ca="1" si="7"/>
        <v>-4666944.7894119453</v>
      </c>
      <c r="L45" s="103">
        <f t="shared" ca="1" si="14"/>
        <v>15060.785446804017</v>
      </c>
      <c r="M45" s="104"/>
      <c r="N45" s="104"/>
      <c r="O45" s="104"/>
      <c r="P45" s="104"/>
      <c r="Q45" s="104"/>
      <c r="R45" s="104"/>
      <c r="S45" s="104"/>
      <c r="T45" s="104"/>
    </row>
    <row r="46" spans="1:20" x14ac:dyDescent="0.25">
      <c r="A46" s="143">
        <v>43100</v>
      </c>
      <c r="B46" s="102">
        <f t="shared" si="5"/>
        <v>25072580.079999994</v>
      </c>
      <c r="C46" s="102">
        <f t="shared" si="5"/>
        <v>25072580.079999994</v>
      </c>
      <c r="D46" s="102">
        <f>B46*$C$6/12</f>
        <v>75416.231498966648</v>
      </c>
      <c r="E46" s="102">
        <f t="shared" ca="1" si="11"/>
        <v>32385.415936666661</v>
      </c>
      <c r="F46" s="102">
        <f>F45-D46</f>
        <v>-13911395.69448759</v>
      </c>
      <c r="G46" s="102">
        <f t="shared" ref="F46:G60" ca="1" si="15">G45-E46</f>
        <v>-534236.90917687491</v>
      </c>
      <c r="H46" s="102">
        <f t="shared" si="4"/>
        <v>11161184.385512404</v>
      </c>
      <c r="I46" s="102">
        <f t="shared" ca="1" si="4"/>
        <v>24538343.17082312</v>
      </c>
      <c r="J46" s="102">
        <f t="shared" ca="1" si="12"/>
        <v>13377158.785310715</v>
      </c>
      <c r="K46" s="102">
        <f t="shared" ca="1" si="7"/>
        <v>-4682005.5748587502</v>
      </c>
      <c r="L46" s="103">
        <f t="shared" ca="1" si="14"/>
        <v>15060.785446804948</v>
      </c>
      <c r="M46" s="104"/>
      <c r="N46" s="104"/>
      <c r="O46" s="104"/>
      <c r="P46" s="104"/>
      <c r="Q46" s="104"/>
      <c r="R46" s="104"/>
      <c r="S46" s="104"/>
      <c r="T46" s="104"/>
    </row>
    <row r="47" spans="1:20" x14ac:dyDescent="0.25">
      <c r="A47" s="143">
        <v>43131</v>
      </c>
      <c r="B47" s="105">
        <f t="shared" ref="B47:C62" si="16">B46</f>
        <v>25072580.079999994</v>
      </c>
      <c r="C47" s="102">
        <f t="shared" si="16"/>
        <v>25072580.079999994</v>
      </c>
      <c r="D47" s="102">
        <f>B47*$D$6/12</f>
        <v>69754.007164233321</v>
      </c>
      <c r="E47" s="102">
        <f ca="1">C47*E$14/12</f>
        <v>178825.33102802909</v>
      </c>
      <c r="F47" s="102">
        <f t="shared" si="15"/>
        <v>-13981149.701651823</v>
      </c>
      <c r="G47" s="105">
        <f t="shared" ca="1" si="15"/>
        <v>-713062.240204904</v>
      </c>
      <c r="H47" s="105">
        <f>B47+F47</f>
        <v>11091430.378348172</v>
      </c>
      <c r="I47" s="102">
        <f ca="1">C47+G47</f>
        <v>24359517.83979509</v>
      </c>
      <c r="J47" s="105">
        <f t="shared" ca="1" si="12"/>
        <v>13268087.461446919</v>
      </c>
      <c r="K47" s="102">
        <f ca="1">-J47*$K$15</f>
        <v>-4643830.6115064211</v>
      </c>
      <c r="L47" s="250">
        <f ca="1">-K47+K46</f>
        <v>-38174.963352329098</v>
      </c>
      <c r="M47" s="104"/>
      <c r="N47" s="104"/>
      <c r="O47" s="104"/>
      <c r="P47" s="104"/>
      <c r="Q47" s="104"/>
      <c r="R47" s="104"/>
      <c r="S47" s="104"/>
      <c r="T47" s="104"/>
    </row>
    <row r="48" spans="1:20" x14ac:dyDescent="0.25">
      <c r="A48" s="143">
        <v>43159</v>
      </c>
      <c r="B48" s="102">
        <f t="shared" si="16"/>
        <v>25072580.079999994</v>
      </c>
      <c r="C48" s="102">
        <f t="shared" si="16"/>
        <v>25072580.079999994</v>
      </c>
      <c r="D48" s="102">
        <f t="shared" ref="D48:D58" si="17">B48*$D$6/12</f>
        <v>69754.007164233321</v>
      </c>
      <c r="E48" s="102">
        <f t="shared" ref="E48:E58" ca="1" si="18">C48*E$14/12</f>
        <v>178825.33102802909</v>
      </c>
      <c r="F48" s="102">
        <f t="shared" si="15"/>
        <v>-14050903.708816055</v>
      </c>
      <c r="G48" s="102">
        <f t="shared" ca="1" si="15"/>
        <v>-891887.57123293309</v>
      </c>
      <c r="H48" s="102">
        <f t="shared" si="4"/>
        <v>11021676.371183939</v>
      </c>
      <c r="I48" s="102">
        <f t="shared" ca="1" si="4"/>
        <v>24180692.508767061</v>
      </c>
      <c r="J48" s="102">
        <f t="shared" ca="1" si="12"/>
        <v>13159016.137583122</v>
      </c>
      <c r="K48" s="102">
        <f t="shared" ca="1" si="7"/>
        <v>-4605655.648154092</v>
      </c>
      <c r="L48" s="103">
        <f t="shared" ca="1" si="14"/>
        <v>-38174.963352329098</v>
      </c>
      <c r="M48" s="104"/>
      <c r="N48" s="104"/>
      <c r="O48" s="104"/>
      <c r="P48" s="104"/>
      <c r="Q48" s="104"/>
      <c r="R48" s="104"/>
      <c r="S48" s="104"/>
      <c r="T48" s="104"/>
    </row>
    <row r="49" spans="1:20" x14ac:dyDescent="0.25">
      <c r="A49" s="143">
        <v>43190</v>
      </c>
      <c r="B49" s="102">
        <f t="shared" si="16"/>
        <v>25072580.079999994</v>
      </c>
      <c r="C49" s="102">
        <f t="shared" si="16"/>
        <v>25072580.079999994</v>
      </c>
      <c r="D49" s="102">
        <f t="shared" si="17"/>
        <v>69754.007164233321</v>
      </c>
      <c r="E49" s="102">
        <f t="shared" ca="1" si="18"/>
        <v>178825.33102802909</v>
      </c>
      <c r="F49" s="102">
        <f>F48-D49</f>
        <v>-14120657.715980288</v>
      </c>
      <c r="G49" s="102">
        <f t="shared" ca="1" si="15"/>
        <v>-1070712.9022609622</v>
      </c>
      <c r="H49" s="102">
        <f t="shared" si="4"/>
        <v>10951922.364019707</v>
      </c>
      <c r="I49" s="102">
        <f t="shared" ca="1" si="4"/>
        <v>24001867.177739032</v>
      </c>
      <c r="J49" s="102">
        <f t="shared" ca="1" si="12"/>
        <v>13049944.813719325</v>
      </c>
      <c r="K49" s="102">
        <f t="shared" ca="1" si="7"/>
        <v>-4567480.6848017629</v>
      </c>
      <c r="L49" s="103">
        <f t="shared" ca="1" si="14"/>
        <v>-38174.963352329098</v>
      </c>
      <c r="M49" s="104"/>
      <c r="N49" s="104"/>
      <c r="O49" s="104"/>
      <c r="P49" s="104"/>
      <c r="Q49" s="104"/>
      <c r="R49" s="104"/>
      <c r="S49" s="104"/>
      <c r="T49" s="104"/>
    </row>
    <row r="50" spans="1:20" x14ac:dyDescent="0.25">
      <c r="A50" s="143">
        <v>43220</v>
      </c>
      <c r="B50" s="102">
        <f t="shared" si="16"/>
        <v>25072580.079999994</v>
      </c>
      <c r="C50" s="102">
        <f t="shared" si="16"/>
        <v>25072580.079999994</v>
      </c>
      <c r="D50" s="102">
        <f t="shared" si="17"/>
        <v>69754.007164233321</v>
      </c>
      <c r="E50" s="102">
        <f t="shared" ca="1" si="18"/>
        <v>178825.33102802909</v>
      </c>
      <c r="F50" s="102">
        <f t="shared" si="15"/>
        <v>-14190411.72314452</v>
      </c>
      <c r="G50" s="102">
        <f t="shared" ca="1" si="15"/>
        <v>-1249538.2332889913</v>
      </c>
      <c r="H50" s="102">
        <f t="shared" si="4"/>
        <v>10882168.356855474</v>
      </c>
      <c r="I50" s="102">
        <f t="shared" ca="1" si="4"/>
        <v>23823041.846711002</v>
      </c>
      <c r="J50" s="102">
        <f t="shared" ca="1" si="12"/>
        <v>12940873.489855528</v>
      </c>
      <c r="K50" s="102">
        <f t="shared" ca="1" si="7"/>
        <v>-4529305.7214494348</v>
      </c>
      <c r="L50" s="103">
        <f t="shared" ca="1" si="14"/>
        <v>-38174.963352328166</v>
      </c>
      <c r="M50" s="104"/>
      <c r="N50" s="104"/>
      <c r="O50" s="104"/>
      <c r="P50" s="104"/>
      <c r="Q50" s="104"/>
      <c r="R50" s="104"/>
      <c r="S50" s="104"/>
      <c r="T50" s="104"/>
    </row>
    <row r="51" spans="1:20" x14ac:dyDescent="0.25">
      <c r="A51" s="143">
        <v>43251</v>
      </c>
      <c r="B51" s="102">
        <f t="shared" si="16"/>
        <v>25072580.079999994</v>
      </c>
      <c r="C51" s="102">
        <f t="shared" si="16"/>
        <v>25072580.079999994</v>
      </c>
      <c r="D51" s="102">
        <f t="shared" si="17"/>
        <v>69754.007164233321</v>
      </c>
      <c r="E51" s="102">
        <f t="shared" ca="1" si="18"/>
        <v>178825.33102802909</v>
      </c>
      <c r="F51" s="102">
        <f t="shared" si="15"/>
        <v>-14260165.730308753</v>
      </c>
      <c r="G51" s="102">
        <f t="shared" ca="1" si="15"/>
        <v>-1428363.5643170204</v>
      </c>
      <c r="H51" s="102">
        <f t="shared" si="4"/>
        <v>10812414.349691242</v>
      </c>
      <c r="I51" s="102">
        <f t="shared" ca="1" si="4"/>
        <v>23644216.515682973</v>
      </c>
      <c r="J51" s="102">
        <f t="shared" ca="1" si="12"/>
        <v>12831802.165991731</v>
      </c>
      <c r="K51" s="102">
        <f t="shared" ca="1" si="7"/>
        <v>-4491130.7580971057</v>
      </c>
      <c r="L51" s="103">
        <f t="shared" ca="1" si="14"/>
        <v>-38174.963352329098</v>
      </c>
      <c r="M51" s="104"/>
      <c r="N51" s="104"/>
      <c r="O51" s="104"/>
      <c r="P51" s="104"/>
      <c r="Q51" s="104"/>
      <c r="R51" s="104"/>
      <c r="S51" s="104"/>
      <c r="T51" s="104"/>
    </row>
    <row r="52" spans="1:20" x14ac:dyDescent="0.25">
      <c r="A52" s="143">
        <v>43281</v>
      </c>
      <c r="B52" s="102">
        <f t="shared" si="16"/>
        <v>25072580.079999994</v>
      </c>
      <c r="C52" s="102">
        <f t="shared" si="16"/>
        <v>25072580.079999994</v>
      </c>
      <c r="D52" s="102">
        <f t="shared" si="17"/>
        <v>69754.007164233321</v>
      </c>
      <c r="E52" s="102">
        <f t="shared" ca="1" si="18"/>
        <v>178825.33102802909</v>
      </c>
      <c r="F52" s="102">
        <f t="shared" si="15"/>
        <v>-14329919.737472985</v>
      </c>
      <c r="G52" s="102">
        <f t="shared" ca="1" si="15"/>
        <v>-1607188.8953450494</v>
      </c>
      <c r="H52" s="102">
        <f t="shared" si="4"/>
        <v>10742660.34252701</v>
      </c>
      <c r="I52" s="102">
        <f t="shared" ca="1" si="4"/>
        <v>23465391.184654944</v>
      </c>
      <c r="J52" s="102">
        <f t="shared" ca="1" si="12"/>
        <v>12722730.842127934</v>
      </c>
      <c r="K52" s="102">
        <f t="shared" ca="1" si="7"/>
        <v>-4452955.7947447766</v>
      </c>
      <c r="L52" s="103">
        <f t="shared" ca="1" si="14"/>
        <v>-38174.963352329098</v>
      </c>
      <c r="M52" s="104"/>
      <c r="N52" s="104"/>
      <c r="O52" s="104"/>
      <c r="P52" s="104"/>
      <c r="Q52" s="104"/>
      <c r="R52" s="104"/>
      <c r="S52" s="104"/>
      <c r="T52" s="104"/>
    </row>
    <row r="53" spans="1:20" x14ac:dyDescent="0.25">
      <c r="A53" s="143">
        <v>43312</v>
      </c>
      <c r="B53" s="102">
        <f t="shared" si="16"/>
        <v>25072580.079999994</v>
      </c>
      <c r="C53" s="102">
        <f t="shared" si="16"/>
        <v>25072580.079999994</v>
      </c>
      <c r="D53" s="102">
        <f t="shared" si="17"/>
        <v>69754.007164233321</v>
      </c>
      <c r="E53" s="102">
        <f t="shared" ca="1" si="18"/>
        <v>178825.33102802909</v>
      </c>
      <c r="F53" s="102">
        <f t="shared" si="15"/>
        <v>-14399673.744637217</v>
      </c>
      <c r="G53" s="102">
        <f t="shared" ca="1" si="15"/>
        <v>-1786014.2263730785</v>
      </c>
      <c r="H53" s="102">
        <f t="shared" si="4"/>
        <v>10672906.335362777</v>
      </c>
      <c r="I53" s="102">
        <f t="shared" ca="1" si="4"/>
        <v>23286565.853626914</v>
      </c>
      <c r="J53" s="102">
        <f t="shared" ca="1" si="12"/>
        <v>12613659.518264137</v>
      </c>
      <c r="K53" s="102">
        <f t="shared" ca="1" si="7"/>
        <v>-4414780.8313924475</v>
      </c>
      <c r="L53" s="103">
        <f t="shared" ca="1" si="14"/>
        <v>-38174.963352329098</v>
      </c>
      <c r="M53" s="104"/>
      <c r="N53" s="104"/>
      <c r="O53" s="104"/>
      <c r="P53" s="104"/>
      <c r="Q53" s="104"/>
      <c r="R53" s="104"/>
      <c r="S53" s="104"/>
      <c r="T53" s="104"/>
    </row>
    <row r="54" spans="1:20" x14ac:dyDescent="0.25">
      <c r="A54" s="143">
        <v>43343</v>
      </c>
      <c r="B54" s="102">
        <f t="shared" si="16"/>
        <v>25072580.079999994</v>
      </c>
      <c r="C54" s="102">
        <f t="shared" si="16"/>
        <v>25072580.079999994</v>
      </c>
      <c r="D54" s="102">
        <f t="shared" si="17"/>
        <v>69754.007164233321</v>
      </c>
      <c r="E54" s="102">
        <f t="shared" ca="1" si="18"/>
        <v>178825.33102802909</v>
      </c>
      <c r="F54" s="102">
        <f t="shared" si="15"/>
        <v>-14469427.75180145</v>
      </c>
      <c r="G54" s="102">
        <f t="shared" ca="1" si="15"/>
        <v>-1964839.5574011076</v>
      </c>
      <c r="H54" s="102">
        <f t="shared" si="4"/>
        <v>10603152.328198545</v>
      </c>
      <c r="I54" s="102">
        <f t="shared" ca="1" si="4"/>
        <v>23107740.522598885</v>
      </c>
      <c r="J54" s="102">
        <f t="shared" ca="1" si="12"/>
        <v>12504588.19440034</v>
      </c>
      <c r="K54" s="102">
        <f t="shared" ca="1" si="7"/>
        <v>-4376605.8680401193</v>
      </c>
      <c r="L54" s="103">
        <f t="shared" ca="1" si="14"/>
        <v>-38174.963352328166</v>
      </c>
      <c r="M54" s="104"/>
      <c r="N54" s="104"/>
      <c r="O54" s="104"/>
      <c r="P54" s="104"/>
      <c r="Q54" s="104"/>
      <c r="R54" s="104"/>
      <c r="S54" s="104"/>
      <c r="T54" s="104"/>
    </row>
    <row r="55" spans="1:20" x14ac:dyDescent="0.25">
      <c r="A55" s="143">
        <v>43373</v>
      </c>
      <c r="B55" s="102">
        <f t="shared" si="16"/>
        <v>25072580.079999994</v>
      </c>
      <c r="C55" s="102">
        <f t="shared" si="16"/>
        <v>25072580.079999994</v>
      </c>
      <c r="D55" s="102">
        <f t="shared" si="17"/>
        <v>69754.007164233321</v>
      </c>
      <c r="E55" s="102">
        <f t="shared" ca="1" si="18"/>
        <v>178825.33102802909</v>
      </c>
      <c r="F55" s="102">
        <f t="shared" si="15"/>
        <v>-14539181.758965682</v>
      </c>
      <c r="G55" s="102">
        <f t="shared" ca="1" si="15"/>
        <v>-2143664.8884291369</v>
      </c>
      <c r="H55" s="102">
        <f t="shared" si="4"/>
        <v>10533398.321034312</v>
      </c>
      <c r="I55" s="102">
        <f t="shared" ca="1" si="4"/>
        <v>22928915.191570856</v>
      </c>
      <c r="J55" s="102">
        <f t="shared" ca="1" si="12"/>
        <v>12395516.870536543</v>
      </c>
      <c r="K55" s="102">
        <f t="shared" ca="1" si="7"/>
        <v>-4338430.9046877902</v>
      </c>
      <c r="L55" s="103">
        <f t="shared" ca="1" si="14"/>
        <v>-38174.963352329098</v>
      </c>
      <c r="M55" s="104"/>
      <c r="N55" s="104"/>
      <c r="O55" s="104"/>
      <c r="P55" s="104"/>
      <c r="Q55" s="104"/>
      <c r="R55" s="104"/>
      <c r="S55" s="104"/>
      <c r="T55" s="104"/>
    </row>
    <row r="56" spans="1:20" x14ac:dyDescent="0.25">
      <c r="A56" s="143">
        <v>43404</v>
      </c>
      <c r="B56" s="102">
        <f t="shared" si="16"/>
        <v>25072580.079999994</v>
      </c>
      <c r="C56" s="102">
        <f t="shared" si="16"/>
        <v>25072580.079999994</v>
      </c>
      <c r="D56" s="102">
        <f t="shared" si="17"/>
        <v>69754.007164233321</v>
      </c>
      <c r="E56" s="102">
        <f t="shared" ca="1" si="18"/>
        <v>178825.33102802909</v>
      </c>
      <c r="F56" s="102">
        <f t="shared" si="15"/>
        <v>-14608935.766129915</v>
      </c>
      <c r="G56" s="102">
        <f t="shared" ca="1" si="15"/>
        <v>-2322490.2194571663</v>
      </c>
      <c r="H56" s="102">
        <f t="shared" si="4"/>
        <v>10463644.31387008</v>
      </c>
      <c r="I56" s="102">
        <f t="shared" ca="1" si="4"/>
        <v>22750089.860542826</v>
      </c>
      <c r="J56" s="102">
        <f t="shared" ca="1" si="12"/>
        <v>12286445.546672747</v>
      </c>
      <c r="K56" s="102">
        <f t="shared" ca="1" si="7"/>
        <v>-4300255.9413354611</v>
      </c>
      <c r="L56" s="103">
        <f t="shared" ca="1" si="14"/>
        <v>-38174.963352329098</v>
      </c>
      <c r="M56" s="104"/>
      <c r="N56" s="104"/>
      <c r="O56" s="104"/>
      <c r="P56" s="104"/>
      <c r="Q56" s="104"/>
      <c r="R56" s="104"/>
      <c r="S56" s="104"/>
      <c r="T56" s="104"/>
    </row>
    <row r="57" spans="1:20" x14ac:dyDescent="0.25">
      <c r="A57" s="143">
        <v>43434</v>
      </c>
      <c r="B57" s="102">
        <f t="shared" si="16"/>
        <v>25072580.079999994</v>
      </c>
      <c r="C57" s="102">
        <f t="shared" si="16"/>
        <v>25072580.079999994</v>
      </c>
      <c r="D57" s="102">
        <f t="shared" si="17"/>
        <v>69754.007164233321</v>
      </c>
      <c r="E57" s="102">
        <f t="shared" ca="1" si="18"/>
        <v>178825.33102802909</v>
      </c>
      <c r="F57" s="102">
        <f t="shared" si="15"/>
        <v>-14678689.773294147</v>
      </c>
      <c r="G57" s="102">
        <f t="shared" ca="1" si="15"/>
        <v>-2501315.5504851956</v>
      </c>
      <c r="H57" s="102">
        <f t="shared" si="4"/>
        <v>10393890.306705847</v>
      </c>
      <c r="I57" s="102">
        <f t="shared" ca="1" si="4"/>
        <v>22571264.529514797</v>
      </c>
      <c r="J57" s="102">
        <f t="shared" ca="1" si="12"/>
        <v>12177374.22280895</v>
      </c>
      <c r="K57" s="102">
        <f t="shared" ca="1" si="7"/>
        <v>-4262080.977983132</v>
      </c>
      <c r="L57" s="103">
        <f t="shared" ca="1" si="14"/>
        <v>-38174.963352329098</v>
      </c>
      <c r="M57" s="104"/>
      <c r="N57" s="104"/>
      <c r="O57" s="104"/>
      <c r="P57" s="104"/>
      <c r="Q57" s="104"/>
      <c r="R57" s="104"/>
      <c r="S57" s="104"/>
      <c r="T57" s="104"/>
    </row>
    <row r="58" spans="1:20" x14ac:dyDescent="0.25">
      <c r="A58" s="143">
        <v>43465</v>
      </c>
      <c r="B58" s="102">
        <f t="shared" si="16"/>
        <v>25072580.079999994</v>
      </c>
      <c r="C58" s="102">
        <f t="shared" si="16"/>
        <v>25072580.079999994</v>
      </c>
      <c r="D58" s="102">
        <f t="shared" si="17"/>
        <v>69754.007164233321</v>
      </c>
      <c r="E58" s="102">
        <f t="shared" ca="1" si="18"/>
        <v>178825.33102802909</v>
      </c>
      <c r="F58" s="102">
        <f t="shared" si="15"/>
        <v>-14748443.78045838</v>
      </c>
      <c r="G58" s="102">
        <f t="shared" ca="1" si="15"/>
        <v>-2680140.8815132249</v>
      </c>
      <c r="H58" s="102">
        <f t="shared" si="4"/>
        <v>10324136.299541615</v>
      </c>
      <c r="I58" s="102">
        <f t="shared" ca="1" si="4"/>
        <v>22392439.198486768</v>
      </c>
      <c r="J58" s="102">
        <f t="shared" ca="1" si="12"/>
        <v>12068302.898945153</v>
      </c>
      <c r="K58" s="102">
        <f t="shared" ca="1" si="7"/>
        <v>-4223906.0146308029</v>
      </c>
      <c r="L58" s="103">
        <f t="shared" ca="1" si="14"/>
        <v>-38174.963352329098</v>
      </c>
      <c r="M58" s="104"/>
      <c r="N58" s="104"/>
      <c r="O58" s="104"/>
      <c r="P58" s="104"/>
      <c r="Q58" s="104"/>
      <c r="R58" s="104"/>
      <c r="S58" s="104"/>
      <c r="T58" s="104"/>
    </row>
    <row r="59" spans="1:20" x14ac:dyDescent="0.25">
      <c r="A59" s="143" t="s">
        <v>81</v>
      </c>
      <c r="B59" s="102">
        <f t="shared" si="16"/>
        <v>25072580.079999994</v>
      </c>
      <c r="C59" s="102">
        <f t="shared" si="16"/>
        <v>25072580.079999994</v>
      </c>
      <c r="D59" s="102">
        <f>+B59*E6</f>
        <v>774366.63577079982</v>
      </c>
      <c r="E59" s="102">
        <f ca="1">C59*E$14</f>
        <v>2145903.9723363491</v>
      </c>
      <c r="F59" s="102">
        <f t="shared" si="15"/>
        <v>-15522810.416229179</v>
      </c>
      <c r="G59" s="102">
        <f t="shared" ca="1" si="15"/>
        <v>-4826044.853849574</v>
      </c>
      <c r="H59" s="102">
        <f t="shared" si="4"/>
        <v>9549769.6637708154</v>
      </c>
      <c r="I59" s="102">
        <f t="shared" ca="1" si="4"/>
        <v>20246535.22615042</v>
      </c>
      <c r="J59" s="102">
        <f t="shared" ca="1" si="12"/>
        <v>10696765.562379604</v>
      </c>
      <c r="K59" s="102">
        <f t="shared" ca="1" si="7"/>
        <v>-3743867.9468328613</v>
      </c>
      <c r="L59" s="103">
        <f t="shared" ca="1" si="14"/>
        <v>-480038.06779794162</v>
      </c>
      <c r="M59" s="104"/>
      <c r="N59" s="104"/>
      <c r="O59" s="104"/>
      <c r="P59" s="104"/>
      <c r="Q59" s="104"/>
      <c r="R59" s="104"/>
      <c r="S59" s="104"/>
      <c r="T59" s="104"/>
    </row>
    <row r="60" spans="1:20" x14ac:dyDescent="0.25">
      <c r="A60" s="143" t="s">
        <v>82</v>
      </c>
      <c r="B60" s="102">
        <f t="shared" si="16"/>
        <v>25072580.079999994</v>
      </c>
      <c r="C60" s="102">
        <f t="shared" si="16"/>
        <v>25072580.079999994</v>
      </c>
      <c r="D60" s="102">
        <f>$F$6*B60</f>
        <v>716198.24998519989</v>
      </c>
      <c r="E60" s="102">
        <f t="shared" ref="E60:E78" ca="1" si="19">C60*E$14</f>
        <v>2145903.9723363491</v>
      </c>
      <c r="F60" s="102">
        <f t="shared" si="15"/>
        <v>-16239008.666214379</v>
      </c>
      <c r="G60" s="102">
        <f t="shared" ca="1" si="15"/>
        <v>-6971948.8261859231</v>
      </c>
      <c r="H60" s="102">
        <f t="shared" si="4"/>
        <v>8833571.4137856159</v>
      </c>
      <c r="I60" s="102">
        <f t="shared" ca="1" si="4"/>
        <v>18100631.253814071</v>
      </c>
      <c r="J60" s="102">
        <f t="shared" ca="1" si="12"/>
        <v>9267059.8400284555</v>
      </c>
      <c r="K60" s="102">
        <f t="shared" ca="1" si="7"/>
        <v>-3243470.9440099592</v>
      </c>
      <c r="L60" s="103">
        <f ca="1">-K60+K59</f>
        <v>-500397.00282290205</v>
      </c>
      <c r="M60" s="104"/>
      <c r="N60" s="104"/>
      <c r="O60" s="104"/>
      <c r="P60" s="104"/>
      <c r="Q60" s="104"/>
      <c r="R60" s="104"/>
      <c r="S60" s="104"/>
      <c r="T60" s="104"/>
    </row>
    <row r="61" spans="1:20" x14ac:dyDescent="0.25">
      <c r="A61" s="143" t="s">
        <v>83</v>
      </c>
      <c r="B61" s="102">
        <f>B60</f>
        <v>25072580.079999994</v>
      </c>
      <c r="C61" s="102">
        <f>C60</f>
        <v>25072580.079999994</v>
      </c>
      <c r="D61" s="102">
        <f>$G$6*B61</f>
        <v>662542.92861399986</v>
      </c>
      <c r="E61" s="102">
        <f t="shared" ca="1" si="19"/>
        <v>2145903.9723363491</v>
      </c>
      <c r="F61" s="102">
        <f>F60-D61</f>
        <v>-16901551.594828378</v>
      </c>
      <c r="G61" s="102">
        <f ca="1">G60-E61</f>
        <v>-9117852.7985222712</v>
      </c>
      <c r="H61" s="102">
        <f t="shared" si="4"/>
        <v>8171028.4851716161</v>
      </c>
      <c r="I61" s="102">
        <f t="shared" ca="1" si="4"/>
        <v>15954727.281477723</v>
      </c>
      <c r="J61" s="102">
        <f t="shared" ca="1" si="12"/>
        <v>7783698.7963061072</v>
      </c>
      <c r="K61" s="102">
        <f t="shared" ca="1" si="7"/>
        <v>-2724294.5787071371</v>
      </c>
      <c r="L61" s="103">
        <f ca="1">-K61+K60</f>
        <v>-519176.36530282209</v>
      </c>
      <c r="M61" s="104"/>
      <c r="N61" s="104"/>
      <c r="O61" s="104"/>
      <c r="P61" s="104"/>
      <c r="Q61" s="104"/>
      <c r="R61" s="104"/>
      <c r="S61" s="104"/>
      <c r="T61" s="104"/>
    </row>
    <row r="62" spans="1:20" x14ac:dyDescent="0.25">
      <c r="A62" s="143" t="s">
        <v>84</v>
      </c>
      <c r="B62" s="102">
        <f t="shared" si="16"/>
        <v>25072580.079999994</v>
      </c>
      <c r="C62" s="102">
        <f t="shared" si="16"/>
        <v>25072580.079999994</v>
      </c>
      <c r="D62" s="102">
        <f>$H$6*B62</f>
        <v>612773.85715519986</v>
      </c>
      <c r="E62" s="102">
        <f t="shared" ca="1" si="19"/>
        <v>2145903.9723363491</v>
      </c>
      <c r="F62" s="102">
        <f t="shared" ref="F62:G77" si="20">F61-D62</f>
        <v>-17514325.451983579</v>
      </c>
      <c r="G62" s="102">
        <f t="shared" ca="1" si="20"/>
        <v>-11263756.770858619</v>
      </c>
      <c r="H62" s="102">
        <f t="shared" ref="H62:I79" si="21">B62+F62</f>
        <v>7558254.628016416</v>
      </c>
      <c r="I62" s="102">
        <f t="shared" ca="1" si="21"/>
        <v>13808823.309141375</v>
      </c>
      <c r="J62" s="102">
        <f t="shared" ca="1" si="12"/>
        <v>6250568.6811249591</v>
      </c>
      <c r="K62" s="102">
        <f t="shared" ca="1" si="7"/>
        <v>-2187699.0383937354</v>
      </c>
      <c r="L62" s="103">
        <f t="shared" ca="1" si="14"/>
        <v>-536595.54031340173</v>
      </c>
      <c r="M62" s="104"/>
      <c r="N62" s="104"/>
      <c r="O62" s="104"/>
      <c r="P62" s="104"/>
      <c r="Q62" s="104"/>
      <c r="R62" s="104"/>
      <c r="S62" s="104"/>
      <c r="T62" s="104"/>
    </row>
    <row r="63" spans="1:20" x14ac:dyDescent="0.25">
      <c r="A63" s="143" t="s">
        <v>85</v>
      </c>
      <c r="B63" s="102">
        <f t="shared" ref="B63:C78" si="22">B62</f>
        <v>25072580.079999994</v>
      </c>
      <c r="C63" s="102">
        <f t="shared" si="22"/>
        <v>25072580.079999994</v>
      </c>
      <c r="D63" s="102">
        <f>$I$6*B63</f>
        <v>566891.0356087999</v>
      </c>
      <c r="E63" s="102">
        <f t="shared" ca="1" si="19"/>
        <v>2145903.9723363491</v>
      </c>
      <c r="F63" s="102">
        <f t="shared" si="20"/>
        <v>-18081216.487592377</v>
      </c>
      <c r="G63" s="102">
        <f t="shared" ca="1" si="20"/>
        <v>-13409660.743194968</v>
      </c>
      <c r="H63" s="102">
        <f t="shared" si="21"/>
        <v>6991363.5924076177</v>
      </c>
      <c r="I63" s="102">
        <f t="shared" ca="1" si="21"/>
        <v>11662919.336805027</v>
      </c>
      <c r="J63" s="102">
        <f t="shared" ca="1" si="12"/>
        <v>4671555.7443974093</v>
      </c>
      <c r="K63" s="102">
        <f t="shared" ca="1" si="7"/>
        <v>-1635044.5105390931</v>
      </c>
      <c r="L63" s="103">
        <f t="shared" ca="1" si="14"/>
        <v>-552654.52785464237</v>
      </c>
      <c r="M63" s="104"/>
      <c r="N63" s="266"/>
      <c r="O63" s="104"/>
      <c r="P63" s="104"/>
      <c r="Q63" s="104"/>
      <c r="R63" s="104"/>
      <c r="S63" s="104"/>
      <c r="T63" s="104"/>
    </row>
    <row r="64" spans="1:20" x14ac:dyDescent="0.25">
      <c r="A64" s="143" t="s">
        <v>86</v>
      </c>
      <c r="B64" s="102">
        <f t="shared" si="22"/>
        <v>25072580.079999994</v>
      </c>
      <c r="C64" s="102">
        <f t="shared" si="22"/>
        <v>25072580.079999994</v>
      </c>
      <c r="D64" s="102">
        <f>$J$6*B64</f>
        <v>559369.26158479985</v>
      </c>
      <c r="E64" s="102">
        <f t="shared" ca="1" si="19"/>
        <v>2145903.9723363491</v>
      </c>
      <c r="F64" s="102">
        <f t="shared" si="20"/>
        <v>-18640585.749177177</v>
      </c>
      <c r="G64" s="102">
        <f t="shared" ca="1" si="20"/>
        <v>-15555564.715531316</v>
      </c>
      <c r="H64" s="102">
        <f t="shared" si="21"/>
        <v>6431994.330822818</v>
      </c>
      <c r="I64" s="102">
        <f t="shared" ca="1" si="21"/>
        <v>9517015.3644686788</v>
      </c>
      <c r="J64" s="102">
        <f t="shared" ca="1" si="12"/>
        <v>3085021.0336458609</v>
      </c>
      <c r="K64" s="102">
        <f t="shared" ca="1" si="7"/>
        <v>-1079757.3617760513</v>
      </c>
      <c r="L64" s="103">
        <f t="shared" ca="1" si="14"/>
        <v>-555287.14876304171</v>
      </c>
      <c r="M64" s="104"/>
      <c r="N64" s="104"/>
      <c r="O64" s="104"/>
      <c r="P64" s="104"/>
      <c r="Q64" s="104"/>
      <c r="R64" s="104"/>
      <c r="S64" s="104"/>
      <c r="T64" s="104"/>
    </row>
    <row r="65" spans="1:20" x14ac:dyDescent="0.25">
      <c r="A65" s="143" t="s">
        <v>87</v>
      </c>
      <c r="B65" s="102">
        <f t="shared" si="22"/>
        <v>25072580.079999994</v>
      </c>
      <c r="C65" s="102">
        <f t="shared" si="22"/>
        <v>25072580.079999994</v>
      </c>
      <c r="D65" s="102">
        <f>$K$6*B65</f>
        <v>559243.89868439978</v>
      </c>
      <c r="E65" s="102">
        <f t="shared" ca="1" si="19"/>
        <v>2145903.9723363491</v>
      </c>
      <c r="F65" s="102">
        <f t="shared" si="20"/>
        <v>-19199829.647861578</v>
      </c>
      <c r="G65" s="102">
        <f t="shared" ca="1" si="20"/>
        <v>-17701468.687867664</v>
      </c>
      <c r="H65" s="102">
        <f t="shared" si="21"/>
        <v>5872750.4321384169</v>
      </c>
      <c r="I65" s="102">
        <f t="shared" ca="1" si="21"/>
        <v>7371111.3921323307</v>
      </c>
      <c r="J65" s="102">
        <f t="shared" ca="1" si="12"/>
        <v>1498360.9599939138</v>
      </c>
      <c r="K65" s="102">
        <f t="shared" ca="1" si="7"/>
        <v>-524426.33599786984</v>
      </c>
      <c r="L65" s="103">
        <f t="shared" ca="1" si="14"/>
        <v>-555331.0257781815</v>
      </c>
      <c r="M65" s="104"/>
      <c r="N65" s="104"/>
      <c r="O65" s="265"/>
      <c r="P65" s="104"/>
      <c r="Q65" s="104"/>
      <c r="R65" s="104"/>
      <c r="S65" s="104"/>
      <c r="T65" s="104"/>
    </row>
    <row r="66" spans="1:20" x14ac:dyDescent="0.25">
      <c r="A66" s="143" t="s">
        <v>88</v>
      </c>
      <c r="B66" s="102">
        <f t="shared" si="22"/>
        <v>25072580.079999994</v>
      </c>
      <c r="C66" s="102">
        <f t="shared" si="22"/>
        <v>25072580.079999994</v>
      </c>
      <c r="D66" s="102">
        <f>$L$6*B66</f>
        <v>559369.26158479985</v>
      </c>
      <c r="E66" s="102">
        <f t="shared" ca="1" si="19"/>
        <v>2145903.9723363491</v>
      </c>
      <c r="F66" s="102">
        <f t="shared" si="20"/>
        <v>-19759198.909446377</v>
      </c>
      <c r="G66" s="102">
        <f t="shared" ca="1" si="20"/>
        <v>-19847372.660204012</v>
      </c>
      <c r="H66" s="102">
        <f t="shared" si="21"/>
        <v>5313381.1705536172</v>
      </c>
      <c r="I66" s="102">
        <f t="shared" ca="1" si="21"/>
        <v>5225207.4197959825</v>
      </c>
      <c r="J66" s="102">
        <f t="shared" ca="1" si="12"/>
        <v>-88173.75075763464</v>
      </c>
      <c r="K66" s="102">
        <f t="shared" ca="1" si="7"/>
        <v>30860.812765172122</v>
      </c>
      <c r="L66" s="103">
        <f t="shared" ca="1" si="14"/>
        <v>-555287.14876304194</v>
      </c>
      <c r="M66" s="104"/>
      <c r="N66" s="104"/>
      <c r="O66" s="265"/>
      <c r="P66" s="104"/>
      <c r="Q66" s="104"/>
      <c r="R66" s="104"/>
      <c r="S66" s="104"/>
      <c r="T66" s="104"/>
    </row>
    <row r="67" spans="1:20" x14ac:dyDescent="0.25">
      <c r="A67" s="143" t="s">
        <v>89</v>
      </c>
      <c r="B67" s="102">
        <f t="shared" si="22"/>
        <v>25072580.079999994</v>
      </c>
      <c r="C67" s="102">
        <f t="shared" si="22"/>
        <v>25072580.079999994</v>
      </c>
      <c r="D67" s="102">
        <f>$M$6*B67</f>
        <v>559243.89868439978</v>
      </c>
      <c r="E67" s="102">
        <f t="shared" ca="1" si="19"/>
        <v>2145903.9723363491</v>
      </c>
      <c r="F67" s="102">
        <f t="shared" si="20"/>
        <v>-20318442.808130778</v>
      </c>
      <c r="G67" s="102">
        <f t="shared" ca="1" si="20"/>
        <v>-21993276.63254036</v>
      </c>
      <c r="H67" s="102">
        <f t="shared" si="21"/>
        <v>4754137.2718692161</v>
      </c>
      <c r="I67" s="102">
        <f t="shared" ca="1" si="21"/>
        <v>3079303.4474596344</v>
      </c>
      <c r="J67" s="102">
        <f t="shared" ca="1" si="12"/>
        <v>-1674833.8244095817</v>
      </c>
      <c r="K67" s="102">
        <f t="shared" ca="1" si="7"/>
        <v>586191.8385433536</v>
      </c>
      <c r="L67" s="103">
        <f t="shared" ca="1" si="14"/>
        <v>-555331.0257781815</v>
      </c>
      <c r="M67" s="104"/>
      <c r="N67" s="104"/>
      <c r="O67" s="104"/>
      <c r="P67" s="104"/>
      <c r="Q67" s="104"/>
      <c r="R67" s="104"/>
      <c r="S67" s="104"/>
      <c r="T67" s="104"/>
    </row>
    <row r="68" spans="1:20" ht="14.4" x14ac:dyDescent="0.3">
      <c r="A68" s="143" t="s">
        <v>90</v>
      </c>
      <c r="B68" s="102">
        <f t="shared" si="22"/>
        <v>25072580.079999994</v>
      </c>
      <c r="C68" s="102">
        <f t="shared" si="22"/>
        <v>25072580.079999994</v>
      </c>
      <c r="D68" s="102">
        <f>$N$6*B68</f>
        <v>559369.26158479985</v>
      </c>
      <c r="E68" s="102">
        <f t="shared" ca="1" si="19"/>
        <v>2145903.9723363491</v>
      </c>
      <c r="F68" s="102">
        <f t="shared" si="20"/>
        <v>-20877812.069715578</v>
      </c>
      <c r="G68" s="102">
        <f t="shared" ca="1" si="20"/>
        <v>-24139180.604876708</v>
      </c>
      <c r="H68" s="102">
        <f t="shared" si="21"/>
        <v>4194768.0102844164</v>
      </c>
      <c r="I68" s="102">
        <f t="shared" ca="1" si="21"/>
        <v>933399.47512328625</v>
      </c>
      <c r="J68" s="102">
        <f t="shared" ca="1" si="12"/>
        <v>-3261368.5351611301</v>
      </c>
      <c r="K68" s="102">
        <f t="shared" ca="1" si="7"/>
        <v>1141478.9873063955</v>
      </c>
      <c r="L68" s="103">
        <f t="shared" ca="1" si="14"/>
        <v>-555287.14876304194</v>
      </c>
      <c r="M68" s="147"/>
      <c r="N68" s="147"/>
      <c r="O68" s="104"/>
      <c r="P68" s="104"/>
      <c r="Q68" s="104"/>
      <c r="R68" s="104"/>
      <c r="S68" s="104"/>
      <c r="T68" s="104"/>
    </row>
    <row r="69" spans="1:20" ht="14.4" x14ac:dyDescent="0.3">
      <c r="A69" s="143" t="s">
        <v>91</v>
      </c>
      <c r="B69" s="102">
        <f t="shared" si="22"/>
        <v>25072580.079999994</v>
      </c>
      <c r="C69" s="102">
        <f t="shared" si="22"/>
        <v>25072580.079999994</v>
      </c>
      <c r="D69" s="102">
        <f>$O$6*B69</f>
        <v>559243.89868439978</v>
      </c>
      <c r="E69" s="102">
        <f t="shared" ca="1" si="19"/>
        <v>2145903.9723363491</v>
      </c>
      <c r="F69" s="102">
        <f t="shared" si="20"/>
        <v>-21437055.968399979</v>
      </c>
      <c r="G69" s="102">
        <f t="shared" ca="1" si="20"/>
        <v>-26285084.577213056</v>
      </c>
      <c r="H69" s="102">
        <f t="shared" si="21"/>
        <v>3635524.1116000153</v>
      </c>
      <c r="I69" s="102">
        <f t="shared" ca="1" si="21"/>
        <v>-1212504.4972130619</v>
      </c>
      <c r="J69" s="102">
        <f t="shared" ca="1" si="12"/>
        <v>-4848028.6088130772</v>
      </c>
      <c r="K69" s="102">
        <f t="shared" ca="1" si="7"/>
        <v>1696810.0130845769</v>
      </c>
      <c r="L69" s="103">
        <f t="shared" ca="1" si="14"/>
        <v>-555331.02577818139</v>
      </c>
      <c r="M69" s="147"/>
      <c r="N69" s="147"/>
      <c r="O69" s="104"/>
      <c r="P69" s="104"/>
      <c r="Q69" s="104"/>
      <c r="R69" s="104"/>
      <c r="S69" s="104"/>
      <c r="T69" s="104"/>
    </row>
    <row r="70" spans="1:20" ht="14.4" x14ac:dyDescent="0.3">
      <c r="A70" s="143" t="s">
        <v>92</v>
      </c>
      <c r="B70" s="102">
        <f t="shared" si="22"/>
        <v>25072580.079999994</v>
      </c>
      <c r="C70" s="102">
        <f t="shared" si="22"/>
        <v>25072580.079999994</v>
      </c>
      <c r="D70" s="102">
        <f>$P$6*B70</f>
        <v>559369.26158479985</v>
      </c>
      <c r="E70" s="102">
        <f t="shared" ca="1" si="19"/>
        <v>2145903.9723363491</v>
      </c>
      <c r="F70" s="102">
        <f t="shared" si="20"/>
        <v>-21996425.229984779</v>
      </c>
      <c r="G70" s="102">
        <f t="shared" ca="1" si="20"/>
        <v>-28430988.549549405</v>
      </c>
      <c r="H70" s="102">
        <f t="shared" si="21"/>
        <v>3076154.8500152156</v>
      </c>
      <c r="I70" s="102">
        <f t="shared" ca="1" si="21"/>
        <v>-3358408.46954941</v>
      </c>
      <c r="J70" s="102">
        <f t="shared" ca="1" si="12"/>
        <v>-6434563.3195646256</v>
      </c>
      <c r="K70" s="102">
        <f t="shared" ca="1" si="7"/>
        <v>2252097.1618476189</v>
      </c>
      <c r="L70" s="103">
        <f t="shared" ca="1" si="14"/>
        <v>-555287.14876304194</v>
      </c>
      <c r="M70" s="147"/>
      <c r="N70" s="147"/>
      <c r="O70" s="104"/>
      <c r="P70" s="104"/>
      <c r="Q70" s="104"/>
      <c r="R70" s="104"/>
      <c r="S70" s="104"/>
      <c r="T70" s="104"/>
    </row>
    <row r="71" spans="1:20" ht="14.4" x14ac:dyDescent="0.3">
      <c r="A71" s="143" t="s">
        <v>93</v>
      </c>
      <c r="B71" s="102">
        <f t="shared" si="22"/>
        <v>25072580.079999994</v>
      </c>
      <c r="C71" s="102">
        <f t="shared" si="22"/>
        <v>25072580.079999994</v>
      </c>
      <c r="D71" s="102">
        <f>$B$9*B71</f>
        <v>559243.89868439978</v>
      </c>
      <c r="E71" s="102">
        <f t="shared" ca="1" si="19"/>
        <v>2145903.9723363491</v>
      </c>
      <c r="F71" s="102">
        <f t="shared" si="20"/>
        <v>-22555669.12866918</v>
      </c>
      <c r="G71" s="102">
        <f t="shared" ca="1" si="20"/>
        <v>-30576892.521885753</v>
      </c>
      <c r="H71" s="102">
        <f t="shared" si="21"/>
        <v>2516910.9513308145</v>
      </c>
      <c r="I71" s="102">
        <f t="shared" ca="1" si="21"/>
        <v>-5504312.4418857582</v>
      </c>
      <c r="J71" s="102">
        <f t="shared" ca="1" si="12"/>
        <v>-8021223.3932165727</v>
      </c>
      <c r="K71" s="102">
        <f t="shared" ca="1" si="7"/>
        <v>2807428.1876258003</v>
      </c>
      <c r="L71" s="103">
        <f t="shared" ca="1" si="14"/>
        <v>-555331.02577818139</v>
      </c>
      <c r="M71" s="147"/>
      <c r="N71" s="147"/>
      <c r="O71" s="104"/>
      <c r="P71" s="104"/>
      <c r="Q71" s="104"/>
      <c r="R71" s="104"/>
      <c r="S71" s="104"/>
      <c r="T71" s="104"/>
    </row>
    <row r="72" spans="1:20" ht="14.4" x14ac:dyDescent="0.3">
      <c r="A72" s="143" t="s">
        <v>94</v>
      </c>
      <c r="B72" s="102">
        <f t="shared" si="22"/>
        <v>25072580.079999994</v>
      </c>
      <c r="C72" s="102">
        <f t="shared" si="22"/>
        <v>25072580.079999994</v>
      </c>
      <c r="D72" s="102">
        <f>$C$9*B72</f>
        <v>559369.26158479985</v>
      </c>
      <c r="E72" s="102">
        <f t="shared" ca="1" si="19"/>
        <v>2145903.9723363491</v>
      </c>
      <c r="F72" s="102">
        <f t="shared" si="20"/>
        <v>-23115038.39025398</v>
      </c>
      <c r="G72" s="102">
        <f t="shared" ca="1" si="20"/>
        <v>-32722796.494222101</v>
      </c>
      <c r="H72" s="102">
        <f t="shared" si="21"/>
        <v>1957541.6897460148</v>
      </c>
      <c r="I72" s="102">
        <f t="shared" ca="1" si="21"/>
        <v>-7650216.4142221063</v>
      </c>
      <c r="J72" s="102">
        <f t="shared" ca="1" si="12"/>
        <v>-9607758.1039681211</v>
      </c>
      <c r="K72" s="102">
        <f t="shared" ca="1" si="7"/>
        <v>3362715.3363888422</v>
      </c>
      <c r="L72" s="103">
        <f t="shared" ca="1" si="14"/>
        <v>-555287.14876304194</v>
      </c>
      <c r="M72" s="147"/>
      <c r="N72" s="147"/>
      <c r="O72" s="104"/>
      <c r="P72" s="104"/>
      <c r="Q72" s="104"/>
      <c r="R72" s="104"/>
      <c r="S72" s="104"/>
      <c r="T72" s="104"/>
    </row>
    <row r="73" spans="1:20" ht="14.4" x14ac:dyDescent="0.3">
      <c r="A73" s="143" t="s">
        <v>95</v>
      </c>
      <c r="B73" s="102">
        <f t="shared" si="22"/>
        <v>25072580.079999994</v>
      </c>
      <c r="C73" s="102">
        <f t="shared" si="22"/>
        <v>25072580.079999994</v>
      </c>
      <c r="D73" s="102">
        <f>$D$9*B73</f>
        <v>559243.89868439978</v>
      </c>
      <c r="E73" s="102">
        <f t="shared" ca="1" si="19"/>
        <v>2145903.9723363491</v>
      </c>
      <c r="F73" s="102">
        <f t="shared" si="20"/>
        <v>-23674282.288938381</v>
      </c>
      <c r="G73" s="102">
        <f t="shared" ca="1" si="20"/>
        <v>-34868700.466558449</v>
      </c>
      <c r="H73" s="102">
        <f t="shared" si="21"/>
        <v>1398297.7910616137</v>
      </c>
      <c r="I73" s="102">
        <f t="shared" ca="1" si="21"/>
        <v>-9796120.3865584545</v>
      </c>
      <c r="J73" s="102">
        <f t="shared" ca="1" si="12"/>
        <v>-11194418.177620068</v>
      </c>
      <c r="K73" s="102">
        <f t="shared" ca="1" si="7"/>
        <v>3918046.3621670236</v>
      </c>
      <c r="L73" s="103">
        <f t="shared" ca="1" si="14"/>
        <v>-555331.02577818139</v>
      </c>
      <c r="M73" s="147"/>
      <c r="N73" s="147"/>
      <c r="O73" s="104"/>
      <c r="P73" s="104"/>
      <c r="Q73" s="104"/>
      <c r="R73" s="104"/>
      <c r="S73" s="104"/>
      <c r="T73" s="104"/>
    </row>
    <row r="74" spans="1:20" ht="14.4" x14ac:dyDescent="0.3">
      <c r="A74" s="143" t="s">
        <v>96</v>
      </c>
      <c r="B74" s="102">
        <f t="shared" si="22"/>
        <v>25072580.079999994</v>
      </c>
      <c r="C74" s="102">
        <f t="shared" si="22"/>
        <v>25072580.079999994</v>
      </c>
      <c r="D74" s="102">
        <f>$E$9*B74</f>
        <v>559369.26158479985</v>
      </c>
      <c r="E74" s="102">
        <f t="shared" ca="1" si="19"/>
        <v>2145903.9723363491</v>
      </c>
      <c r="F74" s="102">
        <f t="shared" si="20"/>
        <v>-24233651.550523181</v>
      </c>
      <c r="G74" s="102">
        <f t="shared" ca="1" si="20"/>
        <v>-37014604.438894801</v>
      </c>
      <c r="H74" s="102">
        <f t="shared" si="21"/>
        <v>838928.52947681397</v>
      </c>
      <c r="I74" s="102">
        <f t="shared" ca="1" si="21"/>
        <v>-11942024.358894806</v>
      </c>
      <c r="J74" s="102">
        <f t="shared" ca="1" si="12"/>
        <v>-12780952.88837162</v>
      </c>
      <c r="K74" s="102">
        <f t="shared" ca="1" si="7"/>
        <v>4473333.5109300669</v>
      </c>
      <c r="L74" s="103">
        <f t="shared" ca="1" si="14"/>
        <v>-555287.14876304334</v>
      </c>
      <c r="M74" s="147"/>
      <c r="N74" s="147"/>
      <c r="O74" s="104"/>
      <c r="P74" s="104"/>
      <c r="Q74" s="104"/>
      <c r="R74" s="104"/>
      <c r="S74" s="104"/>
      <c r="T74" s="104"/>
    </row>
    <row r="75" spans="1:20" ht="14.4" x14ac:dyDescent="0.3">
      <c r="A75" s="143" t="s">
        <v>97</v>
      </c>
      <c r="B75" s="102">
        <f t="shared" si="22"/>
        <v>25072580.079999994</v>
      </c>
      <c r="C75" s="102">
        <f t="shared" si="22"/>
        <v>25072580.079999994</v>
      </c>
      <c r="D75" s="102">
        <f>$F$9*B75</f>
        <v>559243.89868439978</v>
      </c>
      <c r="E75" s="102">
        <f t="shared" ca="1" si="19"/>
        <v>2145903.9723363491</v>
      </c>
      <c r="F75" s="102">
        <f t="shared" si="20"/>
        <v>-24792895.449207582</v>
      </c>
      <c r="G75" s="102">
        <f t="shared" ca="1" si="20"/>
        <v>-39160508.411231153</v>
      </c>
      <c r="H75" s="102">
        <f t="shared" si="21"/>
        <v>279684.63079241291</v>
      </c>
      <c r="I75" s="102">
        <f t="shared" ca="1" si="21"/>
        <v>-14087928.331231158</v>
      </c>
      <c r="J75" s="102">
        <f t="shared" ca="1" si="12"/>
        <v>-14367612.962023571</v>
      </c>
      <c r="K75" s="102">
        <f t="shared" ca="1" si="7"/>
        <v>5028664.5367082497</v>
      </c>
      <c r="L75" s="103">
        <f t="shared" ca="1" si="14"/>
        <v>-555331.02577818278</v>
      </c>
      <c r="M75" s="147"/>
      <c r="N75" s="147"/>
      <c r="O75" s="104"/>
      <c r="P75" s="104"/>
      <c r="Q75" s="104"/>
      <c r="R75" s="104"/>
      <c r="S75" s="104"/>
      <c r="T75" s="104"/>
    </row>
    <row r="76" spans="1:20" ht="14.4" x14ac:dyDescent="0.3">
      <c r="A76" s="143" t="s">
        <v>98</v>
      </c>
      <c r="B76" s="102">
        <f t="shared" si="22"/>
        <v>25072580.079999994</v>
      </c>
      <c r="C76" s="102">
        <f t="shared" si="22"/>
        <v>25072580.079999994</v>
      </c>
      <c r="D76" s="102">
        <f>$G$9*B76</f>
        <v>279684.63079239993</v>
      </c>
      <c r="E76" s="102">
        <f t="shared" ca="1" si="19"/>
        <v>2145903.9723363491</v>
      </c>
      <c r="F76" s="102">
        <f t="shared" si="20"/>
        <v>-25072580.079999983</v>
      </c>
      <c r="G76" s="102">
        <f t="shared" ca="1" si="20"/>
        <v>-41306412.383567505</v>
      </c>
      <c r="H76" s="102">
        <f t="shared" si="21"/>
        <v>0</v>
      </c>
      <c r="I76" s="102">
        <f t="shared" ca="1" si="21"/>
        <v>-16233832.30356751</v>
      </c>
      <c r="J76" s="102">
        <f t="shared" ca="1" si="12"/>
        <v>-16233832.30356751</v>
      </c>
      <c r="K76" s="102">
        <f t="shared" ca="1" si="7"/>
        <v>5681841.3062486285</v>
      </c>
      <c r="L76" s="103">
        <f t="shared" ca="1" si="14"/>
        <v>-653176.76954037882</v>
      </c>
      <c r="M76" s="147"/>
      <c r="N76" s="147"/>
      <c r="O76" s="104"/>
      <c r="P76" s="104"/>
      <c r="Q76" s="104"/>
      <c r="R76" s="104"/>
      <c r="S76" s="104"/>
      <c r="T76" s="104"/>
    </row>
    <row r="77" spans="1:20" ht="14.4" x14ac:dyDescent="0.3">
      <c r="A77" s="143" t="s">
        <v>99</v>
      </c>
      <c r="B77" s="102">
        <f t="shared" si="22"/>
        <v>25072580.079999994</v>
      </c>
      <c r="C77" s="102">
        <f t="shared" si="22"/>
        <v>25072580.079999994</v>
      </c>
      <c r="D77" s="102"/>
      <c r="E77" s="102">
        <f t="shared" ca="1" si="19"/>
        <v>2145903.9723363491</v>
      </c>
      <c r="F77" s="102"/>
      <c r="G77" s="102">
        <f t="shared" ca="1" si="20"/>
        <v>-43452316.355903856</v>
      </c>
      <c r="H77" s="102"/>
      <c r="I77" s="102">
        <f t="shared" ca="1" si="21"/>
        <v>-18379736.275903862</v>
      </c>
      <c r="J77" s="102">
        <f t="shared" ca="1" si="12"/>
        <v>-18379736.275903862</v>
      </c>
      <c r="K77" s="102">
        <f t="shared" ca="1" si="7"/>
        <v>6432907.6965663517</v>
      </c>
      <c r="L77" s="103">
        <f t="shared" ca="1" si="14"/>
        <v>-751066.39031772316</v>
      </c>
      <c r="M77" s="147"/>
      <c r="N77" s="147"/>
      <c r="O77" s="104"/>
      <c r="P77" s="104"/>
      <c r="Q77" s="104"/>
      <c r="R77" s="104"/>
      <c r="S77" s="104"/>
      <c r="T77" s="104"/>
    </row>
    <row r="78" spans="1:20" ht="14.4" x14ac:dyDescent="0.3">
      <c r="A78" s="143" t="s">
        <v>100</v>
      </c>
      <c r="B78" s="102">
        <f t="shared" si="22"/>
        <v>25072580.079999994</v>
      </c>
      <c r="C78" s="102">
        <f t="shared" si="22"/>
        <v>25072580.079999994</v>
      </c>
      <c r="D78" s="102"/>
      <c r="E78" s="102">
        <f t="shared" ca="1" si="19"/>
        <v>2145903.9723363491</v>
      </c>
      <c r="F78" s="102"/>
      <c r="G78" s="102">
        <f t="shared" ref="G78:G79" ca="1" si="23">G77-E78</f>
        <v>-45598220.328240208</v>
      </c>
      <c r="H78" s="102"/>
      <c r="I78" s="102">
        <f t="shared" ca="1" si="21"/>
        <v>-20525640.248240214</v>
      </c>
      <c r="J78" s="102">
        <f t="shared" ca="1" si="12"/>
        <v>-20525640.248240214</v>
      </c>
      <c r="K78" s="102">
        <f t="shared" ca="1" si="7"/>
        <v>7183974.0868840748</v>
      </c>
      <c r="L78" s="103">
        <f t="shared" ca="1" si="14"/>
        <v>-751066.39031772316</v>
      </c>
      <c r="M78" s="147"/>
      <c r="N78" s="147"/>
      <c r="O78" s="104"/>
      <c r="P78" s="104"/>
      <c r="Q78" s="104"/>
      <c r="R78" s="104"/>
      <c r="S78" s="104"/>
      <c r="T78" s="104"/>
    </row>
    <row r="79" spans="1:20" ht="14.4" x14ac:dyDescent="0.3">
      <c r="A79" s="143" t="s">
        <v>101</v>
      </c>
      <c r="B79" s="102">
        <f t="shared" ref="B79:C79" si="24">B78</f>
        <v>25072580.079999994</v>
      </c>
      <c r="C79" s="102">
        <f t="shared" si="24"/>
        <v>25072580.079999994</v>
      </c>
      <c r="D79" s="102"/>
      <c r="E79" s="102">
        <f ca="1">I78</f>
        <v>-20525640.248240214</v>
      </c>
      <c r="F79" s="102"/>
      <c r="G79" s="102">
        <f t="shared" ca="1" si="23"/>
        <v>-25072580.079999994</v>
      </c>
      <c r="H79" s="102"/>
      <c r="I79" s="102">
        <f t="shared" ca="1" si="21"/>
        <v>0</v>
      </c>
      <c r="J79" s="102">
        <f t="shared" ca="1" si="12"/>
        <v>0</v>
      </c>
      <c r="K79" s="102">
        <f t="shared" ca="1" si="7"/>
        <v>0</v>
      </c>
      <c r="L79" s="103">
        <f t="shared" ca="1" si="14"/>
        <v>7183974.0868840748</v>
      </c>
      <c r="M79" s="147"/>
      <c r="N79" s="147"/>
      <c r="O79" s="104"/>
      <c r="P79" s="104"/>
      <c r="Q79" s="104"/>
      <c r="R79" s="104"/>
      <c r="S79" s="104"/>
      <c r="T79" s="104"/>
    </row>
    <row r="80" spans="1:20" ht="14.4" x14ac:dyDescent="0.3">
      <c r="A80" s="143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3"/>
      <c r="M80" s="147"/>
      <c r="N80" s="147"/>
      <c r="O80" s="104"/>
      <c r="P80" s="104"/>
      <c r="Q80" s="104"/>
      <c r="R80" s="104"/>
      <c r="S80" s="104"/>
      <c r="T80" s="104"/>
    </row>
    <row r="81" spans="1:20" ht="14.4" x14ac:dyDescent="0.3">
      <c r="A81" s="251" t="s">
        <v>217</v>
      </c>
      <c r="B81" s="218"/>
      <c r="D81" s="105"/>
      <c r="E81" s="105"/>
      <c r="F81" s="102"/>
      <c r="H81" s="102"/>
      <c r="I81" s="102"/>
      <c r="J81" s="102"/>
      <c r="K81" s="102"/>
      <c r="L81" s="105"/>
      <c r="M81" s="147"/>
      <c r="N81" s="147"/>
      <c r="O81" s="104"/>
      <c r="P81" s="104"/>
      <c r="Q81" s="104"/>
      <c r="R81" s="104"/>
      <c r="S81" s="104"/>
      <c r="T81" s="104"/>
    </row>
    <row r="82" spans="1:20" ht="14.4" x14ac:dyDescent="0.3">
      <c r="A82" s="252" t="s">
        <v>218</v>
      </c>
      <c r="B82" s="138"/>
      <c r="C82" s="253">
        <f>(C19+C31+SUM(C20:C30)*2)/24</f>
        <v>3134072.5099999993</v>
      </c>
      <c r="D82" s="139"/>
      <c r="E82" s="253">
        <f>SUM(E30:E31)</f>
        <v>48455.670126874989</v>
      </c>
      <c r="F82" s="102"/>
      <c r="G82" s="253">
        <f>(G19+G31+SUM(G20:G30)*2)/24</f>
        <v>-3364.9770921440963</v>
      </c>
      <c r="H82" s="102"/>
      <c r="I82" s="102"/>
      <c r="J82" s="102"/>
      <c r="K82" s="253">
        <f>(K19+K31+SUM(K20:K30)*2)/24</f>
        <v>-150563.60204358294</v>
      </c>
      <c r="L82" s="103"/>
      <c r="M82" s="147"/>
      <c r="N82" s="147"/>
      <c r="O82" s="104"/>
      <c r="P82" s="104"/>
      <c r="Q82" s="104"/>
      <c r="R82" s="104"/>
      <c r="S82" s="104"/>
      <c r="T82" s="104"/>
    </row>
    <row r="83" spans="1:20" ht="6" customHeight="1" thickBot="1" x14ac:dyDescent="0.35">
      <c r="A83" s="143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254"/>
      <c r="M83" s="147"/>
      <c r="N83" s="147"/>
      <c r="O83" s="104"/>
      <c r="P83" s="104"/>
      <c r="Q83" s="104"/>
      <c r="R83" s="104"/>
      <c r="S83" s="104"/>
      <c r="T83" s="104"/>
    </row>
    <row r="84" spans="1:20" ht="14.4" x14ac:dyDescent="0.3">
      <c r="A84" s="251" t="s">
        <v>226</v>
      </c>
      <c r="B84" s="255"/>
      <c r="C84" s="255"/>
      <c r="D84" s="256">
        <f>SUM(D47:D58)</f>
        <v>837048.08597080002</v>
      </c>
      <c r="E84" s="256">
        <f ca="1">SUM(E47:E58)</f>
        <v>2145903.9723363491</v>
      </c>
      <c r="F84" s="255"/>
      <c r="G84" s="255"/>
      <c r="H84" s="255"/>
      <c r="I84" s="255"/>
      <c r="J84" s="255"/>
      <c r="K84" s="255"/>
      <c r="L84" s="256">
        <f ca="1">SUM(L47:L58)</f>
        <v>-458099.56022794731</v>
      </c>
      <c r="M84" s="147"/>
      <c r="N84" s="147"/>
      <c r="O84" s="104"/>
      <c r="P84" s="104"/>
      <c r="Q84" s="104"/>
      <c r="R84" s="104"/>
      <c r="S84" s="104"/>
      <c r="T84" s="104"/>
    </row>
    <row r="85" spans="1:20" ht="14.4" x14ac:dyDescent="0.3">
      <c r="A85" s="252" t="s">
        <v>227</v>
      </c>
      <c r="B85" s="253">
        <f>(B46+B58+SUM(B47:B57)*2)/24</f>
        <v>25072580.079999987</v>
      </c>
      <c r="C85" s="253">
        <f>(C46+C58+SUM(C47:C57)*2)/24</f>
        <v>25072580.079999987</v>
      </c>
      <c r="D85" s="257"/>
      <c r="E85" s="253"/>
      <c r="F85" s="253">
        <f>(F46+F58+SUM(F47:F57)*2)/24</f>
        <v>-14329919.737472987</v>
      </c>
      <c r="G85" s="253">
        <f ca="1">(G46+G58+SUM(G47:G57)*2)/24</f>
        <v>-1607188.8953450497</v>
      </c>
      <c r="H85" s="253">
        <f t="shared" ref="H85:K85" si="25">(H46+H58+SUM(H47:H57)*2)/24</f>
        <v>10742660.34252701</v>
      </c>
      <c r="I85" s="253">
        <f t="shared" ca="1" si="25"/>
        <v>23465391.18465494</v>
      </c>
      <c r="J85" s="253"/>
      <c r="K85" s="253">
        <f t="shared" ca="1" si="25"/>
        <v>-4452955.7947447766</v>
      </c>
      <c r="L85" s="258"/>
      <c r="M85" s="147"/>
      <c r="N85" s="147"/>
    </row>
    <row r="86" spans="1:20" ht="14.4" x14ac:dyDescent="0.3">
      <c r="A86" s="106"/>
      <c r="B86" s="107"/>
      <c r="C86" s="253"/>
      <c r="D86" s="108"/>
      <c r="E86" s="108"/>
      <c r="F86" s="109"/>
      <c r="G86" s="253"/>
      <c r="H86" s="107"/>
      <c r="I86" s="107"/>
      <c r="J86" s="107"/>
      <c r="K86" s="107"/>
      <c r="L86" s="107"/>
      <c r="M86" s="147"/>
      <c r="N86" s="147"/>
      <c r="O86" s="147"/>
    </row>
    <row r="87" spans="1:20" ht="14.4" x14ac:dyDescent="0.3">
      <c r="A87" s="147"/>
      <c r="B87" s="233" t="str">
        <f>IF(ROUND(B85-D3,0)=0,"OK","not ok")</f>
        <v>OK</v>
      </c>
      <c r="C87" s="233" t="str">
        <f>IF(ROUND(C85-C3,0)=0,"OK","not ok")</f>
        <v>OK</v>
      </c>
      <c r="F87" s="233" t="str">
        <f>IF(ROUND(F80+B80,0)=0,"OK","not ok")</f>
        <v>OK</v>
      </c>
      <c r="G87" s="233" t="str">
        <f>IF(ROUND(G80+C80,0)=0,"OK","not ok")</f>
        <v>OK</v>
      </c>
      <c r="H87" s="147"/>
      <c r="I87" s="147"/>
      <c r="J87" s="147"/>
      <c r="K87" s="147"/>
      <c r="L87" s="233" t="str">
        <f ca="1">IF(ROUND(SUM(L30:L82),0)=0,"OK","not okay")</f>
        <v>OK</v>
      </c>
      <c r="M87" s="147"/>
      <c r="N87" s="147"/>
      <c r="O87" s="147"/>
    </row>
    <row r="88" spans="1:20" ht="14.4" x14ac:dyDescent="0.3">
      <c r="A88" s="147"/>
      <c r="B88" s="147"/>
      <c r="C88" s="147"/>
      <c r="D88" s="259"/>
      <c r="E88" s="147"/>
      <c r="F88" s="147"/>
      <c r="G88" s="259"/>
      <c r="H88" s="147"/>
      <c r="I88" s="147"/>
      <c r="J88" s="147"/>
      <c r="K88" s="147"/>
      <c r="L88" s="147"/>
      <c r="M88" s="147"/>
      <c r="N88" s="147"/>
      <c r="O88" s="147"/>
    </row>
    <row r="89" spans="1:20" ht="14.4" x14ac:dyDescent="0.3">
      <c r="A89" s="147"/>
      <c r="B89" s="147"/>
      <c r="C89" s="147"/>
      <c r="D89" s="259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</row>
    <row r="90" spans="1:20" ht="14.4" x14ac:dyDescent="0.3">
      <c r="A90" s="147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</row>
    <row r="91" spans="1:20" ht="14.4" x14ac:dyDescent="0.3">
      <c r="A91" s="147"/>
      <c r="B91" s="147"/>
      <c r="C91" s="147"/>
      <c r="D91" s="147"/>
      <c r="E91" s="147"/>
      <c r="F91" s="147"/>
      <c r="G91" s="147"/>
      <c r="H91" s="147"/>
      <c r="I91" s="259"/>
      <c r="J91" s="147"/>
      <c r="K91" s="147"/>
      <c r="L91" s="147"/>
      <c r="M91" s="147"/>
      <c r="N91" s="147"/>
      <c r="O91" s="147"/>
    </row>
    <row r="92" spans="1:20" ht="14.4" x14ac:dyDescent="0.3">
      <c r="A92" s="147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</row>
  </sheetData>
  <printOptions horizontalCentered="1"/>
  <pageMargins left="0.45" right="0.45" top="0.5" bottom="0.5" header="0.3" footer="0.3"/>
  <pageSetup scale="51" orientation="landscape" r:id="rId1"/>
  <rowBreaks count="1" manualBreakCount="1">
    <brk id="47" max="15" man="1"/>
  </rowBreaks>
  <colBreaks count="1" manualBreakCount="1">
    <brk id="15" max="8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2"/>
  <sheetViews>
    <sheetView workbookViewId="0">
      <selection activeCell="B5" sqref="B5"/>
    </sheetView>
  </sheetViews>
  <sheetFormatPr defaultColWidth="9.109375" defaultRowHeight="14.4" x14ac:dyDescent="0.3"/>
  <cols>
    <col min="1" max="1" width="2.6640625" style="20" customWidth="1"/>
    <col min="2" max="2" width="5.6640625" style="20" customWidth="1"/>
    <col min="3" max="3" width="9.109375" style="20"/>
    <col min="4" max="6" width="12.6640625" style="20" customWidth="1"/>
    <col min="7" max="7" width="10.88671875" style="20" bestFit="1" customWidth="1"/>
    <col min="8" max="8" width="16.33203125" style="20" customWidth="1"/>
    <col min="9" max="10" width="12.6640625" style="20" customWidth="1"/>
    <col min="11" max="16384" width="9.109375" style="20"/>
  </cols>
  <sheetData>
    <row r="2" spans="2:12" x14ac:dyDescent="0.3">
      <c r="B2" s="25" t="s">
        <v>28</v>
      </c>
      <c r="C2" s="26"/>
      <c r="D2" s="27"/>
      <c r="E2" s="27"/>
      <c r="F2" s="27"/>
      <c r="G2" s="27"/>
      <c r="H2" s="27"/>
      <c r="I2" s="27"/>
      <c r="J2" s="27"/>
    </row>
    <row r="3" spans="2:12" x14ac:dyDescent="0.3">
      <c r="B3" s="25" t="s">
        <v>78</v>
      </c>
      <c r="C3" s="26"/>
      <c r="D3" s="27"/>
      <c r="E3" s="27"/>
      <c r="F3" s="27"/>
      <c r="G3" s="27"/>
      <c r="H3" s="27"/>
      <c r="I3" s="27"/>
      <c r="J3" s="27"/>
    </row>
    <row r="4" spans="2:12" x14ac:dyDescent="0.3">
      <c r="B4" s="25" t="s">
        <v>29</v>
      </c>
      <c r="C4" s="26"/>
      <c r="D4" s="27"/>
      <c r="E4" s="27"/>
      <c r="F4" s="27"/>
      <c r="G4" s="27"/>
      <c r="H4" s="27"/>
      <c r="I4" s="27"/>
      <c r="J4" s="27"/>
    </row>
    <row r="5" spans="2:12" x14ac:dyDescent="0.3">
      <c r="B5" s="25" t="s">
        <v>213</v>
      </c>
      <c r="C5" s="26"/>
      <c r="D5" s="27"/>
      <c r="E5" s="27"/>
      <c r="F5" s="27"/>
      <c r="G5" s="27"/>
      <c r="H5" s="27"/>
      <c r="I5" s="27"/>
      <c r="J5" s="27"/>
    </row>
    <row r="6" spans="2:12" x14ac:dyDescent="0.3">
      <c r="B6" s="25"/>
      <c r="C6" s="28"/>
      <c r="D6" s="27"/>
      <c r="E6" s="27"/>
      <c r="F6" s="27"/>
      <c r="G6" s="27"/>
      <c r="H6" s="27"/>
      <c r="I6" s="27"/>
      <c r="J6" s="27"/>
    </row>
    <row r="7" spans="2:12" x14ac:dyDescent="0.3">
      <c r="B7" s="29"/>
      <c r="C7" s="30" t="s">
        <v>30</v>
      </c>
      <c r="D7" s="31"/>
      <c r="E7" s="31"/>
      <c r="F7" s="31"/>
      <c r="G7" s="31"/>
      <c r="H7" s="31"/>
      <c r="I7" s="31"/>
      <c r="J7" s="32"/>
    </row>
    <row r="8" spans="2:12" x14ac:dyDescent="0.3">
      <c r="B8" s="33"/>
      <c r="C8" s="34"/>
      <c r="D8" s="31" t="s">
        <v>31</v>
      </c>
      <c r="E8" s="35"/>
      <c r="F8" s="36"/>
      <c r="G8" s="37" t="s">
        <v>32</v>
      </c>
      <c r="H8" s="35"/>
      <c r="I8" s="35"/>
      <c r="J8" s="38"/>
    </row>
    <row r="9" spans="2:12" x14ac:dyDescent="0.3">
      <c r="B9" s="33"/>
      <c r="C9" s="39"/>
      <c r="D9" s="23"/>
      <c r="E9" s="23"/>
      <c r="F9" s="40" t="s">
        <v>10</v>
      </c>
      <c r="G9" s="41"/>
      <c r="H9" s="42"/>
      <c r="I9" s="42"/>
      <c r="J9" s="43"/>
    </row>
    <row r="10" spans="2:12" x14ac:dyDescent="0.3">
      <c r="B10" s="33" t="s">
        <v>33</v>
      </c>
      <c r="C10" s="44" t="s">
        <v>34</v>
      </c>
      <c r="D10" s="45" t="s">
        <v>35</v>
      </c>
      <c r="E10" s="45" t="s">
        <v>36</v>
      </c>
      <c r="F10" s="40" t="s">
        <v>37</v>
      </c>
      <c r="G10" s="44" t="s">
        <v>38</v>
      </c>
      <c r="H10" s="45" t="s">
        <v>39</v>
      </c>
      <c r="I10" s="45" t="s">
        <v>40</v>
      </c>
      <c r="J10" s="40" t="s">
        <v>41</v>
      </c>
    </row>
    <row r="11" spans="2:12" x14ac:dyDescent="0.3">
      <c r="B11" s="33"/>
      <c r="C11" s="46" t="s">
        <v>35</v>
      </c>
      <c r="D11" s="47" t="s">
        <v>42</v>
      </c>
      <c r="E11" s="47" t="s">
        <v>12</v>
      </c>
      <c r="F11" s="48" t="s">
        <v>43</v>
      </c>
      <c r="G11" s="46" t="s">
        <v>44</v>
      </c>
      <c r="H11" s="47" t="s">
        <v>45</v>
      </c>
      <c r="I11" s="47" t="s">
        <v>46</v>
      </c>
      <c r="J11" s="48" t="s">
        <v>11</v>
      </c>
    </row>
    <row r="12" spans="2:12" x14ac:dyDescent="0.3">
      <c r="B12" s="33"/>
      <c r="C12" s="49" t="s">
        <v>13</v>
      </c>
      <c r="D12" s="50" t="s">
        <v>14</v>
      </c>
      <c r="E12" s="51" t="s">
        <v>15</v>
      </c>
      <c r="F12" s="52" t="s">
        <v>47</v>
      </c>
      <c r="G12" s="49" t="s">
        <v>48</v>
      </c>
      <c r="H12" s="53" t="s">
        <v>49</v>
      </c>
      <c r="I12" s="54" t="s">
        <v>50</v>
      </c>
      <c r="J12" s="52" t="s">
        <v>51</v>
      </c>
    </row>
    <row r="13" spans="2:12" x14ac:dyDescent="0.3">
      <c r="B13" s="55"/>
      <c r="C13" s="56"/>
      <c r="D13" s="57"/>
      <c r="E13" s="58"/>
      <c r="F13" s="59" t="s">
        <v>52</v>
      </c>
      <c r="G13" s="56" t="s">
        <v>53</v>
      </c>
      <c r="H13" s="60"/>
      <c r="I13" s="61"/>
      <c r="J13" s="59" t="s">
        <v>54</v>
      </c>
    </row>
    <row r="14" spans="2:12" x14ac:dyDescent="0.3">
      <c r="B14" s="29">
        <f>ROW()</f>
        <v>14</v>
      </c>
      <c r="C14" s="62"/>
      <c r="D14" s="63"/>
      <c r="E14" s="64"/>
      <c r="F14" s="24"/>
      <c r="G14" s="65"/>
      <c r="H14" s="66"/>
      <c r="I14" s="64"/>
      <c r="J14" s="24"/>
    </row>
    <row r="15" spans="2:12" x14ac:dyDescent="0.3">
      <c r="B15" s="33">
        <f>ROW()</f>
        <v>15</v>
      </c>
      <c r="C15" s="62"/>
      <c r="D15" s="63">
        <v>43100</v>
      </c>
      <c r="E15" s="64"/>
      <c r="F15" s="67">
        <f ca="1">Addition!K46</f>
        <v>-4682005.5748587502</v>
      </c>
      <c r="G15" s="65"/>
      <c r="H15" s="66"/>
      <c r="I15" s="64"/>
      <c r="J15" s="67">
        <f ca="1">F15</f>
        <v>-4682005.5748587502</v>
      </c>
      <c r="K15" s="26"/>
      <c r="L15" s="26"/>
    </row>
    <row r="16" spans="2:12" x14ac:dyDescent="0.3">
      <c r="B16" s="33">
        <f>ROW()</f>
        <v>16</v>
      </c>
      <c r="C16" s="62">
        <v>31</v>
      </c>
      <c r="D16" s="63">
        <v>43131</v>
      </c>
      <c r="E16" s="64">
        <f ca="1">Addition!L47</f>
        <v>-38174.963352329098</v>
      </c>
      <c r="F16" s="67">
        <f ca="1">Addition!K47</f>
        <v>-4643830.6115064211</v>
      </c>
      <c r="G16" s="65">
        <f>H16-SUM(C$16:$C16)+1</f>
        <v>335</v>
      </c>
      <c r="H16" s="66">
        <f>C28</f>
        <v>365</v>
      </c>
      <c r="I16" s="64">
        <f ca="1">+G16/H16*E16</f>
        <v>-35037.295131589723</v>
      </c>
      <c r="J16" s="24">
        <f t="shared" ref="J16:J27" ca="1" si="0">+J15-I16</f>
        <v>-4646968.2797271609</v>
      </c>
      <c r="K16" s="26"/>
      <c r="L16" s="26"/>
    </row>
    <row r="17" spans="2:12" x14ac:dyDescent="0.3">
      <c r="B17" s="33">
        <f>ROW()</f>
        <v>17</v>
      </c>
      <c r="C17" s="62">
        <v>28</v>
      </c>
      <c r="D17" s="63">
        <v>43159</v>
      </c>
      <c r="E17" s="64">
        <f ca="1">Addition!L48</f>
        <v>-38174.963352329098</v>
      </c>
      <c r="F17" s="67">
        <f ca="1">Addition!K48</f>
        <v>-4605655.648154092</v>
      </c>
      <c r="G17" s="65">
        <f>H17-SUM(C$16:$C17)+1</f>
        <v>307</v>
      </c>
      <c r="H17" s="66">
        <f>H16</f>
        <v>365</v>
      </c>
      <c r="I17" s="64">
        <f t="shared" ref="I17:I27" ca="1" si="1">+G17/H17*E17</f>
        <v>-32108.804792232968</v>
      </c>
      <c r="J17" s="24">
        <f t="shared" ca="1" si="0"/>
        <v>-4614859.4749349281</v>
      </c>
      <c r="K17" s="26"/>
      <c r="L17" s="26"/>
    </row>
    <row r="18" spans="2:12" x14ac:dyDescent="0.3">
      <c r="B18" s="33">
        <f>ROW()</f>
        <v>18</v>
      </c>
      <c r="C18" s="62">
        <v>31</v>
      </c>
      <c r="D18" s="63">
        <v>43190</v>
      </c>
      <c r="E18" s="64">
        <f ca="1">Addition!L49</f>
        <v>-38174.963352329098</v>
      </c>
      <c r="F18" s="67">
        <f ca="1">Addition!K49</f>
        <v>-4567480.6848017629</v>
      </c>
      <c r="G18" s="65">
        <f>H18-SUM(C$16:$C18)+1</f>
        <v>276</v>
      </c>
      <c r="H18" s="66">
        <f t="shared" ref="H18:H27" si="2">H17</f>
        <v>365</v>
      </c>
      <c r="I18" s="64">
        <f t="shared" ca="1" si="1"/>
        <v>-28866.547630802277</v>
      </c>
      <c r="J18" s="24">
        <f t="shared" ca="1" si="0"/>
        <v>-4585992.9273041254</v>
      </c>
      <c r="K18" s="26"/>
      <c r="L18" s="26"/>
    </row>
    <row r="19" spans="2:12" x14ac:dyDescent="0.3">
      <c r="B19" s="33">
        <f>ROW()</f>
        <v>19</v>
      </c>
      <c r="C19" s="62">
        <v>30</v>
      </c>
      <c r="D19" s="63">
        <v>43220</v>
      </c>
      <c r="E19" s="64">
        <f ca="1">Addition!L50</f>
        <v>-38174.963352328166</v>
      </c>
      <c r="F19" s="67">
        <f ca="1">Addition!K50</f>
        <v>-4529305.7214494348</v>
      </c>
      <c r="G19" s="65">
        <f>H19-SUM(C$16:$C19)+1</f>
        <v>246</v>
      </c>
      <c r="H19" s="66">
        <f t="shared" si="2"/>
        <v>365</v>
      </c>
      <c r="I19" s="64">
        <f t="shared" ca="1" si="1"/>
        <v>-25728.879410062273</v>
      </c>
      <c r="J19" s="24">
        <f t="shared" ca="1" si="0"/>
        <v>-4560264.0478940634</v>
      </c>
      <c r="K19" s="26"/>
      <c r="L19" s="26"/>
    </row>
    <row r="20" spans="2:12" x14ac:dyDescent="0.3">
      <c r="B20" s="33">
        <f>ROW()</f>
        <v>20</v>
      </c>
      <c r="C20" s="62">
        <v>31</v>
      </c>
      <c r="D20" s="63">
        <v>43251</v>
      </c>
      <c r="E20" s="64">
        <f ca="1">Addition!L51</f>
        <v>-38174.963352329098</v>
      </c>
      <c r="F20" s="67">
        <f ca="1">Addition!K51</f>
        <v>-4491130.7580971057</v>
      </c>
      <c r="G20" s="65">
        <f>H20-SUM(C$16:$C20)+1</f>
        <v>215</v>
      </c>
      <c r="H20" s="66">
        <f t="shared" si="2"/>
        <v>365</v>
      </c>
      <c r="I20" s="64">
        <f t="shared" ca="1" si="1"/>
        <v>-22486.622248632208</v>
      </c>
      <c r="J20" s="24">
        <f t="shared" ca="1" si="0"/>
        <v>-4537777.4256454315</v>
      </c>
      <c r="K20" s="26"/>
      <c r="L20" s="26"/>
    </row>
    <row r="21" spans="2:12" x14ac:dyDescent="0.3">
      <c r="B21" s="33">
        <f>ROW()</f>
        <v>21</v>
      </c>
      <c r="C21" s="62">
        <v>30</v>
      </c>
      <c r="D21" s="63">
        <v>43281</v>
      </c>
      <c r="E21" s="64">
        <f ca="1">Addition!L52</f>
        <v>-38174.963352329098</v>
      </c>
      <c r="F21" s="67">
        <f ca="1">Addition!K52</f>
        <v>-4452955.7947447766</v>
      </c>
      <c r="G21" s="65">
        <f>H21-SUM(C$16:$C21)+1</f>
        <v>185</v>
      </c>
      <c r="H21" s="66">
        <f t="shared" si="2"/>
        <v>365</v>
      </c>
      <c r="I21" s="64">
        <f t="shared" ca="1" si="1"/>
        <v>-19348.954027892833</v>
      </c>
      <c r="J21" s="24">
        <f t="shared" ca="1" si="0"/>
        <v>-4518428.4716175385</v>
      </c>
      <c r="K21" s="26"/>
      <c r="L21" s="26"/>
    </row>
    <row r="22" spans="2:12" x14ac:dyDescent="0.3">
      <c r="B22" s="33">
        <f>ROW()</f>
        <v>22</v>
      </c>
      <c r="C22" s="62">
        <v>31</v>
      </c>
      <c r="D22" s="63">
        <v>43312</v>
      </c>
      <c r="E22" s="64">
        <f ca="1">Addition!L53</f>
        <v>-38174.963352329098</v>
      </c>
      <c r="F22" s="67">
        <f ca="1">Addition!K53</f>
        <v>-4414780.8313924475</v>
      </c>
      <c r="G22" s="65">
        <f>H22-SUM(C$16:$C22)+1</f>
        <v>154</v>
      </c>
      <c r="H22" s="66">
        <f t="shared" si="2"/>
        <v>365</v>
      </c>
      <c r="I22" s="64">
        <f t="shared" ca="1" si="1"/>
        <v>-16106.69686646214</v>
      </c>
      <c r="J22" s="24">
        <f t="shared" ca="1" si="0"/>
        <v>-4502321.7747510765</v>
      </c>
      <c r="K22" s="26"/>
      <c r="L22" s="26"/>
    </row>
    <row r="23" spans="2:12" x14ac:dyDescent="0.3">
      <c r="B23" s="33">
        <f>ROW()</f>
        <v>23</v>
      </c>
      <c r="C23" s="62">
        <v>31</v>
      </c>
      <c r="D23" s="63">
        <v>43343</v>
      </c>
      <c r="E23" s="64">
        <f ca="1">Addition!L54</f>
        <v>-38174.963352328166</v>
      </c>
      <c r="F23" s="67">
        <f ca="1">Addition!K54</f>
        <v>-4376605.8680401193</v>
      </c>
      <c r="G23" s="65">
        <f>H23-SUM(C$16:$C23)+1</f>
        <v>123</v>
      </c>
      <c r="H23" s="66">
        <f t="shared" si="2"/>
        <v>365</v>
      </c>
      <c r="I23" s="64">
        <f t="shared" ca="1" si="1"/>
        <v>-12864.439705031136</v>
      </c>
      <c r="J23" s="24">
        <f t="shared" ca="1" si="0"/>
        <v>-4489457.3350460455</v>
      </c>
      <c r="K23" s="26"/>
      <c r="L23" s="26"/>
    </row>
    <row r="24" spans="2:12" x14ac:dyDescent="0.3">
      <c r="B24" s="33">
        <f>ROW()</f>
        <v>24</v>
      </c>
      <c r="C24" s="62">
        <v>30</v>
      </c>
      <c r="D24" s="63">
        <v>43373</v>
      </c>
      <c r="E24" s="64">
        <f ca="1">Addition!L55</f>
        <v>-38174.963352329098</v>
      </c>
      <c r="F24" s="67">
        <f ca="1">Addition!K55</f>
        <v>-4338430.9046877902</v>
      </c>
      <c r="G24" s="65">
        <f>H24-SUM(C$16:$C24)+1</f>
        <v>93</v>
      </c>
      <c r="H24" s="66">
        <f t="shared" si="2"/>
        <v>365</v>
      </c>
      <c r="I24" s="64">
        <f t="shared" ca="1" si="1"/>
        <v>-9726.7714842920723</v>
      </c>
      <c r="J24" s="24">
        <f t="shared" ca="1" si="0"/>
        <v>-4479730.5635617534</v>
      </c>
      <c r="K24" s="26"/>
      <c r="L24" s="26"/>
    </row>
    <row r="25" spans="2:12" x14ac:dyDescent="0.3">
      <c r="B25" s="33">
        <f>ROW()</f>
        <v>25</v>
      </c>
      <c r="C25" s="62">
        <v>31</v>
      </c>
      <c r="D25" s="63">
        <v>43404</v>
      </c>
      <c r="E25" s="64">
        <f ca="1">Addition!L56</f>
        <v>-38174.963352329098</v>
      </c>
      <c r="F25" s="67">
        <f ca="1">Addition!K56</f>
        <v>-4300255.9413354611</v>
      </c>
      <c r="G25" s="65">
        <f>H25-SUM(C$16:$C25)+1</f>
        <v>62</v>
      </c>
      <c r="H25" s="66">
        <f t="shared" si="2"/>
        <v>365</v>
      </c>
      <c r="I25" s="64">
        <f t="shared" ca="1" si="1"/>
        <v>-6484.5143228613806</v>
      </c>
      <c r="J25" s="24">
        <f t="shared" ca="1" si="0"/>
        <v>-4473246.0492388923</v>
      </c>
      <c r="K25" s="26"/>
      <c r="L25" s="26"/>
    </row>
    <row r="26" spans="2:12" x14ac:dyDescent="0.3">
      <c r="B26" s="33">
        <f>ROW()</f>
        <v>26</v>
      </c>
      <c r="C26" s="62">
        <v>30</v>
      </c>
      <c r="D26" s="63">
        <v>43434</v>
      </c>
      <c r="E26" s="64">
        <f ca="1">Addition!L57</f>
        <v>-38174.963352329098</v>
      </c>
      <c r="F26" s="67">
        <f ca="1">Addition!K57</f>
        <v>-4262080.977983132</v>
      </c>
      <c r="G26" s="65">
        <f>H26-SUM(C$16:$C26)+1</f>
        <v>32</v>
      </c>
      <c r="H26" s="66">
        <f t="shared" si="2"/>
        <v>365</v>
      </c>
      <c r="I26" s="64">
        <f t="shared" ca="1" si="1"/>
        <v>-3346.8461021220032</v>
      </c>
      <c r="J26" s="24">
        <f t="shared" ca="1" si="0"/>
        <v>-4469899.2031367701</v>
      </c>
      <c r="K26" s="26"/>
      <c r="L26" s="26"/>
    </row>
    <row r="27" spans="2:12" x14ac:dyDescent="0.3">
      <c r="B27" s="33">
        <f>ROW()</f>
        <v>27</v>
      </c>
      <c r="C27" s="62">
        <v>31</v>
      </c>
      <c r="D27" s="63">
        <v>43465</v>
      </c>
      <c r="E27" s="64">
        <f ca="1">Addition!L58</f>
        <v>-38174.963352329098</v>
      </c>
      <c r="F27" s="67">
        <f ca="1">Addition!K58</f>
        <v>-4223906.0146308029</v>
      </c>
      <c r="G27" s="65">
        <f>H27-SUM(C$16:$C27)+1</f>
        <v>1</v>
      </c>
      <c r="H27" s="66">
        <f t="shared" si="2"/>
        <v>365</v>
      </c>
      <c r="I27" s="64">
        <f t="shared" ca="1" si="1"/>
        <v>-104.5889406913126</v>
      </c>
      <c r="J27" s="24">
        <f t="shared" ca="1" si="0"/>
        <v>-4469794.6141960789</v>
      </c>
      <c r="K27" s="26"/>
      <c r="L27" s="26"/>
    </row>
    <row r="28" spans="2:12" ht="15" thickBot="1" x14ac:dyDescent="0.35">
      <c r="B28" s="33">
        <f>ROW()</f>
        <v>28</v>
      </c>
      <c r="C28" s="68">
        <f>SUM(C16:C27)</f>
        <v>365</v>
      </c>
      <c r="D28" s="23"/>
      <c r="E28" s="69">
        <f ca="1">SUM(E16:E27)</f>
        <v>-458099.56022794731</v>
      </c>
      <c r="F28" s="24"/>
      <c r="G28" s="39"/>
      <c r="H28" s="70"/>
      <c r="I28" s="69">
        <f ca="1">SUM(I16:I27)</f>
        <v>-212210.96066267241</v>
      </c>
      <c r="J28" s="43"/>
      <c r="K28" s="26"/>
      <c r="L28" s="26"/>
    </row>
    <row r="29" spans="2:12" ht="15.6" thickTop="1" thickBot="1" x14ac:dyDescent="0.35">
      <c r="B29" s="33">
        <f>ROW()</f>
        <v>29</v>
      </c>
      <c r="C29" s="39"/>
      <c r="D29" s="127" t="s">
        <v>77</v>
      </c>
      <c r="E29" s="128">
        <f ca="1">+Addition!L84-E28</f>
        <v>0</v>
      </c>
      <c r="F29" s="24"/>
      <c r="G29" s="39"/>
      <c r="H29" s="23"/>
      <c r="I29" s="71"/>
      <c r="J29" s="43"/>
      <c r="K29" s="26"/>
      <c r="L29" s="26"/>
    </row>
    <row r="30" spans="2:12" ht="15" thickBot="1" x14ac:dyDescent="0.35">
      <c r="B30" s="33">
        <f>ROW()</f>
        <v>30</v>
      </c>
      <c r="C30" s="39" t="s">
        <v>55</v>
      </c>
      <c r="D30" s="23"/>
      <c r="E30" s="64"/>
      <c r="F30" s="72">
        <f ca="1">(F15+F27+SUM(F16:F26)*2)/24</f>
        <v>-4452955.7947447766</v>
      </c>
      <c r="G30" s="39"/>
      <c r="H30" s="23"/>
      <c r="I30" s="23"/>
      <c r="J30" s="73">
        <f ca="1">(J15+J27+SUM(J16:J26)*2)/24</f>
        <v>-4537903.8039487666</v>
      </c>
      <c r="K30" s="26"/>
      <c r="L30" s="26"/>
    </row>
    <row r="31" spans="2:12" ht="15" thickTop="1" x14ac:dyDescent="0.3">
      <c r="B31" s="55">
        <f>ROW()</f>
        <v>31</v>
      </c>
      <c r="C31" s="74"/>
      <c r="D31" s="75"/>
      <c r="E31" s="126" t="s">
        <v>77</v>
      </c>
      <c r="F31" s="125">
        <f ca="1">+Addition!K85-F30</f>
        <v>0</v>
      </c>
      <c r="G31" s="74"/>
      <c r="H31" s="75"/>
      <c r="I31" s="75"/>
      <c r="J31" s="76"/>
    </row>
    <row r="32" spans="2:12" x14ac:dyDescent="0.3">
      <c r="B32" s="26"/>
      <c r="C32" s="26"/>
      <c r="D32" s="26"/>
      <c r="E32" s="26"/>
      <c r="F32" s="26"/>
      <c r="G32" s="26"/>
      <c r="H32" s="26"/>
      <c r="I32" s="26"/>
      <c r="J32" s="26"/>
    </row>
  </sheetData>
  <pageMargins left="0.5" right="0.5" top="0.75" bottom="0.75" header="0.3" footer="0.3"/>
  <pageSetup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3"/>
  <sheetViews>
    <sheetView zoomScaleNormal="100" workbookViewId="0">
      <selection activeCell="I26" sqref="I26"/>
    </sheetView>
  </sheetViews>
  <sheetFormatPr defaultRowHeight="13.2" x14ac:dyDescent="0.25"/>
  <cols>
    <col min="1" max="1" width="4.109375" style="114" bestFit="1" customWidth="1"/>
    <col min="2" max="2" width="12.109375" style="113" bestFit="1" customWidth="1"/>
    <col min="3" max="4" width="9.33203125" style="113" bestFit="1" customWidth="1"/>
    <col min="5" max="5" width="10" style="113" customWidth="1"/>
    <col min="6" max="6" width="3" style="113" customWidth="1"/>
    <col min="7" max="7" width="10" style="113" bestFit="1" customWidth="1"/>
    <col min="8" max="9" width="9.33203125" style="113" bestFit="1" customWidth="1"/>
    <col min="10" max="10" width="10" style="113" bestFit="1" customWidth="1"/>
    <col min="11" max="11" width="1.6640625" style="113" customWidth="1"/>
    <col min="12" max="12" width="8.109375" style="113" bestFit="1" customWidth="1"/>
    <col min="13" max="13" width="7.6640625" style="113" bestFit="1" customWidth="1"/>
    <col min="14" max="14" width="7" style="113" customWidth="1"/>
    <col min="15" max="15" width="8.109375" style="113" bestFit="1" customWidth="1"/>
    <col min="16" max="16" width="1.6640625" style="113" customWidth="1"/>
    <col min="17" max="17" width="8.109375" style="113" bestFit="1" customWidth="1"/>
    <col min="18" max="20" width="9.109375" style="113"/>
    <col min="21" max="21" width="3" style="113" customWidth="1"/>
    <col min="22" max="22" width="8.109375" style="113" bestFit="1" customWidth="1"/>
    <col min="23" max="25" width="9.109375" style="113"/>
    <col min="26" max="26" width="2.6640625" style="113" customWidth="1"/>
    <col min="27" max="27" width="8.33203125" style="113" bestFit="1" customWidth="1"/>
    <col min="28" max="30" width="9.109375" style="113"/>
    <col min="31" max="31" width="1.109375" style="113" customWidth="1"/>
    <col min="32" max="32" width="8.33203125" style="113" bestFit="1" customWidth="1"/>
    <col min="33" max="34" width="7.6640625" style="113" bestFit="1" customWidth="1"/>
    <col min="35" max="35" width="8.109375" style="113" bestFit="1" customWidth="1"/>
    <col min="36" max="36" width="1.6640625" style="113" customWidth="1"/>
    <col min="37" max="40" width="9.109375" style="113"/>
    <col min="41" max="41" width="1.5546875" style="113" customWidth="1"/>
    <col min="42" max="42" width="8.109375" style="113" bestFit="1" customWidth="1"/>
    <col min="43" max="44" width="7.6640625" style="113" bestFit="1" customWidth="1"/>
    <col min="45" max="45" width="8.109375" style="113" bestFit="1" customWidth="1"/>
    <col min="46" max="46" width="1.6640625" style="113" customWidth="1"/>
    <col min="47" max="47" width="8.33203125" style="113" bestFit="1" customWidth="1"/>
    <col min="48" max="49" width="7.6640625" style="113" bestFit="1" customWidth="1"/>
    <col min="50" max="50" width="8.109375" style="113" bestFit="1" customWidth="1"/>
    <col min="51" max="251" width="9.109375" style="113"/>
    <col min="252" max="252" width="4.109375" style="113" bestFit="1" customWidth="1"/>
    <col min="253" max="253" width="12.109375" style="113" bestFit="1" customWidth="1"/>
    <col min="254" max="255" width="9.33203125" style="113" bestFit="1" customWidth="1"/>
    <col min="256" max="256" width="10" style="113" customWidth="1"/>
    <col min="257" max="257" width="3" style="113" customWidth="1"/>
    <col min="258" max="258" width="12.33203125" style="113" bestFit="1" customWidth="1"/>
    <col min="259" max="261" width="10" style="113" customWidth="1"/>
    <col min="262" max="262" width="1.6640625" style="113" customWidth="1"/>
    <col min="263" max="263" width="10" style="113" bestFit="1" customWidth="1"/>
    <col min="264" max="265" width="9.33203125" style="113" bestFit="1" customWidth="1"/>
    <col min="266" max="266" width="10" style="113" bestFit="1" customWidth="1"/>
    <col min="267" max="267" width="1.6640625" style="113" customWidth="1"/>
    <col min="268" max="268" width="8.109375" style="113" bestFit="1" customWidth="1"/>
    <col min="269" max="269" width="7.6640625" style="113" bestFit="1" customWidth="1"/>
    <col min="270" max="270" width="7" style="113" customWidth="1"/>
    <col min="271" max="271" width="8.109375" style="113" bestFit="1" customWidth="1"/>
    <col min="272" max="272" width="1.6640625" style="113" customWidth="1"/>
    <col min="273" max="273" width="8.109375" style="113" bestFit="1" customWidth="1"/>
    <col min="274" max="276" width="9.109375" style="113"/>
    <col min="277" max="277" width="3" style="113" customWidth="1"/>
    <col min="278" max="278" width="8.109375" style="113" bestFit="1" customWidth="1"/>
    <col min="279" max="281" width="9.109375" style="113"/>
    <col min="282" max="282" width="2.6640625" style="113" customWidth="1"/>
    <col min="283" max="283" width="8.33203125" style="113" bestFit="1" customWidth="1"/>
    <col min="284" max="286" width="9.109375" style="113"/>
    <col min="287" max="287" width="1.109375" style="113" customWidth="1"/>
    <col min="288" max="288" width="8.33203125" style="113" bestFit="1" customWidth="1"/>
    <col min="289" max="290" width="7.6640625" style="113" bestFit="1" customWidth="1"/>
    <col min="291" max="291" width="8.109375" style="113" bestFit="1" customWidth="1"/>
    <col min="292" max="292" width="1.6640625" style="113" customWidth="1"/>
    <col min="293" max="296" width="9.109375" style="113"/>
    <col min="297" max="297" width="1.5546875" style="113" customWidth="1"/>
    <col min="298" max="298" width="8.109375" style="113" bestFit="1" customWidth="1"/>
    <col min="299" max="300" width="7.6640625" style="113" bestFit="1" customWidth="1"/>
    <col min="301" max="301" width="8.109375" style="113" bestFit="1" customWidth="1"/>
    <col min="302" max="302" width="1.6640625" style="113" customWidth="1"/>
    <col min="303" max="303" width="8.33203125" style="113" bestFit="1" customWidth="1"/>
    <col min="304" max="305" width="7.6640625" style="113" bestFit="1" customWidth="1"/>
    <col min="306" max="306" width="8.109375" style="113" bestFit="1" customWidth="1"/>
    <col min="307" max="507" width="9.109375" style="113"/>
    <col min="508" max="508" width="4.109375" style="113" bestFit="1" customWidth="1"/>
    <col min="509" max="509" width="12.109375" style="113" bestFit="1" customWidth="1"/>
    <col min="510" max="511" width="9.33203125" style="113" bestFit="1" customWidth="1"/>
    <col min="512" max="512" width="10" style="113" customWidth="1"/>
    <col min="513" max="513" width="3" style="113" customWidth="1"/>
    <col min="514" max="514" width="12.33203125" style="113" bestFit="1" customWidth="1"/>
    <col min="515" max="517" width="10" style="113" customWidth="1"/>
    <col min="518" max="518" width="1.6640625" style="113" customWidth="1"/>
    <col min="519" max="519" width="10" style="113" bestFit="1" customWidth="1"/>
    <col min="520" max="521" width="9.33203125" style="113" bestFit="1" customWidth="1"/>
    <col min="522" max="522" width="10" style="113" bestFit="1" customWidth="1"/>
    <col min="523" max="523" width="1.6640625" style="113" customWidth="1"/>
    <col min="524" max="524" width="8.109375" style="113" bestFit="1" customWidth="1"/>
    <col min="525" max="525" width="7.6640625" style="113" bestFit="1" customWidth="1"/>
    <col min="526" max="526" width="7" style="113" customWidth="1"/>
    <col min="527" max="527" width="8.109375" style="113" bestFit="1" customWidth="1"/>
    <col min="528" max="528" width="1.6640625" style="113" customWidth="1"/>
    <col min="529" max="529" width="8.109375" style="113" bestFit="1" customWidth="1"/>
    <col min="530" max="532" width="9.109375" style="113"/>
    <col min="533" max="533" width="3" style="113" customWidth="1"/>
    <col min="534" max="534" width="8.109375" style="113" bestFit="1" customWidth="1"/>
    <col min="535" max="537" width="9.109375" style="113"/>
    <col min="538" max="538" width="2.6640625" style="113" customWidth="1"/>
    <col min="539" max="539" width="8.33203125" style="113" bestFit="1" customWidth="1"/>
    <col min="540" max="542" width="9.109375" style="113"/>
    <col min="543" max="543" width="1.109375" style="113" customWidth="1"/>
    <col min="544" max="544" width="8.33203125" style="113" bestFit="1" customWidth="1"/>
    <col min="545" max="546" width="7.6640625" style="113" bestFit="1" customWidth="1"/>
    <col min="547" max="547" width="8.109375" style="113" bestFit="1" customWidth="1"/>
    <col min="548" max="548" width="1.6640625" style="113" customWidth="1"/>
    <col min="549" max="552" width="9.109375" style="113"/>
    <col min="553" max="553" width="1.5546875" style="113" customWidth="1"/>
    <col min="554" max="554" width="8.109375" style="113" bestFit="1" customWidth="1"/>
    <col min="555" max="556" width="7.6640625" style="113" bestFit="1" customWidth="1"/>
    <col min="557" max="557" width="8.109375" style="113" bestFit="1" customWidth="1"/>
    <col min="558" max="558" width="1.6640625" style="113" customWidth="1"/>
    <col min="559" max="559" width="8.33203125" style="113" bestFit="1" customWidth="1"/>
    <col min="560" max="561" width="7.6640625" style="113" bestFit="1" customWidth="1"/>
    <col min="562" max="562" width="8.109375" style="113" bestFit="1" customWidth="1"/>
    <col min="563" max="763" width="9.109375" style="113"/>
    <col min="764" max="764" width="4.109375" style="113" bestFit="1" customWidth="1"/>
    <col min="765" max="765" width="12.109375" style="113" bestFit="1" customWidth="1"/>
    <col min="766" max="767" width="9.33203125" style="113" bestFit="1" customWidth="1"/>
    <col min="768" max="768" width="10" style="113" customWidth="1"/>
    <col min="769" max="769" width="3" style="113" customWidth="1"/>
    <col min="770" max="770" width="12.33203125" style="113" bestFit="1" customWidth="1"/>
    <col min="771" max="773" width="10" style="113" customWidth="1"/>
    <col min="774" max="774" width="1.6640625" style="113" customWidth="1"/>
    <col min="775" max="775" width="10" style="113" bestFit="1" customWidth="1"/>
    <col min="776" max="777" width="9.33203125" style="113" bestFit="1" customWidth="1"/>
    <col min="778" max="778" width="10" style="113" bestFit="1" customWidth="1"/>
    <col min="779" max="779" width="1.6640625" style="113" customWidth="1"/>
    <col min="780" max="780" width="8.109375" style="113" bestFit="1" customWidth="1"/>
    <col min="781" max="781" width="7.6640625" style="113" bestFit="1" customWidth="1"/>
    <col min="782" max="782" width="7" style="113" customWidth="1"/>
    <col min="783" max="783" width="8.109375" style="113" bestFit="1" customWidth="1"/>
    <col min="784" max="784" width="1.6640625" style="113" customWidth="1"/>
    <col min="785" max="785" width="8.109375" style="113" bestFit="1" customWidth="1"/>
    <col min="786" max="788" width="9.109375" style="113"/>
    <col min="789" max="789" width="3" style="113" customWidth="1"/>
    <col min="790" max="790" width="8.109375" style="113" bestFit="1" customWidth="1"/>
    <col min="791" max="793" width="9.109375" style="113"/>
    <col min="794" max="794" width="2.6640625" style="113" customWidth="1"/>
    <col min="795" max="795" width="8.33203125" style="113" bestFit="1" customWidth="1"/>
    <col min="796" max="798" width="9.109375" style="113"/>
    <col min="799" max="799" width="1.109375" style="113" customWidth="1"/>
    <col min="800" max="800" width="8.33203125" style="113" bestFit="1" customWidth="1"/>
    <col min="801" max="802" width="7.6640625" style="113" bestFit="1" customWidth="1"/>
    <col min="803" max="803" width="8.109375" style="113" bestFit="1" customWidth="1"/>
    <col min="804" max="804" width="1.6640625" style="113" customWidth="1"/>
    <col min="805" max="808" width="9.109375" style="113"/>
    <col min="809" max="809" width="1.5546875" style="113" customWidth="1"/>
    <col min="810" max="810" width="8.109375" style="113" bestFit="1" customWidth="1"/>
    <col min="811" max="812" width="7.6640625" style="113" bestFit="1" customWidth="1"/>
    <col min="813" max="813" width="8.109375" style="113" bestFit="1" customWidth="1"/>
    <col min="814" max="814" width="1.6640625" style="113" customWidth="1"/>
    <col min="815" max="815" width="8.33203125" style="113" bestFit="1" customWidth="1"/>
    <col min="816" max="817" width="7.6640625" style="113" bestFit="1" customWidth="1"/>
    <col min="818" max="818" width="8.109375" style="113" bestFit="1" customWidth="1"/>
    <col min="819" max="1019" width="9.109375" style="113"/>
    <col min="1020" max="1020" width="4.109375" style="113" bestFit="1" customWidth="1"/>
    <col min="1021" max="1021" width="12.109375" style="113" bestFit="1" customWidth="1"/>
    <col min="1022" max="1023" width="9.33203125" style="113" bestFit="1" customWidth="1"/>
    <col min="1024" max="1024" width="10" style="113" customWidth="1"/>
    <col min="1025" max="1025" width="3" style="113" customWidth="1"/>
    <col min="1026" max="1026" width="12.33203125" style="113" bestFit="1" customWidth="1"/>
    <col min="1027" max="1029" width="10" style="113" customWidth="1"/>
    <col min="1030" max="1030" width="1.6640625" style="113" customWidth="1"/>
    <col min="1031" max="1031" width="10" style="113" bestFit="1" customWidth="1"/>
    <col min="1032" max="1033" width="9.33203125" style="113" bestFit="1" customWidth="1"/>
    <col min="1034" max="1034" width="10" style="113" bestFit="1" customWidth="1"/>
    <col min="1035" max="1035" width="1.6640625" style="113" customWidth="1"/>
    <col min="1036" max="1036" width="8.109375" style="113" bestFit="1" customWidth="1"/>
    <col min="1037" max="1037" width="7.6640625" style="113" bestFit="1" customWidth="1"/>
    <col min="1038" max="1038" width="7" style="113" customWidth="1"/>
    <col min="1039" max="1039" width="8.109375" style="113" bestFit="1" customWidth="1"/>
    <col min="1040" max="1040" width="1.6640625" style="113" customWidth="1"/>
    <col min="1041" max="1041" width="8.109375" style="113" bestFit="1" customWidth="1"/>
    <col min="1042" max="1044" width="9.109375" style="113"/>
    <col min="1045" max="1045" width="3" style="113" customWidth="1"/>
    <col min="1046" max="1046" width="8.109375" style="113" bestFit="1" customWidth="1"/>
    <col min="1047" max="1049" width="9.109375" style="113"/>
    <col min="1050" max="1050" width="2.6640625" style="113" customWidth="1"/>
    <col min="1051" max="1051" width="8.33203125" style="113" bestFit="1" customWidth="1"/>
    <col min="1052" max="1054" width="9.109375" style="113"/>
    <col min="1055" max="1055" width="1.109375" style="113" customWidth="1"/>
    <col min="1056" max="1056" width="8.33203125" style="113" bestFit="1" customWidth="1"/>
    <col min="1057" max="1058" width="7.6640625" style="113" bestFit="1" customWidth="1"/>
    <col min="1059" max="1059" width="8.109375" style="113" bestFit="1" customWidth="1"/>
    <col min="1060" max="1060" width="1.6640625" style="113" customWidth="1"/>
    <col min="1061" max="1064" width="9.109375" style="113"/>
    <col min="1065" max="1065" width="1.5546875" style="113" customWidth="1"/>
    <col min="1066" max="1066" width="8.109375" style="113" bestFit="1" customWidth="1"/>
    <col min="1067" max="1068" width="7.6640625" style="113" bestFit="1" customWidth="1"/>
    <col min="1069" max="1069" width="8.109375" style="113" bestFit="1" customWidth="1"/>
    <col min="1070" max="1070" width="1.6640625" style="113" customWidth="1"/>
    <col min="1071" max="1071" width="8.33203125" style="113" bestFit="1" customWidth="1"/>
    <col min="1072" max="1073" width="7.6640625" style="113" bestFit="1" customWidth="1"/>
    <col min="1074" max="1074" width="8.109375" style="113" bestFit="1" customWidth="1"/>
    <col min="1075" max="1275" width="9.109375" style="113"/>
    <col min="1276" max="1276" width="4.109375" style="113" bestFit="1" customWidth="1"/>
    <col min="1277" max="1277" width="12.109375" style="113" bestFit="1" customWidth="1"/>
    <col min="1278" max="1279" width="9.33203125" style="113" bestFit="1" customWidth="1"/>
    <col min="1280" max="1280" width="10" style="113" customWidth="1"/>
    <col min="1281" max="1281" width="3" style="113" customWidth="1"/>
    <col min="1282" max="1282" width="12.33203125" style="113" bestFit="1" customWidth="1"/>
    <col min="1283" max="1285" width="10" style="113" customWidth="1"/>
    <col min="1286" max="1286" width="1.6640625" style="113" customWidth="1"/>
    <col min="1287" max="1287" width="10" style="113" bestFit="1" customWidth="1"/>
    <col min="1288" max="1289" width="9.33203125" style="113" bestFit="1" customWidth="1"/>
    <col min="1290" max="1290" width="10" style="113" bestFit="1" customWidth="1"/>
    <col min="1291" max="1291" width="1.6640625" style="113" customWidth="1"/>
    <col min="1292" max="1292" width="8.109375" style="113" bestFit="1" customWidth="1"/>
    <col min="1293" max="1293" width="7.6640625" style="113" bestFit="1" customWidth="1"/>
    <col min="1294" max="1294" width="7" style="113" customWidth="1"/>
    <col min="1295" max="1295" width="8.109375" style="113" bestFit="1" customWidth="1"/>
    <col min="1296" max="1296" width="1.6640625" style="113" customWidth="1"/>
    <col min="1297" max="1297" width="8.109375" style="113" bestFit="1" customWidth="1"/>
    <col min="1298" max="1300" width="9.109375" style="113"/>
    <col min="1301" max="1301" width="3" style="113" customWidth="1"/>
    <col min="1302" max="1302" width="8.109375" style="113" bestFit="1" customWidth="1"/>
    <col min="1303" max="1305" width="9.109375" style="113"/>
    <col min="1306" max="1306" width="2.6640625" style="113" customWidth="1"/>
    <col min="1307" max="1307" width="8.33203125" style="113" bestFit="1" customWidth="1"/>
    <col min="1308" max="1310" width="9.109375" style="113"/>
    <col min="1311" max="1311" width="1.109375" style="113" customWidth="1"/>
    <col min="1312" max="1312" width="8.33203125" style="113" bestFit="1" customWidth="1"/>
    <col min="1313" max="1314" width="7.6640625" style="113" bestFit="1" customWidth="1"/>
    <col min="1315" max="1315" width="8.109375" style="113" bestFit="1" customWidth="1"/>
    <col min="1316" max="1316" width="1.6640625" style="113" customWidth="1"/>
    <col min="1317" max="1320" width="9.109375" style="113"/>
    <col min="1321" max="1321" width="1.5546875" style="113" customWidth="1"/>
    <col min="1322" max="1322" width="8.109375" style="113" bestFit="1" customWidth="1"/>
    <col min="1323" max="1324" width="7.6640625" style="113" bestFit="1" customWidth="1"/>
    <col min="1325" max="1325" width="8.109375" style="113" bestFit="1" customWidth="1"/>
    <col min="1326" max="1326" width="1.6640625" style="113" customWidth="1"/>
    <col min="1327" max="1327" width="8.33203125" style="113" bestFit="1" customWidth="1"/>
    <col min="1328" max="1329" width="7.6640625" style="113" bestFit="1" customWidth="1"/>
    <col min="1330" max="1330" width="8.109375" style="113" bestFit="1" customWidth="1"/>
    <col min="1331" max="1531" width="9.109375" style="113"/>
    <col min="1532" max="1532" width="4.109375" style="113" bestFit="1" customWidth="1"/>
    <col min="1533" max="1533" width="12.109375" style="113" bestFit="1" customWidth="1"/>
    <col min="1534" max="1535" width="9.33203125" style="113" bestFit="1" customWidth="1"/>
    <col min="1536" max="1536" width="10" style="113" customWidth="1"/>
    <col min="1537" max="1537" width="3" style="113" customWidth="1"/>
    <col min="1538" max="1538" width="12.33203125" style="113" bestFit="1" customWidth="1"/>
    <col min="1539" max="1541" width="10" style="113" customWidth="1"/>
    <col min="1542" max="1542" width="1.6640625" style="113" customWidth="1"/>
    <col min="1543" max="1543" width="10" style="113" bestFit="1" customWidth="1"/>
    <col min="1544" max="1545" width="9.33203125" style="113" bestFit="1" customWidth="1"/>
    <col min="1546" max="1546" width="10" style="113" bestFit="1" customWidth="1"/>
    <col min="1547" max="1547" width="1.6640625" style="113" customWidth="1"/>
    <col min="1548" max="1548" width="8.109375" style="113" bestFit="1" customWidth="1"/>
    <col min="1549" max="1549" width="7.6640625" style="113" bestFit="1" customWidth="1"/>
    <col min="1550" max="1550" width="7" style="113" customWidth="1"/>
    <col min="1551" max="1551" width="8.109375" style="113" bestFit="1" customWidth="1"/>
    <col min="1552" max="1552" width="1.6640625" style="113" customWidth="1"/>
    <col min="1553" max="1553" width="8.109375" style="113" bestFit="1" customWidth="1"/>
    <col min="1554" max="1556" width="9.109375" style="113"/>
    <col min="1557" max="1557" width="3" style="113" customWidth="1"/>
    <col min="1558" max="1558" width="8.109375" style="113" bestFit="1" customWidth="1"/>
    <col min="1559" max="1561" width="9.109375" style="113"/>
    <col min="1562" max="1562" width="2.6640625" style="113" customWidth="1"/>
    <col min="1563" max="1563" width="8.33203125" style="113" bestFit="1" customWidth="1"/>
    <col min="1564" max="1566" width="9.109375" style="113"/>
    <col min="1567" max="1567" width="1.109375" style="113" customWidth="1"/>
    <col min="1568" max="1568" width="8.33203125" style="113" bestFit="1" customWidth="1"/>
    <col min="1569" max="1570" width="7.6640625" style="113" bestFit="1" customWidth="1"/>
    <col min="1571" max="1571" width="8.109375" style="113" bestFit="1" customWidth="1"/>
    <col min="1572" max="1572" width="1.6640625" style="113" customWidth="1"/>
    <col min="1573" max="1576" width="9.109375" style="113"/>
    <col min="1577" max="1577" width="1.5546875" style="113" customWidth="1"/>
    <col min="1578" max="1578" width="8.109375" style="113" bestFit="1" customWidth="1"/>
    <col min="1579" max="1580" width="7.6640625" style="113" bestFit="1" customWidth="1"/>
    <col min="1581" max="1581" width="8.109375" style="113" bestFit="1" customWidth="1"/>
    <col min="1582" max="1582" width="1.6640625" style="113" customWidth="1"/>
    <col min="1583" max="1583" width="8.33203125" style="113" bestFit="1" customWidth="1"/>
    <col min="1584" max="1585" width="7.6640625" style="113" bestFit="1" customWidth="1"/>
    <col min="1586" max="1586" width="8.109375" style="113" bestFit="1" customWidth="1"/>
    <col min="1587" max="1787" width="9.109375" style="113"/>
    <col min="1788" max="1788" width="4.109375" style="113" bestFit="1" customWidth="1"/>
    <col min="1789" max="1789" width="12.109375" style="113" bestFit="1" customWidth="1"/>
    <col min="1790" max="1791" width="9.33203125" style="113" bestFit="1" customWidth="1"/>
    <col min="1792" max="1792" width="10" style="113" customWidth="1"/>
    <col min="1793" max="1793" width="3" style="113" customWidth="1"/>
    <col min="1794" max="1794" width="12.33203125" style="113" bestFit="1" customWidth="1"/>
    <col min="1795" max="1797" width="10" style="113" customWidth="1"/>
    <col min="1798" max="1798" width="1.6640625" style="113" customWidth="1"/>
    <col min="1799" max="1799" width="10" style="113" bestFit="1" customWidth="1"/>
    <col min="1800" max="1801" width="9.33203125" style="113" bestFit="1" customWidth="1"/>
    <col min="1802" max="1802" width="10" style="113" bestFit="1" customWidth="1"/>
    <col min="1803" max="1803" width="1.6640625" style="113" customWidth="1"/>
    <col min="1804" max="1804" width="8.109375" style="113" bestFit="1" customWidth="1"/>
    <col min="1805" max="1805" width="7.6640625" style="113" bestFit="1" customWidth="1"/>
    <col min="1806" max="1806" width="7" style="113" customWidth="1"/>
    <col min="1807" max="1807" width="8.109375" style="113" bestFit="1" customWidth="1"/>
    <col min="1808" max="1808" width="1.6640625" style="113" customWidth="1"/>
    <col min="1809" max="1809" width="8.109375" style="113" bestFit="1" customWidth="1"/>
    <col min="1810" max="1812" width="9.109375" style="113"/>
    <col min="1813" max="1813" width="3" style="113" customWidth="1"/>
    <col min="1814" max="1814" width="8.109375" style="113" bestFit="1" customWidth="1"/>
    <col min="1815" max="1817" width="9.109375" style="113"/>
    <col min="1818" max="1818" width="2.6640625" style="113" customWidth="1"/>
    <col min="1819" max="1819" width="8.33203125" style="113" bestFit="1" customWidth="1"/>
    <col min="1820" max="1822" width="9.109375" style="113"/>
    <col min="1823" max="1823" width="1.109375" style="113" customWidth="1"/>
    <col min="1824" max="1824" width="8.33203125" style="113" bestFit="1" customWidth="1"/>
    <col min="1825" max="1826" width="7.6640625" style="113" bestFit="1" customWidth="1"/>
    <col min="1827" max="1827" width="8.109375" style="113" bestFit="1" customWidth="1"/>
    <col min="1828" max="1828" width="1.6640625" style="113" customWidth="1"/>
    <col min="1829" max="1832" width="9.109375" style="113"/>
    <col min="1833" max="1833" width="1.5546875" style="113" customWidth="1"/>
    <col min="1834" max="1834" width="8.109375" style="113" bestFit="1" customWidth="1"/>
    <col min="1835" max="1836" width="7.6640625" style="113" bestFit="1" customWidth="1"/>
    <col min="1837" max="1837" width="8.109375" style="113" bestFit="1" customWidth="1"/>
    <col min="1838" max="1838" width="1.6640625" style="113" customWidth="1"/>
    <col min="1839" max="1839" width="8.33203125" style="113" bestFit="1" customWidth="1"/>
    <col min="1840" max="1841" width="7.6640625" style="113" bestFit="1" customWidth="1"/>
    <col min="1842" max="1842" width="8.109375" style="113" bestFit="1" customWidth="1"/>
    <col min="1843" max="2043" width="9.109375" style="113"/>
    <col min="2044" max="2044" width="4.109375" style="113" bestFit="1" customWidth="1"/>
    <col min="2045" max="2045" width="12.109375" style="113" bestFit="1" customWidth="1"/>
    <col min="2046" max="2047" width="9.33203125" style="113" bestFit="1" customWidth="1"/>
    <col min="2048" max="2048" width="10" style="113" customWidth="1"/>
    <col min="2049" max="2049" width="3" style="113" customWidth="1"/>
    <col min="2050" max="2050" width="12.33203125" style="113" bestFit="1" customWidth="1"/>
    <col min="2051" max="2053" width="10" style="113" customWidth="1"/>
    <col min="2054" max="2054" width="1.6640625" style="113" customWidth="1"/>
    <col min="2055" max="2055" width="10" style="113" bestFit="1" customWidth="1"/>
    <col min="2056" max="2057" width="9.33203125" style="113" bestFit="1" customWidth="1"/>
    <col min="2058" max="2058" width="10" style="113" bestFit="1" customWidth="1"/>
    <col min="2059" max="2059" width="1.6640625" style="113" customWidth="1"/>
    <col min="2060" max="2060" width="8.109375" style="113" bestFit="1" customWidth="1"/>
    <col min="2061" max="2061" width="7.6640625" style="113" bestFit="1" customWidth="1"/>
    <col min="2062" max="2062" width="7" style="113" customWidth="1"/>
    <col min="2063" max="2063" width="8.109375" style="113" bestFit="1" customWidth="1"/>
    <col min="2064" max="2064" width="1.6640625" style="113" customWidth="1"/>
    <col min="2065" max="2065" width="8.109375" style="113" bestFit="1" customWidth="1"/>
    <col min="2066" max="2068" width="9.109375" style="113"/>
    <col min="2069" max="2069" width="3" style="113" customWidth="1"/>
    <col min="2070" max="2070" width="8.109375" style="113" bestFit="1" customWidth="1"/>
    <col min="2071" max="2073" width="9.109375" style="113"/>
    <col min="2074" max="2074" width="2.6640625" style="113" customWidth="1"/>
    <col min="2075" max="2075" width="8.33203125" style="113" bestFit="1" customWidth="1"/>
    <col min="2076" max="2078" width="9.109375" style="113"/>
    <col min="2079" max="2079" width="1.109375" style="113" customWidth="1"/>
    <col min="2080" max="2080" width="8.33203125" style="113" bestFit="1" customWidth="1"/>
    <col min="2081" max="2082" width="7.6640625" style="113" bestFit="1" customWidth="1"/>
    <col min="2083" max="2083" width="8.109375" style="113" bestFit="1" customWidth="1"/>
    <col min="2084" max="2084" width="1.6640625" style="113" customWidth="1"/>
    <col min="2085" max="2088" width="9.109375" style="113"/>
    <col min="2089" max="2089" width="1.5546875" style="113" customWidth="1"/>
    <col min="2090" max="2090" width="8.109375" style="113" bestFit="1" customWidth="1"/>
    <col min="2091" max="2092" width="7.6640625" style="113" bestFit="1" customWidth="1"/>
    <col min="2093" max="2093" width="8.109375" style="113" bestFit="1" customWidth="1"/>
    <col min="2094" max="2094" width="1.6640625" style="113" customWidth="1"/>
    <col min="2095" max="2095" width="8.33203125" style="113" bestFit="1" customWidth="1"/>
    <col min="2096" max="2097" width="7.6640625" style="113" bestFit="1" customWidth="1"/>
    <col min="2098" max="2098" width="8.109375" style="113" bestFit="1" customWidth="1"/>
    <col min="2099" max="2299" width="9.109375" style="113"/>
    <col min="2300" max="2300" width="4.109375" style="113" bestFit="1" customWidth="1"/>
    <col min="2301" max="2301" width="12.109375" style="113" bestFit="1" customWidth="1"/>
    <col min="2302" max="2303" width="9.33203125" style="113" bestFit="1" customWidth="1"/>
    <col min="2304" max="2304" width="10" style="113" customWidth="1"/>
    <col min="2305" max="2305" width="3" style="113" customWidth="1"/>
    <col min="2306" max="2306" width="12.33203125" style="113" bestFit="1" customWidth="1"/>
    <col min="2307" max="2309" width="10" style="113" customWidth="1"/>
    <col min="2310" max="2310" width="1.6640625" style="113" customWidth="1"/>
    <col min="2311" max="2311" width="10" style="113" bestFit="1" customWidth="1"/>
    <col min="2312" max="2313" width="9.33203125" style="113" bestFit="1" customWidth="1"/>
    <col min="2314" max="2314" width="10" style="113" bestFit="1" customWidth="1"/>
    <col min="2315" max="2315" width="1.6640625" style="113" customWidth="1"/>
    <col min="2316" max="2316" width="8.109375" style="113" bestFit="1" customWidth="1"/>
    <col min="2317" max="2317" width="7.6640625" style="113" bestFit="1" customWidth="1"/>
    <col min="2318" max="2318" width="7" style="113" customWidth="1"/>
    <col min="2319" max="2319" width="8.109375" style="113" bestFit="1" customWidth="1"/>
    <col min="2320" max="2320" width="1.6640625" style="113" customWidth="1"/>
    <col min="2321" max="2321" width="8.109375" style="113" bestFit="1" customWidth="1"/>
    <col min="2322" max="2324" width="9.109375" style="113"/>
    <col min="2325" max="2325" width="3" style="113" customWidth="1"/>
    <col min="2326" max="2326" width="8.109375" style="113" bestFit="1" customWidth="1"/>
    <col min="2327" max="2329" width="9.109375" style="113"/>
    <col min="2330" max="2330" width="2.6640625" style="113" customWidth="1"/>
    <col min="2331" max="2331" width="8.33203125" style="113" bestFit="1" customWidth="1"/>
    <col min="2332" max="2334" width="9.109375" style="113"/>
    <col min="2335" max="2335" width="1.109375" style="113" customWidth="1"/>
    <col min="2336" max="2336" width="8.33203125" style="113" bestFit="1" customWidth="1"/>
    <col min="2337" max="2338" width="7.6640625" style="113" bestFit="1" customWidth="1"/>
    <col min="2339" max="2339" width="8.109375" style="113" bestFit="1" customWidth="1"/>
    <col min="2340" max="2340" width="1.6640625" style="113" customWidth="1"/>
    <col min="2341" max="2344" width="9.109375" style="113"/>
    <col min="2345" max="2345" width="1.5546875" style="113" customWidth="1"/>
    <col min="2346" max="2346" width="8.109375" style="113" bestFit="1" customWidth="1"/>
    <col min="2347" max="2348" width="7.6640625" style="113" bestFit="1" customWidth="1"/>
    <col min="2349" max="2349" width="8.109375" style="113" bestFit="1" customWidth="1"/>
    <col min="2350" max="2350" width="1.6640625" style="113" customWidth="1"/>
    <col min="2351" max="2351" width="8.33203125" style="113" bestFit="1" customWidth="1"/>
    <col min="2352" max="2353" width="7.6640625" style="113" bestFit="1" customWidth="1"/>
    <col min="2354" max="2354" width="8.109375" style="113" bestFit="1" customWidth="1"/>
    <col min="2355" max="2555" width="9.109375" style="113"/>
    <col min="2556" max="2556" width="4.109375" style="113" bestFit="1" customWidth="1"/>
    <col min="2557" max="2557" width="12.109375" style="113" bestFit="1" customWidth="1"/>
    <col min="2558" max="2559" width="9.33203125" style="113" bestFit="1" customWidth="1"/>
    <col min="2560" max="2560" width="10" style="113" customWidth="1"/>
    <col min="2561" max="2561" width="3" style="113" customWidth="1"/>
    <col min="2562" max="2562" width="12.33203125" style="113" bestFit="1" customWidth="1"/>
    <col min="2563" max="2565" width="10" style="113" customWidth="1"/>
    <col min="2566" max="2566" width="1.6640625" style="113" customWidth="1"/>
    <col min="2567" max="2567" width="10" style="113" bestFit="1" customWidth="1"/>
    <col min="2568" max="2569" width="9.33203125" style="113" bestFit="1" customWidth="1"/>
    <col min="2570" max="2570" width="10" style="113" bestFit="1" customWidth="1"/>
    <col min="2571" max="2571" width="1.6640625" style="113" customWidth="1"/>
    <col min="2572" max="2572" width="8.109375" style="113" bestFit="1" customWidth="1"/>
    <col min="2573" max="2573" width="7.6640625" style="113" bestFit="1" customWidth="1"/>
    <col min="2574" max="2574" width="7" style="113" customWidth="1"/>
    <col min="2575" max="2575" width="8.109375" style="113" bestFit="1" customWidth="1"/>
    <col min="2576" max="2576" width="1.6640625" style="113" customWidth="1"/>
    <col min="2577" max="2577" width="8.109375" style="113" bestFit="1" customWidth="1"/>
    <col min="2578" max="2580" width="9.109375" style="113"/>
    <col min="2581" max="2581" width="3" style="113" customWidth="1"/>
    <col min="2582" max="2582" width="8.109375" style="113" bestFit="1" customWidth="1"/>
    <col min="2583" max="2585" width="9.109375" style="113"/>
    <col min="2586" max="2586" width="2.6640625" style="113" customWidth="1"/>
    <col min="2587" max="2587" width="8.33203125" style="113" bestFit="1" customWidth="1"/>
    <col min="2588" max="2590" width="9.109375" style="113"/>
    <col min="2591" max="2591" width="1.109375" style="113" customWidth="1"/>
    <col min="2592" max="2592" width="8.33203125" style="113" bestFit="1" customWidth="1"/>
    <col min="2593" max="2594" width="7.6640625" style="113" bestFit="1" customWidth="1"/>
    <col min="2595" max="2595" width="8.109375" style="113" bestFit="1" customWidth="1"/>
    <col min="2596" max="2596" width="1.6640625" style="113" customWidth="1"/>
    <col min="2597" max="2600" width="9.109375" style="113"/>
    <col min="2601" max="2601" width="1.5546875" style="113" customWidth="1"/>
    <col min="2602" max="2602" width="8.109375" style="113" bestFit="1" customWidth="1"/>
    <col min="2603" max="2604" width="7.6640625" style="113" bestFit="1" customWidth="1"/>
    <col min="2605" max="2605" width="8.109375" style="113" bestFit="1" customWidth="1"/>
    <col min="2606" max="2606" width="1.6640625" style="113" customWidth="1"/>
    <col min="2607" max="2607" width="8.33203125" style="113" bestFit="1" customWidth="1"/>
    <col min="2608" max="2609" width="7.6640625" style="113" bestFit="1" customWidth="1"/>
    <col min="2610" max="2610" width="8.109375" style="113" bestFit="1" customWidth="1"/>
    <col min="2611" max="2811" width="9.109375" style="113"/>
    <col min="2812" max="2812" width="4.109375" style="113" bestFit="1" customWidth="1"/>
    <col min="2813" max="2813" width="12.109375" style="113" bestFit="1" customWidth="1"/>
    <col min="2814" max="2815" width="9.33203125" style="113" bestFit="1" customWidth="1"/>
    <col min="2816" max="2816" width="10" style="113" customWidth="1"/>
    <col min="2817" max="2817" width="3" style="113" customWidth="1"/>
    <col min="2818" max="2818" width="12.33203125" style="113" bestFit="1" customWidth="1"/>
    <col min="2819" max="2821" width="10" style="113" customWidth="1"/>
    <col min="2822" max="2822" width="1.6640625" style="113" customWidth="1"/>
    <col min="2823" max="2823" width="10" style="113" bestFit="1" customWidth="1"/>
    <col min="2824" max="2825" width="9.33203125" style="113" bestFit="1" customWidth="1"/>
    <col min="2826" max="2826" width="10" style="113" bestFit="1" customWidth="1"/>
    <col min="2827" max="2827" width="1.6640625" style="113" customWidth="1"/>
    <col min="2828" max="2828" width="8.109375" style="113" bestFit="1" customWidth="1"/>
    <col min="2829" max="2829" width="7.6640625" style="113" bestFit="1" customWidth="1"/>
    <col min="2830" max="2830" width="7" style="113" customWidth="1"/>
    <col min="2831" max="2831" width="8.109375" style="113" bestFit="1" customWidth="1"/>
    <col min="2832" max="2832" width="1.6640625" style="113" customWidth="1"/>
    <col min="2833" max="2833" width="8.109375" style="113" bestFit="1" customWidth="1"/>
    <col min="2834" max="2836" width="9.109375" style="113"/>
    <col min="2837" max="2837" width="3" style="113" customWidth="1"/>
    <col min="2838" max="2838" width="8.109375" style="113" bestFit="1" customWidth="1"/>
    <col min="2839" max="2841" width="9.109375" style="113"/>
    <col min="2842" max="2842" width="2.6640625" style="113" customWidth="1"/>
    <col min="2843" max="2843" width="8.33203125" style="113" bestFit="1" customWidth="1"/>
    <col min="2844" max="2846" width="9.109375" style="113"/>
    <col min="2847" max="2847" width="1.109375" style="113" customWidth="1"/>
    <col min="2848" max="2848" width="8.33203125" style="113" bestFit="1" customWidth="1"/>
    <col min="2849" max="2850" width="7.6640625" style="113" bestFit="1" customWidth="1"/>
    <col min="2851" max="2851" width="8.109375" style="113" bestFit="1" customWidth="1"/>
    <col min="2852" max="2852" width="1.6640625" style="113" customWidth="1"/>
    <col min="2853" max="2856" width="9.109375" style="113"/>
    <col min="2857" max="2857" width="1.5546875" style="113" customWidth="1"/>
    <col min="2858" max="2858" width="8.109375" style="113" bestFit="1" customWidth="1"/>
    <col min="2859" max="2860" width="7.6640625" style="113" bestFit="1" customWidth="1"/>
    <col min="2861" max="2861" width="8.109375" style="113" bestFit="1" customWidth="1"/>
    <col min="2862" max="2862" width="1.6640625" style="113" customWidth="1"/>
    <col min="2863" max="2863" width="8.33203125" style="113" bestFit="1" customWidth="1"/>
    <col min="2864" max="2865" width="7.6640625" style="113" bestFit="1" customWidth="1"/>
    <col min="2866" max="2866" width="8.109375" style="113" bestFit="1" customWidth="1"/>
    <col min="2867" max="3067" width="9.109375" style="113"/>
    <col min="3068" max="3068" width="4.109375" style="113" bestFit="1" customWidth="1"/>
    <col min="3069" max="3069" width="12.109375" style="113" bestFit="1" customWidth="1"/>
    <col min="3070" max="3071" width="9.33203125" style="113" bestFit="1" customWidth="1"/>
    <col min="3072" max="3072" width="10" style="113" customWidth="1"/>
    <col min="3073" max="3073" width="3" style="113" customWidth="1"/>
    <col min="3074" max="3074" width="12.33203125" style="113" bestFit="1" customWidth="1"/>
    <col min="3075" max="3077" width="10" style="113" customWidth="1"/>
    <col min="3078" max="3078" width="1.6640625" style="113" customWidth="1"/>
    <col min="3079" max="3079" width="10" style="113" bestFit="1" customWidth="1"/>
    <col min="3080" max="3081" width="9.33203125" style="113" bestFit="1" customWidth="1"/>
    <col min="3082" max="3082" width="10" style="113" bestFit="1" customWidth="1"/>
    <col min="3083" max="3083" width="1.6640625" style="113" customWidth="1"/>
    <col min="3084" max="3084" width="8.109375" style="113" bestFit="1" customWidth="1"/>
    <col min="3085" max="3085" width="7.6640625" style="113" bestFit="1" customWidth="1"/>
    <col min="3086" max="3086" width="7" style="113" customWidth="1"/>
    <col min="3087" max="3087" width="8.109375" style="113" bestFit="1" customWidth="1"/>
    <col min="3088" max="3088" width="1.6640625" style="113" customWidth="1"/>
    <col min="3089" max="3089" width="8.109375" style="113" bestFit="1" customWidth="1"/>
    <col min="3090" max="3092" width="9.109375" style="113"/>
    <col min="3093" max="3093" width="3" style="113" customWidth="1"/>
    <col min="3094" max="3094" width="8.109375" style="113" bestFit="1" customWidth="1"/>
    <col min="3095" max="3097" width="9.109375" style="113"/>
    <col min="3098" max="3098" width="2.6640625" style="113" customWidth="1"/>
    <col min="3099" max="3099" width="8.33203125" style="113" bestFit="1" customWidth="1"/>
    <col min="3100" max="3102" width="9.109375" style="113"/>
    <col min="3103" max="3103" width="1.109375" style="113" customWidth="1"/>
    <col min="3104" max="3104" width="8.33203125" style="113" bestFit="1" customWidth="1"/>
    <col min="3105" max="3106" width="7.6640625" style="113" bestFit="1" customWidth="1"/>
    <col min="3107" max="3107" width="8.109375" style="113" bestFit="1" customWidth="1"/>
    <col min="3108" max="3108" width="1.6640625" style="113" customWidth="1"/>
    <col min="3109" max="3112" width="9.109375" style="113"/>
    <col min="3113" max="3113" width="1.5546875" style="113" customWidth="1"/>
    <col min="3114" max="3114" width="8.109375" style="113" bestFit="1" customWidth="1"/>
    <col min="3115" max="3116" width="7.6640625" style="113" bestFit="1" customWidth="1"/>
    <col min="3117" max="3117" width="8.109375" style="113" bestFit="1" customWidth="1"/>
    <col min="3118" max="3118" width="1.6640625" style="113" customWidth="1"/>
    <col min="3119" max="3119" width="8.33203125" style="113" bestFit="1" customWidth="1"/>
    <col min="3120" max="3121" width="7.6640625" style="113" bestFit="1" customWidth="1"/>
    <col min="3122" max="3122" width="8.109375" style="113" bestFit="1" customWidth="1"/>
    <col min="3123" max="3323" width="9.109375" style="113"/>
    <col min="3324" max="3324" width="4.109375" style="113" bestFit="1" customWidth="1"/>
    <col min="3325" max="3325" width="12.109375" style="113" bestFit="1" customWidth="1"/>
    <col min="3326" max="3327" width="9.33203125" style="113" bestFit="1" customWidth="1"/>
    <col min="3328" max="3328" width="10" style="113" customWidth="1"/>
    <col min="3329" max="3329" width="3" style="113" customWidth="1"/>
    <col min="3330" max="3330" width="12.33203125" style="113" bestFit="1" customWidth="1"/>
    <col min="3331" max="3333" width="10" style="113" customWidth="1"/>
    <col min="3334" max="3334" width="1.6640625" style="113" customWidth="1"/>
    <col min="3335" max="3335" width="10" style="113" bestFit="1" customWidth="1"/>
    <col min="3336" max="3337" width="9.33203125" style="113" bestFit="1" customWidth="1"/>
    <col min="3338" max="3338" width="10" style="113" bestFit="1" customWidth="1"/>
    <col min="3339" max="3339" width="1.6640625" style="113" customWidth="1"/>
    <col min="3340" max="3340" width="8.109375" style="113" bestFit="1" customWidth="1"/>
    <col min="3341" max="3341" width="7.6640625" style="113" bestFit="1" customWidth="1"/>
    <col min="3342" max="3342" width="7" style="113" customWidth="1"/>
    <col min="3343" max="3343" width="8.109375" style="113" bestFit="1" customWidth="1"/>
    <col min="3344" max="3344" width="1.6640625" style="113" customWidth="1"/>
    <col min="3345" max="3345" width="8.109375" style="113" bestFit="1" customWidth="1"/>
    <col min="3346" max="3348" width="9.109375" style="113"/>
    <col min="3349" max="3349" width="3" style="113" customWidth="1"/>
    <col min="3350" max="3350" width="8.109375" style="113" bestFit="1" customWidth="1"/>
    <col min="3351" max="3353" width="9.109375" style="113"/>
    <col min="3354" max="3354" width="2.6640625" style="113" customWidth="1"/>
    <col min="3355" max="3355" width="8.33203125" style="113" bestFit="1" customWidth="1"/>
    <col min="3356" max="3358" width="9.109375" style="113"/>
    <col min="3359" max="3359" width="1.109375" style="113" customWidth="1"/>
    <col min="3360" max="3360" width="8.33203125" style="113" bestFit="1" customWidth="1"/>
    <col min="3361" max="3362" width="7.6640625" style="113" bestFit="1" customWidth="1"/>
    <col min="3363" max="3363" width="8.109375" style="113" bestFit="1" customWidth="1"/>
    <col min="3364" max="3364" width="1.6640625" style="113" customWidth="1"/>
    <col min="3365" max="3368" width="9.109375" style="113"/>
    <col min="3369" max="3369" width="1.5546875" style="113" customWidth="1"/>
    <col min="3370" max="3370" width="8.109375" style="113" bestFit="1" customWidth="1"/>
    <col min="3371" max="3372" width="7.6640625" style="113" bestFit="1" customWidth="1"/>
    <col min="3373" max="3373" width="8.109375" style="113" bestFit="1" customWidth="1"/>
    <col min="3374" max="3374" width="1.6640625" style="113" customWidth="1"/>
    <col min="3375" max="3375" width="8.33203125" style="113" bestFit="1" customWidth="1"/>
    <col min="3376" max="3377" width="7.6640625" style="113" bestFit="1" customWidth="1"/>
    <col min="3378" max="3378" width="8.109375" style="113" bestFit="1" customWidth="1"/>
    <col min="3379" max="3579" width="9.109375" style="113"/>
    <col min="3580" max="3580" width="4.109375" style="113" bestFit="1" customWidth="1"/>
    <col min="3581" max="3581" width="12.109375" style="113" bestFit="1" customWidth="1"/>
    <col min="3582" max="3583" width="9.33203125" style="113" bestFit="1" customWidth="1"/>
    <col min="3584" max="3584" width="10" style="113" customWidth="1"/>
    <col min="3585" max="3585" width="3" style="113" customWidth="1"/>
    <col min="3586" max="3586" width="12.33203125" style="113" bestFit="1" customWidth="1"/>
    <col min="3587" max="3589" width="10" style="113" customWidth="1"/>
    <col min="3590" max="3590" width="1.6640625" style="113" customWidth="1"/>
    <col min="3591" max="3591" width="10" style="113" bestFit="1" customWidth="1"/>
    <col min="3592" max="3593" width="9.33203125" style="113" bestFit="1" customWidth="1"/>
    <col min="3594" max="3594" width="10" style="113" bestFit="1" customWidth="1"/>
    <col min="3595" max="3595" width="1.6640625" style="113" customWidth="1"/>
    <col min="3596" max="3596" width="8.109375" style="113" bestFit="1" customWidth="1"/>
    <col min="3597" max="3597" width="7.6640625" style="113" bestFit="1" customWidth="1"/>
    <col min="3598" max="3598" width="7" style="113" customWidth="1"/>
    <col min="3599" max="3599" width="8.109375" style="113" bestFit="1" customWidth="1"/>
    <col min="3600" max="3600" width="1.6640625" style="113" customWidth="1"/>
    <col min="3601" max="3601" width="8.109375" style="113" bestFit="1" customWidth="1"/>
    <col min="3602" max="3604" width="9.109375" style="113"/>
    <col min="3605" max="3605" width="3" style="113" customWidth="1"/>
    <col min="3606" max="3606" width="8.109375" style="113" bestFit="1" customWidth="1"/>
    <col min="3607" max="3609" width="9.109375" style="113"/>
    <col min="3610" max="3610" width="2.6640625" style="113" customWidth="1"/>
    <col min="3611" max="3611" width="8.33203125" style="113" bestFit="1" customWidth="1"/>
    <col min="3612" max="3614" width="9.109375" style="113"/>
    <col min="3615" max="3615" width="1.109375" style="113" customWidth="1"/>
    <col min="3616" max="3616" width="8.33203125" style="113" bestFit="1" customWidth="1"/>
    <col min="3617" max="3618" width="7.6640625" style="113" bestFit="1" customWidth="1"/>
    <col min="3619" max="3619" width="8.109375" style="113" bestFit="1" customWidth="1"/>
    <col min="3620" max="3620" width="1.6640625" style="113" customWidth="1"/>
    <col min="3621" max="3624" width="9.109375" style="113"/>
    <col min="3625" max="3625" width="1.5546875" style="113" customWidth="1"/>
    <col min="3626" max="3626" width="8.109375" style="113" bestFit="1" customWidth="1"/>
    <col min="3627" max="3628" width="7.6640625" style="113" bestFit="1" customWidth="1"/>
    <col min="3629" max="3629" width="8.109375" style="113" bestFit="1" customWidth="1"/>
    <col min="3630" max="3630" width="1.6640625" style="113" customWidth="1"/>
    <col min="3631" max="3631" width="8.33203125" style="113" bestFit="1" customWidth="1"/>
    <col min="3632" max="3633" width="7.6640625" style="113" bestFit="1" customWidth="1"/>
    <col min="3634" max="3634" width="8.109375" style="113" bestFit="1" customWidth="1"/>
    <col min="3635" max="3835" width="9.109375" style="113"/>
    <col min="3836" max="3836" width="4.109375" style="113" bestFit="1" customWidth="1"/>
    <col min="3837" max="3837" width="12.109375" style="113" bestFit="1" customWidth="1"/>
    <col min="3838" max="3839" width="9.33203125" style="113" bestFit="1" customWidth="1"/>
    <col min="3840" max="3840" width="10" style="113" customWidth="1"/>
    <col min="3841" max="3841" width="3" style="113" customWidth="1"/>
    <col min="3842" max="3842" width="12.33203125" style="113" bestFit="1" customWidth="1"/>
    <col min="3843" max="3845" width="10" style="113" customWidth="1"/>
    <col min="3846" max="3846" width="1.6640625" style="113" customWidth="1"/>
    <col min="3847" max="3847" width="10" style="113" bestFit="1" customWidth="1"/>
    <col min="3848" max="3849" width="9.33203125" style="113" bestFit="1" customWidth="1"/>
    <col min="3850" max="3850" width="10" style="113" bestFit="1" customWidth="1"/>
    <col min="3851" max="3851" width="1.6640625" style="113" customWidth="1"/>
    <col min="3852" max="3852" width="8.109375" style="113" bestFit="1" customWidth="1"/>
    <col min="3853" max="3853" width="7.6640625" style="113" bestFit="1" customWidth="1"/>
    <col min="3854" max="3854" width="7" style="113" customWidth="1"/>
    <col min="3855" max="3855" width="8.109375" style="113" bestFit="1" customWidth="1"/>
    <col min="3856" max="3856" width="1.6640625" style="113" customWidth="1"/>
    <col min="3857" max="3857" width="8.109375" style="113" bestFit="1" customWidth="1"/>
    <col min="3858" max="3860" width="9.109375" style="113"/>
    <col min="3861" max="3861" width="3" style="113" customWidth="1"/>
    <col min="3862" max="3862" width="8.109375" style="113" bestFit="1" customWidth="1"/>
    <col min="3863" max="3865" width="9.109375" style="113"/>
    <col min="3866" max="3866" width="2.6640625" style="113" customWidth="1"/>
    <col min="3867" max="3867" width="8.33203125" style="113" bestFit="1" customWidth="1"/>
    <col min="3868" max="3870" width="9.109375" style="113"/>
    <col min="3871" max="3871" width="1.109375" style="113" customWidth="1"/>
    <col min="3872" max="3872" width="8.33203125" style="113" bestFit="1" customWidth="1"/>
    <col min="3873" max="3874" width="7.6640625" style="113" bestFit="1" customWidth="1"/>
    <col min="3875" max="3875" width="8.109375" style="113" bestFit="1" customWidth="1"/>
    <col min="3876" max="3876" width="1.6640625" style="113" customWidth="1"/>
    <col min="3877" max="3880" width="9.109375" style="113"/>
    <col min="3881" max="3881" width="1.5546875" style="113" customWidth="1"/>
    <col min="3882" max="3882" width="8.109375" style="113" bestFit="1" customWidth="1"/>
    <col min="3883" max="3884" width="7.6640625" style="113" bestFit="1" customWidth="1"/>
    <col min="3885" max="3885" width="8.109375" style="113" bestFit="1" customWidth="1"/>
    <col min="3886" max="3886" width="1.6640625" style="113" customWidth="1"/>
    <col min="3887" max="3887" width="8.33203125" style="113" bestFit="1" customWidth="1"/>
    <col min="3888" max="3889" width="7.6640625" style="113" bestFit="1" customWidth="1"/>
    <col min="3890" max="3890" width="8.109375" style="113" bestFit="1" customWidth="1"/>
    <col min="3891" max="4091" width="9.109375" style="113"/>
    <col min="4092" max="4092" width="4.109375" style="113" bestFit="1" customWidth="1"/>
    <col min="4093" max="4093" width="12.109375" style="113" bestFit="1" customWidth="1"/>
    <col min="4094" max="4095" width="9.33203125" style="113" bestFit="1" customWidth="1"/>
    <col min="4096" max="4096" width="10" style="113" customWidth="1"/>
    <col min="4097" max="4097" width="3" style="113" customWidth="1"/>
    <col min="4098" max="4098" width="12.33203125" style="113" bestFit="1" customWidth="1"/>
    <col min="4099" max="4101" width="10" style="113" customWidth="1"/>
    <col min="4102" max="4102" width="1.6640625" style="113" customWidth="1"/>
    <col min="4103" max="4103" width="10" style="113" bestFit="1" customWidth="1"/>
    <col min="4104" max="4105" width="9.33203125" style="113" bestFit="1" customWidth="1"/>
    <col min="4106" max="4106" width="10" style="113" bestFit="1" customWidth="1"/>
    <col min="4107" max="4107" width="1.6640625" style="113" customWidth="1"/>
    <col min="4108" max="4108" width="8.109375" style="113" bestFit="1" customWidth="1"/>
    <col min="4109" max="4109" width="7.6640625" style="113" bestFit="1" customWidth="1"/>
    <col min="4110" max="4110" width="7" style="113" customWidth="1"/>
    <col min="4111" max="4111" width="8.109375" style="113" bestFit="1" customWidth="1"/>
    <col min="4112" max="4112" width="1.6640625" style="113" customWidth="1"/>
    <col min="4113" max="4113" width="8.109375" style="113" bestFit="1" customWidth="1"/>
    <col min="4114" max="4116" width="9.109375" style="113"/>
    <col min="4117" max="4117" width="3" style="113" customWidth="1"/>
    <col min="4118" max="4118" width="8.109375" style="113" bestFit="1" customWidth="1"/>
    <col min="4119" max="4121" width="9.109375" style="113"/>
    <col min="4122" max="4122" width="2.6640625" style="113" customWidth="1"/>
    <col min="4123" max="4123" width="8.33203125" style="113" bestFit="1" customWidth="1"/>
    <col min="4124" max="4126" width="9.109375" style="113"/>
    <col min="4127" max="4127" width="1.109375" style="113" customWidth="1"/>
    <col min="4128" max="4128" width="8.33203125" style="113" bestFit="1" customWidth="1"/>
    <col min="4129" max="4130" width="7.6640625" style="113" bestFit="1" customWidth="1"/>
    <col min="4131" max="4131" width="8.109375" style="113" bestFit="1" customWidth="1"/>
    <col min="4132" max="4132" width="1.6640625" style="113" customWidth="1"/>
    <col min="4133" max="4136" width="9.109375" style="113"/>
    <col min="4137" max="4137" width="1.5546875" style="113" customWidth="1"/>
    <col min="4138" max="4138" width="8.109375" style="113" bestFit="1" customWidth="1"/>
    <col min="4139" max="4140" width="7.6640625" style="113" bestFit="1" customWidth="1"/>
    <col min="4141" max="4141" width="8.109375" style="113" bestFit="1" customWidth="1"/>
    <col min="4142" max="4142" width="1.6640625" style="113" customWidth="1"/>
    <col min="4143" max="4143" width="8.33203125" style="113" bestFit="1" customWidth="1"/>
    <col min="4144" max="4145" width="7.6640625" style="113" bestFit="1" customWidth="1"/>
    <col min="4146" max="4146" width="8.109375" style="113" bestFit="1" customWidth="1"/>
    <col min="4147" max="4347" width="9.109375" style="113"/>
    <col min="4348" max="4348" width="4.109375" style="113" bestFit="1" customWidth="1"/>
    <col min="4349" max="4349" width="12.109375" style="113" bestFit="1" customWidth="1"/>
    <col min="4350" max="4351" width="9.33203125" style="113" bestFit="1" customWidth="1"/>
    <col min="4352" max="4352" width="10" style="113" customWidth="1"/>
    <col min="4353" max="4353" width="3" style="113" customWidth="1"/>
    <col min="4354" max="4354" width="12.33203125" style="113" bestFit="1" customWidth="1"/>
    <col min="4355" max="4357" width="10" style="113" customWidth="1"/>
    <col min="4358" max="4358" width="1.6640625" style="113" customWidth="1"/>
    <col min="4359" max="4359" width="10" style="113" bestFit="1" customWidth="1"/>
    <col min="4360" max="4361" width="9.33203125" style="113" bestFit="1" customWidth="1"/>
    <col min="4362" max="4362" width="10" style="113" bestFit="1" customWidth="1"/>
    <col min="4363" max="4363" width="1.6640625" style="113" customWidth="1"/>
    <col min="4364" max="4364" width="8.109375" style="113" bestFit="1" customWidth="1"/>
    <col min="4365" max="4365" width="7.6640625" style="113" bestFit="1" customWidth="1"/>
    <col min="4366" max="4366" width="7" style="113" customWidth="1"/>
    <col min="4367" max="4367" width="8.109375" style="113" bestFit="1" customWidth="1"/>
    <col min="4368" max="4368" width="1.6640625" style="113" customWidth="1"/>
    <col min="4369" max="4369" width="8.109375" style="113" bestFit="1" customWidth="1"/>
    <col min="4370" max="4372" width="9.109375" style="113"/>
    <col min="4373" max="4373" width="3" style="113" customWidth="1"/>
    <col min="4374" max="4374" width="8.109375" style="113" bestFit="1" customWidth="1"/>
    <col min="4375" max="4377" width="9.109375" style="113"/>
    <col min="4378" max="4378" width="2.6640625" style="113" customWidth="1"/>
    <col min="4379" max="4379" width="8.33203125" style="113" bestFit="1" customWidth="1"/>
    <col min="4380" max="4382" width="9.109375" style="113"/>
    <col min="4383" max="4383" width="1.109375" style="113" customWidth="1"/>
    <col min="4384" max="4384" width="8.33203125" style="113" bestFit="1" customWidth="1"/>
    <col min="4385" max="4386" width="7.6640625" style="113" bestFit="1" customWidth="1"/>
    <col min="4387" max="4387" width="8.109375" style="113" bestFit="1" customWidth="1"/>
    <col min="4388" max="4388" width="1.6640625" style="113" customWidth="1"/>
    <col min="4389" max="4392" width="9.109375" style="113"/>
    <col min="4393" max="4393" width="1.5546875" style="113" customWidth="1"/>
    <col min="4394" max="4394" width="8.109375" style="113" bestFit="1" customWidth="1"/>
    <col min="4395" max="4396" width="7.6640625" style="113" bestFit="1" customWidth="1"/>
    <col min="4397" max="4397" width="8.109375" style="113" bestFit="1" customWidth="1"/>
    <col min="4398" max="4398" width="1.6640625" style="113" customWidth="1"/>
    <col min="4399" max="4399" width="8.33203125" style="113" bestFit="1" customWidth="1"/>
    <col min="4400" max="4401" width="7.6640625" style="113" bestFit="1" customWidth="1"/>
    <col min="4402" max="4402" width="8.109375" style="113" bestFit="1" customWidth="1"/>
    <col min="4403" max="4603" width="9.109375" style="113"/>
    <col min="4604" max="4604" width="4.109375" style="113" bestFit="1" customWidth="1"/>
    <col min="4605" max="4605" width="12.109375" style="113" bestFit="1" customWidth="1"/>
    <col min="4606" max="4607" width="9.33203125" style="113" bestFit="1" customWidth="1"/>
    <col min="4608" max="4608" width="10" style="113" customWidth="1"/>
    <col min="4609" max="4609" width="3" style="113" customWidth="1"/>
    <col min="4610" max="4610" width="12.33203125" style="113" bestFit="1" customWidth="1"/>
    <col min="4611" max="4613" width="10" style="113" customWidth="1"/>
    <col min="4614" max="4614" width="1.6640625" style="113" customWidth="1"/>
    <col min="4615" max="4615" width="10" style="113" bestFit="1" customWidth="1"/>
    <col min="4616" max="4617" width="9.33203125" style="113" bestFit="1" customWidth="1"/>
    <col min="4618" max="4618" width="10" style="113" bestFit="1" customWidth="1"/>
    <col min="4619" max="4619" width="1.6640625" style="113" customWidth="1"/>
    <col min="4620" max="4620" width="8.109375" style="113" bestFit="1" customWidth="1"/>
    <col min="4621" max="4621" width="7.6640625" style="113" bestFit="1" customWidth="1"/>
    <col min="4622" max="4622" width="7" style="113" customWidth="1"/>
    <col min="4623" max="4623" width="8.109375" style="113" bestFit="1" customWidth="1"/>
    <col min="4624" max="4624" width="1.6640625" style="113" customWidth="1"/>
    <col min="4625" max="4625" width="8.109375" style="113" bestFit="1" customWidth="1"/>
    <col min="4626" max="4628" width="9.109375" style="113"/>
    <col min="4629" max="4629" width="3" style="113" customWidth="1"/>
    <col min="4630" max="4630" width="8.109375" style="113" bestFit="1" customWidth="1"/>
    <col min="4631" max="4633" width="9.109375" style="113"/>
    <col min="4634" max="4634" width="2.6640625" style="113" customWidth="1"/>
    <col min="4635" max="4635" width="8.33203125" style="113" bestFit="1" customWidth="1"/>
    <col min="4636" max="4638" width="9.109375" style="113"/>
    <col min="4639" max="4639" width="1.109375" style="113" customWidth="1"/>
    <col min="4640" max="4640" width="8.33203125" style="113" bestFit="1" customWidth="1"/>
    <col min="4641" max="4642" width="7.6640625" style="113" bestFit="1" customWidth="1"/>
    <col min="4643" max="4643" width="8.109375" style="113" bestFit="1" customWidth="1"/>
    <col min="4644" max="4644" width="1.6640625" style="113" customWidth="1"/>
    <col min="4645" max="4648" width="9.109375" style="113"/>
    <col min="4649" max="4649" width="1.5546875" style="113" customWidth="1"/>
    <col min="4650" max="4650" width="8.109375" style="113" bestFit="1" customWidth="1"/>
    <col min="4651" max="4652" width="7.6640625" style="113" bestFit="1" customWidth="1"/>
    <col min="4653" max="4653" width="8.109375" style="113" bestFit="1" customWidth="1"/>
    <col min="4654" max="4654" width="1.6640625" style="113" customWidth="1"/>
    <col min="4655" max="4655" width="8.33203125" style="113" bestFit="1" customWidth="1"/>
    <col min="4656" max="4657" width="7.6640625" style="113" bestFit="1" customWidth="1"/>
    <col min="4658" max="4658" width="8.109375" style="113" bestFit="1" customWidth="1"/>
    <col min="4659" max="4859" width="9.109375" style="113"/>
    <col min="4860" max="4860" width="4.109375" style="113" bestFit="1" customWidth="1"/>
    <col min="4861" max="4861" width="12.109375" style="113" bestFit="1" customWidth="1"/>
    <col min="4862" max="4863" width="9.33203125" style="113" bestFit="1" customWidth="1"/>
    <col min="4864" max="4864" width="10" style="113" customWidth="1"/>
    <col min="4865" max="4865" width="3" style="113" customWidth="1"/>
    <col min="4866" max="4866" width="12.33203125" style="113" bestFit="1" customWidth="1"/>
    <col min="4867" max="4869" width="10" style="113" customWidth="1"/>
    <col min="4870" max="4870" width="1.6640625" style="113" customWidth="1"/>
    <col min="4871" max="4871" width="10" style="113" bestFit="1" customWidth="1"/>
    <col min="4872" max="4873" width="9.33203125" style="113" bestFit="1" customWidth="1"/>
    <col min="4874" max="4874" width="10" style="113" bestFit="1" customWidth="1"/>
    <col min="4875" max="4875" width="1.6640625" style="113" customWidth="1"/>
    <col min="4876" max="4876" width="8.109375" style="113" bestFit="1" customWidth="1"/>
    <col min="4877" max="4877" width="7.6640625" style="113" bestFit="1" customWidth="1"/>
    <col min="4878" max="4878" width="7" style="113" customWidth="1"/>
    <col min="4879" max="4879" width="8.109375" style="113" bestFit="1" customWidth="1"/>
    <col min="4880" max="4880" width="1.6640625" style="113" customWidth="1"/>
    <col min="4881" max="4881" width="8.109375" style="113" bestFit="1" customWidth="1"/>
    <col min="4882" max="4884" width="9.109375" style="113"/>
    <col min="4885" max="4885" width="3" style="113" customWidth="1"/>
    <col min="4886" max="4886" width="8.109375" style="113" bestFit="1" customWidth="1"/>
    <col min="4887" max="4889" width="9.109375" style="113"/>
    <col min="4890" max="4890" width="2.6640625" style="113" customWidth="1"/>
    <col min="4891" max="4891" width="8.33203125" style="113" bestFit="1" customWidth="1"/>
    <col min="4892" max="4894" width="9.109375" style="113"/>
    <col min="4895" max="4895" width="1.109375" style="113" customWidth="1"/>
    <col min="4896" max="4896" width="8.33203125" style="113" bestFit="1" customWidth="1"/>
    <col min="4897" max="4898" width="7.6640625" style="113" bestFit="1" customWidth="1"/>
    <col min="4899" max="4899" width="8.109375" style="113" bestFit="1" customWidth="1"/>
    <col min="4900" max="4900" width="1.6640625" style="113" customWidth="1"/>
    <col min="4901" max="4904" width="9.109375" style="113"/>
    <col min="4905" max="4905" width="1.5546875" style="113" customWidth="1"/>
    <col min="4906" max="4906" width="8.109375" style="113" bestFit="1" customWidth="1"/>
    <col min="4907" max="4908" width="7.6640625" style="113" bestFit="1" customWidth="1"/>
    <col min="4909" max="4909" width="8.109375" style="113" bestFit="1" customWidth="1"/>
    <col min="4910" max="4910" width="1.6640625" style="113" customWidth="1"/>
    <col min="4911" max="4911" width="8.33203125" style="113" bestFit="1" customWidth="1"/>
    <col min="4912" max="4913" width="7.6640625" style="113" bestFit="1" customWidth="1"/>
    <col min="4914" max="4914" width="8.109375" style="113" bestFit="1" customWidth="1"/>
    <col min="4915" max="5115" width="9.109375" style="113"/>
    <col min="5116" max="5116" width="4.109375" style="113" bestFit="1" customWidth="1"/>
    <col min="5117" max="5117" width="12.109375" style="113" bestFit="1" customWidth="1"/>
    <col min="5118" max="5119" width="9.33203125" style="113" bestFit="1" customWidth="1"/>
    <col min="5120" max="5120" width="10" style="113" customWidth="1"/>
    <col min="5121" max="5121" width="3" style="113" customWidth="1"/>
    <col min="5122" max="5122" width="12.33203125" style="113" bestFit="1" customWidth="1"/>
    <col min="5123" max="5125" width="10" style="113" customWidth="1"/>
    <col min="5126" max="5126" width="1.6640625" style="113" customWidth="1"/>
    <col min="5127" max="5127" width="10" style="113" bestFit="1" customWidth="1"/>
    <col min="5128" max="5129" width="9.33203125" style="113" bestFit="1" customWidth="1"/>
    <col min="5130" max="5130" width="10" style="113" bestFit="1" customWidth="1"/>
    <col min="5131" max="5131" width="1.6640625" style="113" customWidth="1"/>
    <col min="5132" max="5132" width="8.109375" style="113" bestFit="1" customWidth="1"/>
    <col min="5133" max="5133" width="7.6640625" style="113" bestFit="1" customWidth="1"/>
    <col min="5134" max="5134" width="7" style="113" customWidth="1"/>
    <col min="5135" max="5135" width="8.109375" style="113" bestFit="1" customWidth="1"/>
    <col min="5136" max="5136" width="1.6640625" style="113" customWidth="1"/>
    <col min="5137" max="5137" width="8.109375" style="113" bestFit="1" customWidth="1"/>
    <col min="5138" max="5140" width="9.109375" style="113"/>
    <col min="5141" max="5141" width="3" style="113" customWidth="1"/>
    <col min="5142" max="5142" width="8.109375" style="113" bestFit="1" customWidth="1"/>
    <col min="5143" max="5145" width="9.109375" style="113"/>
    <col min="5146" max="5146" width="2.6640625" style="113" customWidth="1"/>
    <col min="5147" max="5147" width="8.33203125" style="113" bestFit="1" customWidth="1"/>
    <col min="5148" max="5150" width="9.109375" style="113"/>
    <col min="5151" max="5151" width="1.109375" style="113" customWidth="1"/>
    <col min="5152" max="5152" width="8.33203125" style="113" bestFit="1" customWidth="1"/>
    <col min="5153" max="5154" width="7.6640625" style="113" bestFit="1" customWidth="1"/>
    <col min="5155" max="5155" width="8.109375" style="113" bestFit="1" customWidth="1"/>
    <col min="5156" max="5156" width="1.6640625" style="113" customWidth="1"/>
    <col min="5157" max="5160" width="9.109375" style="113"/>
    <col min="5161" max="5161" width="1.5546875" style="113" customWidth="1"/>
    <col min="5162" max="5162" width="8.109375" style="113" bestFit="1" customWidth="1"/>
    <col min="5163" max="5164" width="7.6640625" style="113" bestFit="1" customWidth="1"/>
    <col min="5165" max="5165" width="8.109375" style="113" bestFit="1" customWidth="1"/>
    <col min="5166" max="5166" width="1.6640625" style="113" customWidth="1"/>
    <col min="5167" max="5167" width="8.33203125" style="113" bestFit="1" customWidth="1"/>
    <col min="5168" max="5169" width="7.6640625" style="113" bestFit="1" customWidth="1"/>
    <col min="5170" max="5170" width="8.109375" style="113" bestFit="1" customWidth="1"/>
    <col min="5171" max="5371" width="9.109375" style="113"/>
    <col min="5372" max="5372" width="4.109375" style="113" bestFit="1" customWidth="1"/>
    <col min="5373" max="5373" width="12.109375" style="113" bestFit="1" customWidth="1"/>
    <col min="5374" max="5375" width="9.33203125" style="113" bestFit="1" customWidth="1"/>
    <col min="5376" max="5376" width="10" style="113" customWidth="1"/>
    <col min="5377" max="5377" width="3" style="113" customWidth="1"/>
    <col min="5378" max="5378" width="12.33203125" style="113" bestFit="1" customWidth="1"/>
    <col min="5379" max="5381" width="10" style="113" customWidth="1"/>
    <col min="5382" max="5382" width="1.6640625" style="113" customWidth="1"/>
    <col min="5383" max="5383" width="10" style="113" bestFit="1" customWidth="1"/>
    <col min="5384" max="5385" width="9.33203125" style="113" bestFit="1" customWidth="1"/>
    <col min="5386" max="5386" width="10" style="113" bestFit="1" customWidth="1"/>
    <col min="5387" max="5387" width="1.6640625" style="113" customWidth="1"/>
    <col min="5388" max="5388" width="8.109375" style="113" bestFit="1" customWidth="1"/>
    <col min="5389" max="5389" width="7.6640625" style="113" bestFit="1" customWidth="1"/>
    <col min="5390" max="5390" width="7" style="113" customWidth="1"/>
    <col min="5391" max="5391" width="8.109375" style="113" bestFit="1" customWidth="1"/>
    <col min="5392" max="5392" width="1.6640625" style="113" customWidth="1"/>
    <col min="5393" max="5393" width="8.109375" style="113" bestFit="1" customWidth="1"/>
    <col min="5394" max="5396" width="9.109375" style="113"/>
    <col min="5397" max="5397" width="3" style="113" customWidth="1"/>
    <col min="5398" max="5398" width="8.109375" style="113" bestFit="1" customWidth="1"/>
    <col min="5399" max="5401" width="9.109375" style="113"/>
    <col min="5402" max="5402" width="2.6640625" style="113" customWidth="1"/>
    <col min="5403" max="5403" width="8.33203125" style="113" bestFit="1" customWidth="1"/>
    <col min="5404" max="5406" width="9.109375" style="113"/>
    <col min="5407" max="5407" width="1.109375" style="113" customWidth="1"/>
    <col min="5408" max="5408" width="8.33203125" style="113" bestFit="1" customWidth="1"/>
    <col min="5409" max="5410" width="7.6640625" style="113" bestFit="1" customWidth="1"/>
    <col min="5411" max="5411" width="8.109375" style="113" bestFit="1" customWidth="1"/>
    <col min="5412" max="5412" width="1.6640625" style="113" customWidth="1"/>
    <col min="5413" max="5416" width="9.109375" style="113"/>
    <col min="5417" max="5417" width="1.5546875" style="113" customWidth="1"/>
    <col min="5418" max="5418" width="8.109375" style="113" bestFit="1" customWidth="1"/>
    <col min="5419" max="5420" width="7.6640625" style="113" bestFit="1" customWidth="1"/>
    <col min="5421" max="5421" width="8.109375" style="113" bestFit="1" customWidth="1"/>
    <col min="5422" max="5422" width="1.6640625" style="113" customWidth="1"/>
    <col min="5423" max="5423" width="8.33203125" style="113" bestFit="1" customWidth="1"/>
    <col min="5424" max="5425" width="7.6640625" style="113" bestFit="1" customWidth="1"/>
    <col min="5426" max="5426" width="8.109375" style="113" bestFit="1" customWidth="1"/>
    <col min="5427" max="5627" width="9.109375" style="113"/>
    <col min="5628" max="5628" width="4.109375" style="113" bestFit="1" customWidth="1"/>
    <col min="5629" max="5629" width="12.109375" style="113" bestFit="1" customWidth="1"/>
    <col min="5630" max="5631" width="9.33203125" style="113" bestFit="1" customWidth="1"/>
    <col min="5632" max="5632" width="10" style="113" customWidth="1"/>
    <col min="5633" max="5633" width="3" style="113" customWidth="1"/>
    <col min="5634" max="5634" width="12.33203125" style="113" bestFit="1" customWidth="1"/>
    <col min="5635" max="5637" width="10" style="113" customWidth="1"/>
    <col min="5638" max="5638" width="1.6640625" style="113" customWidth="1"/>
    <col min="5639" max="5639" width="10" style="113" bestFit="1" customWidth="1"/>
    <col min="5640" max="5641" width="9.33203125" style="113" bestFit="1" customWidth="1"/>
    <col min="5642" max="5642" width="10" style="113" bestFit="1" customWidth="1"/>
    <col min="5643" max="5643" width="1.6640625" style="113" customWidth="1"/>
    <col min="5644" max="5644" width="8.109375" style="113" bestFit="1" customWidth="1"/>
    <col min="5645" max="5645" width="7.6640625" style="113" bestFit="1" customWidth="1"/>
    <col min="5646" max="5646" width="7" style="113" customWidth="1"/>
    <col min="5647" max="5647" width="8.109375" style="113" bestFit="1" customWidth="1"/>
    <col min="5648" max="5648" width="1.6640625" style="113" customWidth="1"/>
    <col min="5649" max="5649" width="8.109375" style="113" bestFit="1" customWidth="1"/>
    <col min="5650" max="5652" width="9.109375" style="113"/>
    <col min="5653" max="5653" width="3" style="113" customWidth="1"/>
    <col min="5654" max="5654" width="8.109375" style="113" bestFit="1" customWidth="1"/>
    <col min="5655" max="5657" width="9.109375" style="113"/>
    <col min="5658" max="5658" width="2.6640625" style="113" customWidth="1"/>
    <col min="5659" max="5659" width="8.33203125" style="113" bestFit="1" customWidth="1"/>
    <col min="5660" max="5662" width="9.109375" style="113"/>
    <col min="5663" max="5663" width="1.109375" style="113" customWidth="1"/>
    <col min="5664" max="5664" width="8.33203125" style="113" bestFit="1" customWidth="1"/>
    <col min="5665" max="5666" width="7.6640625" style="113" bestFit="1" customWidth="1"/>
    <col min="5667" max="5667" width="8.109375" style="113" bestFit="1" customWidth="1"/>
    <col min="5668" max="5668" width="1.6640625" style="113" customWidth="1"/>
    <col min="5669" max="5672" width="9.109375" style="113"/>
    <col min="5673" max="5673" width="1.5546875" style="113" customWidth="1"/>
    <col min="5674" max="5674" width="8.109375" style="113" bestFit="1" customWidth="1"/>
    <col min="5675" max="5676" width="7.6640625" style="113" bestFit="1" customWidth="1"/>
    <col min="5677" max="5677" width="8.109375" style="113" bestFit="1" customWidth="1"/>
    <col min="5678" max="5678" width="1.6640625" style="113" customWidth="1"/>
    <col min="5679" max="5679" width="8.33203125" style="113" bestFit="1" customWidth="1"/>
    <col min="5680" max="5681" width="7.6640625" style="113" bestFit="1" customWidth="1"/>
    <col min="5682" max="5682" width="8.109375" style="113" bestFit="1" customWidth="1"/>
    <col min="5683" max="5883" width="9.109375" style="113"/>
    <col min="5884" max="5884" width="4.109375" style="113" bestFit="1" customWidth="1"/>
    <col min="5885" max="5885" width="12.109375" style="113" bestFit="1" customWidth="1"/>
    <col min="5886" max="5887" width="9.33203125" style="113" bestFit="1" customWidth="1"/>
    <col min="5888" max="5888" width="10" style="113" customWidth="1"/>
    <col min="5889" max="5889" width="3" style="113" customWidth="1"/>
    <col min="5890" max="5890" width="12.33203125" style="113" bestFit="1" customWidth="1"/>
    <col min="5891" max="5893" width="10" style="113" customWidth="1"/>
    <col min="5894" max="5894" width="1.6640625" style="113" customWidth="1"/>
    <col min="5895" max="5895" width="10" style="113" bestFit="1" customWidth="1"/>
    <col min="5896" max="5897" width="9.33203125" style="113" bestFit="1" customWidth="1"/>
    <col min="5898" max="5898" width="10" style="113" bestFit="1" customWidth="1"/>
    <col min="5899" max="5899" width="1.6640625" style="113" customWidth="1"/>
    <col min="5900" max="5900" width="8.109375" style="113" bestFit="1" customWidth="1"/>
    <col min="5901" max="5901" width="7.6640625" style="113" bestFit="1" customWidth="1"/>
    <col min="5902" max="5902" width="7" style="113" customWidth="1"/>
    <col min="5903" max="5903" width="8.109375" style="113" bestFit="1" customWidth="1"/>
    <col min="5904" max="5904" width="1.6640625" style="113" customWidth="1"/>
    <col min="5905" max="5905" width="8.109375" style="113" bestFit="1" customWidth="1"/>
    <col min="5906" max="5908" width="9.109375" style="113"/>
    <col min="5909" max="5909" width="3" style="113" customWidth="1"/>
    <col min="5910" max="5910" width="8.109375" style="113" bestFit="1" customWidth="1"/>
    <col min="5911" max="5913" width="9.109375" style="113"/>
    <col min="5914" max="5914" width="2.6640625" style="113" customWidth="1"/>
    <col min="5915" max="5915" width="8.33203125" style="113" bestFit="1" customWidth="1"/>
    <col min="5916" max="5918" width="9.109375" style="113"/>
    <col min="5919" max="5919" width="1.109375" style="113" customWidth="1"/>
    <col min="5920" max="5920" width="8.33203125" style="113" bestFit="1" customWidth="1"/>
    <col min="5921" max="5922" width="7.6640625" style="113" bestFit="1" customWidth="1"/>
    <col min="5923" max="5923" width="8.109375" style="113" bestFit="1" customWidth="1"/>
    <col min="5924" max="5924" width="1.6640625" style="113" customWidth="1"/>
    <col min="5925" max="5928" width="9.109375" style="113"/>
    <col min="5929" max="5929" width="1.5546875" style="113" customWidth="1"/>
    <col min="5930" max="5930" width="8.109375" style="113" bestFit="1" customWidth="1"/>
    <col min="5931" max="5932" width="7.6640625" style="113" bestFit="1" customWidth="1"/>
    <col min="5933" max="5933" width="8.109375" style="113" bestFit="1" customWidth="1"/>
    <col min="5934" max="5934" width="1.6640625" style="113" customWidth="1"/>
    <col min="5935" max="5935" width="8.33203125" style="113" bestFit="1" customWidth="1"/>
    <col min="5936" max="5937" width="7.6640625" style="113" bestFit="1" customWidth="1"/>
    <col min="5938" max="5938" width="8.109375" style="113" bestFit="1" customWidth="1"/>
    <col min="5939" max="6139" width="9.109375" style="113"/>
    <col min="6140" max="6140" width="4.109375" style="113" bestFit="1" customWidth="1"/>
    <col min="6141" max="6141" width="12.109375" style="113" bestFit="1" customWidth="1"/>
    <col min="6142" max="6143" width="9.33203125" style="113" bestFit="1" customWidth="1"/>
    <col min="6144" max="6144" width="10" style="113" customWidth="1"/>
    <col min="6145" max="6145" width="3" style="113" customWidth="1"/>
    <col min="6146" max="6146" width="12.33203125" style="113" bestFit="1" customWidth="1"/>
    <col min="6147" max="6149" width="10" style="113" customWidth="1"/>
    <col min="6150" max="6150" width="1.6640625" style="113" customWidth="1"/>
    <col min="6151" max="6151" width="10" style="113" bestFit="1" customWidth="1"/>
    <col min="6152" max="6153" width="9.33203125" style="113" bestFit="1" customWidth="1"/>
    <col min="6154" max="6154" width="10" style="113" bestFit="1" customWidth="1"/>
    <col min="6155" max="6155" width="1.6640625" style="113" customWidth="1"/>
    <col min="6156" max="6156" width="8.109375" style="113" bestFit="1" customWidth="1"/>
    <col min="6157" max="6157" width="7.6640625" style="113" bestFit="1" customWidth="1"/>
    <col min="6158" max="6158" width="7" style="113" customWidth="1"/>
    <col min="6159" max="6159" width="8.109375" style="113" bestFit="1" customWidth="1"/>
    <col min="6160" max="6160" width="1.6640625" style="113" customWidth="1"/>
    <col min="6161" max="6161" width="8.109375" style="113" bestFit="1" customWidth="1"/>
    <col min="6162" max="6164" width="9.109375" style="113"/>
    <col min="6165" max="6165" width="3" style="113" customWidth="1"/>
    <col min="6166" max="6166" width="8.109375" style="113" bestFit="1" customWidth="1"/>
    <col min="6167" max="6169" width="9.109375" style="113"/>
    <col min="6170" max="6170" width="2.6640625" style="113" customWidth="1"/>
    <col min="6171" max="6171" width="8.33203125" style="113" bestFit="1" customWidth="1"/>
    <col min="6172" max="6174" width="9.109375" style="113"/>
    <col min="6175" max="6175" width="1.109375" style="113" customWidth="1"/>
    <col min="6176" max="6176" width="8.33203125" style="113" bestFit="1" customWidth="1"/>
    <col min="6177" max="6178" width="7.6640625" style="113" bestFit="1" customWidth="1"/>
    <col min="6179" max="6179" width="8.109375" style="113" bestFit="1" customWidth="1"/>
    <col min="6180" max="6180" width="1.6640625" style="113" customWidth="1"/>
    <col min="6181" max="6184" width="9.109375" style="113"/>
    <col min="6185" max="6185" width="1.5546875" style="113" customWidth="1"/>
    <col min="6186" max="6186" width="8.109375" style="113" bestFit="1" customWidth="1"/>
    <col min="6187" max="6188" width="7.6640625" style="113" bestFit="1" customWidth="1"/>
    <col min="6189" max="6189" width="8.109375" style="113" bestFit="1" customWidth="1"/>
    <col min="6190" max="6190" width="1.6640625" style="113" customWidth="1"/>
    <col min="6191" max="6191" width="8.33203125" style="113" bestFit="1" customWidth="1"/>
    <col min="6192" max="6193" width="7.6640625" style="113" bestFit="1" customWidth="1"/>
    <col min="6194" max="6194" width="8.109375" style="113" bestFit="1" customWidth="1"/>
    <col min="6195" max="6395" width="9.109375" style="113"/>
    <col min="6396" max="6396" width="4.109375" style="113" bestFit="1" customWidth="1"/>
    <col min="6397" max="6397" width="12.109375" style="113" bestFit="1" customWidth="1"/>
    <col min="6398" max="6399" width="9.33203125" style="113" bestFit="1" customWidth="1"/>
    <col min="6400" max="6400" width="10" style="113" customWidth="1"/>
    <col min="6401" max="6401" width="3" style="113" customWidth="1"/>
    <col min="6402" max="6402" width="12.33203125" style="113" bestFit="1" customWidth="1"/>
    <col min="6403" max="6405" width="10" style="113" customWidth="1"/>
    <col min="6406" max="6406" width="1.6640625" style="113" customWidth="1"/>
    <col min="6407" max="6407" width="10" style="113" bestFit="1" customWidth="1"/>
    <col min="6408" max="6409" width="9.33203125" style="113" bestFit="1" customWidth="1"/>
    <col min="6410" max="6410" width="10" style="113" bestFit="1" customWidth="1"/>
    <col min="6411" max="6411" width="1.6640625" style="113" customWidth="1"/>
    <col min="6412" max="6412" width="8.109375" style="113" bestFit="1" customWidth="1"/>
    <col min="6413" max="6413" width="7.6640625" style="113" bestFit="1" customWidth="1"/>
    <col min="6414" max="6414" width="7" style="113" customWidth="1"/>
    <col min="6415" max="6415" width="8.109375" style="113" bestFit="1" customWidth="1"/>
    <col min="6416" max="6416" width="1.6640625" style="113" customWidth="1"/>
    <col min="6417" max="6417" width="8.109375" style="113" bestFit="1" customWidth="1"/>
    <col min="6418" max="6420" width="9.109375" style="113"/>
    <col min="6421" max="6421" width="3" style="113" customWidth="1"/>
    <col min="6422" max="6422" width="8.109375" style="113" bestFit="1" customWidth="1"/>
    <col min="6423" max="6425" width="9.109375" style="113"/>
    <col min="6426" max="6426" width="2.6640625" style="113" customWidth="1"/>
    <col min="6427" max="6427" width="8.33203125" style="113" bestFit="1" customWidth="1"/>
    <col min="6428" max="6430" width="9.109375" style="113"/>
    <col min="6431" max="6431" width="1.109375" style="113" customWidth="1"/>
    <col min="6432" max="6432" width="8.33203125" style="113" bestFit="1" customWidth="1"/>
    <col min="6433" max="6434" width="7.6640625" style="113" bestFit="1" customWidth="1"/>
    <col min="6435" max="6435" width="8.109375" style="113" bestFit="1" customWidth="1"/>
    <col min="6436" max="6436" width="1.6640625" style="113" customWidth="1"/>
    <col min="6437" max="6440" width="9.109375" style="113"/>
    <col min="6441" max="6441" width="1.5546875" style="113" customWidth="1"/>
    <col min="6442" max="6442" width="8.109375" style="113" bestFit="1" customWidth="1"/>
    <col min="6443" max="6444" width="7.6640625" style="113" bestFit="1" customWidth="1"/>
    <col min="6445" max="6445" width="8.109375" style="113" bestFit="1" customWidth="1"/>
    <col min="6446" max="6446" width="1.6640625" style="113" customWidth="1"/>
    <col min="6447" max="6447" width="8.33203125" style="113" bestFit="1" customWidth="1"/>
    <col min="6448" max="6449" width="7.6640625" style="113" bestFit="1" customWidth="1"/>
    <col min="6450" max="6450" width="8.109375" style="113" bestFit="1" customWidth="1"/>
    <col min="6451" max="6651" width="9.109375" style="113"/>
    <col min="6652" max="6652" width="4.109375" style="113" bestFit="1" customWidth="1"/>
    <col min="6653" max="6653" width="12.109375" style="113" bestFit="1" customWidth="1"/>
    <col min="6654" max="6655" width="9.33203125" style="113" bestFit="1" customWidth="1"/>
    <col min="6656" max="6656" width="10" style="113" customWidth="1"/>
    <col min="6657" max="6657" width="3" style="113" customWidth="1"/>
    <col min="6658" max="6658" width="12.33203125" style="113" bestFit="1" customWidth="1"/>
    <col min="6659" max="6661" width="10" style="113" customWidth="1"/>
    <col min="6662" max="6662" width="1.6640625" style="113" customWidth="1"/>
    <col min="6663" max="6663" width="10" style="113" bestFit="1" customWidth="1"/>
    <col min="6664" max="6665" width="9.33203125" style="113" bestFit="1" customWidth="1"/>
    <col min="6666" max="6666" width="10" style="113" bestFit="1" customWidth="1"/>
    <col min="6667" max="6667" width="1.6640625" style="113" customWidth="1"/>
    <col min="6668" max="6668" width="8.109375" style="113" bestFit="1" customWidth="1"/>
    <col min="6669" max="6669" width="7.6640625" style="113" bestFit="1" customWidth="1"/>
    <col min="6670" max="6670" width="7" style="113" customWidth="1"/>
    <col min="6671" max="6671" width="8.109375" style="113" bestFit="1" customWidth="1"/>
    <col min="6672" max="6672" width="1.6640625" style="113" customWidth="1"/>
    <col min="6673" max="6673" width="8.109375" style="113" bestFit="1" customWidth="1"/>
    <col min="6674" max="6676" width="9.109375" style="113"/>
    <col min="6677" max="6677" width="3" style="113" customWidth="1"/>
    <col min="6678" max="6678" width="8.109375" style="113" bestFit="1" customWidth="1"/>
    <col min="6679" max="6681" width="9.109375" style="113"/>
    <col min="6682" max="6682" width="2.6640625" style="113" customWidth="1"/>
    <col min="6683" max="6683" width="8.33203125" style="113" bestFit="1" customWidth="1"/>
    <col min="6684" max="6686" width="9.109375" style="113"/>
    <col min="6687" max="6687" width="1.109375" style="113" customWidth="1"/>
    <col min="6688" max="6688" width="8.33203125" style="113" bestFit="1" customWidth="1"/>
    <col min="6689" max="6690" width="7.6640625" style="113" bestFit="1" customWidth="1"/>
    <col min="6691" max="6691" width="8.109375" style="113" bestFit="1" customWidth="1"/>
    <col min="6692" max="6692" width="1.6640625" style="113" customWidth="1"/>
    <col min="6693" max="6696" width="9.109375" style="113"/>
    <col min="6697" max="6697" width="1.5546875" style="113" customWidth="1"/>
    <col min="6698" max="6698" width="8.109375" style="113" bestFit="1" customWidth="1"/>
    <col min="6699" max="6700" width="7.6640625" style="113" bestFit="1" customWidth="1"/>
    <col min="6701" max="6701" width="8.109375" style="113" bestFit="1" customWidth="1"/>
    <col min="6702" max="6702" width="1.6640625" style="113" customWidth="1"/>
    <col min="6703" max="6703" width="8.33203125" style="113" bestFit="1" customWidth="1"/>
    <col min="6704" max="6705" width="7.6640625" style="113" bestFit="1" customWidth="1"/>
    <col min="6706" max="6706" width="8.109375" style="113" bestFit="1" customWidth="1"/>
    <col min="6707" max="6907" width="9.109375" style="113"/>
    <col min="6908" max="6908" width="4.109375" style="113" bestFit="1" customWidth="1"/>
    <col min="6909" max="6909" width="12.109375" style="113" bestFit="1" customWidth="1"/>
    <col min="6910" max="6911" width="9.33203125" style="113" bestFit="1" customWidth="1"/>
    <col min="6912" max="6912" width="10" style="113" customWidth="1"/>
    <col min="6913" max="6913" width="3" style="113" customWidth="1"/>
    <col min="6914" max="6914" width="12.33203125" style="113" bestFit="1" customWidth="1"/>
    <col min="6915" max="6917" width="10" style="113" customWidth="1"/>
    <col min="6918" max="6918" width="1.6640625" style="113" customWidth="1"/>
    <col min="6919" max="6919" width="10" style="113" bestFit="1" customWidth="1"/>
    <col min="6920" max="6921" width="9.33203125" style="113" bestFit="1" customWidth="1"/>
    <col min="6922" max="6922" width="10" style="113" bestFit="1" customWidth="1"/>
    <col min="6923" max="6923" width="1.6640625" style="113" customWidth="1"/>
    <col min="6924" max="6924" width="8.109375" style="113" bestFit="1" customWidth="1"/>
    <col min="6925" max="6925" width="7.6640625" style="113" bestFit="1" customWidth="1"/>
    <col min="6926" max="6926" width="7" style="113" customWidth="1"/>
    <col min="6927" max="6927" width="8.109375" style="113" bestFit="1" customWidth="1"/>
    <col min="6928" max="6928" width="1.6640625" style="113" customWidth="1"/>
    <col min="6929" max="6929" width="8.109375" style="113" bestFit="1" customWidth="1"/>
    <col min="6930" max="6932" width="9.109375" style="113"/>
    <col min="6933" max="6933" width="3" style="113" customWidth="1"/>
    <col min="6934" max="6934" width="8.109375" style="113" bestFit="1" customWidth="1"/>
    <col min="6935" max="6937" width="9.109375" style="113"/>
    <col min="6938" max="6938" width="2.6640625" style="113" customWidth="1"/>
    <col min="6939" max="6939" width="8.33203125" style="113" bestFit="1" customWidth="1"/>
    <col min="6940" max="6942" width="9.109375" style="113"/>
    <col min="6943" max="6943" width="1.109375" style="113" customWidth="1"/>
    <col min="6944" max="6944" width="8.33203125" style="113" bestFit="1" customWidth="1"/>
    <col min="6945" max="6946" width="7.6640625" style="113" bestFit="1" customWidth="1"/>
    <col min="6947" max="6947" width="8.109375" style="113" bestFit="1" customWidth="1"/>
    <col min="6948" max="6948" width="1.6640625" style="113" customWidth="1"/>
    <col min="6949" max="6952" width="9.109375" style="113"/>
    <col min="6953" max="6953" width="1.5546875" style="113" customWidth="1"/>
    <col min="6954" max="6954" width="8.109375" style="113" bestFit="1" customWidth="1"/>
    <col min="6955" max="6956" width="7.6640625" style="113" bestFit="1" customWidth="1"/>
    <col min="6957" max="6957" width="8.109375" style="113" bestFit="1" customWidth="1"/>
    <col min="6958" max="6958" width="1.6640625" style="113" customWidth="1"/>
    <col min="6959" max="6959" width="8.33203125" style="113" bestFit="1" customWidth="1"/>
    <col min="6960" max="6961" width="7.6640625" style="113" bestFit="1" customWidth="1"/>
    <col min="6962" max="6962" width="8.109375" style="113" bestFit="1" customWidth="1"/>
    <col min="6963" max="7163" width="9.109375" style="113"/>
    <col min="7164" max="7164" width="4.109375" style="113" bestFit="1" customWidth="1"/>
    <col min="7165" max="7165" width="12.109375" style="113" bestFit="1" customWidth="1"/>
    <col min="7166" max="7167" width="9.33203125" style="113" bestFit="1" customWidth="1"/>
    <col min="7168" max="7168" width="10" style="113" customWidth="1"/>
    <col min="7169" max="7169" width="3" style="113" customWidth="1"/>
    <col min="7170" max="7170" width="12.33203125" style="113" bestFit="1" customWidth="1"/>
    <col min="7171" max="7173" width="10" style="113" customWidth="1"/>
    <col min="7174" max="7174" width="1.6640625" style="113" customWidth="1"/>
    <col min="7175" max="7175" width="10" style="113" bestFit="1" customWidth="1"/>
    <col min="7176" max="7177" width="9.33203125" style="113" bestFit="1" customWidth="1"/>
    <col min="7178" max="7178" width="10" style="113" bestFit="1" customWidth="1"/>
    <col min="7179" max="7179" width="1.6640625" style="113" customWidth="1"/>
    <col min="7180" max="7180" width="8.109375" style="113" bestFit="1" customWidth="1"/>
    <col min="7181" max="7181" width="7.6640625" style="113" bestFit="1" customWidth="1"/>
    <col min="7182" max="7182" width="7" style="113" customWidth="1"/>
    <col min="7183" max="7183" width="8.109375" style="113" bestFit="1" customWidth="1"/>
    <col min="7184" max="7184" width="1.6640625" style="113" customWidth="1"/>
    <col min="7185" max="7185" width="8.109375" style="113" bestFit="1" customWidth="1"/>
    <col min="7186" max="7188" width="9.109375" style="113"/>
    <col min="7189" max="7189" width="3" style="113" customWidth="1"/>
    <col min="7190" max="7190" width="8.109375" style="113" bestFit="1" customWidth="1"/>
    <col min="7191" max="7193" width="9.109375" style="113"/>
    <col min="7194" max="7194" width="2.6640625" style="113" customWidth="1"/>
    <col min="7195" max="7195" width="8.33203125" style="113" bestFit="1" customWidth="1"/>
    <col min="7196" max="7198" width="9.109375" style="113"/>
    <col min="7199" max="7199" width="1.109375" style="113" customWidth="1"/>
    <col min="7200" max="7200" width="8.33203125" style="113" bestFit="1" customWidth="1"/>
    <col min="7201" max="7202" width="7.6640625" style="113" bestFit="1" customWidth="1"/>
    <col min="7203" max="7203" width="8.109375" style="113" bestFit="1" customWidth="1"/>
    <col min="7204" max="7204" width="1.6640625" style="113" customWidth="1"/>
    <col min="7205" max="7208" width="9.109375" style="113"/>
    <col min="7209" max="7209" width="1.5546875" style="113" customWidth="1"/>
    <col min="7210" max="7210" width="8.109375" style="113" bestFit="1" customWidth="1"/>
    <col min="7211" max="7212" width="7.6640625" style="113" bestFit="1" customWidth="1"/>
    <col min="7213" max="7213" width="8.109375" style="113" bestFit="1" customWidth="1"/>
    <col min="7214" max="7214" width="1.6640625" style="113" customWidth="1"/>
    <col min="7215" max="7215" width="8.33203125" style="113" bestFit="1" customWidth="1"/>
    <col min="7216" max="7217" width="7.6640625" style="113" bestFit="1" customWidth="1"/>
    <col min="7218" max="7218" width="8.109375" style="113" bestFit="1" customWidth="1"/>
    <col min="7219" max="7419" width="9.109375" style="113"/>
    <col min="7420" max="7420" width="4.109375" style="113" bestFit="1" customWidth="1"/>
    <col min="7421" max="7421" width="12.109375" style="113" bestFit="1" customWidth="1"/>
    <col min="7422" max="7423" width="9.33203125" style="113" bestFit="1" customWidth="1"/>
    <col min="7424" max="7424" width="10" style="113" customWidth="1"/>
    <col min="7425" max="7425" width="3" style="113" customWidth="1"/>
    <col min="7426" max="7426" width="12.33203125" style="113" bestFit="1" customWidth="1"/>
    <col min="7427" max="7429" width="10" style="113" customWidth="1"/>
    <col min="7430" max="7430" width="1.6640625" style="113" customWidth="1"/>
    <col min="7431" max="7431" width="10" style="113" bestFit="1" customWidth="1"/>
    <col min="7432" max="7433" width="9.33203125" style="113" bestFit="1" customWidth="1"/>
    <col min="7434" max="7434" width="10" style="113" bestFit="1" customWidth="1"/>
    <col min="7435" max="7435" width="1.6640625" style="113" customWidth="1"/>
    <col min="7436" max="7436" width="8.109375" style="113" bestFit="1" customWidth="1"/>
    <col min="7437" max="7437" width="7.6640625" style="113" bestFit="1" customWidth="1"/>
    <col min="7438" max="7438" width="7" style="113" customWidth="1"/>
    <col min="7439" max="7439" width="8.109375" style="113" bestFit="1" customWidth="1"/>
    <col min="7440" max="7440" width="1.6640625" style="113" customWidth="1"/>
    <col min="7441" max="7441" width="8.109375" style="113" bestFit="1" customWidth="1"/>
    <col min="7442" max="7444" width="9.109375" style="113"/>
    <col min="7445" max="7445" width="3" style="113" customWidth="1"/>
    <col min="7446" max="7446" width="8.109375" style="113" bestFit="1" customWidth="1"/>
    <col min="7447" max="7449" width="9.109375" style="113"/>
    <col min="7450" max="7450" width="2.6640625" style="113" customWidth="1"/>
    <col min="7451" max="7451" width="8.33203125" style="113" bestFit="1" customWidth="1"/>
    <col min="7452" max="7454" width="9.109375" style="113"/>
    <col min="7455" max="7455" width="1.109375" style="113" customWidth="1"/>
    <col min="7456" max="7456" width="8.33203125" style="113" bestFit="1" customWidth="1"/>
    <col min="7457" max="7458" width="7.6640625" style="113" bestFit="1" customWidth="1"/>
    <col min="7459" max="7459" width="8.109375" style="113" bestFit="1" customWidth="1"/>
    <col min="7460" max="7460" width="1.6640625" style="113" customWidth="1"/>
    <col min="7461" max="7464" width="9.109375" style="113"/>
    <col min="7465" max="7465" width="1.5546875" style="113" customWidth="1"/>
    <col min="7466" max="7466" width="8.109375" style="113" bestFit="1" customWidth="1"/>
    <col min="7467" max="7468" width="7.6640625" style="113" bestFit="1" customWidth="1"/>
    <col min="7469" max="7469" width="8.109375" style="113" bestFit="1" customWidth="1"/>
    <col min="7470" max="7470" width="1.6640625" style="113" customWidth="1"/>
    <col min="7471" max="7471" width="8.33203125" style="113" bestFit="1" customWidth="1"/>
    <col min="7472" max="7473" width="7.6640625" style="113" bestFit="1" customWidth="1"/>
    <col min="7474" max="7474" width="8.109375" style="113" bestFit="1" customWidth="1"/>
    <col min="7475" max="7675" width="9.109375" style="113"/>
    <col min="7676" max="7676" width="4.109375" style="113" bestFit="1" customWidth="1"/>
    <col min="7677" max="7677" width="12.109375" style="113" bestFit="1" customWidth="1"/>
    <col min="7678" max="7679" width="9.33203125" style="113" bestFit="1" customWidth="1"/>
    <col min="7680" max="7680" width="10" style="113" customWidth="1"/>
    <col min="7681" max="7681" width="3" style="113" customWidth="1"/>
    <col min="7682" max="7682" width="12.33203125" style="113" bestFit="1" customWidth="1"/>
    <col min="7683" max="7685" width="10" style="113" customWidth="1"/>
    <col min="7686" max="7686" width="1.6640625" style="113" customWidth="1"/>
    <col min="7687" max="7687" width="10" style="113" bestFit="1" customWidth="1"/>
    <col min="7688" max="7689" width="9.33203125" style="113" bestFit="1" customWidth="1"/>
    <col min="7690" max="7690" width="10" style="113" bestFit="1" customWidth="1"/>
    <col min="7691" max="7691" width="1.6640625" style="113" customWidth="1"/>
    <col min="7692" max="7692" width="8.109375" style="113" bestFit="1" customWidth="1"/>
    <col min="7693" max="7693" width="7.6640625" style="113" bestFit="1" customWidth="1"/>
    <col min="7694" max="7694" width="7" style="113" customWidth="1"/>
    <col min="7695" max="7695" width="8.109375" style="113" bestFit="1" customWidth="1"/>
    <col min="7696" max="7696" width="1.6640625" style="113" customWidth="1"/>
    <col min="7697" max="7697" width="8.109375" style="113" bestFit="1" customWidth="1"/>
    <col min="7698" max="7700" width="9.109375" style="113"/>
    <col min="7701" max="7701" width="3" style="113" customWidth="1"/>
    <col min="7702" max="7702" width="8.109375" style="113" bestFit="1" customWidth="1"/>
    <col min="7703" max="7705" width="9.109375" style="113"/>
    <col min="7706" max="7706" width="2.6640625" style="113" customWidth="1"/>
    <col min="7707" max="7707" width="8.33203125" style="113" bestFit="1" customWidth="1"/>
    <col min="7708" max="7710" width="9.109375" style="113"/>
    <col min="7711" max="7711" width="1.109375" style="113" customWidth="1"/>
    <col min="7712" max="7712" width="8.33203125" style="113" bestFit="1" customWidth="1"/>
    <col min="7713" max="7714" width="7.6640625" style="113" bestFit="1" customWidth="1"/>
    <col min="7715" max="7715" width="8.109375" style="113" bestFit="1" customWidth="1"/>
    <col min="7716" max="7716" width="1.6640625" style="113" customWidth="1"/>
    <col min="7717" max="7720" width="9.109375" style="113"/>
    <col min="7721" max="7721" width="1.5546875" style="113" customWidth="1"/>
    <col min="7722" max="7722" width="8.109375" style="113" bestFit="1" customWidth="1"/>
    <col min="7723" max="7724" width="7.6640625" style="113" bestFit="1" customWidth="1"/>
    <col min="7725" max="7725" width="8.109375" style="113" bestFit="1" customWidth="1"/>
    <col min="7726" max="7726" width="1.6640625" style="113" customWidth="1"/>
    <col min="7727" max="7727" width="8.33203125" style="113" bestFit="1" customWidth="1"/>
    <col min="7728" max="7729" width="7.6640625" style="113" bestFit="1" customWidth="1"/>
    <col min="7730" max="7730" width="8.109375" style="113" bestFit="1" customWidth="1"/>
    <col min="7731" max="7931" width="9.109375" style="113"/>
    <col min="7932" max="7932" width="4.109375" style="113" bestFit="1" customWidth="1"/>
    <col min="7933" max="7933" width="12.109375" style="113" bestFit="1" customWidth="1"/>
    <col min="7934" max="7935" width="9.33203125" style="113" bestFit="1" customWidth="1"/>
    <col min="7936" max="7936" width="10" style="113" customWidth="1"/>
    <col min="7937" max="7937" width="3" style="113" customWidth="1"/>
    <col min="7938" max="7938" width="12.33203125" style="113" bestFit="1" customWidth="1"/>
    <col min="7939" max="7941" width="10" style="113" customWidth="1"/>
    <col min="7942" max="7942" width="1.6640625" style="113" customWidth="1"/>
    <col min="7943" max="7943" width="10" style="113" bestFit="1" customWidth="1"/>
    <col min="7944" max="7945" width="9.33203125" style="113" bestFit="1" customWidth="1"/>
    <col min="7946" max="7946" width="10" style="113" bestFit="1" customWidth="1"/>
    <col min="7947" max="7947" width="1.6640625" style="113" customWidth="1"/>
    <col min="7948" max="7948" width="8.109375" style="113" bestFit="1" customWidth="1"/>
    <col min="7949" max="7949" width="7.6640625" style="113" bestFit="1" customWidth="1"/>
    <col min="7950" max="7950" width="7" style="113" customWidth="1"/>
    <col min="7951" max="7951" width="8.109375" style="113" bestFit="1" customWidth="1"/>
    <col min="7952" max="7952" width="1.6640625" style="113" customWidth="1"/>
    <col min="7953" max="7953" width="8.109375" style="113" bestFit="1" customWidth="1"/>
    <col min="7954" max="7956" width="9.109375" style="113"/>
    <col min="7957" max="7957" width="3" style="113" customWidth="1"/>
    <col min="7958" max="7958" width="8.109375" style="113" bestFit="1" customWidth="1"/>
    <col min="7959" max="7961" width="9.109375" style="113"/>
    <col min="7962" max="7962" width="2.6640625" style="113" customWidth="1"/>
    <col min="7963" max="7963" width="8.33203125" style="113" bestFit="1" customWidth="1"/>
    <col min="7964" max="7966" width="9.109375" style="113"/>
    <col min="7967" max="7967" width="1.109375" style="113" customWidth="1"/>
    <col min="7968" max="7968" width="8.33203125" style="113" bestFit="1" customWidth="1"/>
    <col min="7969" max="7970" width="7.6640625" style="113" bestFit="1" customWidth="1"/>
    <col min="7971" max="7971" width="8.109375" style="113" bestFit="1" customWidth="1"/>
    <col min="7972" max="7972" width="1.6640625" style="113" customWidth="1"/>
    <col min="7973" max="7976" width="9.109375" style="113"/>
    <col min="7977" max="7977" width="1.5546875" style="113" customWidth="1"/>
    <col min="7978" max="7978" width="8.109375" style="113" bestFit="1" customWidth="1"/>
    <col min="7979" max="7980" width="7.6640625" style="113" bestFit="1" customWidth="1"/>
    <col min="7981" max="7981" width="8.109375" style="113" bestFit="1" customWidth="1"/>
    <col min="7982" max="7982" width="1.6640625" style="113" customWidth="1"/>
    <col min="7983" max="7983" width="8.33203125" style="113" bestFit="1" customWidth="1"/>
    <col min="7984" max="7985" width="7.6640625" style="113" bestFit="1" customWidth="1"/>
    <col min="7986" max="7986" width="8.109375" style="113" bestFit="1" customWidth="1"/>
    <col min="7987" max="8187" width="9.109375" style="113"/>
    <col min="8188" max="8188" width="4.109375" style="113" bestFit="1" customWidth="1"/>
    <col min="8189" max="8189" width="12.109375" style="113" bestFit="1" customWidth="1"/>
    <col min="8190" max="8191" width="9.33203125" style="113" bestFit="1" customWidth="1"/>
    <col min="8192" max="8192" width="10" style="113" customWidth="1"/>
    <col min="8193" max="8193" width="3" style="113" customWidth="1"/>
    <col min="8194" max="8194" width="12.33203125" style="113" bestFit="1" customWidth="1"/>
    <col min="8195" max="8197" width="10" style="113" customWidth="1"/>
    <col min="8198" max="8198" width="1.6640625" style="113" customWidth="1"/>
    <col min="8199" max="8199" width="10" style="113" bestFit="1" customWidth="1"/>
    <col min="8200" max="8201" width="9.33203125" style="113" bestFit="1" customWidth="1"/>
    <col min="8202" max="8202" width="10" style="113" bestFit="1" customWidth="1"/>
    <col min="8203" max="8203" width="1.6640625" style="113" customWidth="1"/>
    <col min="8204" max="8204" width="8.109375" style="113" bestFit="1" customWidth="1"/>
    <col min="8205" max="8205" width="7.6640625" style="113" bestFit="1" customWidth="1"/>
    <col min="8206" max="8206" width="7" style="113" customWidth="1"/>
    <col min="8207" max="8207" width="8.109375" style="113" bestFit="1" customWidth="1"/>
    <col min="8208" max="8208" width="1.6640625" style="113" customWidth="1"/>
    <col min="8209" max="8209" width="8.109375" style="113" bestFit="1" customWidth="1"/>
    <col min="8210" max="8212" width="9.109375" style="113"/>
    <col min="8213" max="8213" width="3" style="113" customWidth="1"/>
    <col min="8214" max="8214" width="8.109375" style="113" bestFit="1" customWidth="1"/>
    <col min="8215" max="8217" width="9.109375" style="113"/>
    <col min="8218" max="8218" width="2.6640625" style="113" customWidth="1"/>
    <col min="8219" max="8219" width="8.33203125" style="113" bestFit="1" customWidth="1"/>
    <col min="8220" max="8222" width="9.109375" style="113"/>
    <col min="8223" max="8223" width="1.109375" style="113" customWidth="1"/>
    <col min="8224" max="8224" width="8.33203125" style="113" bestFit="1" customWidth="1"/>
    <col min="8225" max="8226" width="7.6640625" style="113" bestFit="1" customWidth="1"/>
    <col min="8227" max="8227" width="8.109375" style="113" bestFit="1" customWidth="1"/>
    <col min="8228" max="8228" width="1.6640625" style="113" customWidth="1"/>
    <col min="8229" max="8232" width="9.109375" style="113"/>
    <col min="8233" max="8233" width="1.5546875" style="113" customWidth="1"/>
    <col min="8234" max="8234" width="8.109375" style="113" bestFit="1" customWidth="1"/>
    <col min="8235" max="8236" width="7.6640625" style="113" bestFit="1" customWidth="1"/>
    <col min="8237" max="8237" width="8.109375" style="113" bestFit="1" customWidth="1"/>
    <col min="8238" max="8238" width="1.6640625" style="113" customWidth="1"/>
    <col min="8239" max="8239" width="8.33203125" style="113" bestFit="1" customWidth="1"/>
    <col min="8240" max="8241" width="7.6640625" style="113" bestFit="1" customWidth="1"/>
    <col min="8242" max="8242" width="8.109375" style="113" bestFit="1" customWidth="1"/>
    <col min="8243" max="8443" width="9.109375" style="113"/>
    <col min="8444" max="8444" width="4.109375" style="113" bestFit="1" customWidth="1"/>
    <col min="8445" max="8445" width="12.109375" style="113" bestFit="1" customWidth="1"/>
    <col min="8446" max="8447" width="9.33203125" style="113" bestFit="1" customWidth="1"/>
    <col min="8448" max="8448" width="10" style="113" customWidth="1"/>
    <col min="8449" max="8449" width="3" style="113" customWidth="1"/>
    <col min="8450" max="8450" width="12.33203125" style="113" bestFit="1" customWidth="1"/>
    <col min="8451" max="8453" width="10" style="113" customWidth="1"/>
    <col min="8454" max="8454" width="1.6640625" style="113" customWidth="1"/>
    <col min="8455" max="8455" width="10" style="113" bestFit="1" customWidth="1"/>
    <col min="8456" max="8457" width="9.33203125" style="113" bestFit="1" customWidth="1"/>
    <col min="8458" max="8458" width="10" style="113" bestFit="1" customWidth="1"/>
    <col min="8459" max="8459" width="1.6640625" style="113" customWidth="1"/>
    <col min="8460" max="8460" width="8.109375" style="113" bestFit="1" customWidth="1"/>
    <col min="8461" max="8461" width="7.6640625" style="113" bestFit="1" customWidth="1"/>
    <col min="8462" max="8462" width="7" style="113" customWidth="1"/>
    <col min="8463" max="8463" width="8.109375" style="113" bestFit="1" customWidth="1"/>
    <col min="8464" max="8464" width="1.6640625" style="113" customWidth="1"/>
    <col min="8465" max="8465" width="8.109375" style="113" bestFit="1" customWidth="1"/>
    <col min="8466" max="8468" width="9.109375" style="113"/>
    <col min="8469" max="8469" width="3" style="113" customWidth="1"/>
    <col min="8470" max="8470" width="8.109375" style="113" bestFit="1" customWidth="1"/>
    <col min="8471" max="8473" width="9.109375" style="113"/>
    <col min="8474" max="8474" width="2.6640625" style="113" customWidth="1"/>
    <col min="8475" max="8475" width="8.33203125" style="113" bestFit="1" customWidth="1"/>
    <col min="8476" max="8478" width="9.109375" style="113"/>
    <col min="8479" max="8479" width="1.109375" style="113" customWidth="1"/>
    <col min="8480" max="8480" width="8.33203125" style="113" bestFit="1" customWidth="1"/>
    <col min="8481" max="8482" width="7.6640625" style="113" bestFit="1" customWidth="1"/>
    <col min="8483" max="8483" width="8.109375" style="113" bestFit="1" customWidth="1"/>
    <col min="8484" max="8484" width="1.6640625" style="113" customWidth="1"/>
    <col min="8485" max="8488" width="9.109375" style="113"/>
    <col min="8489" max="8489" width="1.5546875" style="113" customWidth="1"/>
    <col min="8490" max="8490" width="8.109375" style="113" bestFit="1" customWidth="1"/>
    <col min="8491" max="8492" width="7.6640625" style="113" bestFit="1" customWidth="1"/>
    <col min="8493" max="8493" width="8.109375" style="113" bestFit="1" customWidth="1"/>
    <col min="8494" max="8494" width="1.6640625" style="113" customWidth="1"/>
    <col min="8495" max="8495" width="8.33203125" style="113" bestFit="1" customWidth="1"/>
    <col min="8496" max="8497" width="7.6640625" style="113" bestFit="1" customWidth="1"/>
    <col min="8498" max="8498" width="8.109375" style="113" bestFit="1" customWidth="1"/>
    <col min="8499" max="8699" width="9.109375" style="113"/>
    <col min="8700" max="8700" width="4.109375" style="113" bestFit="1" customWidth="1"/>
    <col min="8701" max="8701" width="12.109375" style="113" bestFit="1" customWidth="1"/>
    <col min="8702" max="8703" width="9.33203125" style="113" bestFit="1" customWidth="1"/>
    <col min="8704" max="8704" width="10" style="113" customWidth="1"/>
    <col min="8705" max="8705" width="3" style="113" customWidth="1"/>
    <col min="8706" max="8706" width="12.33203125" style="113" bestFit="1" customWidth="1"/>
    <col min="8707" max="8709" width="10" style="113" customWidth="1"/>
    <col min="8710" max="8710" width="1.6640625" style="113" customWidth="1"/>
    <col min="8711" max="8711" width="10" style="113" bestFit="1" customWidth="1"/>
    <col min="8712" max="8713" width="9.33203125" style="113" bestFit="1" customWidth="1"/>
    <col min="8714" max="8714" width="10" style="113" bestFit="1" customWidth="1"/>
    <col min="8715" max="8715" width="1.6640625" style="113" customWidth="1"/>
    <col min="8716" max="8716" width="8.109375" style="113" bestFit="1" customWidth="1"/>
    <col min="8717" max="8717" width="7.6640625" style="113" bestFit="1" customWidth="1"/>
    <col min="8718" max="8718" width="7" style="113" customWidth="1"/>
    <col min="8719" max="8719" width="8.109375" style="113" bestFit="1" customWidth="1"/>
    <col min="8720" max="8720" width="1.6640625" style="113" customWidth="1"/>
    <col min="8721" max="8721" width="8.109375" style="113" bestFit="1" customWidth="1"/>
    <col min="8722" max="8724" width="9.109375" style="113"/>
    <col min="8725" max="8725" width="3" style="113" customWidth="1"/>
    <col min="8726" max="8726" width="8.109375" style="113" bestFit="1" customWidth="1"/>
    <col min="8727" max="8729" width="9.109375" style="113"/>
    <col min="8730" max="8730" width="2.6640625" style="113" customWidth="1"/>
    <col min="8731" max="8731" width="8.33203125" style="113" bestFit="1" customWidth="1"/>
    <col min="8732" max="8734" width="9.109375" style="113"/>
    <col min="8735" max="8735" width="1.109375" style="113" customWidth="1"/>
    <col min="8736" max="8736" width="8.33203125" style="113" bestFit="1" customWidth="1"/>
    <col min="8737" max="8738" width="7.6640625" style="113" bestFit="1" customWidth="1"/>
    <col min="8739" max="8739" width="8.109375" style="113" bestFit="1" customWidth="1"/>
    <col min="8740" max="8740" width="1.6640625" style="113" customWidth="1"/>
    <col min="8741" max="8744" width="9.109375" style="113"/>
    <col min="8745" max="8745" width="1.5546875" style="113" customWidth="1"/>
    <col min="8746" max="8746" width="8.109375" style="113" bestFit="1" customWidth="1"/>
    <col min="8747" max="8748" width="7.6640625" style="113" bestFit="1" customWidth="1"/>
    <col min="8749" max="8749" width="8.109375" style="113" bestFit="1" customWidth="1"/>
    <col min="8750" max="8750" width="1.6640625" style="113" customWidth="1"/>
    <col min="8751" max="8751" width="8.33203125" style="113" bestFit="1" customWidth="1"/>
    <col min="8752" max="8753" width="7.6640625" style="113" bestFit="1" customWidth="1"/>
    <col min="8754" max="8754" width="8.109375" style="113" bestFit="1" customWidth="1"/>
    <col min="8755" max="8955" width="9.109375" style="113"/>
    <col min="8956" max="8956" width="4.109375" style="113" bestFit="1" customWidth="1"/>
    <col min="8957" max="8957" width="12.109375" style="113" bestFit="1" customWidth="1"/>
    <col min="8958" max="8959" width="9.33203125" style="113" bestFit="1" customWidth="1"/>
    <col min="8960" max="8960" width="10" style="113" customWidth="1"/>
    <col min="8961" max="8961" width="3" style="113" customWidth="1"/>
    <col min="8962" max="8962" width="12.33203125" style="113" bestFit="1" customWidth="1"/>
    <col min="8963" max="8965" width="10" style="113" customWidth="1"/>
    <col min="8966" max="8966" width="1.6640625" style="113" customWidth="1"/>
    <col min="8967" max="8967" width="10" style="113" bestFit="1" customWidth="1"/>
    <col min="8968" max="8969" width="9.33203125" style="113" bestFit="1" customWidth="1"/>
    <col min="8970" max="8970" width="10" style="113" bestFit="1" customWidth="1"/>
    <col min="8971" max="8971" width="1.6640625" style="113" customWidth="1"/>
    <col min="8972" max="8972" width="8.109375" style="113" bestFit="1" customWidth="1"/>
    <col min="8973" max="8973" width="7.6640625" style="113" bestFit="1" customWidth="1"/>
    <col min="8974" max="8974" width="7" style="113" customWidth="1"/>
    <col min="8975" max="8975" width="8.109375" style="113" bestFit="1" customWidth="1"/>
    <col min="8976" max="8976" width="1.6640625" style="113" customWidth="1"/>
    <col min="8977" max="8977" width="8.109375" style="113" bestFit="1" customWidth="1"/>
    <col min="8978" max="8980" width="9.109375" style="113"/>
    <col min="8981" max="8981" width="3" style="113" customWidth="1"/>
    <col min="8982" max="8982" width="8.109375" style="113" bestFit="1" customWidth="1"/>
    <col min="8983" max="8985" width="9.109375" style="113"/>
    <col min="8986" max="8986" width="2.6640625" style="113" customWidth="1"/>
    <col min="8987" max="8987" width="8.33203125" style="113" bestFit="1" customWidth="1"/>
    <col min="8988" max="8990" width="9.109375" style="113"/>
    <col min="8991" max="8991" width="1.109375" style="113" customWidth="1"/>
    <col min="8992" max="8992" width="8.33203125" style="113" bestFit="1" customWidth="1"/>
    <col min="8993" max="8994" width="7.6640625" style="113" bestFit="1" customWidth="1"/>
    <col min="8995" max="8995" width="8.109375" style="113" bestFit="1" customWidth="1"/>
    <col min="8996" max="8996" width="1.6640625" style="113" customWidth="1"/>
    <col min="8997" max="9000" width="9.109375" style="113"/>
    <col min="9001" max="9001" width="1.5546875" style="113" customWidth="1"/>
    <col min="9002" max="9002" width="8.109375" style="113" bestFit="1" customWidth="1"/>
    <col min="9003" max="9004" width="7.6640625" style="113" bestFit="1" customWidth="1"/>
    <col min="9005" max="9005" width="8.109375" style="113" bestFit="1" customWidth="1"/>
    <col min="9006" max="9006" width="1.6640625" style="113" customWidth="1"/>
    <col min="9007" max="9007" width="8.33203125" style="113" bestFit="1" customWidth="1"/>
    <col min="9008" max="9009" width="7.6640625" style="113" bestFit="1" customWidth="1"/>
    <col min="9010" max="9010" width="8.109375" style="113" bestFit="1" customWidth="1"/>
    <col min="9011" max="9211" width="9.109375" style="113"/>
    <col min="9212" max="9212" width="4.109375" style="113" bestFit="1" customWidth="1"/>
    <col min="9213" max="9213" width="12.109375" style="113" bestFit="1" customWidth="1"/>
    <col min="9214" max="9215" width="9.33203125" style="113" bestFit="1" customWidth="1"/>
    <col min="9216" max="9216" width="10" style="113" customWidth="1"/>
    <col min="9217" max="9217" width="3" style="113" customWidth="1"/>
    <col min="9218" max="9218" width="12.33203125" style="113" bestFit="1" customWidth="1"/>
    <col min="9219" max="9221" width="10" style="113" customWidth="1"/>
    <col min="9222" max="9222" width="1.6640625" style="113" customWidth="1"/>
    <col min="9223" max="9223" width="10" style="113" bestFit="1" customWidth="1"/>
    <col min="9224" max="9225" width="9.33203125" style="113" bestFit="1" customWidth="1"/>
    <col min="9226" max="9226" width="10" style="113" bestFit="1" customWidth="1"/>
    <col min="9227" max="9227" width="1.6640625" style="113" customWidth="1"/>
    <col min="9228" max="9228" width="8.109375" style="113" bestFit="1" customWidth="1"/>
    <col min="9229" max="9229" width="7.6640625" style="113" bestFit="1" customWidth="1"/>
    <col min="9230" max="9230" width="7" style="113" customWidth="1"/>
    <col min="9231" max="9231" width="8.109375" style="113" bestFit="1" customWidth="1"/>
    <col min="9232" max="9232" width="1.6640625" style="113" customWidth="1"/>
    <col min="9233" max="9233" width="8.109375" style="113" bestFit="1" customWidth="1"/>
    <col min="9234" max="9236" width="9.109375" style="113"/>
    <col min="9237" max="9237" width="3" style="113" customWidth="1"/>
    <col min="9238" max="9238" width="8.109375" style="113" bestFit="1" customWidth="1"/>
    <col min="9239" max="9241" width="9.109375" style="113"/>
    <col min="9242" max="9242" width="2.6640625" style="113" customWidth="1"/>
    <col min="9243" max="9243" width="8.33203125" style="113" bestFit="1" customWidth="1"/>
    <col min="9244" max="9246" width="9.109375" style="113"/>
    <col min="9247" max="9247" width="1.109375" style="113" customWidth="1"/>
    <col min="9248" max="9248" width="8.33203125" style="113" bestFit="1" customWidth="1"/>
    <col min="9249" max="9250" width="7.6640625" style="113" bestFit="1" customWidth="1"/>
    <col min="9251" max="9251" width="8.109375" style="113" bestFit="1" customWidth="1"/>
    <col min="9252" max="9252" width="1.6640625" style="113" customWidth="1"/>
    <col min="9253" max="9256" width="9.109375" style="113"/>
    <col min="9257" max="9257" width="1.5546875" style="113" customWidth="1"/>
    <col min="9258" max="9258" width="8.109375" style="113" bestFit="1" customWidth="1"/>
    <col min="9259" max="9260" width="7.6640625" style="113" bestFit="1" customWidth="1"/>
    <col min="9261" max="9261" width="8.109375" style="113" bestFit="1" customWidth="1"/>
    <col min="9262" max="9262" width="1.6640625" style="113" customWidth="1"/>
    <col min="9263" max="9263" width="8.33203125" style="113" bestFit="1" customWidth="1"/>
    <col min="9264" max="9265" width="7.6640625" style="113" bestFit="1" customWidth="1"/>
    <col min="9266" max="9266" width="8.109375" style="113" bestFit="1" customWidth="1"/>
    <col min="9267" max="9467" width="9.109375" style="113"/>
    <col min="9468" max="9468" width="4.109375" style="113" bestFit="1" customWidth="1"/>
    <col min="9469" max="9469" width="12.109375" style="113" bestFit="1" customWidth="1"/>
    <col min="9470" max="9471" width="9.33203125" style="113" bestFit="1" customWidth="1"/>
    <col min="9472" max="9472" width="10" style="113" customWidth="1"/>
    <col min="9473" max="9473" width="3" style="113" customWidth="1"/>
    <col min="9474" max="9474" width="12.33203125" style="113" bestFit="1" customWidth="1"/>
    <col min="9475" max="9477" width="10" style="113" customWidth="1"/>
    <col min="9478" max="9478" width="1.6640625" style="113" customWidth="1"/>
    <col min="9479" max="9479" width="10" style="113" bestFit="1" customWidth="1"/>
    <col min="9480" max="9481" width="9.33203125" style="113" bestFit="1" customWidth="1"/>
    <col min="9482" max="9482" width="10" style="113" bestFit="1" customWidth="1"/>
    <col min="9483" max="9483" width="1.6640625" style="113" customWidth="1"/>
    <col min="9484" max="9484" width="8.109375" style="113" bestFit="1" customWidth="1"/>
    <col min="9485" max="9485" width="7.6640625" style="113" bestFit="1" customWidth="1"/>
    <col min="9486" max="9486" width="7" style="113" customWidth="1"/>
    <col min="9487" max="9487" width="8.109375" style="113" bestFit="1" customWidth="1"/>
    <col min="9488" max="9488" width="1.6640625" style="113" customWidth="1"/>
    <col min="9489" max="9489" width="8.109375" style="113" bestFit="1" customWidth="1"/>
    <col min="9490" max="9492" width="9.109375" style="113"/>
    <col min="9493" max="9493" width="3" style="113" customWidth="1"/>
    <col min="9494" max="9494" width="8.109375" style="113" bestFit="1" customWidth="1"/>
    <col min="9495" max="9497" width="9.109375" style="113"/>
    <col min="9498" max="9498" width="2.6640625" style="113" customWidth="1"/>
    <col min="9499" max="9499" width="8.33203125" style="113" bestFit="1" customWidth="1"/>
    <col min="9500" max="9502" width="9.109375" style="113"/>
    <col min="9503" max="9503" width="1.109375" style="113" customWidth="1"/>
    <col min="9504" max="9504" width="8.33203125" style="113" bestFit="1" customWidth="1"/>
    <col min="9505" max="9506" width="7.6640625" style="113" bestFit="1" customWidth="1"/>
    <col min="9507" max="9507" width="8.109375" style="113" bestFit="1" customWidth="1"/>
    <col min="9508" max="9508" width="1.6640625" style="113" customWidth="1"/>
    <col min="9509" max="9512" width="9.109375" style="113"/>
    <col min="9513" max="9513" width="1.5546875" style="113" customWidth="1"/>
    <col min="9514" max="9514" width="8.109375" style="113" bestFit="1" customWidth="1"/>
    <col min="9515" max="9516" width="7.6640625" style="113" bestFit="1" customWidth="1"/>
    <col min="9517" max="9517" width="8.109375" style="113" bestFit="1" customWidth="1"/>
    <col min="9518" max="9518" width="1.6640625" style="113" customWidth="1"/>
    <col min="9519" max="9519" width="8.33203125" style="113" bestFit="1" customWidth="1"/>
    <col min="9520" max="9521" width="7.6640625" style="113" bestFit="1" customWidth="1"/>
    <col min="9522" max="9522" width="8.109375" style="113" bestFit="1" customWidth="1"/>
    <col min="9523" max="9723" width="9.109375" style="113"/>
    <col min="9724" max="9724" width="4.109375" style="113" bestFit="1" customWidth="1"/>
    <col min="9725" max="9725" width="12.109375" style="113" bestFit="1" customWidth="1"/>
    <col min="9726" max="9727" width="9.33203125" style="113" bestFit="1" customWidth="1"/>
    <col min="9728" max="9728" width="10" style="113" customWidth="1"/>
    <col min="9729" max="9729" width="3" style="113" customWidth="1"/>
    <col min="9730" max="9730" width="12.33203125" style="113" bestFit="1" customWidth="1"/>
    <col min="9731" max="9733" width="10" style="113" customWidth="1"/>
    <col min="9734" max="9734" width="1.6640625" style="113" customWidth="1"/>
    <col min="9735" max="9735" width="10" style="113" bestFit="1" customWidth="1"/>
    <col min="9736" max="9737" width="9.33203125" style="113" bestFit="1" customWidth="1"/>
    <col min="9738" max="9738" width="10" style="113" bestFit="1" customWidth="1"/>
    <col min="9739" max="9739" width="1.6640625" style="113" customWidth="1"/>
    <col min="9740" max="9740" width="8.109375" style="113" bestFit="1" customWidth="1"/>
    <col min="9741" max="9741" width="7.6640625" style="113" bestFit="1" customWidth="1"/>
    <col min="9742" max="9742" width="7" style="113" customWidth="1"/>
    <col min="9743" max="9743" width="8.109375" style="113" bestFit="1" customWidth="1"/>
    <col min="9744" max="9744" width="1.6640625" style="113" customWidth="1"/>
    <col min="9745" max="9745" width="8.109375" style="113" bestFit="1" customWidth="1"/>
    <col min="9746" max="9748" width="9.109375" style="113"/>
    <col min="9749" max="9749" width="3" style="113" customWidth="1"/>
    <col min="9750" max="9750" width="8.109375" style="113" bestFit="1" customWidth="1"/>
    <col min="9751" max="9753" width="9.109375" style="113"/>
    <col min="9754" max="9754" width="2.6640625" style="113" customWidth="1"/>
    <col min="9755" max="9755" width="8.33203125" style="113" bestFit="1" customWidth="1"/>
    <col min="9756" max="9758" width="9.109375" style="113"/>
    <col min="9759" max="9759" width="1.109375" style="113" customWidth="1"/>
    <col min="9760" max="9760" width="8.33203125" style="113" bestFit="1" customWidth="1"/>
    <col min="9761" max="9762" width="7.6640625" style="113" bestFit="1" customWidth="1"/>
    <col min="9763" max="9763" width="8.109375" style="113" bestFit="1" customWidth="1"/>
    <col min="9764" max="9764" width="1.6640625" style="113" customWidth="1"/>
    <col min="9765" max="9768" width="9.109375" style="113"/>
    <col min="9769" max="9769" width="1.5546875" style="113" customWidth="1"/>
    <col min="9770" max="9770" width="8.109375" style="113" bestFit="1" customWidth="1"/>
    <col min="9771" max="9772" width="7.6640625" style="113" bestFit="1" customWidth="1"/>
    <col min="9773" max="9773" width="8.109375" style="113" bestFit="1" customWidth="1"/>
    <col min="9774" max="9774" width="1.6640625" style="113" customWidth="1"/>
    <col min="9775" max="9775" width="8.33203125" style="113" bestFit="1" customWidth="1"/>
    <col min="9776" max="9777" width="7.6640625" style="113" bestFit="1" customWidth="1"/>
    <col min="9778" max="9778" width="8.109375" style="113" bestFit="1" customWidth="1"/>
    <col min="9779" max="9979" width="9.109375" style="113"/>
    <col min="9980" max="9980" width="4.109375" style="113" bestFit="1" customWidth="1"/>
    <col min="9981" max="9981" width="12.109375" style="113" bestFit="1" customWidth="1"/>
    <col min="9982" max="9983" width="9.33203125" style="113" bestFit="1" customWidth="1"/>
    <col min="9984" max="9984" width="10" style="113" customWidth="1"/>
    <col min="9985" max="9985" width="3" style="113" customWidth="1"/>
    <col min="9986" max="9986" width="12.33203125" style="113" bestFit="1" customWidth="1"/>
    <col min="9987" max="9989" width="10" style="113" customWidth="1"/>
    <col min="9990" max="9990" width="1.6640625" style="113" customWidth="1"/>
    <col min="9991" max="9991" width="10" style="113" bestFit="1" customWidth="1"/>
    <col min="9992" max="9993" width="9.33203125" style="113" bestFit="1" customWidth="1"/>
    <col min="9994" max="9994" width="10" style="113" bestFit="1" customWidth="1"/>
    <col min="9995" max="9995" width="1.6640625" style="113" customWidth="1"/>
    <col min="9996" max="9996" width="8.109375" style="113" bestFit="1" customWidth="1"/>
    <col min="9997" max="9997" width="7.6640625" style="113" bestFit="1" customWidth="1"/>
    <col min="9998" max="9998" width="7" style="113" customWidth="1"/>
    <col min="9999" max="9999" width="8.109375" style="113" bestFit="1" customWidth="1"/>
    <col min="10000" max="10000" width="1.6640625" style="113" customWidth="1"/>
    <col min="10001" max="10001" width="8.109375" style="113" bestFit="1" customWidth="1"/>
    <col min="10002" max="10004" width="9.109375" style="113"/>
    <col min="10005" max="10005" width="3" style="113" customWidth="1"/>
    <col min="10006" max="10006" width="8.109375" style="113" bestFit="1" customWidth="1"/>
    <col min="10007" max="10009" width="9.109375" style="113"/>
    <col min="10010" max="10010" width="2.6640625" style="113" customWidth="1"/>
    <col min="10011" max="10011" width="8.33203125" style="113" bestFit="1" customWidth="1"/>
    <col min="10012" max="10014" width="9.109375" style="113"/>
    <col min="10015" max="10015" width="1.109375" style="113" customWidth="1"/>
    <col min="10016" max="10016" width="8.33203125" style="113" bestFit="1" customWidth="1"/>
    <col min="10017" max="10018" width="7.6640625" style="113" bestFit="1" customWidth="1"/>
    <col min="10019" max="10019" width="8.109375" style="113" bestFit="1" customWidth="1"/>
    <col min="10020" max="10020" width="1.6640625" style="113" customWidth="1"/>
    <col min="10021" max="10024" width="9.109375" style="113"/>
    <col min="10025" max="10025" width="1.5546875" style="113" customWidth="1"/>
    <col min="10026" max="10026" width="8.109375" style="113" bestFit="1" customWidth="1"/>
    <col min="10027" max="10028" width="7.6640625" style="113" bestFit="1" customWidth="1"/>
    <col min="10029" max="10029" width="8.109375" style="113" bestFit="1" customWidth="1"/>
    <col min="10030" max="10030" width="1.6640625" style="113" customWidth="1"/>
    <col min="10031" max="10031" width="8.33203125" style="113" bestFit="1" customWidth="1"/>
    <col min="10032" max="10033" width="7.6640625" style="113" bestFit="1" customWidth="1"/>
    <col min="10034" max="10034" width="8.109375" style="113" bestFit="1" customWidth="1"/>
    <col min="10035" max="10235" width="9.109375" style="113"/>
    <col min="10236" max="10236" width="4.109375" style="113" bestFit="1" customWidth="1"/>
    <col min="10237" max="10237" width="12.109375" style="113" bestFit="1" customWidth="1"/>
    <col min="10238" max="10239" width="9.33203125" style="113" bestFit="1" customWidth="1"/>
    <col min="10240" max="10240" width="10" style="113" customWidth="1"/>
    <col min="10241" max="10241" width="3" style="113" customWidth="1"/>
    <col min="10242" max="10242" width="12.33203125" style="113" bestFit="1" customWidth="1"/>
    <col min="10243" max="10245" width="10" style="113" customWidth="1"/>
    <col min="10246" max="10246" width="1.6640625" style="113" customWidth="1"/>
    <col min="10247" max="10247" width="10" style="113" bestFit="1" customWidth="1"/>
    <col min="10248" max="10249" width="9.33203125" style="113" bestFit="1" customWidth="1"/>
    <col min="10250" max="10250" width="10" style="113" bestFit="1" customWidth="1"/>
    <col min="10251" max="10251" width="1.6640625" style="113" customWidth="1"/>
    <col min="10252" max="10252" width="8.109375" style="113" bestFit="1" customWidth="1"/>
    <col min="10253" max="10253" width="7.6640625" style="113" bestFit="1" customWidth="1"/>
    <col min="10254" max="10254" width="7" style="113" customWidth="1"/>
    <col min="10255" max="10255" width="8.109375" style="113" bestFit="1" customWidth="1"/>
    <col min="10256" max="10256" width="1.6640625" style="113" customWidth="1"/>
    <col min="10257" max="10257" width="8.109375" style="113" bestFit="1" customWidth="1"/>
    <col min="10258" max="10260" width="9.109375" style="113"/>
    <col min="10261" max="10261" width="3" style="113" customWidth="1"/>
    <col min="10262" max="10262" width="8.109375" style="113" bestFit="1" customWidth="1"/>
    <col min="10263" max="10265" width="9.109375" style="113"/>
    <col min="10266" max="10266" width="2.6640625" style="113" customWidth="1"/>
    <col min="10267" max="10267" width="8.33203125" style="113" bestFit="1" customWidth="1"/>
    <col min="10268" max="10270" width="9.109375" style="113"/>
    <col min="10271" max="10271" width="1.109375" style="113" customWidth="1"/>
    <col min="10272" max="10272" width="8.33203125" style="113" bestFit="1" customWidth="1"/>
    <col min="10273" max="10274" width="7.6640625" style="113" bestFit="1" customWidth="1"/>
    <col min="10275" max="10275" width="8.109375" style="113" bestFit="1" customWidth="1"/>
    <col min="10276" max="10276" width="1.6640625" style="113" customWidth="1"/>
    <col min="10277" max="10280" width="9.109375" style="113"/>
    <col min="10281" max="10281" width="1.5546875" style="113" customWidth="1"/>
    <col min="10282" max="10282" width="8.109375" style="113" bestFit="1" customWidth="1"/>
    <col min="10283" max="10284" width="7.6640625" style="113" bestFit="1" customWidth="1"/>
    <col min="10285" max="10285" width="8.109375" style="113" bestFit="1" customWidth="1"/>
    <col min="10286" max="10286" width="1.6640625" style="113" customWidth="1"/>
    <col min="10287" max="10287" width="8.33203125" style="113" bestFit="1" customWidth="1"/>
    <col min="10288" max="10289" width="7.6640625" style="113" bestFit="1" customWidth="1"/>
    <col min="10290" max="10290" width="8.109375" style="113" bestFit="1" customWidth="1"/>
    <col min="10291" max="10491" width="9.109375" style="113"/>
    <col min="10492" max="10492" width="4.109375" style="113" bestFit="1" customWidth="1"/>
    <col min="10493" max="10493" width="12.109375" style="113" bestFit="1" customWidth="1"/>
    <col min="10494" max="10495" width="9.33203125" style="113" bestFit="1" customWidth="1"/>
    <col min="10496" max="10496" width="10" style="113" customWidth="1"/>
    <col min="10497" max="10497" width="3" style="113" customWidth="1"/>
    <col min="10498" max="10498" width="12.33203125" style="113" bestFit="1" customWidth="1"/>
    <col min="10499" max="10501" width="10" style="113" customWidth="1"/>
    <col min="10502" max="10502" width="1.6640625" style="113" customWidth="1"/>
    <col min="10503" max="10503" width="10" style="113" bestFit="1" customWidth="1"/>
    <col min="10504" max="10505" width="9.33203125" style="113" bestFit="1" customWidth="1"/>
    <col min="10506" max="10506" width="10" style="113" bestFit="1" customWidth="1"/>
    <col min="10507" max="10507" width="1.6640625" style="113" customWidth="1"/>
    <col min="10508" max="10508" width="8.109375" style="113" bestFit="1" customWidth="1"/>
    <col min="10509" max="10509" width="7.6640625" style="113" bestFit="1" customWidth="1"/>
    <col min="10510" max="10510" width="7" style="113" customWidth="1"/>
    <col min="10511" max="10511" width="8.109375" style="113" bestFit="1" customWidth="1"/>
    <col min="10512" max="10512" width="1.6640625" style="113" customWidth="1"/>
    <col min="10513" max="10513" width="8.109375" style="113" bestFit="1" customWidth="1"/>
    <col min="10514" max="10516" width="9.109375" style="113"/>
    <col min="10517" max="10517" width="3" style="113" customWidth="1"/>
    <col min="10518" max="10518" width="8.109375" style="113" bestFit="1" customWidth="1"/>
    <col min="10519" max="10521" width="9.109375" style="113"/>
    <col min="10522" max="10522" width="2.6640625" style="113" customWidth="1"/>
    <col min="10523" max="10523" width="8.33203125" style="113" bestFit="1" customWidth="1"/>
    <col min="10524" max="10526" width="9.109375" style="113"/>
    <col min="10527" max="10527" width="1.109375" style="113" customWidth="1"/>
    <col min="10528" max="10528" width="8.33203125" style="113" bestFit="1" customWidth="1"/>
    <col min="10529" max="10530" width="7.6640625" style="113" bestFit="1" customWidth="1"/>
    <col min="10531" max="10531" width="8.109375" style="113" bestFit="1" customWidth="1"/>
    <col min="10532" max="10532" width="1.6640625" style="113" customWidth="1"/>
    <col min="10533" max="10536" width="9.109375" style="113"/>
    <col min="10537" max="10537" width="1.5546875" style="113" customWidth="1"/>
    <col min="10538" max="10538" width="8.109375" style="113" bestFit="1" customWidth="1"/>
    <col min="10539" max="10540" width="7.6640625" style="113" bestFit="1" customWidth="1"/>
    <col min="10541" max="10541" width="8.109375" style="113" bestFit="1" customWidth="1"/>
    <col min="10542" max="10542" width="1.6640625" style="113" customWidth="1"/>
    <col min="10543" max="10543" width="8.33203125" style="113" bestFit="1" customWidth="1"/>
    <col min="10544" max="10545" width="7.6640625" style="113" bestFit="1" customWidth="1"/>
    <col min="10546" max="10546" width="8.109375" style="113" bestFit="1" customWidth="1"/>
    <col min="10547" max="10747" width="9.109375" style="113"/>
    <col min="10748" max="10748" width="4.109375" style="113" bestFit="1" customWidth="1"/>
    <col min="10749" max="10749" width="12.109375" style="113" bestFit="1" customWidth="1"/>
    <col min="10750" max="10751" width="9.33203125" style="113" bestFit="1" customWidth="1"/>
    <col min="10752" max="10752" width="10" style="113" customWidth="1"/>
    <col min="10753" max="10753" width="3" style="113" customWidth="1"/>
    <col min="10754" max="10754" width="12.33203125" style="113" bestFit="1" customWidth="1"/>
    <col min="10755" max="10757" width="10" style="113" customWidth="1"/>
    <col min="10758" max="10758" width="1.6640625" style="113" customWidth="1"/>
    <col min="10759" max="10759" width="10" style="113" bestFit="1" customWidth="1"/>
    <col min="10760" max="10761" width="9.33203125" style="113" bestFit="1" customWidth="1"/>
    <col min="10762" max="10762" width="10" style="113" bestFit="1" customWidth="1"/>
    <col min="10763" max="10763" width="1.6640625" style="113" customWidth="1"/>
    <col min="10764" max="10764" width="8.109375" style="113" bestFit="1" customWidth="1"/>
    <col min="10765" max="10765" width="7.6640625" style="113" bestFit="1" customWidth="1"/>
    <col min="10766" max="10766" width="7" style="113" customWidth="1"/>
    <col min="10767" max="10767" width="8.109375" style="113" bestFit="1" customWidth="1"/>
    <col min="10768" max="10768" width="1.6640625" style="113" customWidth="1"/>
    <col min="10769" max="10769" width="8.109375" style="113" bestFit="1" customWidth="1"/>
    <col min="10770" max="10772" width="9.109375" style="113"/>
    <col min="10773" max="10773" width="3" style="113" customWidth="1"/>
    <col min="10774" max="10774" width="8.109375" style="113" bestFit="1" customWidth="1"/>
    <col min="10775" max="10777" width="9.109375" style="113"/>
    <col min="10778" max="10778" width="2.6640625" style="113" customWidth="1"/>
    <col min="10779" max="10779" width="8.33203125" style="113" bestFit="1" customWidth="1"/>
    <col min="10780" max="10782" width="9.109375" style="113"/>
    <col min="10783" max="10783" width="1.109375" style="113" customWidth="1"/>
    <col min="10784" max="10784" width="8.33203125" style="113" bestFit="1" customWidth="1"/>
    <col min="10785" max="10786" width="7.6640625" style="113" bestFit="1" customWidth="1"/>
    <col min="10787" max="10787" width="8.109375" style="113" bestFit="1" customWidth="1"/>
    <col min="10788" max="10788" width="1.6640625" style="113" customWidth="1"/>
    <col min="10789" max="10792" width="9.109375" style="113"/>
    <col min="10793" max="10793" width="1.5546875" style="113" customWidth="1"/>
    <col min="10794" max="10794" width="8.109375" style="113" bestFit="1" customWidth="1"/>
    <col min="10795" max="10796" width="7.6640625" style="113" bestFit="1" customWidth="1"/>
    <col min="10797" max="10797" width="8.109375" style="113" bestFit="1" customWidth="1"/>
    <col min="10798" max="10798" width="1.6640625" style="113" customWidth="1"/>
    <col min="10799" max="10799" width="8.33203125" style="113" bestFit="1" customWidth="1"/>
    <col min="10800" max="10801" width="7.6640625" style="113" bestFit="1" customWidth="1"/>
    <col min="10802" max="10802" width="8.109375" style="113" bestFit="1" customWidth="1"/>
    <col min="10803" max="11003" width="9.109375" style="113"/>
    <col min="11004" max="11004" width="4.109375" style="113" bestFit="1" customWidth="1"/>
    <col min="11005" max="11005" width="12.109375" style="113" bestFit="1" customWidth="1"/>
    <col min="11006" max="11007" width="9.33203125" style="113" bestFit="1" customWidth="1"/>
    <col min="11008" max="11008" width="10" style="113" customWidth="1"/>
    <col min="11009" max="11009" width="3" style="113" customWidth="1"/>
    <col min="11010" max="11010" width="12.33203125" style="113" bestFit="1" customWidth="1"/>
    <col min="11011" max="11013" width="10" style="113" customWidth="1"/>
    <col min="11014" max="11014" width="1.6640625" style="113" customWidth="1"/>
    <col min="11015" max="11015" width="10" style="113" bestFit="1" customWidth="1"/>
    <col min="11016" max="11017" width="9.33203125" style="113" bestFit="1" customWidth="1"/>
    <col min="11018" max="11018" width="10" style="113" bestFit="1" customWidth="1"/>
    <col min="11019" max="11019" width="1.6640625" style="113" customWidth="1"/>
    <col min="11020" max="11020" width="8.109375" style="113" bestFit="1" customWidth="1"/>
    <col min="11021" max="11021" width="7.6640625" style="113" bestFit="1" customWidth="1"/>
    <col min="11022" max="11022" width="7" style="113" customWidth="1"/>
    <col min="11023" max="11023" width="8.109375" style="113" bestFit="1" customWidth="1"/>
    <col min="11024" max="11024" width="1.6640625" style="113" customWidth="1"/>
    <col min="11025" max="11025" width="8.109375" style="113" bestFit="1" customWidth="1"/>
    <col min="11026" max="11028" width="9.109375" style="113"/>
    <col min="11029" max="11029" width="3" style="113" customWidth="1"/>
    <col min="11030" max="11030" width="8.109375" style="113" bestFit="1" customWidth="1"/>
    <col min="11031" max="11033" width="9.109375" style="113"/>
    <col min="11034" max="11034" width="2.6640625" style="113" customWidth="1"/>
    <col min="11035" max="11035" width="8.33203125" style="113" bestFit="1" customWidth="1"/>
    <col min="11036" max="11038" width="9.109375" style="113"/>
    <col min="11039" max="11039" width="1.109375" style="113" customWidth="1"/>
    <col min="11040" max="11040" width="8.33203125" style="113" bestFit="1" customWidth="1"/>
    <col min="11041" max="11042" width="7.6640625" style="113" bestFit="1" customWidth="1"/>
    <col min="11043" max="11043" width="8.109375" style="113" bestFit="1" customWidth="1"/>
    <col min="11044" max="11044" width="1.6640625" style="113" customWidth="1"/>
    <col min="11045" max="11048" width="9.109375" style="113"/>
    <col min="11049" max="11049" width="1.5546875" style="113" customWidth="1"/>
    <col min="11050" max="11050" width="8.109375" style="113" bestFit="1" customWidth="1"/>
    <col min="11051" max="11052" width="7.6640625" style="113" bestFit="1" customWidth="1"/>
    <col min="11053" max="11053" width="8.109375" style="113" bestFit="1" customWidth="1"/>
    <col min="11054" max="11054" width="1.6640625" style="113" customWidth="1"/>
    <col min="11055" max="11055" width="8.33203125" style="113" bestFit="1" customWidth="1"/>
    <col min="11056" max="11057" width="7.6640625" style="113" bestFit="1" customWidth="1"/>
    <col min="11058" max="11058" width="8.109375" style="113" bestFit="1" customWidth="1"/>
    <col min="11059" max="11259" width="9.109375" style="113"/>
    <col min="11260" max="11260" width="4.109375" style="113" bestFit="1" customWidth="1"/>
    <col min="11261" max="11261" width="12.109375" style="113" bestFit="1" customWidth="1"/>
    <col min="11262" max="11263" width="9.33203125" style="113" bestFit="1" customWidth="1"/>
    <col min="11264" max="11264" width="10" style="113" customWidth="1"/>
    <col min="11265" max="11265" width="3" style="113" customWidth="1"/>
    <col min="11266" max="11266" width="12.33203125" style="113" bestFit="1" customWidth="1"/>
    <col min="11267" max="11269" width="10" style="113" customWidth="1"/>
    <col min="11270" max="11270" width="1.6640625" style="113" customWidth="1"/>
    <col min="11271" max="11271" width="10" style="113" bestFit="1" customWidth="1"/>
    <col min="11272" max="11273" width="9.33203125" style="113" bestFit="1" customWidth="1"/>
    <col min="11274" max="11274" width="10" style="113" bestFit="1" customWidth="1"/>
    <col min="11275" max="11275" width="1.6640625" style="113" customWidth="1"/>
    <col min="11276" max="11276" width="8.109375" style="113" bestFit="1" customWidth="1"/>
    <col min="11277" max="11277" width="7.6640625" style="113" bestFit="1" customWidth="1"/>
    <col min="11278" max="11278" width="7" style="113" customWidth="1"/>
    <col min="11279" max="11279" width="8.109375" style="113" bestFit="1" customWidth="1"/>
    <col min="11280" max="11280" width="1.6640625" style="113" customWidth="1"/>
    <col min="11281" max="11281" width="8.109375" style="113" bestFit="1" customWidth="1"/>
    <col min="11282" max="11284" width="9.109375" style="113"/>
    <col min="11285" max="11285" width="3" style="113" customWidth="1"/>
    <col min="11286" max="11286" width="8.109375" style="113" bestFit="1" customWidth="1"/>
    <col min="11287" max="11289" width="9.109375" style="113"/>
    <col min="11290" max="11290" width="2.6640625" style="113" customWidth="1"/>
    <col min="11291" max="11291" width="8.33203125" style="113" bestFit="1" customWidth="1"/>
    <col min="11292" max="11294" width="9.109375" style="113"/>
    <col min="11295" max="11295" width="1.109375" style="113" customWidth="1"/>
    <col min="11296" max="11296" width="8.33203125" style="113" bestFit="1" customWidth="1"/>
    <col min="11297" max="11298" width="7.6640625" style="113" bestFit="1" customWidth="1"/>
    <col min="11299" max="11299" width="8.109375" style="113" bestFit="1" customWidth="1"/>
    <col min="11300" max="11300" width="1.6640625" style="113" customWidth="1"/>
    <col min="11301" max="11304" width="9.109375" style="113"/>
    <col min="11305" max="11305" width="1.5546875" style="113" customWidth="1"/>
    <col min="11306" max="11306" width="8.109375" style="113" bestFit="1" customWidth="1"/>
    <col min="11307" max="11308" width="7.6640625" style="113" bestFit="1" customWidth="1"/>
    <col min="11309" max="11309" width="8.109375" style="113" bestFit="1" customWidth="1"/>
    <col min="11310" max="11310" width="1.6640625" style="113" customWidth="1"/>
    <col min="11311" max="11311" width="8.33203125" style="113" bestFit="1" customWidth="1"/>
    <col min="11312" max="11313" width="7.6640625" style="113" bestFit="1" customWidth="1"/>
    <col min="11314" max="11314" width="8.109375" style="113" bestFit="1" customWidth="1"/>
    <col min="11315" max="11515" width="9.109375" style="113"/>
    <col min="11516" max="11516" width="4.109375" style="113" bestFit="1" customWidth="1"/>
    <col min="11517" max="11517" width="12.109375" style="113" bestFit="1" customWidth="1"/>
    <col min="11518" max="11519" width="9.33203125" style="113" bestFit="1" customWidth="1"/>
    <col min="11520" max="11520" width="10" style="113" customWidth="1"/>
    <col min="11521" max="11521" width="3" style="113" customWidth="1"/>
    <col min="11522" max="11522" width="12.33203125" style="113" bestFit="1" customWidth="1"/>
    <col min="11523" max="11525" width="10" style="113" customWidth="1"/>
    <col min="11526" max="11526" width="1.6640625" style="113" customWidth="1"/>
    <col min="11527" max="11527" width="10" style="113" bestFit="1" customWidth="1"/>
    <col min="11528" max="11529" width="9.33203125" style="113" bestFit="1" customWidth="1"/>
    <col min="11530" max="11530" width="10" style="113" bestFit="1" customWidth="1"/>
    <col min="11531" max="11531" width="1.6640625" style="113" customWidth="1"/>
    <col min="11532" max="11532" width="8.109375" style="113" bestFit="1" customWidth="1"/>
    <col min="11533" max="11533" width="7.6640625" style="113" bestFit="1" customWidth="1"/>
    <col min="11534" max="11534" width="7" style="113" customWidth="1"/>
    <col min="11535" max="11535" width="8.109375" style="113" bestFit="1" customWidth="1"/>
    <col min="11536" max="11536" width="1.6640625" style="113" customWidth="1"/>
    <col min="11537" max="11537" width="8.109375" style="113" bestFit="1" customWidth="1"/>
    <col min="11538" max="11540" width="9.109375" style="113"/>
    <col min="11541" max="11541" width="3" style="113" customWidth="1"/>
    <col min="11542" max="11542" width="8.109375" style="113" bestFit="1" customWidth="1"/>
    <col min="11543" max="11545" width="9.109375" style="113"/>
    <col min="11546" max="11546" width="2.6640625" style="113" customWidth="1"/>
    <col min="11547" max="11547" width="8.33203125" style="113" bestFit="1" customWidth="1"/>
    <col min="11548" max="11550" width="9.109375" style="113"/>
    <col min="11551" max="11551" width="1.109375" style="113" customWidth="1"/>
    <col min="11552" max="11552" width="8.33203125" style="113" bestFit="1" customWidth="1"/>
    <col min="11553" max="11554" width="7.6640625" style="113" bestFit="1" customWidth="1"/>
    <col min="11555" max="11555" width="8.109375" style="113" bestFit="1" customWidth="1"/>
    <col min="11556" max="11556" width="1.6640625" style="113" customWidth="1"/>
    <col min="11557" max="11560" width="9.109375" style="113"/>
    <col min="11561" max="11561" width="1.5546875" style="113" customWidth="1"/>
    <col min="11562" max="11562" width="8.109375" style="113" bestFit="1" customWidth="1"/>
    <col min="11563" max="11564" width="7.6640625" style="113" bestFit="1" customWidth="1"/>
    <col min="11565" max="11565" width="8.109375" style="113" bestFit="1" customWidth="1"/>
    <col min="11566" max="11566" width="1.6640625" style="113" customWidth="1"/>
    <col min="11567" max="11567" width="8.33203125" style="113" bestFit="1" customWidth="1"/>
    <col min="11568" max="11569" width="7.6640625" style="113" bestFit="1" customWidth="1"/>
    <col min="11570" max="11570" width="8.109375" style="113" bestFit="1" customWidth="1"/>
    <col min="11571" max="11771" width="9.109375" style="113"/>
    <col min="11772" max="11772" width="4.109375" style="113" bestFit="1" customWidth="1"/>
    <col min="11773" max="11773" width="12.109375" style="113" bestFit="1" customWidth="1"/>
    <col min="11774" max="11775" width="9.33203125" style="113" bestFit="1" customWidth="1"/>
    <col min="11776" max="11776" width="10" style="113" customWidth="1"/>
    <col min="11777" max="11777" width="3" style="113" customWidth="1"/>
    <col min="11778" max="11778" width="12.33203125" style="113" bestFit="1" customWidth="1"/>
    <col min="11779" max="11781" width="10" style="113" customWidth="1"/>
    <col min="11782" max="11782" width="1.6640625" style="113" customWidth="1"/>
    <col min="11783" max="11783" width="10" style="113" bestFit="1" customWidth="1"/>
    <col min="11784" max="11785" width="9.33203125" style="113" bestFit="1" customWidth="1"/>
    <col min="11786" max="11786" width="10" style="113" bestFit="1" customWidth="1"/>
    <col min="11787" max="11787" width="1.6640625" style="113" customWidth="1"/>
    <col min="11788" max="11788" width="8.109375" style="113" bestFit="1" customWidth="1"/>
    <col min="11789" max="11789" width="7.6640625" style="113" bestFit="1" customWidth="1"/>
    <col min="11790" max="11790" width="7" style="113" customWidth="1"/>
    <col min="11791" max="11791" width="8.109375" style="113" bestFit="1" customWidth="1"/>
    <col min="11792" max="11792" width="1.6640625" style="113" customWidth="1"/>
    <col min="11793" max="11793" width="8.109375" style="113" bestFit="1" customWidth="1"/>
    <col min="11794" max="11796" width="9.109375" style="113"/>
    <col min="11797" max="11797" width="3" style="113" customWidth="1"/>
    <col min="11798" max="11798" width="8.109375" style="113" bestFit="1" customWidth="1"/>
    <col min="11799" max="11801" width="9.109375" style="113"/>
    <col min="11802" max="11802" width="2.6640625" style="113" customWidth="1"/>
    <col min="11803" max="11803" width="8.33203125" style="113" bestFit="1" customWidth="1"/>
    <col min="11804" max="11806" width="9.109375" style="113"/>
    <col min="11807" max="11807" width="1.109375" style="113" customWidth="1"/>
    <col min="11808" max="11808" width="8.33203125" style="113" bestFit="1" customWidth="1"/>
    <col min="11809" max="11810" width="7.6640625" style="113" bestFit="1" customWidth="1"/>
    <col min="11811" max="11811" width="8.109375" style="113" bestFit="1" customWidth="1"/>
    <col min="11812" max="11812" width="1.6640625" style="113" customWidth="1"/>
    <col min="11813" max="11816" width="9.109375" style="113"/>
    <col min="11817" max="11817" width="1.5546875" style="113" customWidth="1"/>
    <col min="11818" max="11818" width="8.109375" style="113" bestFit="1" customWidth="1"/>
    <col min="11819" max="11820" width="7.6640625" style="113" bestFit="1" customWidth="1"/>
    <col min="11821" max="11821" width="8.109375" style="113" bestFit="1" customWidth="1"/>
    <col min="11822" max="11822" width="1.6640625" style="113" customWidth="1"/>
    <col min="11823" max="11823" width="8.33203125" style="113" bestFit="1" customWidth="1"/>
    <col min="11824" max="11825" width="7.6640625" style="113" bestFit="1" customWidth="1"/>
    <col min="11826" max="11826" width="8.109375" style="113" bestFit="1" customWidth="1"/>
    <col min="11827" max="12027" width="9.109375" style="113"/>
    <col min="12028" max="12028" width="4.109375" style="113" bestFit="1" customWidth="1"/>
    <col min="12029" max="12029" width="12.109375" style="113" bestFit="1" customWidth="1"/>
    <col min="12030" max="12031" width="9.33203125" style="113" bestFit="1" customWidth="1"/>
    <col min="12032" max="12032" width="10" style="113" customWidth="1"/>
    <col min="12033" max="12033" width="3" style="113" customWidth="1"/>
    <col min="12034" max="12034" width="12.33203125" style="113" bestFit="1" customWidth="1"/>
    <col min="12035" max="12037" width="10" style="113" customWidth="1"/>
    <col min="12038" max="12038" width="1.6640625" style="113" customWidth="1"/>
    <col min="12039" max="12039" width="10" style="113" bestFit="1" customWidth="1"/>
    <col min="12040" max="12041" width="9.33203125" style="113" bestFit="1" customWidth="1"/>
    <col min="12042" max="12042" width="10" style="113" bestFit="1" customWidth="1"/>
    <col min="12043" max="12043" width="1.6640625" style="113" customWidth="1"/>
    <col min="12044" max="12044" width="8.109375" style="113" bestFit="1" customWidth="1"/>
    <col min="12045" max="12045" width="7.6640625" style="113" bestFit="1" customWidth="1"/>
    <col min="12046" max="12046" width="7" style="113" customWidth="1"/>
    <col min="12047" max="12047" width="8.109375" style="113" bestFit="1" customWidth="1"/>
    <col min="12048" max="12048" width="1.6640625" style="113" customWidth="1"/>
    <col min="12049" max="12049" width="8.109375" style="113" bestFit="1" customWidth="1"/>
    <col min="12050" max="12052" width="9.109375" style="113"/>
    <col min="12053" max="12053" width="3" style="113" customWidth="1"/>
    <col min="12054" max="12054" width="8.109375" style="113" bestFit="1" customWidth="1"/>
    <col min="12055" max="12057" width="9.109375" style="113"/>
    <col min="12058" max="12058" width="2.6640625" style="113" customWidth="1"/>
    <col min="12059" max="12059" width="8.33203125" style="113" bestFit="1" customWidth="1"/>
    <col min="12060" max="12062" width="9.109375" style="113"/>
    <col min="12063" max="12063" width="1.109375" style="113" customWidth="1"/>
    <col min="12064" max="12064" width="8.33203125" style="113" bestFit="1" customWidth="1"/>
    <col min="12065" max="12066" width="7.6640625" style="113" bestFit="1" customWidth="1"/>
    <col min="12067" max="12067" width="8.109375" style="113" bestFit="1" customWidth="1"/>
    <col min="12068" max="12068" width="1.6640625" style="113" customWidth="1"/>
    <col min="12069" max="12072" width="9.109375" style="113"/>
    <col min="12073" max="12073" width="1.5546875" style="113" customWidth="1"/>
    <col min="12074" max="12074" width="8.109375" style="113" bestFit="1" customWidth="1"/>
    <col min="12075" max="12076" width="7.6640625" style="113" bestFit="1" customWidth="1"/>
    <col min="12077" max="12077" width="8.109375" style="113" bestFit="1" customWidth="1"/>
    <col min="12078" max="12078" width="1.6640625" style="113" customWidth="1"/>
    <col min="12079" max="12079" width="8.33203125" style="113" bestFit="1" customWidth="1"/>
    <col min="12080" max="12081" width="7.6640625" style="113" bestFit="1" customWidth="1"/>
    <col min="12082" max="12082" width="8.109375" style="113" bestFit="1" customWidth="1"/>
    <col min="12083" max="12283" width="9.109375" style="113"/>
    <col min="12284" max="12284" width="4.109375" style="113" bestFit="1" customWidth="1"/>
    <col min="12285" max="12285" width="12.109375" style="113" bestFit="1" customWidth="1"/>
    <col min="12286" max="12287" width="9.33203125" style="113" bestFit="1" customWidth="1"/>
    <col min="12288" max="12288" width="10" style="113" customWidth="1"/>
    <col min="12289" max="12289" width="3" style="113" customWidth="1"/>
    <col min="12290" max="12290" width="12.33203125" style="113" bestFit="1" customWidth="1"/>
    <col min="12291" max="12293" width="10" style="113" customWidth="1"/>
    <col min="12294" max="12294" width="1.6640625" style="113" customWidth="1"/>
    <col min="12295" max="12295" width="10" style="113" bestFit="1" customWidth="1"/>
    <col min="12296" max="12297" width="9.33203125" style="113" bestFit="1" customWidth="1"/>
    <col min="12298" max="12298" width="10" style="113" bestFit="1" customWidth="1"/>
    <col min="12299" max="12299" width="1.6640625" style="113" customWidth="1"/>
    <col min="12300" max="12300" width="8.109375" style="113" bestFit="1" customWidth="1"/>
    <col min="12301" max="12301" width="7.6640625" style="113" bestFit="1" customWidth="1"/>
    <col min="12302" max="12302" width="7" style="113" customWidth="1"/>
    <col min="12303" max="12303" width="8.109375" style="113" bestFit="1" customWidth="1"/>
    <col min="12304" max="12304" width="1.6640625" style="113" customWidth="1"/>
    <col min="12305" max="12305" width="8.109375" style="113" bestFit="1" customWidth="1"/>
    <col min="12306" max="12308" width="9.109375" style="113"/>
    <col min="12309" max="12309" width="3" style="113" customWidth="1"/>
    <col min="12310" max="12310" width="8.109375" style="113" bestFit="1" customWidth="1"/>
    <col min="12311" max="12313" width="9.109375" style="113"/>
    <col min="12314" max="12314" width="2.6640625" style="113" customWidth="1"/>
    <col min="12315" max="12315" width="8.33203125" style="113" bestFit="1" customWidth="1"/>
    <col min="12316" max="12318" width="9.109375" style="113"/>
    <col min="12319" max="12319" width="1.109375" style="113" customWidth="1"/>
    <col min="12320" max="12320" width="8.33203125" style="113" bestFit="1" customWidth="1"/>
    <col min="12321" max="12322" width="7.6640625" style="113" bestFit="1" customWidth="1"/>
    <col min="12323" max="12323" width="8.109375" style="113" bestFit="1" customWidth="1"/>
    <col min="12324" max="12324" width="1.6640625" style="113" customWidth="1"/>
    <col min="12325" max="12328" width="9.109375" style="113"/>
    <col min="12329" max="12329" width="1.5546875" style="113" customWidth="1"/>
    <col min="12330" max="12330" width="8.109375" style="113" bestFit="1" customWidth="1"/>
    <col min="12331" max="12332" width="7.6640625" style="113" bestFit="1" customWidth="1"/>
    <col min="12333" max="12333" width="8.109375" style="113" bestFit="1" customWidth="1"/>
    <col min="12334" max="12334" width="1.6640625" style="113" customWidth="1"/>
    <col min="12335" max="12335" width="8.33203125" style="113" bestFit="1" customWidth="1"/>
    <col min="12336" max="12337" width="7.6640625" style="113" bestFit="1" customWidth="1"/>
    <col min="12338" max="12338" width="8.109375" style="113" bestFit="1" customWidth="1"/>
    <col min="12339" max="12539" width="9.109375" style="113"/>
    <col min="12540" max="12540" width="4.109375" style="113" bestFit="1" customWidth="1"/>
    <col min="12541" max="12541" width="12.109375" style="113" bestFit="1" customWidth="1"/>
    <col min="12542" max="12543" width="9.33203125" style="113" bestFit="1" customWidth="1"/>
    <col min="12544" max="12544" width="10" style="113" customWidth="1"/>
    <col min="12545" max="12545" width="3" style="113" customWidth="1"/>
    <col min="12546" max="12546" width="12.33203125" style="113" bestFit="1" customWidth="1"/>
    <col min="12547" max="12549" width="10" style="113" customWidth="1"/>
    <col min="12550" max="12550" width="1.6640625" style="113" customWidth="1"/>
    <col min="12551" max="12551" width="10" style="113" bestFit="1" customWidth="1"/>
    <col min="12552" max="12553" width="9.33203125" style="113" bestFit="1" customWidth="1"/>
    <col min="12554" max="12554" width="10" style="113" bestFit="1" customWidth="1"/>
    <col min="12555" max="12555" width="1.6640625" style="113" customWidth="1"/>
    <col min="12556" max="12556" width="8.109375" style="113" bestFit="1" customWidth="1"/>
    <col min="12557" max="12557" width="7.6640625" style="113" bestFit="1" customWidth="1"/>
    <col min="12558" max="12558" width="7" style="113" customWidth="1"/>
    <col min="12559" max="12559" width="8.109375" style="113" bestFit="1" customWidth="1"/>
    <col min="12560" max="12560" width="1.6640625" style="113" customWidth="1"/>
    <col min="12561" max="12561" width="8.109375" style="113" bestFit="1" customWidth="1"/>
    <col min="12562" max="12564" width="9.109375" style="113"/>
    <col min="12565" max="12565" width="3" style="113" customWidth="1"/>
    <col min="12566" max="12566" width="8.109375" style="113" bestFit="1" customWidth="1"/>
    <col min="12567" max="12569" width="9.109375" style="113"/>
    <col min="12570" max="12570" width="2.6640625" style="113" customWidth="1"/>
    <col min="12571" max="12571" width="8.33203125" style="113" bestFit="1" customWidth="1"/>
    <col min="12572" max="12574" width="9.109375" style="113"/>
    <col min="12575" max="12575" width="1.109375" style="113" customWidth="1"/>
    <col min="12576" max="12576" width="8.33203125" style="113" bestFit="1" customWidth="1"/>
    <col min="12577" max="12578" width="7.6640625" style="113" bestFit="1" customWidth="1"/>
    <col min="12579" max="12579" width="8.109375" style="113" bestFit="1" customWidth="1"/>
    <col min="12580" max="12580" width="1.6640625" style="113" customWidth="1"/>
    <col min="12581" max="12584" width="9.109375" style="113"/>
    <col min="12585" max="12585" width="1.5546875" style="113" customWidth="1"/>
    <col min="12586" max="12586" width="8.109375" style="113" bestFit="1" customWidth="1"/>
    <col min="12587" max="12588" width="7.6640625" style="113" bestFit="1" customWidth="1"/>
    <col min="12589" max="12589" width="8.109375" style="113" bestFit="1" customWidth="1"/>
    <col min="12590" max="12590" width="1.6640625" style="113" customWidth="1"/>
    <col min="12591" max="12591" width="8.33203125" style="113" bestFit="1" customWidth="1"/>
    <col min="12592" max="12593" width="7.6640625" style="113" bestFit="1" customWidth="1"/>
    <col min="12594" max="12594" width="8.109375" style="113" bestFit="1" customWidth="1"/>
    <col min="12595" max="12795" width="9.109375" style="113"/>
    <col min="12796" max="12796" width="4.109375" style="113" bestFit="1" customWidth="1"/>
    <col min="12797" max="12797" width="12.109375" style="113" bestFit="1" customWidth="1"/>
    <col min="12798" max="12799" width="9.33203125" style="113" bestFit="1" customWidth="1"/>
    <col min="12800" max="12800" width="10" style="113" customWidth="1"/>
    <col min="12801" max="12801" width="3" style="113" customWidth="1"/>
    <col min="12802" max="12802" width="12.33203125" style="113" bestFit="1" customWidth="1"/>
    <col min="12803" max="12805" width="10" style="113" customWidth="1"/>
    <col min="12806" max="12806" width="1.6640625" style="113" customWidth="1"/>
    <col min="12807" max="12807" width="10" style="113" bestFit="1" customWidth="1"/>
    <col min="12808" max="12809" width="9.33203125" style="113" bestFit="1" customWidth="1"/>
    <col min="12810" max="12810" width="10" style="113" bestFit="1" customWidth="1"/>
    <col min="12811" max="12811" width="1.6640625" style="113" customWidth="1"/>
    <col min="12812" max="12812" width="8.109375" style="113" bestFit="1" customWidth="1"/>
    <col min="12813" max="12813" width="7.6640625" style="113" bestFit="1" customWidth="1"/>
    <col min="12814" max="12814" width="7" style="113" customWidth="1"/>
    <col min="12815" max="12815" width="8.109375" style="113" bestFit="1" customWidth="1"/>
    <col min="12816" max="12816" width="1.6640625" style="113" customWidth="1"/>
    <col min="12817" max="12817" width="8.109375" style="113" bestFit="1" customWidth="1"/>
    <col min="12818" max="12820" width="9.109375" style="113"/>
    <col min="12821" max="12821" width="3" style="113" customWidth="1"/>
    <col min="12822" max="12822" width="8.109375" style="113" bestFit="1" customWidth="1"/>
    <col min="12823" max="12825" width="9.109375" style="113"/>
    <col min="12826" max="12826" width="2.6640625" style="113" customWidth="1"/>
    <col min="12827" max="12827" width="8.33203125" style="113" bestFit="1" customWidth="1"/>
    <col min="12828" max="12830" width="9.109375" style="113"/>
    <col min="12831" max="12831" width="1.109375" style="113" customWidth="1"/>
    <col min="12832" max="12832" width="8.33203125" style="113" bestFit="1" customWidth="1"/>
    <col min="12833" max="12834" width="7.6640625" style="113" bestFit="1" customWidth="1"/>
    <col min="12835" max="12835" width="8.109375" style="113" bestFit="1" customWidth="1"/>
    <col min="12836" max="12836" width="1.6640625" style="113" customWidth="1"/>
    <col min="12837" max="12840" width="9.109375" style="113"/>
    <col min="12841" max="12841" width="1.5546875" style="113" customWidth="1"/>
    <col min="12842" max="12842" width="8.109375" style="113" bestFit="1" customWidth="1"/>
    <col min="12843" max="12844" width="7.6640625" style="113" bestFit="1" customWidth="1"/>
    <col min="12845" max="12845" width="8.109375" style="113" bestFit="1" customWidth="1"/>
    <col min="12846" max="12846" width="1.6640625" style="113" customWidth="1"/>
    <col min="12847" max="12847" width="8.33203125" style="113" bestFit="1" customWidth="1"/>
    <col min="12848" max="12849" width="7.6640625" style="113" bestFit="1" customWidth="1"/>
    <col min="12850" max="12850" width="8.109375" style="113" bestFit="1" customWidth="1"/>
    <col min="12851" max="13051" width="9.109375" style="113"/>
    <col min="13052" max="13052" width="4.109375" style="113" bestFit="1" customWidth="1"/>
    <col min="13053" max="13053" width="12.109375" style="113" bestFit="1" customWidth="1"/>
    <col min="13054" max="13055" width="9.33203125" style="113" bestFit="1" customWidth="1"/>
    <col min="13056" max="13056" width="10" style="113" customWidth="1"/>
    <col min="13057" max="13057" width="3" style="113" customWidth="1"/>
    <col min="13058" max="13058" width="12.33203125" style="113" bestFit="1" customWidth="1"/>
    <col min="13059" max="13061" width="10" style="113" customWidth="1"/>
    <col min="13062" max="13062" width="1.6640625" style="113" customWidth="1"/>
    <col min="13063" max="13063" width="10" style="113" bestFit="1" customWidth="1"/>
    <col min="13064" max="13065" width="9.33203125" style="113" bestFit="1" customWidth="1"/>
    <col min="13066" max="13066" width="10" style="113" bestFit="1" customWidth="1"/>
    <col min="13067" max="13067" width="1.6640625" style="113" customWidth="1"/>
    <col min="13068" max="13068" width="8.109375" style="113" bestFit="1" customWidth="1"/>
    <col min="13069" max="13069" width="7.6640625" style="113" bestFit="1" customWidth="1"/>
    <col min="13070" max="13070" width="7" style="113" customWidth="1"/>
    <col min="13071" max="13071" width="8.109375" style="113" bestFit="1" customWidth="1"/>
    <col min="13072" max="13072" width="1.6640625" style="113" customWidth="1"/>
    <col min="13073" max="13073" width="8.109375" style="113" bestFit="1" customWidth="1"/>
    <col min="13074" max="13076" width="9.109375" style="113"/>
    <col min="13077" max="13077" width="3" style="113" customWidth="1"/>
    <col min="13078" max="13078" width="8.109375" style="113" bestFit="1" customWidth="1"/>
    <col min="13079" max="13081" width="9.109375" style="113"/>
    <col min="13082" max="13082" width="2.6640625" style="113" customWidth="1"/>
    <col min="13083" max="13083" width="8.33203125" style="113" bestFit="1" customWidth="1"/>
    <col min="13084" max="13086" width="9.109375" style="113"/>
    <col min="13087" max="13087" width="1.109375" style="113" customWidth="1"/>
    <col min="13088" max="13088" width="8.33203125" style="113" bestFit="1" customWidth="1"/>
    <col min="13089" max="13090" width="7.6640625" style="113" bestFit="1" customWidth="1"/>
    <col min="13091" max="13091" width="8.109375" style="113" bestFit="1" customWidth="1"/>
    <col min="13092" max="13092" width="1.6640625" style="113" customWidth="1"/>
    <col min="13093" max="13096" width="9.109375" style="113"/>
    <col min="13097" max="13097" width="1.5546875" style="113" customWidth="1"/>
    <col min="13098" max="13098" width="8.109375" style="113" bestFit="1" customWidth="1"/>
    <col min="13099" max="13100" width="7.6640625" style="113" bestFit="1" customWidth="1"/>
    <col min="13101" max="13101" width="8.109375" style="113" bestFit="1" customWidth="1"/>
    <col min="13102" max="13102" width="1.6640625" style="113" customWidth="1"/>
    <col min="13103" max="13103" width="8.33203125" style="113" bestFit="1" customWidth="1"/>
    <col min="13104" max="13105" width="7.6640625" style="113" bestFit="1" customWidth="1"/>
    <col min="13106" max="13106" width="8.109375" style="113" bestFit="1" customWidth="1"/>
    <col min="13107" max="13307" width="9.109375" style="113"/>
    <col min="13308" max="13308" width="4.109375" style="113" bestFit="1" customWidth="1"/>
    <col min="13309" max="13309" width="12.109375" style="113" bestFit="1" customWidth="1"/>
    <col min="13310" max="13311" width="9.33203125" style="113" bestFit="1" customWidth="1"/>
    <col min="13312" max="13312" width="10" style="113" customWidth="1"/>
    <col min="13313" max="13313" width="3" style="113" customWidth="1"/>
    <col min="13314" max="13314" width="12.33203125" style="113" bestFit="1" customWidth="1"/>
    <col min="13315" max="13317" width="10" style="113" customWidth="1"/>
    <col min="13318" max="13318" width="1.6640625" style="113" customWidth="1"/>
    <col min="13319" max="13319" width="10" style="113" bestFit="1" customWidth="1"/>
    <col min="13320" max="13321" width="9.33203125" style="113" bestFit="1" customWidth="1"/>
    <col min="13322" max="13322" width="10" style="113" bestFit="1" customWidth="1"/>
    <col min="13323" max="13323" width="1.6640625" style="113" customWidth="1"/>
    <col min="13324" max="13324" width="8.109375" style="113" bestFit="1" customWidth="1"/>
    <col min="13325" max="13325" width="7.6640625" style="113" bestFit="1" customWidth="1"/>
    <col min="13326" max="13326" width="7" style="113" customWidth="1"/>
    <col min="13327" max="13327" width="8.109375" style="113" bestFit="1" customWidth="1"/>
    <col min="13328" max="13328" width="1.6640625" style="113" customWidth="1"/>
    <col min="13329" max="13329" width="8.109375" style="113" bestFit="1" customWidth="1"/>
    <col min="13330" max="13332" width="9.109375" style="113"/>
    <col min="13333" max="13333" width="3" style="113" customWidth="1"/>
    <col min="13334" max="13334" width="8.109375" style="113" bestFit="1" customWidth="1"/>
    <col min="13335" max="13337" width="9.109375" style="113"/>
    <col min="13338" max="13338" width="2.6640625" style="113" customWidth="1"/>
    <col min="13339" max="13339" width="8.33203125" style="113" bestFit="1" customWidth="1"/>
    <col min="13340" max="13342" width="9.109375" style="113"/>
    <col min="13343" max="13343" width="1.109375" style="113" customWidth="1"/>
    <col min="13344" max="13344" width="8.33203125" style="113" bestFit="1" customWidth="1"/>
    <col min="13345" max="13346" width="7.6640625" style="113" bestFit="1" customWidth="1"/>
    <col min="13347" max="13347" width="8.109375" style="113" bestFit="1" customWidth="1"/>
    <col min="13348" max="13348" width="1.6640625" style="113" customWidth="1"/>
    <col min="13349" max="13352" width="9.109375" style="113"/>
    <col min="13353" max="13353" width="1.5546875" style="113" customWidth="1"/>
    <col min="13354" max="13354" width="8.109375" style="113" bestFit="1" customWidth="1"/>
    <col min="13355" max="13356" width="7.6640625" style="113" bestFit="1" customWidth="1"/>
    <col min="13357" max="13357" width="8.109375" style="113" bestFit="1" customWidth="1"/>
    <col min="13358" max="13358" width="1.6640625" style="113" customWidth="1"/>
    <col min="13359" max="13359" width="8.33203125" style="113" bestFit="1" customWidth="1"/>
    <col min="13360" max="13361" width="7.6640625" style="113" bestFit="1" customWidth="1"/>
    <col min="13362" max="13362" width="8.109375" style="113" bestFit="1" customWidth="1"/>
    <col min="13363" max="13563" width="9.109375" style="113"/>
    <col min="13564" max="13564" width="4.109375" style="113" bestFit="1" customWidth="1"/>
    <col min="13565" max="13565" width="12.109375" style="113" bestFit="1" customWidth="1"/>
    <col min="13566" max="13567" width="9.33203125" style="113" bestFit="1" customWidth="1"/>
    <col min="13568" max="13568" width="10" style="113" customWidth="1"/>
    <col min="13569" max="13569" width="3" style="113" customWidth="1"/>
    <col min="13570" max="13570" width="12.33203125" style="113" bestFit="1" customWidth="1"/>
    <col min="13571" max="13573" width="10" style="113" customWidth="1"/>
    <col min="13574" max="13574" width="1.6640625" style="113" customWidth="1"/>
    <col min="13575" max="13575" width="10" style="113" bestFit="1" customWidth="1"/>
    <col min="13576" max="13577" width="9.33203125" style="113" bestFit="1" customWidth="1"/>
    <col min="13578" max="13578" width="10" style="113" bestFit="1" customWidth="1"/>
    <col min="13579" max="13579" width="1.6640625" style="113" customWidth="1"/>
    <col min="13580" max="13580" width="8.109375" style="113" bestFit="1" customWidth="1"/>
    <col min="13581" max="13581" width="7.6640625" style="113" bestFit="1" customWidth="1"/>
    <col min="13582" max="13582" width="7" style="113" customWidth="1"/>
    <col min="13583" max="13583" width="8.109375" style="113" bestFit="1" customWidth="1"/>
    <col min="13584" max="13584" width="1.6640625" style="113" customWidth="1"/>
    <col min="13585" max="13585" width="8.109375" style="113" bestFit="1" customWidth="1"/>
    <col min="13586" max="13588" width="9.109375" style="113"/>
    <col min="13589" max="13589" width="3" style="113" customWidth="1"/>
    <col min="13590" max="13590" width="8.109375" style="113" bestFit="1" customWidth="1"/>
    <col min="13591" max="13593" width="9.109375" style="113"/>
    <col min="13594" max="13594" width="2.6640625" style="113" customWidth="1"/>
    <col min="13595" max="13595" width="8.33203125" style="113" bestFit="1" customWidth="1"/>
    <col min="13596" max="13598" width="9.109375" style="113"/>
    <col min="13599" max="13599" width="1.109375" style="113" customWidth="1"/>
    <col min="13600" max="13600" width="8.33203125" style="113" bestFit="1" customWidth="1"/>
    <col min="13601" max="13602" width="7.6640625" style="113" bestFit="1" customWidth="1"/>
    <col min="13603" max="13603" width="8.109375" style="113" bestFit="1" customWidth="1"/>
    <col min="13604" max="13604" width="1.6640625" style="113" customWidth="1"/>
    <col min="13605" max="13608" width="9.109375" style="113"/>
    <col min="13609" max="13609" width="1.5546875" style="113" customWidth="1"/>
    <col min="13610" max="13610" width="8.109375" style="113" bestFit="1" customWidth="1"/>
    <col min="13611" max="13612" width="7.6640625" style="113" bestFit="1" customWidth="1"/>
    <col min="13613" max="13613" width="8.109375" style="113" bestFit="1" customWidth="1"/>
    <col min="13614" max="13614" width="1.6640625" style="113" customWidth="1"/>
    <col min="13615" max="13615" width="8.33203125" style="113" bestFit="1" customWidth="1"/>
    <col min="13616" max="13617" width="7.6640625" style="113" bestFit="1" customWidth="1"/>
    <col min="13618" max="13618" width="8.109375" style="113" bestFit="1" customWidth="1"/>
    <col min="13619" max="13819" width="9.109375" style="113"/>
    <col min="13820" max="13820" width="4.109375" style="113" bestFit="1" customWidth="1"/>
    <col min="13821" max="13821" width="12.109375" style="113" bestFit="1" customWidth="1"/>
    <col min="13822" max="13823" width="9.33203125" style="113" bestFit="1" customWidth="1"/>
    <col min="13824" max="13824" width="10" style="113" customWidth="1"/>
    <col min="13825" max="13825" width="3" style="113" customWidth="1"/>
    <col min="13826" max="13826" width="12.33203125" style="113" bestFit="1" customWidth="1"/>
    <col min="13827" max="13829" width="10" style="113" customWidth="1"/>
    <col min="13830" max="13830" width="1.6640625" style="113" customWidth="1"/>
    <col min="13831" max="13831" width="10" style="113" bestFit="1" customWidth="1"/>
    <col min="13832" max="13833" width="9.33203125" style="113" bestFit="1" customWidth="1"/>
    <col min="13834" max="13834" width="10" style="113" bestFit="1" customWidth="1"/>
    <col min="13835" max="13835" width="1.6640625" style="113" customWidth="1"/>
    <col min="13836" max="13836" width="8.109375" style="113" bestFit="1" customWidth="1"/>
    <col min="13837" max="13837" width="7.6640625" style="113" bestFit="1" customWidth="1"/>
    <col min="13838" max="13838" width="7" style="113" customWidth="1"/>
    <col min="13839" max="13839" width="8.109375" style="113" bestFit="1" customWidth="1"/>
    <col min="13840" max="13840" width="1.6640625" style="113" customWidth="1"/>
    <col min="13841" max="13841" width="8.109375" style="113" bestFit="1" customWidth="1"/>
    <col min="13842" max="13844" width="9.109375" style="113"/>
    <col min="13845" max="13845" width="3" style="113" customWidth="1"/>
    <col min="13846" max="13846" width="8.109375" style="113" bestFit="1" customWidth="1"/>
    <col min="13847" max="13849" width="9.109375" style="113"/>
    <col min="13850" max="13850" width="2.6640625" style="113" customWidth="1"/>
    <col min="13851" max="13851" width="8.33203125" style="113" bestFit="1" customWidth="1"/>
    <col min="13852" max="13854" width="9.109375" style="113"/>
    <col min="13855" max="13855" width="1.109375" style="113" customWidth="1"/>
    <col min="13856" max="13856" width="8.33203125" style="113" bestFit="1" customWidth="1"/>
    <col min="13857" max="13858" width="7.6640625" style="113" bestFit="1" customWidth="1"/>
    <col min="13859" max="13859" width="8.109375" style="113" bestFit="1" customWidth="1"/>
    <col min="13860" max="13860" width="1.6640625" style="113" customWidth="1"/>
    <col min="13861" max="13864" width="9.109375" style="113"/>
    <col min="13865" max="13865" width="1.5546875" style="113" customWidth="1"/>
    <col min="13866" max="13866" width="8.109375" style="113" bestFit="1" customWidth="1"/>
    <col min="13867" max="13868" width="7.6640625" style="113" bestFit="1" customWidth="1"/>
    <col min="13869" max="13869" width="8.109375" style="113" bestFit="1" customWidth="1"/>
    <col min="13870" max="13870" width="1.6640625" style="113" customWidth="1"/>
    <col min="13871" max="13871" width="8.33203125" style="113" bestFit="1" customWidth="1"/>
    <col min="13872" max="13873" width="7.6640625" style="113" bestFit="1" customWidth="1"/>
    <col min="13874" max="13874" width="8.109375" style="113" bestFit="1" customWidth="1"/>
    <col min="13875" max="14075" width="9.109375" style="113"/>
    <col min="14076" max="14076" width="4.109375" style="113" bestFit="1" customWidth="1"/>
    <col min="14077" max="14077" width="12.109375" style="113" bestFit="1" customWidth="1"/>
    <col min="14078" max="14079" width="9.33203125" style="113" bestFit="1" customWidth="1"/>
    <col min="14080" max="14080" width="10" style="113" customWidth="1"/>
    <col min="14081" max="14081" width="3" style="113" customWidth="1"/>
    <col min="14082" max="14082" width="12.33203125" style="113" bestFit="1" customWidth="1"/>
    <col min="14083" max="14085" width="10" style="113" customWidth="1"/>
    <col min="14086" max="14086" width="1.6640625" style="113" customWidth="1"/>
    <col min="14087" max="14087" width="10" style="113" bestFit="1" customWidth="1"/>
    <col min="14088" max="14089" width="9.33203125" style="113" bestFit="1" customWidth="1"/>
    <col min="14090" max="14090" width="10" style="113" bestFit="1" customWidth="1"/>
    <col min="14091" max="14091" width="1.6640625" style="113" customWidth="1"/>
    <col min="14092" max="14092" width="8.109375" style="113" bestFit="1" customWidth="1"/>
    <col min="14093" max="14093" width="7.6640625" style="113" bestFit="1" customWidth="1"/>
    <col min="14094" max="14094" width="7" style="113" customWidth="1"/>
    <col min="14095" max="14095" width="8.109375" style="113" bestFit="1" customWidth="1"/>
    <col min="14096" max="14096" width="1.6640625" style="113" customWidth="1"/>
    <col min="14097" max="14097" width="8.109375" style="113" bestFit="1" customWidth="1"/>
    <col min="14098" max="14100" width="9.109375" style="113"/>
    <col min="14101" max="14101" width="3" style="113" customWidth="1"/>
    <col min="14102" max="14102" width="8.109375" style="113" bestFit="1" customWidth="1"/>
    <col min="14103" max="14105" width="9.109375" style="113"/>
    <col min="14106" max="14106" width="2.6640625" style="113" customWidth="1"/>
    <col min="14107" max="14107" width="8.33203125" style="113" bestFit="1" customWidth="1"/>
    <col min="14108" max="14110" width="9.109375" style="113"/>
    <col min="14111" max="14111" width="1.109375" style="113" customWidth="1"/>
    <col min="14112" max="14112" width="8.33203125" style="113" bestFit="1" customWidth="1"/>
    <col min="14113" max="14114" width="7.6640625" style="113" bestFit="1" customWidth="1"/>
    <col min="14115" max="14115" width="8.109375" style="113" bestFit="1" customWidth="1"/>
    <col min="14116" max="14116" width="1.6640625" style="113" customWidth="1"/>
    <col min="14117" max="14120" width="9.109375" style="113"/>
    <col min="14121" max="14121" width="1.5546875" style="113" customWidth="1"/>
    <col min="14122" max="14122" width="8.109375" style="113" bestFit="1" customWidth="1"/>
    <col min="14123" max="14124" width="7.6640625" style="113" bestFit="1" customWidth="1"/>
    <col min="14125" max="14125" width="8.109375" style="113" bestFit="1" customWidth="1"/>
    <col min="14126" max="14126" width="1.6640625" style="113" customWidth="1"/>
    <col min="14127" max="14127" width="8.33203125" style="113" bestFit="1" customWidth="1"/>
    <col min="14128" max="14129" width="7.6640625" style="113" bestFit="1" customWidth="1"/>
    <col min="14130" max="14130" width="8.109375" style="113" bestFit="1" customWidth="1"/>
    <col min="14131" max="14331" width="9.109375" style="113"/>
    <col min="14332" max="14332" width="4.109375" style="113" bestFit="1" customWidth="1"/>
    <col min="14333" max="14333" width="12.109375" style="113" bestFit="1" customWidth="1"/>
    <col min="14334" max="14335" width="9.33203125" style="113" bestFit="1" customWidth="1"/>
    <col min="14336" max="14336" width="10" style="113" customWidth="1"/>
    <col min="14337" max="14337" width="3" style="113" customWidth="1"/>
    <col min="14338" max="14338" width="12.33203125" style="113" bestFit="1" customWidth="1"/>
    <col min="14339" max="14341" width="10" style="113" customWidth="1"/>
    <col min="14342" max="14342" width="1.6640625" style="113" customWidth="1"/>
    <col min="14343" max="14343" width="10" style="113" bestFit="1" customWidth="1"/>
    <col min="14344" max="14345" width="9.33203125" style="113" bestFit="1" customWidth="1"/>
    <col min="14346" max="14346" width="10" style="113" bestFit="1" customWidth="1"/>
    <col min="14347" max="14347" width="1.6640625" style="113" customWidth="1"/>
    <col min="14348" max="14348" width="8.109375" style="113" bestFit="1" customWidth="1"/>
    <col min="14349" max="14349" width="7.6640625" style="113" bestFit="1" customWidth="1"/>
    <col min="14350" max="14350" width="7" style="113" customWidth="1"/>
    <col min="14351" max="14351" width="8.109375" style="113" bestFit="1" customWidth="1"/>
    <col min="14352" max="14352" width="1.6640625" style="113" customWidth="1"/>
    <col min="14353" max="14353" width="8.109375" style="113" bestFit="1" customWidth="1"/>
    <col min="14354" max="14356" width="9.109375" style="113"/>
    <col min="14357" max="14357" width="3" style="113" customWidth="1"/>
    <col min="14358" max="14358" width="8.109375" style="113" bestFit="1" customWidth="1"/>
    <col min="14359" max="14361" width="9.109375" style="113"/>
    <col min="14362" max="14362" width="2.6640625" style="113" customWidth="1"/>
    <col min="14363" max="14363" width="8.33203125" style="113" bestFit="1" customWidth="1"/>
    <col min="14364" max="14366" width="9.109375" style="113"/>
    <col min="14367" max="14367" width="1.109375" style="113" customWidth="1"/>
    <col min="14368" max="14368" width="8.33203125" style="113" bestFit="1" customWidth="1"/>
    <col min="14369" max="14370" width="7.6640625" style="113" bestFit="1" customWidth="1"/>
    <col min="14371" max="14371" width="8.109375" style="113" bestFit="1" customWidth="1"/>
    <col min="14372" max="14372" width="1.6640625" style="113" customWidth="1"/>
    <col min="14373" max="14376" width="9.109375" style="113"/>
    <col min="14377" max="14377" width="1.5546875" style="113" customWidth="1"/>
    <col min="14378" max="14378" width="8.109375" style="113" bestFit="1" customWidth="1"/>
    <col min="14379" max="14380" width="7.6640625" style="113" bestFit="1" customWidth="1"/>
    <col min="14381" max="14381" width="8.109375" style="113" bestFit="1" customWidth="1"/>
    <col min="14382" max="14382" width="1.6640625" style="113" customWidth="1"/>
    <col min="14383" max="14383" width="8.33203125" style="113" bestFit="1" customWidth="1"/>
    <col min="14384" max="14385" width="7.6640625" style="113" bestFit="1" customWidth="1"/>
    <col min="14386" max="14386" width="8.109375" style="113" bestFit="1" customWidth="1"/>
    <col min="14387" max="14587" width="9.109375" style="113"/>
    <col min="14588" max="14588" width="4.109375" style="113" bestFit="1" customWidth="1"/>
    <col min="14589" max="14589" width="12.109375" style="113" bestFit="1" customWidth="1"/>
    <col min="14590" max="14591" width="9.33203125" style="113" bestFit="1" customWidth="1"/>
    <col min="14592" max="14592" width="10" style="113" customWidth="1"/>
    <col min="14593" max="14593" width="3" style="113" customWidth="1"/>
    <col min="14594" max="14594" width="12.33203125" style="113" bestFit="1" customWidth="1"/>
    <col min="14595" max="14597" width="10" style="113" customWidth="1"/>
    <col min="14598" max="14598" width="1.6640625" style="113" customWidth="1"/>
    <col min="14599" max="14599" width="10" style="113" bestFit="1" customWidth="1"/>
    <col min="14600" max="14601" width="9.33203125" style="113" bestFit="1" customWidth="1"/>
    <col min="14602" max="14602" width="10" style="113" bestFit="1" customWidth="1"/>
    <col min="14603" max="14603" width="1.6640625" style="113" customWidth="1"/>
    <col min="14604" max="14604" width="8.109375" style="113" bestFit="1" customWidth="1"/>
    <col min="14605" max="14605" width="7.6640625" style="113" bestFit="1" customWidth="1"/>
    <col min="14606" max="14606" width="7" style="113" customWidth="1"/>
    <col min="14607" max="14607" width="8.109375" style="113" bestFit="1" customWidth="1"/>
    <col min="14608" max="14608" width="1.6640625" style="113" customWidth="1"/>
    <col min="14609" max="14609" width="8.109375" style="113" bestFit="1" customWidth="1"/>
    <col min="14610" max="14612" width="9.109375" style="113"/>
    <col min="14613" max="14613" width="3" style="113" customWidth="1"/>
    <col min="14614" max="14614" width="8.109375" style="113" bestFit="1" customWidth="1"/>
    <col min="14615" max="14617" width="9.109375" style="113"/>
    <col min="14618" max="14618" width="2.6640625" style="113" customWidth="1"/>
    <col min="14619" max="14619" width="8.33203125" style="113" bestFit="1" customWidth="1"/>
    <col min="14620" max="14622" width="9.109375" style="113"/>
    <col min="14623" max="14623" width="1.109375" style="113" customWidth="1"/>
    <col min="14624" max="14624" width="8.33203125" style="113" bestFit="1" customWidth="1"/>
    <col min="14625" max="14626" width="7.6640625" style="113" bestFit="1" customWidth="1"/>
    <col min="14627" max="14627" width="8.109375" style="113" bestFit="1" customWidth="1"/>
    <col min="14628" max="14628" width="1.6640625" style="113" customWidth="1"/>
    <col min="14629" max="14632" width="9.109375" style="113"/>
    <col min="14633" max="14633" width="1.5546875" style="113" customWidth="1"/>
    <col min="14634" max="14634" width="8.109375" style="113" bestFit="1" customWidth="1"/>
    <col min="14635" max="14636" width="7.6640625" style="113" bestFit="1" customWidth="1"/>
    <col min="14637" max="14637" width="8.109375" style="113" bestFit="1" customWidth="1"/>
    <col min="14638" max="14638" width="1.6640625" style="113" customWidth="1"/>
    <col min="14639" max="14639" width="8.33203125" style="113" bestFit="1" customWidth="1"/>
    <col min="14640" max="14641" width="7.6640625" style="113" bestFit="1" customWidth="1"/>
    <col min="14642" max="14642" width="8.109375" style="113" bestFit="1" customWidth="1"/>
    <col min="14643" max="14843" width="9.109375" style="113"/>
    <col min="14844" max="14844" width="4.109375" style="113" bestFit="1" customWidth="1"/>
    <col min="14845" max="14845" width="12.109375" style="113" bestFit="1" customWidth="1"/>
    <col min="14846" max="14847" width="9.33203125" style="113" bestFit="1" customWidth="1"/>
    <col min="14848" max="14848" width="10" style="113" customWidth="1"/>
    <col min="14849" max="14849" width="3" style="113" customWidth="1"/>
    <col min="14850" max="14850" width="12.33203125" style="113" bestFit="1" customWidth="1"/>
    <col min="14851" max="14853" width="10" style="113" customWidth="1"/>
    <col min="14854" max="14854" width="1.6640625" style="113" customWidth="1"/>
    <col min="14855" max="14855" width="10" style="113" bestFit="1" customWidth="1"/>
    <col min="14856" max="14857" width="9.33203125" style="113" bestFit="1" customWidth="1"/>
    <col min="14858" max="14858" width="10" style="113" bestFit="1" customWidth="1"/>
    <col min="14859" max="14859" width="1.6640625" style="113" customWidth="1"/>
    <col min="14860" max="14860" width="8.109375" style="113" bestFit="1" customWidth="1"/>
    <col min="14861" max="14861" width="7.6640625" style="113" bestFit="1" customWidth="1"/>
    <col min="14862" max="14862" width="7" style="113" customWidth="1"/>
    <col min="14863" max="14863" width="8.109375" style="113" bestFit="1" customWidth="1"/>
    <col min="14864" max="14864" width="1.6640625" style="113" customWidth="1"/>
    <col min="14865" max="14865" width="8.109375" style="113" bestFit="1" customWidth="1"/>
    <col min="14866" max="14868" width="9.109375" style="113"/>
    <col min="14869" max="14869" width="3" style="113" customWidth="1"/>
    <col min="14870" max="14870" width="8.109375" style="113" bestFit="1" customWidth="1"/>
    <col min="14871" max="14873" width="9.109375" style="113"/>
    <col min="14874" max="14874" width="2.6640625" style="113" customWidth="1"/>
    <col min="14875" max="14875" width="8.33203125" style="113" bestFit="1" customWidth="1"/>
    <col min="14876" max="14878" width="9.109375" style="113"/>
    <col min="14879" max="14879" width="1.109375" style="113" customWidth="1"/>
    <col min="14880" max="14880" width="8.33203125" style="113" bestFit="1" customWidth="1"/>
    <col min="14881" max="14882" width="7.6640625" style="113" bestFit="1" customWidth="1"/>
    <col min="14883" max="14883" width="8.109375" style="113" bestFit="1" customWidth="1"/>
    <col min="14884" max="14884" width="1.6640625" style="113" customWidth="1"/>
    <col min="14885" max="14888" width="9.109375" style="113"/>
    <col min="14889" max="14889" width="1.5546875" style="113" customWidth="1"/>
    <col min="14890" max="14890" width="8.109375" style="113" bestFit="1" customWidth="1"/>
    <col min="14891" max="14892" width="7.6640625" style="113" bestFit="1" customWidth="1"/>
    <col min="14893" max="14893" width="8.109375" style="113" bestFit="1" customWidth="1"/>
    <col min="14894" max="14894" width="1.6640625" style="113" customWidth="1"/>
    <col min="14895" max="14895" width="8.33203125" style="113" bestFit="1" customWidth="1"/>
    <col min="14896" max="14897" width="7.6640625" style="113" bestFit="1" customWidth="1"/>
    <col min="14898" max="14898" width="8.109375" style="113" bestFit="1" customWidth="1"/>
    <col min="14899" max="15099" width="9.109375" style="113"/>
    <col min="15100" max="15100" width="4.109375" style="113" bestFit="1" customWidth="1"/>
    <col min="15101" max="15101" width="12.109375" style="113" bestFit="1" customWidth="1"/>
    <col min="15102" max="15103" width="9.33203125" style="113" bestFit="1" customWidth="1"/>
    <col min="15104" max="15104" width="10" style="113" customWidth="1"/>
    <col min="15105" max="15105" width="3" style="113" customWidth="1"/>
    <col min="15106" max="15106" width="12.33203125" style="113" bestFit="1" customWidth="1"/>
    <col min="15107" max="15109" width="10" style="113" customWidth="1"/>
    <col min="15110" max="15110" width="1.6640625" style="113" customWidth="1"/>
    <col min="15111" max="15111" width="10" style="113" bestFit="1" customWidth="1"/>
    <col min="15112" max="15113" width="9.33203125" style="113" bestFit="1" customWidth="1"/>
    <col min="15114" max="15114" width="10" style="113" bestFit="1" customWidth="1"/>
    <col min="15115" max="15115" width="1.6640625" style="113" customWidth="1"/>
    <col min="15116" max="15116" width="8.109375" style="113" bestFit="1" customWidth="1"/>
    <col min="15117" max="15117" width="7.6640625" style="113" bestFit="1" customWidth="1"/>
    <col min="15118" max="15118" width="7" style="113" customWidth="1"/>
    <col min="15119" max="15119" width="8.109375" style="113" bestFit="1" customWidth="1"/>
    <col min="15120" max="15120" width="1.6640625" style="113" customWidth="1"/>
    <col min="15121" max="15121" width="8.109375" style="113" bestFit="1" customWidth="1"/>
    <col min="15122" max="15124" width="9.109375" style="113"/>
    <col min="15125" max="15125" width="3" style="113" customWidth="1"/>
    <col min="15126" max="15126" width="8.109375" style="113" bestFit="1" customWidth="1"/>
    <col min="15127" max="15129" width="9.109375" style="113"/>
    <col min="15130" max="15130" width="2.6640625" style="113" customWidth="1"/>
    <col min="15131" max="15131" width="8.33203125" style="113" bestFit="1" customWidth="1"/>
    <col min="15132" max="15134" width="9.109375" style="113"/>
    <col min="15135" max="15135" width="1.109375" style="113" customWidth="1"/>
    <col min="15136" max="15136" width="8.33203125" style="113" bestFit="1" customWidth="1"/>
    <col min="15137" max="15138" width="7.6640625" style="113" bestFit="1" customWidth="1"/>
    <col min="15139" max="15139" width="8.109375" style="113" bestFit="1" customWidth="1"/>
    <col min="15140" max="15140" width="1.6640625" style="113" customWidth="1"/>
    <col min="15141" max="15144" width="9.109375" style="113"/>
    <col min="15145" max="15145" width="1.5546875" style="113" customWidth="1"/>
    <col min="15146" max="15146" width="8.109375" style="113" bestFit="1" customWidth="1"/>
    <col min="15147" max="15148" width="7.6640625" style="113" bestFit="1" customWidth="1"/>
    <col min="15149" max="15149" width="8.109375" style="113" bestFit="1" customWidth="1"/>
    <col min="15150" max="15150" width="1.6640625" style="113" customWidth="1"/>
    <col min="15151" max="15151" width="8.33203125" style="113" bestFit="1" customWidth="1"/>
    <col min="15152" max="15153" width="7.6640625" style="113" bestFit="1" customWidth="1"/>
    <col min="15154" max="15154" width="8.109375" style="113" bestFit="1" customWidth="1"/>
    <col min="15155" max="15355" width="9.109375" style="113"/>
    <col min="15356" max="15356" width="4.109375" style="113" bestFit="1" customWidth="1"/>
    <col min="15357" max="15357" width="12.109375" style="113" bestFit="1" customWidth="1"/>
    <col min="15358" max="15359" width="9.33203125" style="113" bestFit="1" customWidth="1"/>
    <col min="15360" max="15360" width="10" style="113" customWidth="1"/>
    <col min="15361" max="15361" width="3" style="113" customWidth="1"/>
    <col min="15362" max="15362" width="12.33203125" style="113" bestFit="1" customWidth="1"/>
    <col min="15363" max="15365" width="10" style="113" customWidth="1"/>
    <col min="15366" max="15366" width="1.6640625" style="113" customWidth="1"/>
    <col min="15367" max="15367" width="10" style="113" bestFit="1" customWidth="1"/>
    <col min="15368" max="15369" width="9.33203125" style="113" bestFit="1" customWidth="1"/>
    <col min="15370" max="15370" width="10" style="113" bestFit="1" customWidth="1"/>
    <col min="15371" max="15371" width="1.6640625" style="113" customWidth="1"/>
    <col min="15372" max="15372" width="8.109375" style="113" bestFit="1" customWidth="1"/>
    <col min="15373" max="15373" width="7.6640625" style="113" bestFit="1" customWidth="1"/>
    <col min="15374" max="15374" width="7" style="113" customWidth="1"/>
    <col min="15375" max="15375" width="8.109375" style="113" bestFit="1" customWidth="1"/>
    <col min="15376" max="15376" width="1.6640625" style="113" customWidth="1"/>
    <col min="15377" max="15377" width="8.109375" style="113" bestFit="1" customWidth="1"/>
    <col min="15378" max="15380" width="9.109375" style="113"/>
    <col min="15381" max="15381" width="3" style="113" customWidth="1"/>
    <col min="15382" max="15382" width="8.109375" style="113" bestFit="1" customWidth="1"/>
    <col min="15383" max="15385" width="9.109375" style="113"/>
    <col min="15386" max="15386" width="2.6640625" style="113" customWidth="1"/>
    <col min="15387" max="15387" width="8.33203125" style="113" bestFit="1" customWidth="1"/>
    <col min="15388" max="15390" width="9.109375" style="113"/>
    <col min="15391" max="15391" width="1.109375" style="113" customWidth="1"/>
    <col min="15392" max="15392" width="8.33203125" style="113" bestFit="1" customWidth="1"/>
    <col min="15393" max="15394" width="7.6640625" style="113" bestFit="1" customWidth="1"/>
    <col min="15395" max="15395" width="8.109375" style="113" bestFit="1" customWidth="1"/>
    <col min="15396" max="15396" width="1.6640625" style="113" customWidth="1"/>
    <col min="15397" max="15400" width="9.109375" style="113"/>
    <col min="15401" max="15401" width="1.5546875" style="113" customWidth="1"/>
    <col min="15402" max="15402" width="8.109375" style="113" bestFit="1" customWidth="1"/>
    <col min="15403" max="15404" width="7.6640625" style="113" bestFit="1" customWidth="1"/>
    <col min="15405" max="15405" width="8.109375" style="113" bestFit="1" customWidth="1"/>
    <col min="15406" max="15406" width="1.6640625" style="113" customWidth="1"/>
    <col min="15407" max="15407" width="8.33203125" style="113" bestFit="1" customWidth="1"/>
    <col min="15408" max="15409" width="7.6640625" style="113" bestFit="1" customWidth="1"/>
    <col min="15410" max="15410" width="8.109375" style="113" bestFit="1" customWidth="1"/>
    <col min="15411" max="15611" width="9.109375" style="113"/>
    <col min="15612" max="15612" width="4.109375" style="113" bestFit="1" customWidth="1"/>
    <col min="15613" max="15613" width="12.109375" style="113" bestFit="1" customWidth="1"/>
    <col min="15614" max="15615" width="9.33203125" style="113" bestFit="1" customWidth="1"/>
    <col min="15616" max="15616" width="10" style="113" customWidth="1"/>
    <col min="15617" max="15617" width="3" style="113" customWidth="1"/>
    <col min="15618" max="15618" width="12.33203125" style="113" bestFit="1" customWidth="1"/>
    <col min="15619" max="15621" width="10" style="113" customWidth="1"/>
    <col min="15622" max="15622" width="1.6640625" style="113" customWidth="1"/>
    <col min="15623" max="15623" width="10" style="113" bestFit="1" customWidth="1"/>
    <col min="15624" max="15625" width="9.33203125" style="113" bestFit="1" customWidth="1"/>
    <col min="15626" max="15626" width="10" style="113" bestFit="1" customWidth="1"/>
    <col min="15627" max="15627" width="1.6640625" style="113" customWidth="1"/>
    <col min="15628" max="15628" width="8.109375" style="113" bestFit="1" customWidth="1"/>
    <col min="15629" max="15629" width="7.6640625" style="113" bestFit="1" customWidth="1"/>
    <col min="15630" max="15630" width="7" style="113" customWidth="1"/>
    <col min="15631" max="15631" width="8.109375" style="113" bestFit="1" customWidth="1"/>
    <col min="15632" max="15632" width="1.6640625" style="113" customWidth="1"/>
    <col min="15633" max="15633" width="8.109375" style="113" bestFit="1" customWidth="1"/>
    <col min="15634" max="15636" width="9.109375" style="113"/>
    <col min="15637" max="15637" width="3" style="113" customWidth="1"/>
    <col min="15638" max="15638" width="8.109375" style="113" bestFit="1" customWidth="1"/>
    <col min="15639" max="15641" width="9.109375" style="113"/>
    <col min="15642" max="15642" width="2.6640625" style="113" customWidth="1"/>
    <col min="15643" max="15643" width="8.33203125" style="113" bestFit="1" customWidth="1"/>
    <col min="15644" max="15646" width="9.109375" style="113"/>
    <col min="15647" max="15647" width="1.109375" style="113" customWidth="1"/>
    <col min="15648" max="15648" width="8.33203125" style="113" bestFit="1" customWidth="1"/>
    <col min="15649" max="15650" width="7.6640625" style="113" bestFit="1" customWidth="1"/>
    <col min="15651" max="15651" width="8.109375" style="113" bestFit="1" customWidth="1"/>
    <col min="15652" max="15652" width="1.6640625" style="113" customWidth="1"/>
    <col min="15653" max="15656" width="9.109375" style="113"/>
    <col min="15657" max="15657" width="1.5546875" style="113" customWidth="1"/>
    <col min="15658" max="15658" width="8.109375" style="113" bestFit="1" customWidth="1"/>
    <col min="15659" max="15660" width="7.6640625" style="113" bestFit="1" customWidth="1"/>
    <col min="15661" max="15661" width="8.109375" style="113" bestFit="1" customWidth="1"/>
    <col min="15662" max="15662" width="1.6640625" style="113" customWidth="1"/>
    <col min="15663" max="15663" width="8.33203125" style="113" bestFit="1" customWidth="1"/>
    <col min="15664" max="15665" width="7.6640625" style="113" bestFit="1" customWidth="1"/>
    <col min="15666" max="15666" width="8.109375" style="113" bestFit="1" customWidth="1"/>
    <col min="15667" max="15867" width="9.109375" style="113"/>
    <col min="15868" max="15868" width="4.109375" style="113" bestFit="1" customWidth="1"/>
    <col min="15869" max="15869" width="12.109375" style="113" bestFit="1" customWidth="1"/>
    <col min="15870" max="15871" width="9.33203125" style="113" bestFit="1" customWidth="1"/>
    <col min="15872" max="15872" width="10" style="113" customWidth="1"/>
    <col min="15873" max="15873" width="3" style="113" customWidth="1"/>
    <col min="15874" max="15874" width="12.33203125" style="113" bestFit="1" customWidth="1"/>
    <col min="15875" max="15877" width="10" style="113" customWidth="1"/>
    <col min="15878" max="15878" width="1.6640625" style="113" customWidth="1"/>
    <col min="15879" max="15879" width="10" style="113" bestFit="1" customWidth="1"/>
    <col min="15880" max="15881" width="9.33203125" style="113" bestFit="1" customWidth="1"/>
    <col min="15882" max="15882" width="10" style="113" bestFit="1" customWidth="1"/>
    <col min="15883" max="15883" width="1.6640625" style="113" customWidth="1"/>
    <col min="15884" max="15884" width="8.109375" style="113" bestFit="1" customWidth="1"/>
    <col min="15885" max="15885" width="7.6640625" style="113" bestFit="1" customWidth="1"/>
    <col min="15886" max="15886" width="7" style="113" customWidth="1"/>
    <col min="15887" max="15887" width="8.109375" style="113" bestFit="1" customWidth="1"/>
    <col min="15888" max="15888" width="1.6640625" style="113" customWidth="1"/>
    <col min="15889" max="15889" width="8.109375" style="113" bestFit="1" customWidth="1"/>
    <col min="15890" max="15892" width="9.109375" style="113"/>
    <col min="15893" max="15893" width="3" style="113" customWidth="1"/>
    <col min="15894" max="15894" width="8.109375" style="113" bestFit="1" customWidth="1"/>
    <col min="15895" max="15897" width="9.109375" style="113"/>
    <col min="15898" max="15898" width="2.6640625" style="113" customWidth="1"/>
    <col min="15899" max="15899" width="8.33203125" style="113" bestFit="1" customWidth="1"/>
    <col min="15900" max="15902" width="9.109375" style="113"/>
    <col min="15903" max="15903" width="1.109375" style="113" customWidth="1"/>
    <col min="15904" max="15904" width="8.33203125" style="113" bestFit="1" customWidth="1"/>
    <col min="15905" max="15906" width="7.6640625" style="113" bestFit="1" customWidth="1"/>
    <col min="15907" max="15907" width="8.109375" style="113" bestFit="1" customWidth="1"/>
    <col min="15908" max="15908" width="1.6640625" style="113" customWidth="1"/>
    <col min="15909" max="15912" width="9.109375" style="113"/>
    <col min="15913" max="15913" width="1.5546875" style="113" customWidth="1"/>
    <col min="15914" max="15914" width="8.109375" style="113" bestFit="1" customWidth="1"/>
    <col min="15915" max="15916" width="7.6640625" style="113" bestFit="1" customWidth="1"/>
    <col min="15917" max="15917" width="8.109375" style="113" bestFit="1" customWidth="1"/>
    <col min="15918" max="15918" width="1.6640625" style="113" customWidth="1"/>
    <col min="15919" max="15919" width="8.33203125" style="113" bestFit="1" customWidth="1"/>
    <col min="15920" max="15921" width="7.6640625" style="113" bestFit="1" customWidth="1"/>
    <col min="15922" max="15922" width="8.109375" style="113" bestFit="1" customWidth="1"/>
    <col min="15923" max="16123" width="9.109375" style="113"/>
    <col min="16124" max="16124" width="4.109375" style="113" bestFit="1" customWidth="1"/>
    <col min="16125" max="16125" width="12.109375" style="113" bestFit="1" customWidth="1"/>
    <col min="16126" max="16127" width="9.33203125" style="113" bestFit="1" customWidth="1"/>
    <col min="16128" max="16128" width="10" style="113" customWidth="1"/>
    <col min="16129" max="16129" width="3" style="113" customWidth="1"/>
    <col min="16130" max="16130" width="12.33203125" style="113" bestFit="1" customWidth="1"/>
    <col min="16131" max="16133" width="10" style="113" customWidth="1"/>
    <col min="16134" max="16134" width="1.6640625" style="113" customWidth="1"/>
    <col min="16135" max="16135" width="10" style="113" bestFit="1" customWidth="1"/>
    <col min="16136" max="16137" width="9.33203125" style="113" bestFit="1" customWidth="1"/>
    <col min="16138" max="16138" width="10" style="113" bestFit="1" customWidth="1"/>
    <col min="16139" max="16139" width="1.6640625" style="113" customWidth="1"/>
    <col min="16140" max="16140" width="8.109375" style="113" bestFit="1" customWidth="1"/>
    <col min="16141" max="16141" width="7.6640625" style="113" bestFit="1" customWidth="1"/>
    <col min="16142" max="16142" width="7" style="113" customWidth="1"/>
    <col min="16143" max="16143" width="8.109375" style="113" bestFit="1" customWidth="1"/>
    <col min="16144" max="16144" width="1.6640625" style="113" customWidth="1"/>
    <col min="16145" max="16145" width="8.109375" style="113" bestFit="1" customWidth="1"/>
    <col min="16146" max="16148" width="9.109375" style="113"/>
    <col min="16149" max="16149" width="3" style="113" customWidth="1"/>
    <col min="16150" max="16150" width="8.109375" style="113" bestFit="1" customWidth="1"/>
    <col min="16151" max="16153" width="9.109375" style="113"/>
    <col min="16154" max="16154" width="2.6640625" style="113" customWidth="1"/>
    <col min="16155" max="16155" width="8.33203125" style="113" bestFit="1" customWidth="1"/>
    <col min="16156" max="16158" width="9.109375" style="113"/>
    <col min="16159" max="16159" width="1.109375" style="113" customWidth="1"/>
    <col min="16160" max="16160" width="8.33203125" style="113" bestFit="1" customWidth="1"/>
    <col min="16161" max="16162" width="7.6640625" style="113" bestFit="1" customWidth="1"/>
    <col min="16163" max="16163" width="8.109375" style="113" bestFit="1" customWidth="1"/>
    <col min="16164" max="16164" width="1.6640625" style="113" customWidth="1"/>
    <col min="16165" max="16168" width="9.109375" style="113"/>
    <col min="16169" max="16169" width="1.5546875" style="113" customWidth="1"/>
    <col min="16170" max="16170" width="8.109375" style="113" bestFit="1" customWidth="1"/>
    <col min="16171" max="16172" width="7.6640625" style="113" bestFit="1" customWidth="1"/>
    <col min="16173" max="16173" width="8.109375" style="113" bestFit="1" customWidth="1"/>
    <col min="16174" max="16174" width="1.6640625" style="113" customWidth="1"/>
    <col min="16175" max="16175" width="8.33203125" style="113" bestFit="1" customWidth="1"/>
    <col min="16176" max="16177" width="7.6640625" style="113" bestFit="1" customWidth="1"/>
    <col min="16178" max="16178" width="8.109375" style="113" bestFit="1" customWidth="1"/>
    <col min="16179" max="16384" width="9.109375" style="113"/>
  </cols>
  <sheetData>
    <row r="1" spans="1:55" ht="18" x14ac:dyDescent="0.35">
      <c r="A1" s="112" t="s">
        <v>63</v>
      </c>
    </row>
    <row r="4" spans="1:55" x14ac:dyDescent="0.25">
      <c r="AF4" s="115" t="s">
        <v>64</v>
      </c>
      <c r="AK4" s="113" t="s">
        <v>65</v>
      </c>
      <c r="AU4" s="115" t="s">
        <v>66</v>
      </c>
      <c r="AZ4" s="115" t="s">
        <v>66</v>
      </c>
    </row>
    <row r="5" spans="1:55" x14ac:dyDescent="0.25">
      <c r="A5" s="116" t="s">
        <v>67</v>
      </c>
      <c r="B5" s="116" t="s">
        <v>68</v>
      </c>
      <c r="C5" s="116"/>
      <c r="D5" s="116"/>
      <c r="E5" s="116"/>
      <c r="F5" s="117"/>
      <c r="G5" s="116" t="s">
        <v>69</v>
      </c>
      <c r="H5" s="116"/>
      <c r="I5" s="116"/>
      <c r="J5" s="116"/>
      <c r="L5" s="116" t="s">
        <v>70</v>
      </c>
      <c r="M5" s="116"/>
      <c r="N5" s="116"/>
      <c r="O5" s="116"/>
      <c r="Q5" s="116" t="s">
        <v>71</v>
      </c>
      <c r="R5" s="116"/>
      <c r="S5" s="116"/>
      <c r="T5" s="116"/>
      <c r="V5" s="116" t="s">
        <v>72</v>
      </c>
      <c r="W5" s="118"/>
      <c r="X5" s="118"/>
      <c r="Y5" s="118"/>
      <c r="AA5" s="116" t="s">
        <v>73</v>
      </c>
      <c r="AB5" s="118"/>
      <c r="AC5" s="118"/>
      <c r="AD5" s="118"/>
      <c r="AF5" s="119" t="s">
        <v>74</v>
      </c>
      <c r="AG5" s="116"/>
      <c r="AH5" s="116"/>
      <c r="AI5" s="116"/>
      <c r="AK5" s="116" t="s">
        <v>73</v>
      </c>
      <c r="AL5" s="118"/>
      <c r="AM5" s="118"/>
      <c r="AN5" s="118"/>
      <c r="AP5" s="116" t="s">
        <v>75</v>
      </c>
      <c r="AQ5" s="116"/>
      <c r="AR5" s="116"/>
      <c r="AS5" s="116"/>
      <c r="AU5" s="119" t="s">
        <v>74</v>
      </c>
      <c r="AV5" s="116"/>
      <c r="AW5" s="116"/>
      <c r="AX5" s="116"/>
      <c r="AZ5" s="119" t="s">
        <v>70</v>
      </c>
      <c r="BB5" s="116">
        <f>+AR6</f>
        <v>5.5555E-2</v>
      </c>
    </row>
    <row r="6" spans="1:55" x14ac:dyDescent="0.25">
      <c r="A6" s="114">
        <v>1</v>
      </c>
      <c r="B6" s="120">
        <v>3.7499999999999999E-2</v>
      </c>
      <c r="C6" s="120">
        <v>0.5</v>
      </c>
      <c r="D6" s="120">
        <f>B6*0.5</f>
        <v>1.8749999999999999E-2</v>
      </c>
      <c r="E6" s="120">
        <f t="shared" ref="E6:E26" si="0">SUM(C6:D6)</f>
        <v>0.51875000000000004</v>
      </c>
      <c r="F6" s="120"/>
      <c r="G6" s="120">
        <v>0.05</v>
      </c>
      <c r="H6" s="120">
        <v>0.5</v>
      </c>
      <c r="I6" s="120">
        <f>G6*0.5</f>
        <v>2.5000000000000001E-2</v>
      </c>
      <c r="J6" s="120">
        <f t="shared" ref="J6:J21" si="1">SUM(H6:I6)</f>
        <v>0.52500000000000002</v>
      </c>
      <c r="L6" s="120">
        <v>8.3299999999999999E-2</v>
      </c>
      <c r="M6" s="120">
        <v>0.5</v>
      </c>
      <c r="N6" s="120">
        <f>L6*0.5</f>
        <v>4.165E-2</v>
      </c>
      <c r="O6" s="120">
        <f t="shared" ref="O6:O18" si="2">SUM(M6:N6)</f>
        <v>0.54164999999999996</v>
      </c>
      <c r="Q6" s="120">
        <v>0.1429</v>
      </c>
      <c r="R6" s="120">
        <v>0.5</v>
      </c>
      <c r="S6" s="120">
        <f>Q6*0.5</f>
        <v>7.145E-2</v>
      </c>
      <c r="T6" s="120">
        <f t="shared" ref="T6:T13" si="3">SUM(R6:S6)</f>
        <v>0.57145000000000001</v>
      </c>
      <c r="V6" s="120">
        <v>0.2</v>
      </c>
      <c r="W6" s="120">
        <v>0.5</v>
      </c>
      <c r="X6" s="120">
        <f t="shared" ref="X6:X11" si="4">V6*0.5</f>
        <v>0.1</v>
      </c>
      <c r="Y6" s="120">
        <f t="shared" ref="Y6:Y11" si="5">SUM(W6:X6)</f>
        <v>0.6</v>
      </c>
      <c r="AA6" s="120">
        <v>0.33329999999999999</v>
      </c>
      <c r="AB6" s="120">
        <v>0.5</v>
      </c>
      <c r="AC6" s="120">
        <f>AA6*0.5</f>
        <v>0.16664999999999999</v>
      </c>
      <c r="AD6" s="120">
        <f>SUM(AB6:AC6)</f>
        <v>0.66664999999999996</v>
      </c>
      <c r="AF6" s="120">
        <v>0.1</v>
      </c>
      <c r="AG6" s="120">
        <v>0.5</v>
      </c>
      <c r="AH6" s="120">
        <f>AF6*0.5</f>
        <v>0.05</v>
      </c>
      <c r="AI6" s="120">
        <f t="shared" ref="AI6:AI16" si="6">SUM(AG6:AH6)</f>
        <v>0.55000000000000004</v>
      </c>
      <c r="AK6" s="120">
        <f>1/3/2</f>
        <v>0.16666666666666666</v>
      </c>
      <c r="AL6" s="120">
        <v>0.5</v>
      </c>
      <c r="AM6" s="120">
        <f>AK6*0.5</f>
        <v>8.3333333333333329E-2</v>
      </c>
      <c r="AN6" s="120">
        <f>SUM(AL6:AM6)</f>
        <v>0.58333333333333337</v>
      </c>
      <c r="AP6" s="120">
        <v>0.11111</v>
      </c>
      <c r="AQ6" s="120">
        <v>0.5</v>
      </c>
      <c r="AR6" s="120">
        <f>AP6*0.5</f>
        <v>5.5555E-2</v>
      </c>
      <c r="AS6" s="120">
        <f t="shared" ref="AS6:AS15" si="7">SUM(AQ6:AR6)</f>
        <v>0.55555500000000002</v>
      </c>
      <c r="AU6" s="120">
        <v>7.4999999999999997E-2</v>
      </c>
      <c r="AV6" s="120">
        <v>0.5</v>
      </c>
      <c r="AW6" s="120">
        <f>AU6*0.5</f>
        <v>3.7499999999999999E-2</v>
      </c>
      <c r="AX6" s="120">
        <f t="shared" ref="AX6:AX16" si="8">SUM(AV6:AW6)</f>
        <v>0.53749999999999998</v>
      </c>
      <c r="AZ6" s="120">
        <v>6.25E-2</v>
      </c>
      <c r="BA6" s="113">
        <v>0.5</v>
      </c>
      <c r="BB6" s="120">
        <f>AZ6*$BA$6</f>
        <v>3.125E-2</v>
      </c>
      <c r="BC6" s="120">
        <f>BA6+BB6</f>
        <v>0.53125</v>
      </c>
    </row>
    <row r="7" spans="1:55" x14ac:dyDescent="0.25">
      <c r="A7" s="114">
        <v>2</v>
      </c>
      <c r="B7" s="120">
        <v>7.2190000000000004E-2</v>
      </c>
      <c r="C7" s="120"/>
      <c r="D7" s="120">
        <f>B7*0.5</f>
        <v>3.6095000000000002E-2</v>
      </c>
      <c r="E7" s="120">
        <f t="shared" si="0"/>
        <v>3.6095000000000002E-2</v>
      </c>
      <c r="F7" s="120"/>
      <c r="G7" s="120">
        <v>9.5000000000000001E-2</v>
      </c>
      <c r="H7" s="120"/>
      <c r="I7" s="120">
        <f t="shared" ref="I7:I21" si="9">G7*0.5</f>
        <v>4.7500000000000001E-2</v>
      </c>
      <c r="J7" s="120">
        <f t="shared" si="1"/>
        <v>4.7500000000000001E-2</v>
      </c>
      <c r="L7" s="120">
        <v>0.15279999999999999</v>
      </c>
      <c r="M7" s="120"/>
      <c r="N7" s="120">
        <f t="shared" ref="N7:N18" si="10">L7*0.5</f>
        <v>7.6399999999999996E-2</v>
      </c>
      <c r="O7" s="120">
        <f t="shared" si="2"/>
        <v>7.6399999999999996E-2</v>
      </c>
      <c r="Q7" s="120">
        <v>0.24490000000000001</v>
      </c>
      <c r="R7" s="120"/>
      <c r="S7" s="120">
        <f t="shared" ref="S7:S13" si="11">Q7*0.5</f>
        <v>0.12245</v>
      </c>
      <c r="T7" s="120">
        <f t="shared" si="3"/>
        <v>0.12245</v>
      </c>
      <c r="V7" s="120">
        <v>0.32</v>
      </c>
      <c r="W7" s="120"/>
      <c r="X7" s="120">
        <f t="shared" si="4"/>
        <v>0.16</v>
      </c>
      <c r="Y7" s="120">
        <f t="shared" si="5"/>
        <v>0.16</v>
      </c>
      <c r="AA7" s="120">
        <v>0.44450000000000001</v>
      </c>
      <c r="AB7" s="120"/>
      <c r="AC7" s="120">
        <f>AA7*0.5</f>
        <v>0.22225</v>
      </c>
      <c r="AD7" s="120">
        <f>SUM(AB7:AC7)</f>
        <v>0.22225</v>
      </c>
      <c r="AF7" s="120">
        <v>0.18</v>
      </c>
      <c r="AG7" s="120"/>
      <c r="AH7" s="120">
        <f t="shared" ref="AH7:AH16" si="12">AF7*0.5</f>
        <v>0.09</v>
      </c>
      <c r="AI7" s="120">
        <f t="shared" si="6"/>
        <v>0.09</v>
      </c>
      <c r="AK7" s="120">
        <f>1/3</f>
        <v>0.33333333333333331</v>
      </c>
      <c r="AL7" s="120"/>
      <c r="AM7" s="120">
        <f>AK7*0.5</f>
        <v>0.16666666666666666</v>
      </c>
      <c r="AN7" s="120">
        <f>SUM(AL7:AM7)</f>
        <v>0.16666666666666666</v>
      </c>
      <c r="AP7" s="120">
        <v>0.19753000000000001</v>
      </c>
      <c r="AQ7" s="120"/>
      <c r="AR7" s="120">
        <f t="shared" ref="AR7:AR15" si="13">AP7*0.5</f>
        <v>9.8765000000000006E-2</v>
      </c>
      <c r="AS7" s="120">
        <f t="shared" si="7"/>
        <v>9.8765000000000006E-2</v>
      </c>
      <c r="AU7" s="120">
        <v>0.13875000000000001</v>
      </c>
      <c r="AV7" s="120"/>
      <c r="AW7" s="120">
        <f t="shared" ref="AW7:AW16" si="14">AU7*0.5</f>
        <v>6.9375000000000006E-2</v>
      </c>
      <c r="AX7" s="120">
        <f t="shared" si="8"/>
        <v>6.9375000000000006E-2</v>
      </c>
      <c r="AZ7" s="120">
        <v>0.11719</v>
      </c>
      <c r="BB7" s="120">
        <f t="shared" ref="BB7:BB18" si="15">AZ7*$BA$6</f>
        <v>5.8595000000000001E-2</v>
      </c>
      <c r="BC7" s="120">
        <f t="shared" ref="BC7:BC18" si="16">BA7+BB7</f>
        <v>5.8595000000000001E-2</v>
      </c>
    </row>
    <row r="8" spans="1:55" x14ac:dyDescent="0.25">
      <c r="A8" s="114">
        <v>3</v>
      </c>
      <c r="B8" s="120">
        <v>6.6769999999999996E-2</v>
      </c>
      <c r="C8" s="120"/>
      <c r="D8" s="120">
        <f t="shared" ref="D8:D26" si="17">B8*0.5</f>
        <v>3.3384999999999998E-2</v>
      </c>
      <c r="E8" s="120">
        <f t="shared" si="0"/>
        <v>3.3384999999999998E-2</v>
      </c>
      <c r="F8" s="120"/>
      <c r="G8" s="120">
        <v>8.5500000000000007E-2</v>
      </c>
      <c r="H8" s="120"/>
      <c r="I8" s="120">
        <f t="shared" si="9"/>
        <v>4.2750000000000003E-2</v>
      </c>
      <c r="J8" s="120">
        <f t="shared" si="1"/>
        <v>4.2750000000000003E-2</v>
      </c>
      <c r="L8" s="120">
        <v>0.1273</v>
      </c>
      <c r="M8" s="120"/>
      <c r="N8" s="120">
        <f t="shared" si="10"/>
        <v>6.3649999999999998E-2</v>
      </c>
      <c r="O8" s="120">
        <f t="shared" si="2"/>
        <v>6.3649999999999998E-2</v>
      </c>
      <c r="Q8" s="120">
        <v>0.1749</v>
      </c>
      <c r="R8" s="120"/>
      <c r="S8" s="120">
        <f t="shared" si="11"/>
        <v>8.745E-2</v>
      </c>
      <c r="T8" s="120">
        <f t="shared" si="3"/>
        <v>8.745E-2</v>
      </c>
      <c r="V8" s="120">
        <v>0.192</v>
      </c>
      <c r="X8" s="120">
        <f t="shared" si="4"/>
        <v>9.6000000000000002E-2</v>
      </c>
      <c r="Y8" s="120">
        <f t="shared" si="5"/>
        <v>9.6000000000000002E-2</v>
      </c>
      <c r="AA8" s="120">
        <v>0.14810000000000001</v>
      </c>
      <c r="AC8" s="120">
        <f>AA8*0.5</f>
        <v>7.4050000000000005E-2</v>
      </c>
      <c r="AD8" s="120">
        <f>SUM(AB8:AC8)</f>
        <v>7.4050000000000005E-2</v>
      </c>
      <c r="AF8" s="120">
        <v>0.14399999999999999</v>
      </c>
      <c r="AG8" s="120"/>
      <c r="AH8" s="120">
        <f t="shared" si="12"/>
        <v>7.1999999999999995E-2</v>
      </c>
      <c r="AI8" s="120">
        <f t="shared" si="6"/>
        <v>7.1999999999999995E-2</v>
      </c>
      <c r="AK8" s="120">
        <f>1/3</f>
        <v>0.33333333333333331</v>
      </c>
      <c r="AM8" s="120">
        <f>AK8*0.5</f>
        <v>0.16666666666666666</v>
      </c>
      <c r="AN8" s="120">
        <f>SUM(AL8:AM8)</f>
        <v>0.16666666666666666</v>
      </c>
      <c r="AP8" s="120">
        <v>0.15364</v>
      </c>
      <c r="AQ8" s="120"/>
      <c r="AR8" s="120">
        <f t="shared" si="13"/>
        <v>7.6819999999999999E-2</v>
      </c>
      <c r="AS8" s="120">
        <f t="shared" si="7"/>
        <v>7.6819999999999999E-2</v>
      </c>
      <c r="AU8" s="120">
        <v>0.11794</v>
      </c>
      <c r="AV8" s="120"/>
      <c r="AW8" s="120">
        <f t="shared" si="14"/>
        <v>5.8970000000000002E-2</v>
      </c>
      <c r="AX8" s="120">
        <f t="shared" si="8"/>
        <v>5.8970000000000002E-2</v>
      </c>
      <c r="AZ8" s="120">
        <v>0.10255</v>
      </c>
      <c r="BB8" s="120">
        <f t="shared" si="15"/>
        <v>5.1275000000000001E-2</v>
      </c>
      <c r="BC8" s="120">
        <f t="shared" si="16"/>
        <v>5.1275000000000001E-2</v>
      </c>
    </row>
    <row r="9" spans="1:55" x14ac:dyDescent="0.25">
      <c r="A9" s="114">
        <v>4</v>
      </c>
      <c r="B9" s="120">
        <v>6.1769999999999999E-2</v>
      </c>
      <c r="C9" s="120"/>
      <c r="D9" s="120">
        <f t="shared" si="17"/>
        <v>3.0884999999999999E-2</v>
      </c>
      <c r="E9" s="120">
        <f t="shared" si="0"/>
        <v>3.0884999999999999E-2</v>
      </c>
      <c r="F9" s="120"/>
      <c r="G9" s="120">
        <v>7.6999999999999999E-2</v>
      </c>
      <c r="H9" s="120"/>
      <c r="I9" s="120">
        <f t="shared" si="9"/>
        <v>3.85E-2</v>
      </c>
      <c r="J9" s="120">
        <f t="shared" si="1"/>
        <v>3.85E-2</v>
      </c>
      <c r="L9" s="120">
        <v>0.1061</v>
      </c>
      <c r="M9" s="120"/>
      <c r="N9" s="120">
        <f t="shared" si="10"/>
        <v>5.305E-2</v>
      </c>
      <c r="O9" s="120">
        <f t="shared" si="2"/>
        <v>5.305E-2</v>
      </c>
      <c r="Q9" s="120">
        <v>0.1249</v>
      </c>
      <c r="R9" s="120"/>
      <c r="S9" s="120">
        <f t="shared" si="11"/>
        <v>6.2449999999999999E-2</v>
      </c>
      <c r="T9" s="120">
        <f t="shared" si="3"/>
        <v>6.2449999999999999E-2</v>
      </c>
      <c r="V9" s="120">
        <v>0.1152</v>
      </c>
      <c r="X9" s="120">
        <f t="shared" si="4"/>
        <v>5.7599999999999998E-2</v>
      </c>
      <c r="Y9" s="120">
        <f t="shared" si="5"/>
        <v>5.7599999999999998E-2</v>
      </c>
      <c r="AA9" s="120">
        <v>7.4099999999999999E-2</v>
      </c>
      <c r="AC9" s="120">
        <f>AA9*0.5</f>
        <v>3.705E-2</v>
      </c>
      <c r="AD9" s="120">
        <f>SUM(AB9:AC9)</f>
        <v>3.705E-2</v>
      </c>
      <c r="AF9" s="120">
        <v>0.1152</v>
      </c>
      <c r="AG9" s="120"/>
      <c r="AH9" s="120">
        <f t="shared" si="12"/>
        <v>5.7599999999999998E-2</v>
      </c>
      <c r="AI9" s="120">
        <f t="shared" si="6"/>
        <v>5.7599999999999998E-2</v>
      </c>
      <c r="AK9" s="120">
        <f>1/3/2</f>
        <v>0.16666666666666666</v>
      </c>
      <c r="AM9" s="120">
        <f>AK9*0.5</f>
        <v>8.3333333333333329E-2</v>
      </c>
      <c r="AN9" s="120">
        <f>SUM(AL9:AM9)</f>
        <v>8.3333333333333329E-2</v>
      </c>
      <c r="AP9" s="120">
        <v>0.11949</v>
      </c>
      <c r="AQ9" s="120"/>
      <c r="AR9" s="120">
        <f t="shared" si="13"/>
        <v>5.9744999999999999E-2</v>
      </c>
      <c r="AS9" s="120">
        <f t="shared" si="7"/>
        <v>5.9744999999999999E-2</v>
      </c>
      <c r="AU9" s="120">
        <v>0.10025000000000001</v>
      </c>
      <c r="AV9" s="120"/>
      <c r="AW9" s="120">
        <f t="shared" si="14"/>
        <v>5.0125000000000003E-2</v>
      </c>
      <c r="AX9" s="120">
        <f t="shared" si="8"/>
        <v>5.0125000000000003E-2</v>
      </c>
      <c r="AZ9" s="120">
        <v>8.9730000000000004E-2</v>
      </c>
      <c r="BB9" s="120">
        <f t="shared" si="15"/>
        <v>4.4865000000000002E-2</v>
      </c>
      <c r="BC9" s="120">
        <f t="shared" si="16"/>
        <v>4.4865000000000002E-2</v>
      </c>
    </row>
    <row r="10" spans="1:55" ht="13.95" thickBot="1" x14ac:dyDescent="0.3">
      <c r="A10" s="114">
        <v>5</v>
      </c>
      <c r="B10" s="120">
        <v>5.713E-2</v>
      </c>
      <c r="C10" s="120"/>
      <c r="D10" s="120">
        <f t="shared" si="17"/>
        <v>2.8565E-2</v>
      </c>
      <c r="E10" s="120">
        <f t="shared" si="0"/>
        <v>2.8565E-2</v>
      </c>
      <c r="F10" s="120"/>
      <c r="G10" s="120">
        <v>6.93E-2</v>
      </c>
      <c r="H10" s="120"/>
      <c r="I10" s="120">
        <f t="shared" si="9"/>
        <v>3.465E-2</v>
      </c>
      <c r="J10" s="120">
        <f t="shared" si="1"/>
        <v>3.465E-2</v>
      </c>
      <c r="L10" s="120">
        <v>8.8400000000000006E-2</v>
      </c>
      <c r="M10" s="120"/>
      <c r="N10" s="120">
        <f t="shared" si="10"/>
        <v>4.4200000000000003E-2</v>
      </c>
      <c r="O10" s="120">
        <f t="shared" si="2"/>
        <v>4.4200000000000003E-2</v>
      </c>
      <c r="Q10" s="120">
        <v>8.9300000000000004E-2</v>
      </c>
      <c r="R10" s="120"/>
      <c r="S10" s="120">
        <f t="shared" si="11"/>
        <v>4.4650000000000002E-2</v>
      </c>
      <c r="T10" s="120">
        <f t="shared" si="3"/>
        <v>4.4650000000000002E-2</v>
      </c>
      <c r="V10" s="120">
        <v>0.1152</v>
      </c>
      <c r="X10" s="120">
        <f t="shared" si="4"/>
        <v>5.7599999999999998E-2</v>
      </c>
      <c r="Y10" s="120">
        <f t="shared" si="5"/>
        <v>5.7599999999999998E-2</v>
      </c>
      <c r="AA10" s="121">
        <f>SUM(AA6:AA9)</f>
        <v>1</v>
      </c>
      <c r="AB10" s="121">
        <f>SUM(AB6:AB9)</f>
        <v>0.5</v>
      </c>
      <c r="AC10" s="121">
        <f>SUM(AC6:AC9)</f>
        <v>0.5</v>
      </c>
      <c r="AD10" s="121">
        <f>SUM(AD6:AD9)</f>
        <v>1</v>
      </c>
      <c r="AF10" s="120">
        <v>9.2200000000000004E-2</v>
      </c>
      <c r="AG10" s="120"/>
      <c r="AH10" s="120">
        <f t="shared" si="12"/>
        <v>4.6100000000000002E-2</v>
      </c>
      <c r="AI10" s="120">
        <f t="shared" si="6"/>
        <v>4.6100000000000002E-2</v>
      </c>
      <c r="AK10" s="121">
        <f>SUM(AK6:AK9)</f>
        <v>0.99999999999999989</v>
      </c>
      <c r="AL10" s="121">
        <f>SUM(AL6:AL9)</f>
        <v>0.5</v>
      </c>
      <c r="AM10" s="121">
        <f>SUM(AM6:AM9)</f>
        <v>0.49999999999999994</v>
      </c>
      <c r="AN10" s="121">
        <f>SUM(AN6:AN9)</f>
        <v>1</v>
      </c>
      <c r="AP10" s="120">
        <v>9.2939999999999995E-2</v>
      </c>
      <c r="AQ10" s="120"/>
      <c r="AR10" s="120">
        <f t="shared" si="13"/>
        <v>4.6469999999999997E-2</v>
      </c>
      <c r="AS10" s="120">
        <f t="shared" si="7"/>
        <v>4.6469999999999997E-2</v>
      </c>
      <c r="AU10" s="120">
        <v>8.7389999999999995E-2</v>
      </c>
      <c r="AV10" s="120"/>
      <c r="AW10" s="120">
        <f t="shared" si="14"/>
        <v>4.3694999999999998E-2</v>
      </c>
      <c r="AX10" s="120">
        <f t="shared" si="8"/>
        <v>4.3694999999999998E-2</v>
      </c>
      <c r="AZ10" s="120">
        <v>7.8520000000000006E-2</v>
      </c>
      <c r="BB10" s="120">
        <f t="shared" si="15"/>
        <v>3.9260000000000003E-2</v>
      </c>
      <c r="BC10" s="120">
        <f t="shared" si="16"/>
        <v>3.9260000000000003E-2</v>
      </c>
    </row>
    <row r="11" spans="1:55" ht="13.95" thickTop="1" x14ac:dyDescent="0.25">
      <c r="A11" s="114">
        <v>6</v>
      </c>
      <c r="B11" s="120">
        <v>5.2850000000000001E-2</v>
      </c>
      <c r="C11" s="120"/>
      <c r="D11" s="120">
        <f t="shared" si="17"/>
        <v>2.6425000000000001E-2</v>
      </c>
      <c r="E11" s="120">
        <f t="shared" si="0"/>
        <v>2.6425000000000001E-2</v>
      </c>
      <c r="F11" s="120"/>
      <c r="G11" s="120">
        <v>6.2300000000000001E-2</v>
      </c>
      <c r="H11" s="120"/>
      <c r="I11" s="120">
        <f t="shared" si="9"/>
        <v>3.1150000000000001E-2</v>
      </c>
      <c r="J11" s="120">
        <f t="shared" si="1"/>
        <v>3.1150000000000001E-2</v>
      </c>
      <c r="L11" s="120">
        <v>7.3700000000000002E-2</v>
      </c>
      <c r="M11" s="120"/>
      <c r="N11" s="120">
        <f t="shared" si="10"/>
        <v>3.6850000000000001E-2</v>
      </c>
      <c r="O11" s="120">
        <f t="shared" si="2"/>
        <v>3.6850000000000001E-2</v>
      </c>
      <c r="Q11" s="120">
        <v>8.9200000000000002E-2</v>
      </c>
      <c r="R11" s="120"/>
      <c r="S11" s="120">
        <f t="shared" si="11"/>
        <v>4.4600000000000001E-2</v>
      </c>
      <c r="T11" s="120">
        <f t="shared" si="3"/>
        <v>4.4600000000000001E-2</v>
      </c>
      <c r="V11" s="120">
        <v>5.7599999999999998E-2</v>
      </c>
      <c r="X11" s="120">
        <f t="shared" si="4"/>
        <v>2.8799999999999999E-2</v>
      </c>
      <c r="Y11" s="120">
        <f t="shared" si="5"/>
        <v>2.8799999999999999E-2</v>
      </c>
      <c r="AA11" s="120"/>
      <c r="AC11" s="120"/>
      <c r="AD11" s="120"/>
      <c r="AF11" s="120">
        <v>7.3700000000000002E-2</v>
      </c>
      <c r="AG11" s="120"/>
      <c r="AH11" s="120">
        <f t="shared" si="12"/>
        <v>3.6850000000000001E-2</v>
      </c>
      <c r="AI11" s="120">
        <f t="shared" si="6"/>
        <v>3.6850000000000001E-2</v>
      </c>
      <c r="AK11" s="120"/>
      <c r="AM11" s="120"/>
      <c r="AN11" s="120"/>
      <c r="AP11" s="120">
        <v>7.2289999999999993E-2</v>
      </c>
      <c r="AQ11" s="120"/>
      <c r="AR11" s="120">
        <f t="shared" si="13"/>
        <v>3.6144999999999997E-2</v>
      </c>
      <c r="AS11" s="120">
        <f t="shared" si="7"/>
        <v>3.6144999999999997E-2</v>
      </c>
      <c r="AU11" s="120">
        <v>8.7389999999999995E-2</v>
      </c>
      <c r="AV11" s="120"/>
      <c r="AW11" s="120">
        <f t="shared" si="14"/>
        <v>4.3694999999999998E-2</v>
      </c>
      <c r="AX11" s="120">
        <f t="shared" si="8"/>
        <v>4.3694999999999998E-2</v>
      </c>
      <c r="AZ11" s="120">
        <v>7.3270000000000002E-2</v>
      </c>
      <c r="BB11" s="120">
        <f t="shared" si="15"/>
        <v>3.6635000000000001E-2</v>
      </c>
      <c r="BC11" s="120">
        <f t="shared" si="16"/>
        <v>3.6635000000000001E-2</v>
      </c>
    </row>
    <row r="12" spans="1:55" ht="13.95" thickBot="1" x14ac:dyDescent="0.3">
      <c r="A12" s="114">
        <v>7</v>
      </c>
      <c r="B12" s="120">
        <v>4.888E-2</v>
      </c>
      <c r="C12" s="120"/>
      <c r="D12" s="120">
        <f t="shared" si="17"/>
        <v>2.444E-2</v>
      </c>
      <c r="E12" s="120">
        <f t="shared" si="0"/>
        <v>2.444E-2</v>
      </c>
      <c r="F12" s="120"/>
      <c r="G12" s="120">
        <v>5.8999999999999997E-2</v>
      </c>
      <c r="H12" s="120"/>
      <c r="I12" s="120">
        <f t="shared" si="9"/>
        <v>2.9499999999999998E-2</v>
      </c>
      <c r="J12" s="120">
        <f t="shared" si="1"/>
        <v>2.9499999999999998E-2</v>
      </c>
      <c r="K12" s="120"/>
      <c r="L12" s="120">
        <v>6.1400000000000003E-2</v>
      </c>
      <c r="M12" s="120"/>
      <c r="N12" s="120">
        <f t="shared" si="10"/>
        <v>3.0700000000000002E-2</v>
      </c>
      <c r="O12" s="120">
        <f t="shared" si="2"/>
        <v>3.0700000000000002E-2</v>
      </c>
      <c r="P12" s="120"/>
      <c r="Q12" s="120">
        <v>8.9300000000000004E-2</v>
      </c>
      <c r="R12" s="120"/>
      <c r="S12" s="120">
        <f t="shared" si="11"/>
        <v>4.4650000000000002E-2</v>
      </c>
      <c r="T12" s="120">
        <f t="shared" si="3"/>
        <v>4.4650000000000002E-2</v>
      </c>
      <c r="V12" s="121">
        <f>SUM(V6:V11)</f>
        <v>0.99999999999999989</v>
      </c>
      <c r="W12" s="121">
        <f>SUM(W6:W11)</f>
        <v>0.5</v>
      </c>
      <c r="X12" s="121">
        <f>SUM(X6:X11)</f>
        <v>0.49999999999999994</v>
      </c>
      <c r="Y12" s="121">
        <f>SUM(Y6:Y11)</f>
        <v>1</v>
      </c>
      <c r="AF12" s="120">
        <v>6.5500000000000003E-2</v>
      </c>
      <c r="AG12" s="120"/>
      <c r="AH12" s="120">
        <f t="shared" si="12"/>
        <v>3.2750000000000001E-2</v>
      </c>
      <c r="AI12" s="120">
        <f t="shared" si="6"/>
        <v>3.2750000000000001E-2</v>
      </c>
      <c r="AJ12" s="120"/>
      <c r="AP12" s="120">
        <v>7.2279999999999997E-2</v>
      </c>
      <c r="AQ12" s="120"/>
      <c r="AR12" s="120">
        <f t="shared" si="13"/>
        <v>3.6139999999999999E-2</v>
      </c>
      <c r="AS12" s="120">
        <f t="shared" si="7"/>
        <v>3.6139999999999999E-2</v>
      </c>
      <c r="AT12" s="120"/>
      <c r="AU12" s="120">
        <v>8.7389999999999995E-2</v>
      </c>
      <c r="AV12" s="120"/>
      <c r="AW12" s="120">
        <f t="shared" si="14"/>
        <v>4.3694999999999998E-2</v>
      </c>
      <c r="AX12" s="120">
        <f t="shared" si="8"/>
        <v>4.3694999999999998E-2</v>
      </c>
      <c r="AZ12" s="120">
        <v>7.3270000000000002E-2</v>
      </c>
      <c r="BB12" s="120">
        <f t="shared" si="15"/>
        <v>3.6635000000000001E-2</v>
      </c>
      <c r="BC12" s="120">
        <f t="shared" si="16"/>
        <v>3.6635000000000001E-2</v>
      </c>
    </row>
    <row r="13" spans="1:55" ht="13.95" thickTop="1" x14ac:dyDescent="0.25">
      <c r="A13" s="114">
        <v>8</v>
      </c>
      <c r="B13" s="120">
        <v>4.5220000000000003E-2</v>
      </c>
      <c r="C13" s="120"/>
      <c r="D13" s="120">
        <f t="shared" si="17"/>
        <v>2.2610000000000002E-2</v>
      </c>
      <c r="E13" s="120">
        <f t="shared" si="0"/>
        <v>2.2610000000000002E-2</v>
      </c>
      <c r="F13" s="120"/>
      <c r="G13" s="120">
        <v>5.8999999999999997E-2</v>
      </c>
      <c r="H13" s="120"/>
      <c r="I13" s="120">
        <f t="shared" si="9"/>
        <v>2.9499999999999998E-2</v>
      </c>
      <c r="J13" s="120">
        <f t="shared" si="1"/>
        <v>2.9499999999999998E-2</v>
      </c>
      <c r="K13" s="120"/>
      <c r="L13" s="120">
        <v>5.5800000000000002E-2</v>
      </c>
      <c r="M13" s="120"/>
      <c r="N13" s="120">
        <f t="shared" si="10"/>
        <v>2.7900000000000001E-2</v>
      </c>
      <c r="O13" s="120">
        <f t="shared" si="2"/>
        <v>2.7900000000000001E-2</v>
      </c>
      <c r="P13" s="120"/>
      <c r="Q13" s="120">
        <v>4.4600000000000001E-2</v>
      </c>
      <c r="R13" s="120"/>
      <c r="S13" s="120">
        <f t="shared" si="11"/>
        <v>2.23E-2</v>
      </c>
      <c r="T13" s="120">
        <f t="shared" si="3"/>
        <v>2.23E-2</v>
      </c>
      <c r="U13" s="120"/>
      <c r="AF13" s="120">
        <v>6.5500000000000003E-2</v>
      </c>
      <c r="AG13" s="120"/>
      <c r="AH13" s="120">
        <f t="shared" si="12"/>
        <v>3.2750000000000001E-2</v>
      </c>
      <c r="AI13" s="120">
        <f t="shared" si="6"/>
        <v>3.2750000000000001E-2</v>
      </c>
      <c r="AJ13" s="120"/>
      <c r="AP13" s="120">
        <v>7.2289999999999993E-2</v>
      </c>
      <c r="AQ13" s="120"/>
      <c r="AR13" s="120">
        <f t="shared" si="13"/>
        <v>3.6144999999999997E-2</v>
      </c>
      <c r="AS13" s="120">
        <f t="shared" si="7"/>
        <v>3.6144999999999997E-2</v>
      </c>
      <c r="AT13" s="120"/>
      <c r="AU13" s="120">
        <v>8.7389999999999995E-2</v>
      </c>
      <c r="AV13" s="120"/>
      <c r="AW13" s="120">
        <f t="shared" si="14"/>
        <v>4.3694999999999998E-2</v>
      </c>
      <c r="AX13" s="120">
        <f t="shared" si="8"/>
        <v>4.3694999999999998E-2</v>
      </c>
      <c r="AZ13" s="120">
        <v>7.3270000000000002E-2</v>
      </c>
      <c r="BB13" s="120">
        <f t="shared" si="15"/>
        <v>3.6635000000000001E-2</v>
      </c>
      <c r="BC13" s="120">
        <f t="shared" si="16"/>
        <v>3.6635000000000001E-2</v>
      </c>
    </row>
    <row r="14" spans="1:55" ht="13.95" thickBot="1" x14ac:dyDescent="0.3">
      <c r="A14" s="114">
        <v>9</v>
      </c>
      <c r="B14" s="120">
        <v>4.462E-2</v>
      </c>
      <c r="C14" s="120"/>
      <c r="D14" s="120">
        <f t="shared" si="17"/>
        <v>2.231E-2</v>
      </c>
      <c r="E14" s="120">
        <f t="shared" si="0"/>
        <v>2.231E-2</v>
      </c>
      <c r="F14" s="120"/>
      <c r="G14" s="120">
        <v>5.91E-2</v>
      </c>
      <c r="H14" s="120"/>
      <c r="I14" s="120">
        <f t="shared" si="9"/>
        <v>2.955E-2</v>
      </c>
      <c r="J14" s="120">
        <f t="shared" si="1"/>
        <v>2.955E-2</v>
      </c>
      <c r="K14" s="120"/>
      <c r="L14" s="120">
        <v>5.5800000000000002E-2</v>
      </c>
      <c r="M14" s="120"/>
      <c r="N14" s="120">
        <f t="shared" si="10"/>
        <v>2.7900000000000001E-2</v>
      </c>
      <c r="O14" s="120">
        <f t="shared" si="2"/>
        <v>2.7900000000000001E-2</v>
      </c>
      <c r="P14" s="120"/>
      <c r="Q14" s="121">
        <f>SUM(Q6:Q13)</f>
        <v>1.0000000000000002</v>
      </c>
      <c r="R14" s="121">
        <f>SUM(R6:R13)</f>
        <v>0.5</v>
      </c>
      <c r="S14" s="121">
        <f>SUM(S6:S13)</f>
        <v>0.50000000000000011</v>
      </c>
      <c r="T14" s="121">
        <f>SUM(T6:T13)</f>
        <v>0.99999999999999989</v>
      </c>
      <c r="AF14" s="120">
        <v>6.5600000000000006E-2</v>
      </c>
      <c r="AG14" s="120"/>
      <c r="AH14" s="120">
        <f t="shared" si="12"/>
        <v>3.2800000000000003E-2</v>
      </c>
      <c r="AI14" s="120">
        <f t="shared" si="6"/>
        <v>3.2800000000000003E-2</v>
      </c>
      <c r="AJ14" s="120"/>
      <c r="AP14" s="120">
        <v>7.2289999999999993E-2</v>
      </c>
      <c r="AQ14" s="120"/>
      <c r="AR14" s="120">
        <f t="shared" si="13"/>
        <v>3.6144999999999997E-2</v>
      </c>
      <c r="AS14" s="120">
        <f t="shared" si="7"/>
        <v>3.6144999999999997E-2</v>
      </c>
      <c r="AT14" s="120"/>
      <c r="AU14" s="120">
        <v>8.7389999999999995E-2</v>
      </c>
      <c r="AV14" s="120"/>
      <c r="AW14" s="120">
        <f t="shared" si="14"/>
        <v>4.3694999999999998E-2</v>
      </c>
      <c r="AX14" s="120">
        <f t="shared" si="8"/>
        <v>4.3694999999999998E-2</v>
      </c>
      <c r="AZ14" s="120">
        <v>7.3270000000000002E-2</v>
      </c>
      <c r="BB14" s="120">
        <f t="shared" si="15"/>
        <v>3.6635000000000001E-2</v>
      </c>
      <c r="BC14" s="120">
        <f t="shared" si="16"/>
        <v>3.6635000000000001E-2</v>
      </c>
    </row>
    <row r="15" spans="1:55" ht="13.95" thickTop="1" x14ac:dyDescent="0.25">
      <c r="A15" s="114">
        <v>10</v>
      </c>
      <c r="B15" s="120">
        <v>4.4609999999999997E-2</v>
      </c>
      <c r="C15" s="120"/>
      <c r="D15" s="120">
        <f t="shared" si="17"/>
        <v>2.2304999999999998E-2</v>
      </c>
      <c r="E15" s="120">
        <f t="shared" si="0"/>
        <v>2.2304999999999998E-2</v>
      </c>
      <c r="F15" s="120"/>
      <c r="G15" s="120">
        <v>5.8999999999999997E-2</v>
      </c>
      <c r="H15" s="120"/>
      <c r="I15" s="120">
        <f t="shared" si="9"/>
        <v>2.9499999999999998E-2</v>
      </c>
      <c r="J15" s="120">
        <f t="shared" si="1"/>
        <v>2.9499999999999998E-2</v>
      </c>
      <c r="K15" s="120"/>
      <c r="L15" s="120">
        <v>5.5899999999999998E-2</v>
      </c>
      <c r="M15" s="120"/>
      <c r="N15" s="120">
        <f t="shared" si="10"/>
        <v>2.7949999999999999E-2</v>
      </c>
      <c r="O15" s="120">
        <f t="shared" si="2"/>
        <v>2.7949999999999999E-2</v>
      </c>
      <c r="P15" s="120"/>
      <c r="AF15" s="120">
        <v>6.5500000000000003E-2</v>
      </c>
      <c r="AG15" s="120"/>
      <c r="AH15" s="120">
        <f t="shared" si="12"/>
        <v>3.2750000000000001E-2</v>
      </c>
      <c r="AI15" s="120">
        <f t="shared" si="6"/>
        <v>3.2750000000000001E-2</v>
      </c>
      <c r="AJ15" s="120"/>
      <c r="AP15" s="120">
        <v>3.6139999999999999E-2</v>
      </c>
      <c r="AQ15" s="120"/>
      <c r="AR15" s="120">
        <f t="shared" si="13"/>
        <v>1.8069999999999999E-2</v>
      </c>
      <c r="AS15" s="120">
        <f t="shared" si="7"/>
        <v>1.8069999999999999E-2</v>
      </c>
      <c r="AT15" s="120"/>
      <c r="AU15" s="120">
        <v>8.7389999999999995E-2</v>
      </c>
      <c r="AV15" s="120"/>
      <c r="AW15" s="120">
        <f t="shared" si="14"/>
        <v>4.3694999999999998E-2</v>
      </c>
      <c r="AX15" s="120">
        <f t="shared" si="8"/>
        <v>4.3694999999999998E-2</v>
      </c>
      <c r="AZ15" s="120">
        <v>7.3270000000000002E-2</v>
      </c>
      <c r="BB15" s="120">
        <f t="shared" si="15"/>
        <v>3.6635000000000001E-2</v>
      </c>
      <c r="BC15" s="120">
        <f t="shared" si="16"/>
        <v>3.6635000000000001E-2</v>
      </c>
    </row>
    <row r="16" spans="1:55" ht="13.95" thickBot="1" x14ac:dyDescent="0.3">
      <c r="A16" s="114">
        <v>11</v>
      </c>
      <c r="B16" s="120">
        <v>4.462E-2</v>
      </c>
      <c r="C16" s="120"/>
      <c r="D16" s="120">
        <f t="shared" si="17"/>
        <v>2.231E-2</v>
      </c>
      <c r="E16" s="120">
        <f t="shared" si="0"/>
        <v>2.231E-2</v>
      </c>
      <c r="F16" s="120"/>
      <c r="G16" s="120">
        <v>5.91E-2</v>
      </c>
      <c r="H16" s="120"/>
      <c r="I16" s="120">
        <f t="shared" si="9"/>
        <v>2.955E-2</v>
      </c>
      <c r="J16" s="120">
        <f t="shared" si="1"/>
        <v>2.955E-2</v>
      </c>
      <c r="K16" s="120"/>
      <c r="L16" s="120">
        <v>5.5800000000000002E-2</v>
      </c>
      <c r="M16" s="120"/>
      <c r="N16" s="120">
        <f t="shared" si="10"/>
        <v>2.7900000000000001E-2</v>
      </c>
      <c r="O16" s="120">
        <f t="shared" si="2"/>
        <v>2.7900000000000001E-2</v>
      </c>
      <c r="P16" s="120"/>
      <c r="AF16" s="120">
        <v>3.2800000000000003E-2</v>
      </c>
      <c r="AG16" s="120"/>
      <c r="AH16" s="120">
        <f t="shared" si="12"/>
        <v>1.6400000000000001E-2</v>
      </c>
      <c r="AI16" s="120">
        <f t="shared" si="6"/>
        <v>1.6400000000000001E-2</v>
      </c>
      <c r="AJ16" s="120"/>
      <c r="AP16" s="121">
        <f>SUM(AP6:AP15)</f>
        <v>0.99999999999999989</v>
      </c>
      <c r="AQ16" s="121">
        <f>SUM(AQ6:AQ15)</f>
        <v>0.5</v>
      </c>
      <c r="AR16" s="121">
        <f>SUM(AR6:AR15)</f>
        <v>0.49999999999999994</v>
      </c>
      <c r="AS16" s="121">
        <f>SUM(AS6:AS15)</f>
        <v>1</v>
      </c>
      <c r="AT16" s="120"/>
      <c r="AU16" s="120">
        <v>4.3720000000000002E-2</v>
      </c>
      <c r="AV16" s="120"/>
      <c r="AW16" s="120">
        <f t="shared" si="14"/>
        <v>2.1860000000000001E-2</v>
      </c>
      <c r="AX16" s="120">
        <f t="shared" si="8"/>
        <v>2.1860000000000001E-2</v>
      </c>
      <c r="AZ16" s="120">
        <v>7.3270000000000002E-2</v>
      </c>
      <c r="BB16" s="120">
        <f t="shared" si="15"/>
        <v>3.6635000000000001E-2</v>
      </c>
      <c r="BC16" s="120">
        <f t="shared" si="16"/>
        <v>3.6635000000000001E-2</v>
      </c>
    </row>
    <row r="17" spans="1:55" ht="14.4" thickTop="1" thickBot="1" x14ac:dyDescent="0.3">
      <c r="A17" s="114">
        <v>12</v>
      </c>
      <c r="B17" s="120">
        <v>4.4609999999999997E-2</v>
      </c>
      <c r="C17" s="120"/>
      <c r="D17" s="120">
        <f t="shared" si="17"/>
        <v>2.2304999999999998E-2</v>
      </c>
      <c r="E17" s="120">
        <f t="shared" si="0"/>
        <v>2.2304999999999998E-2</v>
      </c>
      <c r="F17" s="120"/>
      <c r="G17" s="120">
        <v>5.8999999999999997E-2</v>
      </c>
      <c r="H17" s="120"/>
      <c r="I17" s="120">
        <f t="shared" si="9"/>
        <v>2.9499999999999998E-2</v>
      </c>
      <c r="J17" s="120">
        <f t="shared" si="1"/>
        <v>2.9499999999999998E-2</v>
      </c>
      <c r="K17" s="120"/>
      <c r="L17" s="120">
        <v>5.5800000000000002E-2</v>
      </c>
      <c r="M17" s="120"/>
      <c r="N17" s="120">
        <f t="shared" si="10"/>
        <v>2.7900000000000001E-2</v>
      </c>
      <c r="O17" s="120">
        <f t="shared" si="2"/>
        <v>2.7900000000000001E-2</v>
      </c>
      <c r="P17" s="120"/>
      <c r="AF17" s="121">
        <f>SUM(AF6:AF16)</f>
        <v>1</v>
      </c>
      <c r="AG17" s="121">
        <f>SUM(AG6:AG16)</f>
        <v>0.5</v>
      </c>
      <c r="AH17" s="121">
        <f>SUM(AH6:AH16)</f>
        <v>0.5</v>
      </c>
      <c r="AI17" s="121">
        <f>SUM(AI6:AI16)</f>
        <v>1</v>
      </c>
      <c r="AJ17" s="120"/>
      <c r="AP17" s="120"/>
      <c r="AQ17" s="120"/>
      <c r="AR17" s="120"/>
      <c r="AS17" s="120"/>
      <c r="AT17" s="120"/>
      <c r="AU17" s="121">
        <f>SUM(AU6:AU16)</f>
        <v>0.99999999999999978</v>
      </c>
      <c r="AV17" s="121">
        <f>SUM(AV6:AV16)</f>
        <v>0.5</v>
      </c>
      <c r="AW17" s="121">
        <f>SUM(AW6:AW16)</f>
        <v>0.49999999999999989</v>
      </c>
      <c r="AX17" s="121">
        <f>SUM(AX6:AX16)</f>
        <v>1.0000000000000002</v>
      </c>
      <c r="AZ17" s="120">
        <v>7.3270000000000002E-2</v>
      </c>
      <c r="BB17" s="120">
        <f t="shared" si="15"/>
        <v>3.6635000000000001E-2</v>
      </c>
      <c r="BC17" s="120">
        <f t="shared" si="16"/>
        <v>3.6635000000000001E-2</v>
      </c>
    </row>
    <row r="18" spans="1:55" ht="13.95" thickTop="1" x14ac:dyDescent="0.25">
      <c r="A18" s="114">
        <v>13</v>
      </c>
      <c r="B18" s="120">
        <v>4.462E-2</v>
      </c>
      <c r="C18" s="120"/>
      <c r="D18" s="120">
        <f t="shared" si="17"/>
        <v>2.231E-2</v>
      </c>
      <c r="E18" s="120">
        <f t="shared" si="0"/>
        <v>2.231E-2</v>
      </c>
      <c r="F18" s="120"/>
      <c r="G18" s="120">
        <v>5.91E-2</v>
      </c>
      <c r="H18" s="120"/>
      <c r="I18" s="120">
        <f t="shared" si="9"/>
        <v>2.955E-2</v>
      </c>
      <c r="J18" s="120">
        <f t="shared" si="1"/>
        <v>2.955E-2</v>
      </c>
      <c r="K18" s="120"/>
      <c r="L18" s="120">
        <v>2.7900000000000001E-2</v>
      </c>
      <c r="M18" s="120"/>
      <c r="N18" s="120">
        <f t="shared" si="10"/>
        <v>1.3950000000000001E-2</v>
      </c>
      <c r="O18" s="120">
        <f t="shared" si="2"/>
        <v>1.3950000000000001E-2</v>
      </c>
      <c r="P18" s="120"/>
      <c r="AF18" s="120"/>
      <c r="AG18" s="120"/>
      <c r="AH18" s="120"/>
      <c r="AI18" s="120"/>
      <c r="AJ18" s="120"/>
      <c r="AP18" s="122"/>
      <c r="AQ18" s="122"/>
      <c r="AR18" s="122"/>
      <c r="AS18" s="122"/>
      <c r="AT18" s="120"/>
      <c r="AU18" s="120"/>
      <c r="AV18" s="120"/>
      <c r="AW18" s="120"/>
      <c r="AX18" s="120"/>
      <c r="AZ18" s="120">
        <v>3.662E-2</v>
      </c>
      <c r="BB18" s="120">
        <f t="shared" si="15"/>
        <v>1.831E-2</v>
      </c>
      <c r="BC18" s="120">
        <f t="shared" si="16"/>
        <v>1.831E-2</v>
      </c>
    </row>
    <row r="19" spans="1:55" ht="13.95" thickBot="1" x14ac:dyDescent="0.3">
      <c r="A19" s="114">
        <v>14</v>
      </c>
      <c r="B19" s="120">
        <v>4.4609999999999997E-2</v>
      </c>
      <c r="C19" s="120"/>
      <c r="D19" s="120">
        <f t="shared" si="17"/>
        <v>2.2304999999999998E-2</v>
      </c>
      <c r="E19" s="120">
        <f t="shared" si="0"/>
        <v>2.2304999999999998E-2</v>
      </c>
      <c r="F19" s="120"/>
      <c r="G19" s="120">
        <v>5.8999999999999997E-2</v>
      </c>
      <c r="H19" s="120"/>
      <c r="I19" s="120">
        <f t="shared" si="9"/>
        <v>2.9499999999999998E-2</v>
      </c>
      <c r="J19" s="120">
        <f t="shared" si="1"/>
        <v>2.9499999999999998E-2</v>
      </c>
      <c r="K19" s="120"/>
      <c r="L19" s="121">
        <f>SUM(L6:L18)</f>
        <v>0.99999999999999978</v>
      </c>
      <c r="M19" s="121">
        <f>SUM(M6:M18)</f>
        <v>0.5</v>
      </c>
      <c r="N19" s="121">
        <f>SUM(N6:N18)</f>
        <v>0.49999999999999989</v>
      </c>
      <c r="O19" s="121">
        <f>SUM(O6:O18)</f>
        <v>1.0000000000000002</v>
      </c>
      <c r="P19" s="120"/>
      <c r="AJ19" s="120"/>
      <c r="AP19" s="122"/>
      <c r="AQ19" s="122"/>
      <c r="AR19" s="122"/>
      <c r="AS19" s="122"/>
      <c r="AT19" s="120"/>
      <c r="AZ19" s="123">
        <f>SUM(AZ6:AZ18)</f>
        <v>0.99999999999999967</v>
      </c>
      <c r="BA19" s="123">
        <f>SUM(BA6:BA18)</f>
        <v>0.5</v>
      </c>
      <c r="BB19" s="123">
        <f>SUM(BB6:BB18)</f>
        <v>0.49999999999999983</v>
      </c>
      <c r="BC19" s="123">
        <f>SUM(BC6:BC18)</f>
        <v>0.99999999999999978</v>
      </c>
    </row>
    <row r="20" spans="1:55" ht="13.95" thickTop="1" x14ac:dyDescent="0.25">
      <c r="A20" s="114">
        <v>15</v>
      </c>
      <c r="B20" s="120">
        <v>4.462E-2</v>
      </c>
      <c r="C20" s="120"/>
      <c r="D20" s="120">
        <f t="shared" si="17"/>
        <v>2.231E-2</v>
      </c>
      <c r="E20" s="120">
        <f t="shared" si="0"/>
        <v>2.231E-2</v>
      </c>
      <c r="F20" s="120"/>
      <c r="G20" s="120">
        <v>5.91E-2</v>
      </c>
      <c r="H20" s="120"/>
      <c r="I20" s="120">
        <f t="shared" si="9"/>
        <v>2.955E-2</v>
      </c>
      <c r="J20" s="120">
        <f t="shared" si="1"/>
        <v>2.955E-2</v>
      </c>
      <c r="K20" s="120"/>
      <c r="L20" s="122"/>
      <c r="M20" s="122"/>
      <c r="N20" s="122"/>
      <c r="O20" s="122"/>
      <c r="P20" s="120"/>
      <c r="AF20" s="122"/>
      <c r="AG20" s="122"/>
      <c r="AH20" s="122"/>
      <c r="AI20" s="122"/>
      <c r="AJ20" s="120"/>
      <c r="AP20" s="122"/>
      <c r="AQ20" s="122"/>
      <c r="AR20" s="122"/>
      <c r="AS20" s="122"/>
      <c r="AT20" s="120"/>
      <c r="AU20" s="122"/>
      <c r="AV20" s="122"/>
      <c r="AW20" s="122"/>
      <c r="AX20" s="122"/>
      <c r="AZ20" s="120"/>
      <c r="BA20" s="120"/>
    </row>
    <row r="21" spans="1:55" x14ac:dyDescent="0.25">
      <c r="A21" s="114">
        <v>16</v>
      </c>
      <c r="B21" s="120">
        <v>4.4609999999999997E-2</v>
      </c>
      <c r="C21" s="120"/>
      <c r="D21" s="120">
        <f t="shared" si="17"/>
        <v>2.2304999999999998E-2</v>
      </c>
      <c r="E21" s="120">
        <f t="shared" si="0"/>
        <v>2.2304999999999998E-2</v>
      </c>
      <c r="F21" s="120"/>
      <c r="G21" s="120">
        <v>2.9499999999999998E-2</v>
      </c>
      <c r="H21" s="120"/>
      <c r="I21" s="120">
        <f t="shared" si="9"/>
        <v>1.4749999999999999E-2</v>
      </c>
      <c r="J21" s="120">
        <f t="shared" si="1"/>
        <v>1.4749999999999999E-2</v>
      </c>
      <c r="K21" s="120"/>
      <c r="L21" s="122"/>
      <c r="M21" s="122"/>
      <c r="N21" s="122"/>
      <c r="O21" s="122"/>
      <c r="P21" s="120"/>
      <c r="AF21" s="122"/>
      <c r="AG21" s="122"/>
      <c r="AH21" s="122"/>
      <c r="AI21" s="122"/>
      <c r="AJ21" s="120"/>
      <c r="AP21" s="122"/>
      <c r="AQ21" s="122"/>
      <c r="AR21" s="122"/>
      <c r="AS21" s="122"/>
      <c r="AT21" s="120"/>
      <c r="AU21" s="122"/>
      <c r="AV21" s="122"/>
      <c r="AW21" s="122"/>
      <c r="AX21" s="122"/>
      <c r="AZ21" s="120"/>
      <c r="BA21" s="120"/>
    </row>
    <row r="22" spans="1:55" ht="13.95" thickBot="1" x14ac:dyDescent="0.3">
      <c r="A22" s="114">
        <v>17</v>
      </c>
      <c r="B22" s="120">
        <v>4.462E-2</v>
      </c>
      <c r="C22" s="120"/>
      <c r="D22" s="120">
        <f t="shared" si="17"/>
        <v>2.231E-2</v>
      </c>
      <c r="E22" s="120">
        <f t="shared" si="0"/>
        <v>2.231E-2</v>
      </c>
      <c r="F22" s="120"/>
      <c r="G22" s="121">
        <f>SUM(G6:G21)</f>
        <v>1.0000000000000002</v>
      </c>
      <c r="H22" s="121">
        <f>SUM(H6:H21)</f>
        <v>0.5</v>
      </c>
      <c r="I22" s="121">
        <f>SUM(I6:I21)</f>
        <v>0.50000000000000011</v>
      </c>
      <c r="J22" s="121">
        <f>SUM(J6:J21)</f>
        <v>0.99999999999999967</v>
      </c>
      <c r="K22" s="120"/>
      <c r="L22" s="122"/>
      <c r="M22" s="122"/>
      <c r="N22" s="122"/>
      <c r="O22" s="122"/>
      <c r="P22" s="120"/>
      <c r="AF22" s="122"/>
      <c r="AG22" s="122"/>
      <c r="AH22" s="122"/>
      <c r="AI22" s="122"/>
      <c r="AJ22" s="120"/>
      <c r="AP22" s="122"/>
      <c r="AQ22" s="122"/>
      <c r="AR22" s="122"/>
      <c r="AS22" s="122"/>
      <c r="AT22" s="120"/>
      <c r="AU22" s="122"/>
      <c r="AV22" s="122"/>
      <c r="AW22" s="122"/>
      <c r="AX22" s="122"/>
      <c r="AZ22" s="120"/>
      <c r="BA22" s="120"/>
    </row>
    <row r="23" spans="1:55" ht="13.95" thickTop="1" x14ac:dyDescent="0.25">
      <c r="A23" s="114">
        <v>18</v>
      </c>
      <c r="B23" s="120">
        <v>4.4609999999999997E-2</v>
      </c>
      <c r="C23" s="120"/>
      <c r="D23" s="120">
        <f t="shared" si="17"/>
        <v>2.2304999999999998E-2</v>
      </c>
      <c r="E23" s="120">
        <f t="shared" si="0"/>
        <v>2.2304999999999998E-2</v>
      </c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AF23" s="120"/>
      <c r="AG23" s="120"/>
      <c r="AH23" s="120"/>
      <c r="AI23" s="120"/>
      <c r="AJ23" s="120"/>
      <c r="AP23" s="120"/>
      <c r="AQ23" s="120"/>
      <c r="AR23" s="120"/>
      <c r="AS23" s="120"/>
      <c r="AT23" s="120"/>
      <c r="AU23" s="120"/>
      <c r="AV23" s="120"/>
      <c r="AW23" s="120"/>
      <c r="AX23" s="120"/>
      <c r="AZ23" s="120"/>
      <c r="BA23" s="120"/>
    </row>
    <row r="24" spans="1:55" x14ac:dyDescent="0.25">
      <c r="A24" s="114">
        <v>19</v>
      </c>
      <c r="B24" s="120">
        <v>4.462E-2</v>
      </c>
      <c r="C24" s="120"/>
      <c r="D24" s="120">
        <f t="shared" si="17"/>
        <v>2.231E-2</v>
      </c>
      <c r="E24" s="120">
        <f t="shared" si="0"/>
        <v>2.231E-2</v>
      </c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AF24" s="120"/>
      <c r="AG24" s="120"/>
      <c r="AH24" s="120"/>
      <c r="AI24" s="120"/>
      <c r="AJ24" s="120"/>
      <c r="AP24" s="120"/>
      <c r="AQ24" s="120"/>
      <c r="AR24" s="120"/>
      <c r="AS24" s="120"/>
      <c r="AT24" s="120"/>
      <c r="AU24" s="120"/>
      <c r="AV24" s="120"/>
      <c r="AW24" s="120"/>
      <c r="AX24" s="120"/>
      <c r="AZ24" s="120"/>
      <c r="BA24" s="120"/>
    </row>
    <row r="25" spans="1:55" x14ac:dyDescent="0.25">
      <c r="A25" s="114">
        <v>20</v>
      </c>
      <c r="B25" s="120">
        <v>4.4609999999999997E-2</v>
      </c>
      <c r="C25" s="120"/>
      <c r="D25" s="120">
        <f t="shared" si="17"/>
        <v>2.2304999999999998E-2</v>
      </c>
      <c r="E25" s="120">
        <f t="shared" si="0"/>
        <v>2.2304999999999998E-2</v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AF25" s="120"/>
      <c r="AG25" s="120"/>
      <c r="AH25" s="120"/>
      <c r="AI25" s="120"/>
      <c r="AJ25" s="120"/>
      <c r="AP25" s="120"/>
      <c r="AQ25" s="120"/>
      <c r="AR25" s="120"/>
      <c r="AS25" s="120"/>
      <c r="AT25" s="120"/>
      <c r="AU25" s="120"/>
      <c r="AV25" s="120"/>
      <c r="AW25" s="120"/>
      <c r="AX25" s="120"/>
      <c r="AZ25" s="120"/>
      <c r="BA25" s="120"/>
    </row>
    <row r="26" spans="1:55" x14ac:dyDescent="0.25">
      <c r="A26" s="114">
        <v>21</v>
      </c>
      <c r="B26" s="120">
        <v>2.231E-2</v>
      </c>
      <c r="C26" s="120"/>
      <c r="D26" s="120">
        <f t="shared" si="17"/>
        <v>1.1155E-2</v>
      </c>
      <c r="E26" s="120">
        <f t="shared" si="0"/>
        <v>1.1155E-2</v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AF26" s="120"/>
      <c r="AG26" s="120"/>
      <c r="AH26" s="120"/>
      <c r="AI26" s="120"/>
      <c r="AJ26" s="120"/>
      <c r="AP26" s="120"/>
      <c r="AQ26" s="120"/>
      <c r="AR26" s="120"/>
      <c r="AS26" s="120"/>
      <c r="AT26" s="120"/>
      <c r="AU26" s="120"/>
      <c r="AV26" s="120"/>
      <c r="AW26" s="120"/>
      <c r="AX26" s="120"/>
      <c r="AZ26" s="120"/>
      <c r="BA26" s="120"/>
    </row>
    <row r="27" spans="1:55" ht="13.95" thickBot="1" x14ac:dyDescent="0.3">
      <c r="B27" s="121">
        <f>SUM(B6:B26)</f>
        <v>1.0000000000000002</v>
      </c>
      <c r="C27" s="121">
        <f>SUM(C6:C26)</f>
        <v>0.5</v>
      </c>
      <c r="D27" s="121">
        <f>SUM(D6:D26)</f>
        <v>0.50000000000000011</v>
      </c>
      <c r="E27" s="121">
        <f>SUM(E6:E26)</f>
        <v>1.0000000000000004</v>
      </c>
      <c r="F27" s="122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AF27" s="120"/>
      <c r="AG27" s="120"/>
      <c r="AH27" s="120"/>
      <c r="AI27" s="120"/>
      <c r="AJ27" s="120"/>
      <c r="AP27" s="120"/>
      <c r="AQ27" s="120"/>
      <c r="AR27" s="120"/>
      <c r="AS27" s="120"/>
      <c r="AT27" s="120"/>
      <c r="AU27" s="120"/>
      <c r="AV27" s="120"/>
      <c r="AW27" s="120"/>
      <c r="AX27" s="120"/>
      <c r="AZ27" s="120"/>
      <c r="BA27" s="120"/>
    </row>
    <row r="28" spans="1:55" ht="13.95" thickTop="1" x14ac:dyDescent="0.25">
      <c r="AZ28" s="120"/>
      <c r="BA28" s="120"/>
    </row>
    <row r="29" spans="1:55" x14ac:dyDescent="0.25">
      <c r="AZ29" s="120"/>
      <c r="BA29" s="120"/>
    </row>
    <row r="30" spans="1:55" x14ac:dyDescent="0.25">
      <c r="AZ30" s="120"/>
      <c r="BA30" s="120"/>
    </row>
    <row r="31" spans="1:55" x14ac:dyDescent="0.25">
      <c r="AZ31" s="120"/>
      <c r="BA31" s="120"/>
    </row>
    <row r="32" spans="1:55" x14ac:dyDescent="0.25">
      <c r="AZ32" s="120"/>
      <c r="BA32" s="120"/>
    </row>
    <row r="33" spans="52:53" x14ac:dyDescent="0.25">
      <c r="AZ33" s="120"/>
      <c r="BA33" s="120"/>
    </row>
    <row r="34" spans="52:53" x14ac:dyDescent="0.25">
      <c r="AZ34" s="120"/>
      <c r="BA34" s="120"/>
    </row>
    <row r="35" spans="52:53" x14ac:dyDescent="0.25">
      <c r="AZ35" s="120"/>
      <c r="BA35" s="120"/>
    </row>
    <row r="36" spans="52:53" x14ac:dyDescent="0.25">
      <c r="AZ36" s="120"/>
      <c r="BA36" s="120"/>
    </row>
    <row r="37" spans="52:53" x14ac:dyDescent="0.25">
      <c r="AZ37" s="120"/>
      <c r="BA37" s="120"/>
    </row>
    <row r="38" spans="52:53" x14ac:dyDescent="0.25">
      <c r="AZ38" s="120"/>
      <c r="BA38" s="120"/>
    </row>
    <row r="39" spans="52:53" x14ac:dyDescent="0.25">
      <c r="AZ39" s="120"/>
      <c r="BA39" s="120"/>
    </row>
    <row r="40" spans="52:53" x14ac:dyDescent="0.25">
      <c r="AZ40" s="120"/>
      <c r="BA40" s="120"/>
    </row>
    <row r="41" spans="52:53" x14ac:dyDescent="0.25">
      <c r="AZ41" s="120"/>
      <c r="BA41" s="120"/>
    </row>
    <row r="42" spans="52:53" x14ac:dyDescent="0.25">
      <c r="AZ42" s="120"/>
      <c r="BA42" s="120"/>
    </row>
    <row r="43" spans="52:53" x14ac:dyDescent="0.25">
      <c r="AZ43" s="120"/>
      <c r="BA43" s="120"/>
    </row>
    <row r="44" spans="52:53" x14ac:dyDescent="0.25">
      <c r="AZ44" s="120"/>
      <c r="BA44" s="120"/>
    </row>
    <row r="45" spans="52:53" x14ac:dyDescent="0.25">
      <c r="AZ45" s="120"/>
      <c r="BA45" s="120"/>
    </row>
    <row r="46" spans="52:53" x14ac:dyDescent="0.25">
      <c r="AZ46" s="120"/>
      <c r="BA46" s="120"/>
    </row>
    <row r="47" spans="52:53" x14ac:dyDescent="0.25">
      <c r="AZ47" s="120"/>
      <c r="BA47" s="120"/>
    </row>
    <row r="48" spans="52:53" x14ac:dyDescent="0.25">
      <c r="AZ48" s="120"/>
      <c r="BA48" s="120"/>
    </row>
    <row r="49" spans="52:53" x14ac:dyDescent="0.25">
      <c r="AZ49" s="120"/>
      <c r="BA49" s="120"/>
    </row>
    <row r="50" spans="52:53" x14ac:dyDescent="0.25">
      <c r="AZ50" s="120"/>
      <c r="BA50" s="120"/>
    </row>
    <row r="51" spans="52:53" x14ac:dyDescent="0.25">
      <c r="AZ51" s="120"/>
      <c r="BA51" s="120"/>
    </row>
    <row r="52" spans="52:53" x14ac:dyDescent="0.25">
      <c r="AZ52" s="120"/>
      <c r="BA52" s="120"/>
    </row>
    <row r="53" spans="52:53" x14ac:dyDescent="0.25">
      <c r="AZ53" s="120"/>
      <c r="BA53" s="120"/>
    </row>
    <row r="54" spans="52:53" x14ac:dyDescent="0.25">
      <c r="AZ54" s="120"/>
      <c r="BA54" s="120"/>
    </row>
    <row r="55" spans="52:53" x14ac:dyDescent="0.25">
      <c r="AZ55" s="120"/>
      <c r="BA55" s="120"/>
    </row>
    <row r="56" spans="52:53" x14ac:dyDescent="0.25">
      <c r="AZ56" s="120"/>
      <c r="BA56" s="120"/>
    </row>
    <row r="57" spans="52:53" x14ac:dyDescent="0.25">
      <c r="AZ57" s="120"/>
      <c r="BA57" s="120"/>
    </row>
    <row r="58" spans="52:53" x14ac:dyDescent="0.25">
      <c r="AZ58" s="120"/>
      <c r="BA58" s="120"/>
    </row>
    <row r="59" spans="52:53" x14ac:dyDescent="0.25">
      <c r="AZ59" s="120"/>
      <c r="BA59" s="120"/>
    </row>
    <row r="60" spans="52:53" x14ac:dyDescent="0.25">
      <c r="AZ60" s="120"/>
      <c r="BA60" s="120"/>
    </row>
    <row r="61" spans="52:53" x14ac:dyDescent="0.25">
      <c r="AZ61" s="120"/>
      <c r="BA61" s="120"/>
    </row>
    <row r="62" spans="52:53" x14ac:dyDescent="0.25">
      <c r="AZ62" s="120"/>
      <c r="BA62" s="120"/>
    </row>
    <row r="63" spans="52:53" x14ac:dyDescent="0.25">
      <c r="AZ63" s="120"/>
      <c r="BA63" s="120"/>
    </row>
    <row r="64" spans="52:53" x14ac:dyDescent="0.25">
      <c r="AZ64" s="120"/>
      <c r="BA64" s="120"/>
    </row>
    <row r="65" spans="52:53" x14ac:dyDescent="0.25">
      <c r="AZ65" s="120"/>
      <c r="BA65" s="120"/>
    </row>
    <row r="66" spans="52:53" x14ac:dyDescent="0.25">
      <c r="AZ66" s="120"/>
      <c r="BA66" s="120"/>
    </row>
    <row r="67" spans="52:53" x14ac:dyDescent="0.25">
      <c r="AZ67" s="120"/>
      <c r="BA67" s="120"/>
    </row>
    <row r="68" spans="52:53" x14ac:dyDescent="0.25">
      <c r="AZ68" s="120"/>
      <c r="BA68" s="120"/>
    </row>
    <row r="69" spans="52:53" x14ac:dyDescent="0.25">
      <c r="AZ69" s="120"/>
      <c r="BA69" s="120"/>
    </row>
    <row r="70" spans="52:53" x14ac:dyDescent="0.25">
      <c r="AZ70" s="120"/>
      <c r="BA70" s="120"/>
    </row>
    <row r="71" spans="52:53" x14ac:dyDescent="0.25">
      <c r="AZ71" s="120"/>
      <c r="BA71" s="120"/>
    </row>
    <row r="72" spans="52:53" x14ac:dyDescent="0.25">
      <c r="AZ72" s="120"/>
      <c r="BA72" s="120"/>
    </row>
    <row r="73" spans="52:53" x14ac:dyDescent="0.25">
      <c r="AZ73" s="120"/>
      <c r="BA73" s="120"/>
    </row>
    <row r="74" spans="52:53" x14ac:dyDescent="0.25">
      <c r="AZ74" s="120"/>
      <c r="BA74" s="120"/>
    </row>
    <row r="75" spans="52:53" x14ac:dyDescent="0.25">
      <c r="AZ75" s="120"/>
      <c r="BA75" s="120"/>
    </row>
    <row r="76" spans="52:53" x14ac:dyDescent="0.25">
      <c r="AZ76" s="120"/>
      <c r="BA76" s="120"/>
    </row>
    <row r="77" spans="52:53" x14ac:dyDescent="0.25">
      <c r="AZ77" s="120"/>
      <c r="BA77" s="120"/>
    </row>
    <row r="78" spans="52:53" x14ac:dyDescent="0.25">
      <c r="AZ78" s="120"/>
      <c r="BA78" s="120"/>
    </row>
    <row r="79" spans="52:53" x14ac:dyDescent="0.25">
      <c r="AZ79" s="120"/>
      <c r="BA79" s="120"/>
    </row>
    <row r="80" spans="52:53" x14ac:dyDescent="0.25">
      <c r="AZ80" s="120"/>
      <c r="BA80" s="120"/>
    </row>
    <row r="81" spans="52:53" x14ac:dyDescent="0.25">
      <c r="AZ81" s="120"/>
      <c r="BA81" s="120"/>
    </row>
    <row r="82" spans="52:53" x14ac:dyDescent="0.25">
      <c r="AZ82" s="120"/>
      <c r="BA82" s="120"/>
    </row>
    <row r="83" spans="52:53" x14ac:dyDescent="0.25">
      <c r="AZ83" s="120"/>
      <c r="BA83" s="120"/>
    </row>
    <row r="84" spans="52:53" x14ac:dyDescent="0.25">
      <c r="AZ84" s="120"/>
      <c r="BA84" s="120"/>
    </row>
    <row r="85" spans="52:53" x14ac:dyDescent="0.25">
      <c r="AZ85" s="120"/>
      <c r="BA85" s="120"/>
    </row>
    <row r="86" spans="52:53" x14ac:dyDescent="0.25">
      <c r="AZ86" s="120"/>
      <c r="BA86" s="120"/>
    </row>
    <row r="87" spans="52:53" x14ac:dyDescent="0.25">
      <c r="AZ87" s="120"/>
      <c r="BA87" s="120"/>
    </row>
    <row r="88" spans="52:53" x14ac:dyDescent="0.25">
      <c r="AZ88" s="120"/>
      <c r="BA88" s="120"/>
    </row>
    <row r="89" spans="52:53" x14ac:dyDescent="0.25">
      <c r="AZ89" s="120"/>
      <c r="BA89" s="120"/>
    </row>
    <row r="90" spans="52:53" x14ac:dyDescent="0.25">
      <c r="AZ90" s="120"/>
      <c r="BA90" s="120"/>
    </row>
    <row r="91" spans="52:53" x14ac:dyDescent="0.25">
      <c r="AZ91" s="120"/>
      <c r="BA91" s="120"/>
    </row>
    <row r="92" spans="52:53" x14ac:dyDescent="0.25">
      <c r="AZ92" s="120"/>
      <c r="BA92" s="120"/>
    </row>
    <row r="93" spans="52:53" x14ac:dyDescent="0.25">
      <c r="AZ93" s="120"/>
      <c r="BA93" s="120"/>
    </row>
    <row r="94" spans="52:53" x14ac:dyDescent="0.25">
      <c r="AZ94" s="120"/>
      <c r="BA94" s="120"/>
    </row>
    <row r="95" spans="52:53" x14ac:dyDescent="0.25">
      <c r="AZ95" s="120"/>
      <c r="BA95" s="120"/>
    </row>
    <row r="96" spans="52:53" x14ac:dyDescent="0.25">
      <c r="AZ96" s="120"/>
      <c r="BA96" s="120"/>
    </row>
    <row r="97" spans="52:53" x14ac:dyDescent="0.25">
      <c r="AZ97" s="120"/>
      <c r="BA97" s="120"/>
    </row>
    <row r="98" spans="52:53" x14ac:dyDescent="0.25">
      <c r="AZ98" s="120"/>
      <c r="BA98" s="120"/>
    </row>
    <row r="99" spans="52:53" x14ac:dyDescent="0.25">
      <c r="AZ99" s="120"/>
      <c r="BA99" s="120"/>
    </row>
    <row r="100" spans="52:53" x14ac:dyDescent="0.25">
      <c r="AZ100" s="120"/>
      <c r="BA100" s="120"/>
    </row>
    <row r="101" spans="52:53" x14ac:dyDescent="0.25">
      <c r="AZ101" s="120"/>
      <c r="BA101" s="120"/>
    </row>
    <row r="102" spans="52:53" x14ac:dyDescent="0.25">
      <c r="AZ102" s="120"/>
      <c r="BA102" s="120"/>
    </row>
    <row r="103" spans="52:53" x14ac:dyDescent="0.25">
      <c r="AZ103" s="120"/>
      <c r="BA103" s="120"/>
    </row>
    <row r="104" spans="52:53" x14ac:dyDescent="0.25">
      <c r="AZ104" s="120"/>
      <c r="BA104" s="120"/>
    </row>
    <row r="105" spans="52:53" x14ac:dyDescent="0.25">
      <c r="AZ105" s="120"/>
      <c r="BA105" s="120"/>
    </row>
    <row r="106" spans="52:53" x14ac:dyDescent="0.25">
      <c r="AZ106" s="120"/>
      <c r="BA106" s="120"/>
    </row>
    <row r="107" spans="52:53" x14ac:dyDescent="0.25">
      <c r="AZ107" s="120"/>
      <c r="BA107" s="120"/>
    </row>
    <row r="108" spans="52:53" x14ac:dyDescent="0.25">
      <c r="AZ108" s="120"/>
      <c r="BA108" s="120"/>
    </row>
    <row r="109" spans="52:53" x14ac:dyDescent="0.25">
      <c r="AZ109" s="120"/>
      <c r="BA109" s="120"/>
    </row>
    <row r="110" spans="52:53" x14ac:dyDescent="0.25">
      <c r="AZ110" s="120"/>
      <c r="BA110" s="120"/>
    </row>
    <row r="111" spans="52:53" x14ac:dyDescent="0.25">
      <c r="AZ111" s="120"/>
      <c r="BA111" s="120"/>
    </row>
    <row r="112" spans="52:53" x14ac:dyDescent="0.25">
      <c r="AZ112" s="120"/>
      <c r="BA112" s="120"/>
    </row>
    <row r="113" spans="52:53" x14ac:dyDescent="0.25">
      <c r="AZ113" s="120"/>
      <c r="BA113" s="120"/>
    </row>
    <row r="114" spans="52:53" x14ac:dyDescent="0.25">
      <c r="AZ114" s="120"/>
      <c r="BA114" s="120"/>
    </row>
    <row r="115" spans="52:53" x14ac:dyDescent="0.25">
      <c r="AZ115" s="120"/>
      <c r="BA115" s="120"/>
    </row>
    <row r="116" spans="52:53" x14ac:dyDescent="0.25">
      <c r="AZ116" s="120"/>
      <c r="BA116" s="120"/>
    </row>
    <row r="117" spans="52:53" x14ac:dyDescent="0.25">
      <c r="AZ117" s="120"/>
      <c r="BA117" s="120"/>
    </row>
    <row r="118" spans="52:53" x14ac:dyDescent="0.25">
      <c r="AZ118" s="120"/>
      <c r="BA118" s="120"/>
    </row>
    <row r="119" spans="52:53" x14ac:dyDescent="0.25">
      <c r="AZ119" s="120"/>
      <c r="BA119" s="120"/>
    </row>
    <row r="120" spans="52:53" x14ac:dyDescent="0.25">
      <c r="AZ120" s="120"/>
      <c r="BA120" s="120"/>
    </row>
    <row r="121" spans="52:53" x14ac:dyDescent="0.25">
      <c r="AZ121" s="120"/>
      <c r="BA121" s="120"/>
    </row>
    <row r="122" spans="52:53" x14ac:dyDescent="0.25">
      <c r="AZ122" s="120"/>
      <c r="BA122" s="120"/>
    </row>
    <row r="123" spans="52:53" x14ac:dyDescent="0.25">
      <c r="AZ123" s="120"/>
      <c r="BA123" s="120"/>
    </row>
    <row r="124" spans="52:53" x14ac:dyDescent="0.25">
      <c r="AZ124" s="120"/>
      <c r="BA124" s="120"/>
    </row>
    <row r="125" spans="52:53" x14ac:dyDescent="0.25">
      <c r="AZ125" s="120"/>
      <c r="BA125" s="120"/>
    </row>
    <row r="126" spans="52:53" x14ac:dyDescent="0.25">
      <c r="AZ126" s="120"/>
      <c r="BA126" s="120"/>
    </row>
    <row r="127" spans="52:53" x14ac:dyDescent="0.25">
      <c r="AZ127" s="120"/>
      <c r="BA127" s="120"/>
    </row>
    <row r="128" spans="52:53" x14ac:dyDescent="0.25">
      <c r="AZ128" s="120"/>
      <c r="BA128" s="120"/>
    </row>
    <row r="129" spans="52:53" x14ac:dyDescent="0.25">
      <c r="AZ129" s="120"/>
      <c r="BA129" s="120"/>
    </row>
    <row r="130" spans="52:53" x14ac:dyDescent="0.25">
      <c r="AZ130" s="120"/>
      <c r="BA130" s="120"/>
    </row>
    <row r="131" spans="52:53" x14ac:dyDescent="0.25">
      <c r="AZ131" s="120"/>
      <c r="BA131" s="120"/>
    </row>
    <row r="132" spans="52:53" x14ac:dyDescent="0.25">
      <c r="AZ132" s="120"/>
      <c r="BA132" s="120"/>
    </row>
    <row r="133" spans="52:53" x14ac:dyDescent="0.25">
      <c r="AZ133" s="120"/>
      <c r="BA133" s="120"/>
    </row>
    <row r="134" spans="52:53" x14ac:dyDescent="0.25">
      <c r="AZ134" s="120"/>
      <c r="BA134" s="120"/>
    </row>
    <row r="135" spans="52:53" x14ac:dyDescent="0.25">
      <c r="AZ135" s="120"/>
      <c r="BA135" s="120"/>
    </row>
    <row r="136" spans="52:53" x14ac:dyDescent="0.25">
      <c r="AZ136" s="120"/>
      <c r="BA136" s="120"/>
    </row>
    <row r="137" spans="52:53" x14ac:dyDescent="0.25">
      <c r="AZ137" s="120"/>
      <c r="BA137" s="120"/>
    </row>
    <row r="138" spans="52:53" x14ac:dyDescent="0.25">
      <c r="AZ138" s="120"/>
      <c r="BA138" s="120"/>
    </row>
    <row r="139" spans="52:53" x14ac:dyDescent="0.25">
      <c r="AZ139" s="120"/>
      <c r="BA139" s="120"/>
    </row>
    <row r="140" spans="52:53" x14ac:dyDescent="0.25">
      <c r="AZ140" s="120"/>
      <c r="BA140" s="120"/>
    </row>
    <row r="141" spans="52:53" x14ac:dyDescent="0.25">
      <c r="AZ141" s="120"/>
      <c r="BA141" s="120"/>
    </row>
    <row r="142" spans="52:53" x14ac:dyDescent="0.25">
      <c r="AZ142" s="120"/>
      <c r="BA142" s="120"/>
    </row>
    <row r="143" spans="52:53" x14ac:dyDescent="0.25">
      <c r="AZ143" s="120"/>
      <c r="BA143" s="120"/>
    </row>
    <row r="144" spans="52:53" x14ac:dyDescent="0.25">
      <c r="AZ144" s="120"/>
      <c r="BA144" s="120"/>
    </row>
    <row r="145" spans="52:53" x14ac:dyDescent="0.25">
      <c r="AZ145" s="120"/>
      <c r="BA145" s="120"/>
    </row>
    <row r="146" spans="52:53" x14ac:dyDescent="0.25">
      <c r="AZ146" s="120"/>
      <c r="BA146" s="120"/>
    </row>
    <row r="147" spans="52:53" x14ac:dyDescent="0.25">
      <c r="AZ147" s="120"/>
      <c r="BA147" s="120"/>
    </row>
    <row r="148" spans="52:53" x14ac:dyDescent="0.25">
      <c r="AZ148" s="120"/>
      <c r="BA148" s="120"/>
    </row>
    <row r="149" spans="52:53" x14ac:dyDescent="0.25">
      <c r="AZ149" s="120"/>
      <c r="BA149" s="120"/>
    </row>
    <row r="150" spans="52:53" x14ac:dyDescent="0.25">
      <c r="AZ150" s="120"/>
      <c r="BA150" s="120"/>
    </row>
    <row r="151" spans="52:53" x14ac:dyDescent="0.25">
      <c r="AZ151" s="120"/>
      <c r="BA151" s="120"/>
    </row>
    <row r="152" spans="52:53" x14ac:dyDescent="0.25">
      <c r="AZ152" s="120"/>
      <c r="BA152" s="120"/>
    </row>
    <row r="153" spans="52:53" x14ac:dyDescent="0.25">
      <c r="AZ153" s="120"/>
      <c r="BA153" s="120"/>
    </row>
    <row r="154" spans="52:53" x14ac:dyDescent="0.25">
      <c r="AZ154" s="120"/>
      <c r="BA154" s="120"/>
    </row>
    <row r="155" spans="52:53" x14ac:dyDescent="0.25">
      <c r="AZ155" s="120"/>
      <c r="BA155" s="120"/>
    </row>
    <row r="156" spans="52:53" x14ac:dyDescent="0.25">
      <c r="AZ156" s="120"/>
      <c r="BA156" s="120"/>
    </row>
    <row r="157" spans="52:53" x14ac:dyDescent="0.25">
      <c r="AZ157" s="120"/>
      <c r="BA157" s="120"/>
    </row>
    <row r="158" spans="52:53" x14ac:dyDescent="0.25">
      <c r="AZ158" s="120"/>
      <c r="BA158" s="120"/>
    </row>
    <row r="159" spans="52:53" x14ac:dyDescent="0.25">
      <c r="AZ159" s="120"/>
      <c r="BA159" s="120"/>
    </row>
    <row r="160" spans="52:53" x14ac:dyDescent="0.25">
      <c r="AZ160" s="120"/>
      <c r="BA160" s="120"/>
    </row>
    <row r="161" spans="52:53" x14ac:dyDescent="0.25">
      <c r="AZ161" s="120"/>
      <c r="BA161" s="120"/>
    </row>
    <row r="162" spans="52:53" x14ac:dyDescent="0.25">
      <c r="AZ162" s="120"/>
      <c r="BA162" s="120"/>
    </row>
    <row r="163" spans="52:53" x14ac:dyDescent="0.25">
      <c r="AZ163" s="120"/>
      <c r="BA163" s="120"/>
    </row>
    <row r="164" spans="52:53" x14ac:dyDescent="0.25">
      <c r="AZ164" s="120"/>
      <c r="BA164" s="120"/>
    </row>
    <row r="165" spans="52:53" x14ac:dyDescent="0.25">
      <c r="AZ165" s="120"/>
      <c r="BA165" s="120"/>
    </row>
    <row r="166" spans="52:53" x14ac:dyDescent="0.25">
      <c r="AZ166" s="120"/>
      <c r="BA166" s="120"/>
    </row>
    <row r="167" spans="52:53" x14ac:dyDescent="0.25">
      <c r="AZ167" s="120"/>
      <c r="BA167" s="120"/>
    </row>
    <row r="168" spans="52:53" x14ac:dyDescent="0.25">
      <c r="AZ168" s="120"/>
      <c r="BA168" s="120"/>
    </row>
    <row r="169" spans="52:53" x14ac:dyDescent="0.25">
      <c r="AZ169" s="120"/>
      <c r="BA169" s="120"/>
    </row>
    <row r="170" spans="52:53" x14ac:dyDescent="0.25">
      <c r="AZ170" s="120"/>
      <c r="BA170" s="120"/>
    </row>
    <row r="171" spans="52:53" x14ac:dyDescent="0.25">
      <c r="AZ171" s="120"/>
      <c r="BA171" s="120"/>
    </row>
    <row r="172" spans="52:53" x14ac:dyDescent="0.25">
      <c r="AZ172" s="120"/>
      <c r="BA172" s="120"/>
    </row>
    <row r="173" spans="52:53" x14ac:dyDescent="0.25">
      <c r="AZ173" s="120"/>
      <c r="BA173" s="120"/>
    </row>
    <row r="174" spans="52:53" x14ac:dyDescent="0.25">
      <c r="AZ174" s="120"/>
      <c r="BA174" s="120"/>
    </row>
    <row r="175" spans="52:53" x14ac:dyDescent="0.25">
      <c r="AZ175" s="120"/>
      <c r="BA175" s="120"/>
    </row>
    <row r="176" spans="52:53" x14ac:dyDescent="0.25">
      <c r="AZ176" s="120"/>
      <c r="BA176" s="120"/>
    </row>
    <row r="177" spans="52:53" x14ac:dyDescent="0.25">
      <c r="AZ177" s="120"/>
      <c r="BA177" s="120"/>
    </row>
    <row r="178" spans="52:53" x14ac:dyDescent="0.25">
      <c r="AZ178" s="120"/>
      <c r="BA178" s="120"/>
    </row>
    <row r="179" spans="52:53" x14ac:dyDescent="0.25">
      <c r="AZ179" s="120"/>
      <c r="BA179" s="120"/>
    </row>
    <row r="180" spans="52:53" x14ac:dyDescent="0.25">
      <c r="AZ180" s="120"/>
      <c r="BA180" s="120"/>
    </row>
    <row r="181" spans="52:53" x14ac:dyDescent="0.25">
      <c r="AZ181" s="120"/>
      <c r="BA181" s="120"/>
    </row>
    <row r="182" spans="52:53" x14ac:dyDescent="0.25">
      <c r="AZ182" s="120"/>
      <c r="BA182" s="120"/>
    </row>
    <row r="183" spans="52:53" x14ac:dyDescent="0.25">
      <c r="AZ183" s="120"/>
      <c r="BA183" s="120"/>
    </row>
    <row r="184" spans="52:53" x14ac:dyDescent="0.25">
      <c r="AZ184" s="120"/>
      <c r="BA184" s="120"/>
    </row>
    <row r="185" spans="52:53" x14ac:dyDescent="0.25">
      <c r="AZ185" s="120"/>
      <c r="BA185" s="120"/>
    </row>
    <row r="186" spans="52:53" x14ac:dyDescent="0.25">
      <c r="AZ186" s="120"/>
      <c r="BA186" s="120"/>
    </row>
    <row r="187" spans="52:53" x14ac:dyDescent="0.25">
      <c r="AZ187" s="120"/>
      <c r="BA187" s="120"/>
    </row>
    <row r="188" spans="52:53" x14ac:dyDescent="0.25">
      <c r="AZ188" s="120"/>
      <c r="BA188" s="120"/>
    </row>
    <row r="189" spans="52:53" x14ac:dyDescent="0.25">
      <c r="AZ189" s="120"/>
      <c r="BA189" s="120"/>
    </row>
    <row r="190" spans="52:53" x14ac:dyDescent="0.25">
      <c r="AZ190" s="120"/>
      <c r="BA190" s="120"/>
    </row>
    <row r="191" spans="52:53" x14ac:dyDescent="0.25">
      <c r="AZ191" s="120"/>
      <c r="BA191" s="120"/>
    </row>
    <row r="192" spans="52:53" x14ac:dyDescent="0.25">
      <c r="AZ192" s="120"/>
      <c r="BA192" s="120"/>
    </row>
    <row r="193" spans="52:53" x14ac:dyDescent="0.25">
      <c r="AZ193" s="120"/>
      <c r="BA193" s="120"/>
    </row>
    <row r="194" spans="52:53" x14ac:dyDescent="0.25">
      <c r="AZ194" s="120"/>
      <c r="BA194" s="120"/>
    </row>
    <row r="195" spans="52:53" x14ac:dyDescent="0.25">
      <c r="AZ195" s="120"/>
      <c r="BA195" s="120"/>
    </row>
    <row r="196" spans="52:53" x14ac:dyDescent="0.25">
      <c r="AZ196" s="120"/>
      <c r="BA196" s="120"/>
    </row>
    <row r="197" spans="52:53" x14ac:dyDescent="0.25">
      <c r="AZ197" s="120"/>
      <c r="BA197" s="120"/>
    </row>
    <row r="198" spans="52:53" x14ac:dyDescent="0.25">
      <c r="AZ198" s="120"/>
      <c r="BA198" s="120"/>
    </row>
    <row r="199" spans="52:53" x14ac:dyDescent="0.25">
      <c r="AZ199" s="120"/>
      <c r="BA199" s="120"/>
    </row>
    <row r="200" spans="52:53" x14ac:dyDescent="0.25">
      <c r="AZ200" s="120"/>
      <c r="BA200" s="120"/>
    </row>
    <row r="201" spans="52:53" x14ac:dyDescent="0.25">
      <c r="AZ201" s="120"/>
      <c r="BA201" s="120"/>
    </row>
    <row r="202" spans="52:53" x14ac:dyDescent="0.25">
      <c r="AZ202" s="120"/>
      <c r="BA202" s="120"/>
    </row>
    <row r="203" spans="52:53" x14ac:dyDescent="0.25">
      <c r="AZ203" s="120"/>
      <c r="BA203" s="120"/>
    </row>
    <row r="204" spans="52:53" x14ac:dyDescent="0.25">
      <c r="AZ204" s="120"/>
      <c r="BA204" s="120"/>
    </row>
    <row r="205" spans="52:53" x14ac:dyDescent="0.25">
      <c r="AZ205" s="120"/>
      <c r="BA205" s="120"/>
    </row>
    <row r="206" spans="52:53" x14ac:dyDescent="0.25">
      <c r="AZ206" s="120"/>
      <c r="BA206" s="120"/>
    </row>
    <row r="207" spans="52:53" x14ac:dyDescent="0.25">
      <c r="AZ207" s="120"/>
      <c r="BA207" s="120"/>
    </row>
    <row r="208" spans="52:53" x14ac:dyDescent="0.25">
      <c r="AZ208" s="120"/>
      <c r="BA208" s="120"/>
    </row>
    <row r="209" spans="52:53" x14ac:dyDescent="0.25">
      <c r="AZ209" s="120"/>
      <c r="BA209" s="120"/>
    </row>
    <row r="210" spans="52:53" x14ac:dyDescent="0.25">
      <c r="AZ210" s="120"/>
      <c r="BA210" s="120"/>
    </row>
    <row r="211" spans="52:53" x14ac:dyDescent="0.25">
      <c r="AZ211" s="120"/>
      <c r="BA211" s="120"/>
    </row>
    <row r="212" spans="52:53" x14ac:dyDescent="0.25">
      <c r="AZ212" s="120"/>
      <c r="BA212" s="120"/>
    </row>
    <row r="213" spans="52:53" x14ac:dyDescent="0.25">
      <c r="AZ213" s="120"/>
      <c r="BA213" s="120"/>
    </row>
    <row r="214" spans="52:53" x14ac:dyDescent="0.25">
      <c r="AZ214" s="120"/>
      <c r="BA214" s="120"/>
    </row>
    <row r="215" spans="52:53" x14ac:dyDescent="0.25">
      <c r="AZ215" s="120"/>
      <c r="BA215" s="120"/>
    </row>
    <row r="216" spans="52:53" x14ac:dyDescent="0.25">
      <c r="AZ216" s="120"/>
      <c r="BA216" s="120"/>
    </row>
    <row r="217" spans="52:53" x14ac:dyDescent="0.25">
      <c r="AZ217" s="120"/>
      <c r="BA217" s="120"/>
    </row>
    <row r="218" spans="52:53" x14ac:dyDescent="0.25">
      <c r="AZ218" s="120"/>
      <c r="BA218" s="120"/>
    </row>
    <row r="219" spans="52:53" x14ac:dyDescent="0.25">
      <c r="AZ219" s="120"/>
      <c r="BA219" s="120"/>
    </row>
    <row r="220" spans="52:53" x14ac:dyDescent="0.25">
      <c r="AZ220" s="120"/>
      <c r="BA220" s="120"/>
    </row>
    <row r="221" spans="52:53" x14ac:dyDescent="0.25">
      <c r="AZ221" s="120"/>
      <c r="BA221" s="120"/>
    </row>
    <row r="222" spans="52:53" x14ac:dyDescent="0.25">
      <c r="AZ222" s="120"/>
      <c r="BA222" s="120"/>
    </row>
    <row r="223" spans="52:53" x14ac:dyDescent="0.25">
      <c r="AZ223" s="120"/>
      <c r="BA223" s="120"/>
    </row>
    <row r="224" spans="52:53" x14ac:dyDescent="0.25">
      <c r="AZ224" s="120"/>
      <c r="BA224" s="120"/>
    </row>
    <row r="225" spans="52:53" x14ac:dyDescent="0.25">
      <c r="AZ225" s="120"/>
      <c r="BA225" s="120"/>
    </row>
    <row r="226" spans="52:53" x14ac:dyDescent="0.25">
      <c r="AZ226" s="120"/>
      <c r="BA226" s="120"/>
    </row>
    <row r="227" spans="52:53" x14ac:dyDescent="0.25">
      <c r="AZ227" s="120"/>
      <c r="BA227" s="120"/>
    </row>
    <row r="228" spans="52:53" x14ac:dyDescent="0.25">
      <c r="AZ228" s="120"/>
      <c r="BA228" s="120"/>
    </row>
    <row r="229" spans="52:53" x14ac:dyDescent="0.25">
      <c r="AZ229" s="120"/>
      <c r="BA229" s="120"/>
    </row>
    <row r="230" spans="52:53" x14ac:dyDescent="0.25">
      <c r="AZ230" s="120"/>
      <c r="BA230" s="120"/>
    </row>
    <row r="231" spans="52:53" x14ac:dyDescent="0.25">
      <c r="AZ231" s="120"/>
      <c r="BA231" s="120"/>
    </row>
    <row r="232" spans="52:53" x14ac:dyDescent="0.25">
      <c r="AZ232" s="120"/>
      <c r="BA232" s="120"/>
    </row>
    <row r="233" spans="52:53" x14ac:dyDescent="0.25">
      <c r="AZ233" s="120"/>
      <c r="BA233" s="120"/>
    </row>
    <row r="234" spans="52:53" x14ac:dyDescent="0.25">
      <c r="AZ234" s="120"/>
      <c r="BA234" s="120"/>
    </row>
    <row r="235" spans="52:53" x14ac:dyDescent="0.25">
      <c r="AZ235" s="120"/>
      <c r="BA235" s="120"/>
    </row>
    <row r="236" spans="52:53" x14ac:dyDescent="0.25">
      <c r="AZ236" s="120"/>
      <c r="BA236" s="120"/>
    </row>
    <row r="237" spans="52:53" x14ac:dyDescent="0.25">
      <c r="AZ237" s="120"/>
      <c r="BA237" s="120"/>
    </row>
    <row r="238" spans="52:53" x14ac:dyDescent="0.25">
      <c r="AZ238" s="120"/>
      <c r="BA238" s="120"/>
    </row>
    <row r="239" spans="52:53" x14ac:dyDescent="0.25">
      <c r="AZ239" s="120"/>
      <c r="BA239" s="120"/>
    </row>
    <row r="240" spans="52:53" x14ac:dyDescent="0.25">
      <c r="AZ240" s="120"/>
      <c r="BA240" s="120"/>
    </row>
    <row r="241" spans="52:53" x14ac:dyDescent="0.25">
      <c r="AZ241" s="120"/>
      <c r="BA241" s="120"/>
    </row>
    <row r="242" spans="52:53" x14ac:dyDescent="0.25">
      <c r="AZ242" s="120"/>
      <c r="BA242" s="120"/>
    </row>
    <row r="243" spans="52:53" x14ac:dyDescent="0.25">
      <c r="AZ243" s="120"/>
      <c r="BA243" s="120"/>
    </row>
    <row r="244" spans="52:53" x14ac:dyDescent="0.25">
      <c r="AZ244" s="120"/>
      <c r="BA244" s="120"/>
    </row>
    <row r="245" spans="52:53" x14ac:dyDescent="0.25">
      <c r="AZ245" s="120"/>
      <c r="BA245" s="120"/>
    </row>
    <row r="246" spans="52:53" x14ac:dyDescent="0.25">
      <c r="AZ246" s="120"/>
      <c r="BA246" s="120"/>
    </row>
    <row r="247" spans="52:53" x14ac:dyDescent="0.25">
      <c r="AZ247" s="120"/>
      <c r="BA247" s="120"/>
    </row>
    <row r="248" spans="52:53" x14ac:dyDescent="0.25">
      <c r="AZ248" s="120"/>
      <c r="BA248" s="120"/>
    </row>
    <row r="249" spans="52:53" x14ac:dyDescent="0.25">
      <c r="AZ249" s="120"/>
      <c r="BA249" s="120"/>
    </row>
    <row r="250" spans="52:53" x14ac:dyDescent="0.25">
      <c r="AZ250" s="120"/>
      <c r="BA250" s="120"/>
    </row>
    <row r="251" spans="52:53" x14ac:dyDescent="0.25">
      <c r="AZ251" s="120"/>
      <c r="BA251" s="120"/>
    </row>
    <row r="252" spans="52:53" x14ac:dyDescent="0.25">
      <c r="AZ252" s="120"/>
      <c r="BA252" s="120"/>
    </row>
    <row r="253" spans="52:53" x14ac:dyDescent="0.25">
      <c r="AZ253" s="120"/>
      <c r="BA253" s="120"/>
    </row>
    <row r="254" spans="52:53" x14ac:dyDescent="0.25">
      <c r="AZ254" s="120"/>
      <c r="BA254" s="120"/>
    </row>
    <row r="255" spans="52:53" x14ac:dyDescent="0.25">
      <c r="AZ255" s="120"/>
      <c r="BA255" s="120"/>
    </row>
    <row r="256" spans="52:53" x14ac:dyDescent="0.25">
      <c r="AZ256" s="120"/>
      <c r="BA256" s="120"/>
    </row>
    <row r="257" spans="52:53" x14ac:dyDescent="0.25">
      <c r="AZ257" s="120"/>
      <c r="BA257" s="120"/>
    </row>
    <row r="258" spans="52:53" x14ac:dyDescent="0.25">
      <c r="AZ258" s="120"/>
      <c r="BA258" s="120"/>
    </row>
    <row r="259" spans="52:53" x14ac:dyDescent="0.25">
      <c r="AZ259" s="120"/>
      <c r="BA259" s="120"/>
    </row>
    <row r="260" spans="52:53" x14ac:dyDescent="0.25">
      <c r="AZ260" s="120"/>
      <c r="BA260" s="120"/>
    </row>
    <row r="261" spans="52:53" x14ac:dyDescent="0.25">
      <c r="AZ261" s="120"/>
      <c r="BA261" s="120"/>
    </row>
    <row r="262" spans="52:53" x14ac:dyDescent="0.25">
      <c r="AZ262" s="120"/>
      <c r="BA262" s="120"/>
    </row>
    <row r="263" spans="52:53" x14ac:dyDescent="0.25">
      <c r="AZ263" s="120"/>
      <c r="BA263" s="120"/>
    </row>
    <row r="264" spans="52:53" x14ac:dyDescent="0.25">
      <c r="AZ264" s="120"/>
      <c r="BA264" s="120"/>
    </row>
    <row r="265" spans="52:53" x14ac:dyDescent="0.25">
      <c r="AZ265" s="120"/>
      <c r="BA265" s="120"/>
    </row>
    <row r="266" spans="52:53" x14ac:dyDescent="0.25">
      <c r="AZ266" s="120"/>
      <c r="BA266" s="120"/>
    </row>
    <row r="267" spans="52:53" x14ac:dyDescent="0.25">
      <c r="AZ267" s="120"/>
      <c r="BA267" s="120"/>
    </row>
    <row r="268" spans="52:53" x14ac:dyDescent="0.25">
      <c r="AZ268" s="120"/>
      <c r="BA268" s="120"/>
    </row>
    <row r="269" spans="52:53" x14ac:dyDescent="0.25">
      <c r="AZ269" s="120"/>
      <c r="BA269" s="120"/>
    </row>
    <row r="270" spans="52:53" x14ac:dyDescent="0.25">
      <c r="AZ270" s="120"/>
      <c r="BA270" s="120"/>
    </row>
    <row r="271" spans="52:53" x14ac:dyDescent="0.25">
      <c r="AZ271" s="120"/>
      <c r="BA271" s="120"/>
    </row>
    <row r="272" spans="52:53" x14ac:dyDescent="0.25">
      <c r="AZ272" s="120"/>
      <c r="BA272" s="120"/>
    </row>
    <row r="273" spans="52:53" x14ac:dyDescent="0.25">
      <c r="AZ273" s="120"/>
      <c r="BA273" s="120"/>
    </row>
    <row r="274" spans="52:53" x14ac:dyDescent="0.25">
      <c r="AZ274" s="120"/>
      <c r="BA274" s="120"/>
    </row>
    <row r="275" spans="52:53" x14ac:dyDescent="0.25">
      <c r="AZ275" s="120"/>
      <c r="BA275" s="120"/>
    </row>
    <row r="276" spans="52:53" x14ac:dyDescent="0.25">
      <c r="AZ276" s="120"/>
      <c r="BA276" s="120"/>
    </row>
    <row r="277" spans="52:53" x14ac:dyDescent="0.25">
      <c r="AZ277" s="120"/>
      <c r="BA277" s="120"/>
    </row>
    <row r="278" spans="52:53" x14ac:dyDescent="0.25">
      <c r="AZ278" s="120"/>
      <c r="BA278" s="120"/>
    </row>
    <row r="279" spans="52:53" x14ac:dyDescent="0.25">
      <c r="AZ279" s="120"/>
      <c r="BA279" s="120"/>
    </row>
    <row r="280" spans="52:53" x14ac:dyDescent="0.25">
      <c r="AZ280" s="120"/>
      <c r="BA280" s="120"/>
    </row>
    <row r="281" spans="52:53" x14ac:dyDescent="0.25">
      <c r="AZ281" s="120"/>
      <c r="BA281" s="120"/>
    </row>
    <row r="282" spans="52:53" x14ac:dyDescent="0.25">
      <c r="AZ282" s="120"/>
      <c r="BA282" s="120"/>
    </row>
    <row r="283" spans="52:53" x14ac:dyDescent="0.25">
      <c r="AZ283" s="120"/>
      <c r="BA283" s="120"/>
    </row>
    <row r="284" spans="52:53" x14ac:dyDescent="0.25">
      <c r="AZ284" s="120"/>
      <c r="BA284" s="120"/>
    </row>
    <row r="285" spans="52:53" x14ac:dyDescent="0.25">
      <c r="AZ285" s="120"/>
      <c r="BA285" s="120"/>
    </row>
    <row r="286" spans="52:53" x14ac:dyDescent="0.25">
      <c r="AZ286" s="120"/>
      <c r="BA286" s="120"/>
    </row>
    <row r="287" spans="52:53" x14ac:dyDescent="0.25">
      <c r="AZ287" s="120"/>
      <c r="BA287" s="120"/>
    </row>
    <row r="288" spans="52:53" x14ac:dyDescent="0.25">
      <c r="AZ288" s="120"/>
      <c r="BA288" s="120"/>
    </row>
    <row r="289" spans="52:53" x14ac:dyDescent="0.25">
      <c r="AZ289" s="120"/>
      <c r="BA289" s="120"/>
    </row>
    <row r="290" spans="52:53" x14ac:dyDescent="0.25">
      <c r="AZ290" s="120"/>
      <c r="BA290" s="120"/>
    </row>
    <row r="291" spans="52:53" x14ac:dyDescent="0.25">
      <c r="AZ291" s="120"/>
      <c r="BA291" s="120"/>
    </row>
    <row r="292" spans="52:53" x14ac:dyDescent="0.25">
      <c r="AZ292" s="120"/>
      <c r="BA292" s="120"/>
    </row>
    <row r="293" spans="52:53" x14ac:dyDescent="0.25">
      <c r="AZ293" s="120"/>
      <c r="BA293" s="120"/>
    </row>
    <row r="294" spans="52:53" x14ac:dyDescent="0.25">
      <c r="AZ294" s="120"/>
      <c r="BA294" s="120"/>
    </row>
    <row r="295" spans="52:53" x14ac:dyDescent="0.25">
      <c r="AZ295" s="120"/>
      <c r="BA295" s="120"/>
    </row>
    <row r="296" spans="52:53" x14ac:dyDescent="0.25">
      <c r="AZ296" s="120"/>
      <c r="BA296" s="120"/>
    </row>
    <row r="297" spans="52:53" x14ac:dyDescent="0.25">
      <c r="AZ297" s="120"/>
      <c r="BA297" s="120"/>
    </row>
    <row r="298" spans="52:53" x14ac:dyDescent="0.25">
      <c r="AZ298" s="120"/>
      <c r="BA298" s="120"/>
    </row>
    <row r="299" spans="52:53" x14ac:dyDescent="0.25">
      <c r="AZ299" s="120"/>
      <c r="BA299" s="120"/>
    </row>
    <row r="300" spans="52:53" x14ac:dyDescent="0.25">
      <c r="AZ300" s="120"/>
      <c r="BA300" s="120"/>
    </row>
    <row r="301" spans="52:53" x14ac:dyDescent="0.25">
      <c r="AZ301" s="120"/>
      <c r="BA301" s="120"/>
    </row>
    <row r="302" spans="52:53" x14ac:dyDescent="0.25">
      <c r="AZ302" s="120"/>
      <c r="BA302" s="120"/>
    </row>
    <row r="303" spans="52:53" x14ac:dyDescent="0.25">
      <c r="AZ303" s="120"/>
      <c r="BA303" s="120"/>
    </row>
    <row r="304" spans="52:53" x14ac:dyDescent="0.25">
      <c r="AZ304" s="120"/>
      <c r="BA304" s="120"/>
    </row>
    <row r="305" spans="52:53" x14ac:dyDescent="0.25">
      <c r="AZ305" s="120"/>
      <c r="BA305" s="120"/>
    </row>
    <row r="306" spans="52:53" x14ac:dyDescent="0.25">
      <c r="AZ306" s="120"/>
      <c r="BA306" s="120"/>
    </row>
    <row r="307" spans="52:53" x14ac:dyDescent="0.25">
      <c r="AZ307" s="120"/>
      <c r="BA307" s="120"/>
    </row>
    <row r="308" spans="52:53" x14ac:dyDescent="0.25">
      <c r="AZ308" s="120"/>
      <c r="BA308" s="120"/>
    </row>
    <row r="309" spans="52:53" x14ac:dyDescent="0.25">
      <c r="AZ309" s="120"/>
      <c r="BA309" s="120"/>
    </row>
    <row r="310" spans="52:53" x14ac:dyDescent="0.25">
      <c r="AZ310" s="120"/>
      <c r="BA310" s="120"/>
    </row>
    <row r="311" spans="52:53" x14ac:dyDescent="0.25">
      <c r="AZ311" s="120"/>
      <c r="BA311" s="120"/>
    </row>
    <row r="312" spans="52:53" x14ac:dyDescent="0.25">
      <c r="AZ312" s="120"/>
      <c r="BA312" s="120"/>
    </row>
    <row r="313" spans="52:53" x14ac:dyDescent="0.25">
      <c r="AZ313" s="120"/>
      <c r="BA313" s="120"/>
    </row>
    <row r="314" spans="52:53" x14ac:dyDescent="0.25">
      <c r="AZ314" s="120"/>
      <c r="BA314" s="120"/>
    </row>
    <row r="315" spans="52:53" x14ac:dyDescent="0.25">
      <c r="AZ315" s="120"/>
      <c r="BA315" s="120"/>
    </row>
    <row r="316" spans="52:53" x14ac:dyDescent="0.25">
      <c r="AZ316" s="120"/>
      <c r="BA316" s="120"/>
    </row>
    <row r="317" spans="52:53" x14ac:dyDescent="0.25">
      <c r="AZ317" s="120"/>
      <c r="BA317" s="120"/>
    </row>
    <row r="318" spans="52:53" x14ac:dyDescent="0.25">
      <c r="AZ318" s="120"/>
      <c r="BA318" s="120"/>
    </row>
    <row r="319" spans="52:53" x14ac:dyDescent="0.25">
      <c r="AZ319" s="120"/>
      <c r="BA319" s="120"/>
    </row>
    <row r="320" spans="52:53" x14ac:dyDescent="0.25">
      <c r="AZ320" s="120"/>
      <c r="BA320" s="120"/>
    </row>
    <row r="321" spans="52:53" x14ac:dyDescent="0.25">
      <c r="AZ321" s="120"/>
      <c r="BA321" s="120"/>
    </row>
    <row r="322" spans="52:53" x14ac:dyDescent="0.25">
      <c r="AZ322" s="120"/>
      <c r="BA322" s="120"/>
    </row>
    <row r="323" spans="52:53" x14ac:dyDescent="0.25">
      <c r="AZ323" s="120"/>
      <c r="BA323" s="120"/>
    </row>
    <row r="324" spans="52:53" x14ac:dyDescent="0.25">
      <c r="AZ324" s="120"/>
      <c r="BA324" s="120"/>
    </row>
    <row r="325" spans="52:53" x14ac:dyDescent="0.25">
      <c r="AZ325" s="120"/>
      <c r="BA325" s="120"/>
    </row>
    <row r="326" spans="52:53" x14ac:dyDescent="0.25">
      <c r="AZ326" s="120"/>
      <c r="BA326" s="120"/>
    </row>
    <row r="327" spans="52:53" x14ac:dyDescent="0.25">
      <c r="AZ327" s="120"/>
      <c r="BA327" s="120"/>
    </row>
    <row r="328" spans="52:53" x14ac:dyDescent="0.25">
      <c r="AZ328" s="120"/>
      <c r="BA328" s="120"/>
    </row>
    <row r="329" spans="52:53" x14ac:dyDescent="0.25">
      <c r="AZ329" s="120"/>
      <c r="BA329" s="120"/>
    </row>
    <row r="330" spans="52:53" x14ac:dyDescent="0.25">
      <c r="AZ330" s="120"/>
      <c r="BA330" s="120"/>
    </row>
    <row r="331" spans="52:53" x14ac:dyDescent="0.25">
      <c r="AZ331" s="120"/>
      <c r="BA331" s="120"/>
    </row>
    <row r="332" spans="52:53" x14ac:dyDescent="0.25">
      <c r="AZ332" s="120"/>
      <c r="BA332" s="120"/>
    </row>
    <row r="333" spans="52:53" x14ac:dyDescent="0.25">
      <c r="AZ333" s="120"/>
      <c r="BA333" s="120"/>
    </row>
    <row r="334" spans="52:53" x14ac:dyDescent="0.25">
      <c r="AZ334" s="120"/>
      <c r="BA334" s="120"/>
    </row>
    <row r="335" spans="52:53" x14ac:dyDescent="0.25">
      <c r="AZ335" s="120"/>
      <c r="BA335" s="120"/>
    </row>
    <row r="336" spans="52:53" x14ac:dyDescent="0.25">
      <c r="AZ336" s="120"/>
      <c r="BA336" s="120"/>
    </row>
    <row r="337" spans="52:53" x14ac:dyDescent="0.25">
      <c r="AZ337" s="120"/>
      <c r="BA337" s="120"/>
    </row>
    <row r="338" spans="52:53" x14ac:dyDescent="0.25">
      <c r="AZ338" s="120"/>
      <c r="BA338" s="120"/>
    </row>
    <row r="339" spans="52:53" x14ac:dyDescent="0.25">
      <c r="AZ339" s="120"/>
      <c r="BA339" s="120"/>
    </row>
    <row r="340" spans="52:53" x14ac:dyDescent="0.25">
      <c r="AZ340" s="120"/>
      <c r="BA340" s="120"/>
    </row>
    <row r="341" spans="52:53" x14ac:dyDescent="0.25">
      <c r="AZ341" s="120"/>
      <c r="BA341" s="120"/>
    </row>
    <row r="342" spans="52:53" x14ac:dyDescent="0.25">
      <c r="AZ342" s="120"/>
      <c r="BA342" s="120"/>
    </row>
    <row r="343" spans="52:53" x14ac:dyDescent="0.25">
      <c r="AZ343" s="120"/>
      <c r="BA343" s="120"/>
    </row>
    <row r="344" spans="52:53" x14ac:dyDescent="0.25">
      <c r="AZ344" s="120"/>
      <c r="BA344" s="120"/>
    </row>
    <row r="345" spans="52:53" x14ac:dyDescent="0.25">
      <c r="AZ345" s="120"/>
      <c r="BA345" s="120"/>
    </row>
    <row r="346" spans="52:53" x14ac:dyDescent="0.25">
      <c r="AZ346" s="120"/>
      <c r="BA346" s="120"/>
    </row>
    <row r="347" spans="52:53" x14ac:dyDescent="0.25">
      <c r="AZ347" s="120"/>
      <c r="BA347" s="120"/>
    </row>
    <row r="348" spans="52:53" x14ac:dyDescent="0.25">
      <c r="AZ348" s="120"/>
      <c r="BA348" s="120"/>
    </row>
    <row r="349" spans="52:53" x14ac:dyDescent="0.25">
      <c r="AZ349" s="120"/>
      <c r="BA349" s="120"/>
    </row>
    <row r="350" spans="52:53" x14ac:dyDescent="0.25">
      <c r="AZ350" s="120"/>
      <c r="BA350" s="120"/>
    </row>
    <row r="351" spans="52:53" x14ac:dyDescent="0.25">
      <c r="AZ351" s="120"/>
      <c r="BA351" s="120"/>
    </row>
    <row r="352" spans="52:53" x14ac:dyDescent="0.25">
      <c r="AZ352" s="120"/>
      <c r="BA352" s="120"/>
    </row>
    <row r="353" spans="52:53" x14ac:dyDescent="0.25">
      <c r="AZ353" s="120"/>
      <c r="BA353" s="120"/>
    </row>
    <row r="354" spans="52:53" x14ac:dyDescent="0.25">
      <c r="AZ354" s="120"/>
      <c r="BA354" s="120"/>
    </row>
    <row r="355" spans="52:53" x14ac:dyDescent="0.25">
      <c r="AZ355" s="120"/>
      <c r="BA355" s="120"/>
    </row>
    <row r="356" spans="52:53" x14ac:dyDescent="0.25">
      <c r="AZ356" s="120"/>
      <c r="BA356" s="120"/>
    </row>
    <row r="357" spans="52:53" x14ac:dyDescent="0.25">
      <c r="AZ357" s="120"/>
      <c r="BA357" s="120"/>
    </row>
    <row r="358" spans="52:53" x14ac:dyDescent="0.25">
      <c r="AZ358" s="120"/>
      <c r="BA358" s="120"/>
    </row>
    <row r="359" spans="52:53" x14ac:dyDescent="0.25">
      <c r="AZ359" s="120"/>
      <c r="BA359" s="120"/>
    </row>
    <row r="360" spans="52:53" x14ac:dyDescent="0.25">
      <c r="AZ360" s="120"/>
      <c r="BA360" s="120"/>
    </row>
    <row r="361" spans="52:53" x14ac:dyDescent="0.25">
      <c r="AZ361" s="120"/>
      <c r="BA361" s="120"/>
    </row>
    <row r="362" spans="52:53" x14ac:dyDescent="0.25">
      <c r="AZ362" s="120"/>
      <c r="BA362" s="120"/>
    </row>
    <row r="363" spans="52:53" x14ac:dyDescent="0.25">
      <c r="AZ363" s="120"/>
      <c r="BA363" s="120"/>
    </row>
    <row r="364" spans="52:53" x14ac:dyDescent="0.25">
      <c r="AZ364" s="120"/>
      <c r="BA364" s="120"/>
    </row>
    <row r="365" spans="52:53" x14ac:dyDescent="0.25">
      <c r="AZ365" s="120"/>
      <c r="BA365" s="120"/>
    </row>
    <row r="366" spans="52:53" x14ac:dyDescent="0.25">
      <c r="AZ366" s="120"/>
      <c r="BA366" s="120"/>
    </row>
    <row r="367" spans="52:53" x14ac:dyDescent="0.25">
      <c r="AZ367" s="120"/>
      <c r="BA367" s="120"/>
    </row>
    <row r="368" spans="52:53" x14ac:dyDescent="0.25">
      <c r="AZ368" s="120"/>
      <c r="BA368" s="120"/>
    </row>
    <row r="369" spans="52:53" x14ac:dyDescent="0.25">
      <c r="AZ369" s="120"/>
      <c r="BA369" s="120"/>
    </row>
    <row r="370" spans="52:53" x14ac:dyDescent="0.25">
      <c r="AZ370" s="120"/>
      <c r="BA370" s="120"/>
    </row>
    <row r="371" spans="52:53" x14ac:dyDescent="0.25">
      <c r="AZ371" s="120"/>
      <c r="BA371" s="120"/>
    </row>
    <row r="372" spans="52:53" x14ac:dyDescent="0.25">
      <c r="AZ372" s="120"/>
      <c r="BA372" s="120"/>
    </row>
    <row r="373" spans="52:53" x14ac:dyDescent="0.25">
      <c r="AZ373" s="120"/>
      <c r="BA373" s="120"/>
    </row>
    <row r="374" spans="52:53" x14ac:dyDescent="0.25">
      <c r="AZ374" s="120"/>
      <c r="BA374" s="120"/>
    </row>
    <row r="375" spans="52:53" x14ac:dyDescent="0.25">
      <c r="AZ375" s="120"/>
      <c r="BA375" s="120"/>
    </row>
    <row r="376" spans="52:53" x14ac:dyDescent="0.25">
      <c r="AZ376" s="120"/>
      <c r="BA376" s="120"/>
    </row>
    <row r="377" spans="52:53" x14ac:dyDescent="0.25">
      <c r="AZ377" s="120"/>
      <c r="BA377" s="120"/>
    </row>
    <row r="378" spans="52:53" x14ac:dyDescent="0.25">
      <c r="AZ378" s="120"/>
      <c r="BA378" s="120"/>
    </row>
    <row r="379" spans="52:53" x14ac:dyDescent="0.25">
      <c r="AZ379" s="120"/>
      <c r="BA379" s="120"/>
    </row>
    <row r="380" spans="52:53" x14ac:dyDescent="0.25">
      <c r="AZ380" s="120"/>
      <c r="BA380" s="120"/>
    </row>
    <row r="381" spans="52:53" x14ac:dyDescent="0.25">
      <c r="AZ381" s="120"/>
      <c r="BA381" s="120"/>
    </row>
    <row r="382" spans="52:53" x14ac:dyDescent="0.25">
      <c r="AZ382" s="120"/>
      <c r="BA382" s="120"/>
    </row>
    <row r="383" spans="52:53" x14ac:dyDescent="0.25">
      <c r="AZ383" s="120"/>
      <c r="BA383" s="120"/>
    </row>
    <row r="384" spans="52:53" x14ac:dyDescent="0.25">
      <c r="AZ384" s="120"/>
      <c r="BA384" s="120"/>
    </row>
    <row r="385" spans="52:53" x14ac:dyDescent="0.25">
      <c r="AZ385" s="120"/>
      <c r="BA385" s="120"/>
    </row>
    <row r="386" spans="52:53" x14ac:dyDescent="0.25">
      <c r="AZ386" s="120"/>
      <c r="BA386" s="120"/>
    </row>
    <row r="387" spans="52:53" x14ac:dyDescent="0.25">
      <c r="AZ387" s="120"/>
      <c r="BA387" s="120"/>
    </row>
    <row r="388" spans="52:53" x14ac:dyDescent="0.25">
      <c r="AZ388" s="120"/>
      <c r="BA388" s="120"/>
    </row>
    <row r="389" spans="52:53" x14ac:dyDescent="0.25">
      <c r="AZ389" s="120"/>
      <c r="BA389" s="120"/>
    </row>
    <row r="390" spans="52:53" x14ac:dyDescent="0.25">
      <c r="AZ390" s="120"/>
      <c r="BA390" s="120"/>
    </row>
    <row r="391" spans="52:53" x14ac:dyDescent="0.25">
      <c r="AZ391" s="120"/>
      <c r="BA391" s="120"/>
    </row>
    <row r="392" spans="52:53" x14ac:dyDescent="0.25">
      <c r="AZ392" s="120"/>
      <c r="BA392" s="120"/>
    </row>
    <row r="393" spans="52:53" x14ac:dyDescent="0.25">
      <c r="AZ393" s="120"/>
      <c r="BA393" s="120"/>
    </row>
    <row r="394" spans="52:53" x14ac:dyDescent="0.25">
      <c r="AZ394" s="120"/>
      <c r="BA394" s="120"/>
    </row>
    <row r="395" spans="52:53" x14ac:dyDescent="0.25">
      <c r="AZ395" s="120"/>
      <c r="BA395" s="120"/>
    </row>
    <row r="396" spans="52:53" x14ac:dyDescent="0.25">
      <c r="AZ396" s="120"/>
      <c r="BA396" s="120"/>
    </row>
    <row r="397" spans="52:53" x14ac:dyDescent="0.25">
      <c r="AZ397" s="120"/>
      <c r="BA397" s="120"/>
    </row>
    <row r="398" spans="52:53" x14ac:dyDescent="0.25">
      <c r="AZ398" s="120"/>
      <c r="BA398" s="120"/>
    </row>
    <row r="399" spans="52:53" x14ac:dyDescent="0.25">
      <c r="AZ399" s="120"/>
      <c r="BA399" s="120"/>
    </row>
    <row r="400" spans="52:53" x14ac:dyDescent="0.25">
      <c r="AZ400" s="120"/>
      <c r="BA400" s="120"/>
    </row>
    <row r="401" spans="52:53" x14ac:dyDescent="0.25">
      <c r="AZ401" s="120"/>
      <c r="BA401" s="120"/>
    </row>
    <row r="402" spans="52:53" x14ac:dyDescent="0.25">
      <c r="AZ402" s="120"/>
      <c r="BA402" s="120"/>
    </row>
    <row r="403" spans="52:53" x14ac:dyDescent="0.25">
      <c r="AZ403" s="120"/>
      <c r="BA403" s="120"/>
    </row>
    <row r="404" spans="52:53" x14ac:dyDescent="0.25">
      <c r="AZ404" s="120"/>
      <c r="BA404" s="120"/>
    </row>
    <row r="405" spans="52:53" x14ac:dyDescent="0.25">
      <c r="AZ405" s="120"/>
      <c r="BA405" s="120"/>
    </row>
    <row r="406" spans="52:53" x14ac:dyDescent="0.25">
      <c r="AZ406" s="120"/>
      <c r="BA406" s="120"/>
    </row>
    <row r="407" spans="52:53" x14ac:dyDescent="0.25">
      <c r="AZ407" s="120"/>
      <c r="BA407" s="120"/>
    </row>
    <row r="408" spans="52:53" x14ac:dyDescent="0.25">
      <c r="AZ408" s="120"/>
      <c r="BA408" s="120"/>
    </row>
    <row r="409" spans="52:53" x14ac:dyDescent="0.25">
      <c r="AZ409" s="120"/>
      <c r="BA409" s="120"/>
    </row>
    <row r="410" spans="52:53" x14ac:dyDescent="0.25">
      <c r="AZ410" s="120"/>
      <c r="BA410" s="120"/>
    </row>
    <row r="411" spans="52:53" x14ac:dyDescent="0.25">
      <c r="AZ411" s="120"/>
      <c r="BA411" s="120"/>
    </row>
    <row r="412" spans="52:53" x14ac:dyDescent="0.25">
      <c r="AZ412" s="120"/>
      <c r="BA412" s="120"/>
    </row>
    <row r="413" spans="52:53" x14ac:dyDescent="0.25">
      <c r="AZ413" s="120"/>
      <c r="BA413" s="120"/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4B3F71E-A8E8-454A-BBD8-7950B0E3D6B5}"/>
</file>

<file path=customXml/itemProps2.xml><?xml version="1.0" encoding="utf-8"?>
<ds:datastoreItem xmlns:ds="http://schemas.openxmlformats.org/officeDocument/2006/customXml" ds:itemID="{4B5BCE72-35C8-4F33-BC14-D3695B43B839}"/>
</file>

<file path=customXml/itemProps3.xml><?xml version="1.0" encoding="utf-8"?>
<ds:datastoreItem xmlns:ds="http://schemas.openxmlformats.org/officeDocument/2006/customXml" ds:itemID="{35B8494A-E5F0-4473-948D-B9ED23727A85}"/>
</file>

<file path=customXml/itemProps4.xml><?xml version="1.0" encoding="utf-8"?>
<ds:datastoreItem xmlns:ds="http://schemas.openxmlformats.org/officeDocument/2006/customXml" ds:itemID="{7A7D65F3-D307-4E4A-AB30-C77A736D48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Addition-Retire Source</vt:lpstr>
      <vt:lpstr>Retirement Summary</vt:lpstr>
      <vt:lpstr>Retirement Detail</vt:lpstr>
      <vt:lpstr>Retirement Depr Exp</vt:lpstr>
      <vt:lpstr>Retirement ADFIT</vt:lpstr>
      <vt:lpstr>Addition</vt:lpstr>
      <vt:lpstr>IRS DFIT</vt:lpstr>
      <vt:lpstr>MACRS W 50% BONUS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pwinne</dc:creator>
  <cp:lastModifiedBy>kbarnard</cp:lastModifiedBy>
  <cp:lastPrinted>2017-12-07T18:14:13Z</cp:lastPrinted>
  <dcterms:created xsi:type="dcterms:W3CDTF">2012-08-21T18:32:48Z</dcterms:created>
  <dcterms:modified xsi:type="dcterms:W3CDTF">2018-04-05T16:11:37Z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