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ummary" sheetId="1" r:id="rId1"/>
    <sheet name="Summary of Adjustments Table" sheetId="4" r:id="rId2"/>
    <sheet name="Residental Revenue Adjustment" sheetId="5" r:id="rId3"/>
    <sheet name="Revenue Adjustment" sheetId="17" r:id="rId4"/>
    <sheet name="2009 Wage Adjustment Calc" sheetId="19" r:id="rId5"/>
    <sheet name="MWh Sold" sheetId="6" r:id="rId6"/>
    <sheet name="Revenue" sheetId="7" r:id="rId7"/>
    <sheet name="Average Number of Customers" sheetId="8" r:id="rId8"/>
    <sheet name="KWh of Sales Per Customer" sheetId="9" r:id="rId9"/>
    <sheet name="Usage from case" sheetId="10" r:id="rId10"/>
    <sheet name="Revenue Per KWh Sold" sheetId="11" r:id="rId11"/>
    <sheet name="2009" sheetId="12" r:id="rId12"/>
    <sheet name="2008" sheetId="13" r:id="rId13"/>
    <sheet name="2007" sheetId="14" r:id="rId14"/>
    <sheet name="2006" sheetId="15" r:id="rId15"/>
    <sheet name="2005" sheetId="16" r:id="rId16"/>
    <sheet name="Amortization Workpaper" sheetId="18" r:id="rId17"/>
    <sheet name="Annualized Wage Increases" sheetId="20" r:id="rId18"/>
    <sheet name="Non-Offcr Wge Incrss From 4.3.3" sheetId="21" r:id="rId19"/>
    <sheet name="Attach ICNU 11.3" sheetId="22" r:id="rId20"/>
  </sheets>
  <definedNames>
    <definedName name="_xlnm.Print_Area" localSheetId="16">'Amortization Workpaper'!$A$92:$B$108</definedName>
    <definedName name="_xlnm.Print_Titles" localSheetId="19">'Attach ICNU 11.3'!$1:$8</definedName>
  </definedNames>
  <calcPr calcId="125725"/>
</workbook>
</file>

<file path=xl/calcChain.xml><?xml version="1.0" encoding="utf-8"?>
<calcChain xmlns="http://schemas.openxmlformats.org/spreadsheetml/2006/main">
  <c r="AH79" i="1"/>
  <c r="AH76"/>
  <c r="AH75"/>
  <c r="AH74"/>
  <c r="AH73"/>
  <c r="AH72"/>
  <c r="AH62"/>
  <c r="AH61"/>
  <c r="AH60"/>
  <c r="AH59"/>
  <c r="AH58"/>
  <c r="AH57"/>
  <c r="AH56"/>
  <c r="AH55"/>
  <c r="AH52"/>
  <c r="AH51"/>
  <c r="AH50"/>
  <c r="AH49"/>
  <c r="AH48"/>
  <c r="AH47"/>
  <c r="AH46"/>
  <c r="AH45"/>
  <c r="AH44"/>
  <c r="AH43"/>
  <c r="AH42"/>
  <c r="AH35"/>
  <c r="AH34"/>
  <c r="AH33"/>
  <c r="AH31"/>
  <c r="AH30"/>
  <c r="AH29"/>
  <c r="AH14"/>
  <c r="AH13"/>
  <c r="AH12"/>
  <c r="E15" i="4"/>
  <c r="E13"/>
  <c r="J71" i="1"/>
  <c r="R71"/>
  <c r="AB63"/>
  <c r="AB53"/>
  <c r="AB65" s="1"/>
  <c r="AB15"/>
  <c r="D85" i="19"/>
  <c r="D103" i="21"/>
  <c r="D102"/>
  <c r="D101"/>
  <c r="B96"/>
  <c r="C89"/>
  <c r="C90" s="1"/>
  <c r="D88"/>
  <c r="B84"/>
  <c r="C73"/>
  <c r="C74" s="1"/>
  <c r="D72"/>
  <c r="B68"/>
  <c r="C57"/>
  <c r="C58" s="1"/>
  <c r="D56"/>
  <c r="B52"/>
  <c r="C48"/>
  <c r="C49" s="1"/>
  <c r="D47"/>
  <c r="D46"/>
  <c r="D45"/>
  <c r="B41"/>
  <c r="C37"/>
  <c r="C38" s="1"/>
  <c r="D36"/>
  <c r="B32"/>
  <c r="C21"/>
  <c r="C22" s="1"/>
  <c r="D20"/>
  <c r="B16"/>
  <c r="C5"/>
  <c r="C6" s="1"/>
  <c r="D4"/>
  <c r="D15" i="20"/>
  <c r="B15"/>
  <c r="D14"/>
  <c r="B14"/>
  <c r="D13"/>
  <c r="B13"/>
  <c r="B12"/>
  <c r="B11"/>
  <c r="B10"/>
  <c r="B9"/>
  <c r="B8"/>
  <c r="B7"/>
  <c r="B6"/>
  <c r="B17" s="1"/>
  <c r="G50" i="19"/>
  <c r="G48"/>
  <c r="G52" s="1"/>
  <c r="E25" i="4" s="1"/>
  <c r="E36" i="19"/>
  <c r="E38" s="1"/>
  <c r="D17"/>
  <c r="D12"/>
  <c r="C13" i="20" l="1"/>
  <c r="C14"/>
  <c r="C15"/>
  <c r="AH63" i="1"/>
  <c r="AH53"/>
  <c r="C7" i="21"/>
  <c r="D6"/>
  <c r="C23"/>
  <c r="D22"/>
  <c r="C39"/>
  <c r="D39" s="1"/>
  <c r="D38"/>
  <c r="C50"/>
  <c r="D50" s="1"/>
  <c r="D49"/>
  <c r="C59"/>
  <c r="D58"/>
  <c r="C75"/>
  <c r="D74"/>
  <c r="C91"/>
  <c r="D90"/>
  <c r="D5"/>
  <c r="D21"/>
  <c r="D37"/>
  <c r="D41" s="1"/>
  <c r="D8" i="20" s="1"/>
  <c r="C8" s="1"/>
  <c r="D48" i="21"/>
  <c r="D52" s="1"/>
  <c r="D9" i="20" s="1"/>
  <c r="C9" s="1"/>
  <c r="D57" i="21"/>
  <c r="D73"/>
  <c r="D89"/>
  <c r="AH65" i="1" l="1"/>
  <c r="C92" i="21"/>
  <c r="D91"/>
  <c r="C76"/>
  <c r="D75"/>
  <c r="C60"/>
  <c r="D59"/>
  <c r="C24"/>
  <c r="D23"/>
  <c r="C8"/>
  <c r="D7"/>
  <c r="C9" l="1"/>
  <c r="D8"/>
  <c r="C25"/>
  <c r="D24"/>
  <c r="C61"/>
  <c r="D60"/>
  <c r="C77"/>
  <c r="D76"/>
  <c r="C93"/>
  <c r="D92"/>
  <c r="C94" l="1"/>
  <c r="D94" s="1"/>
  <c r="D93"/>
  <c r="C78"/>
  <c r="D77"/>
  <c r="C62"/>
  <c r="D61"/>
  <c r="C26"/>
  <c r="D25"/>
  <c r="C10"/>
  <c r="D9"/>
  <c r="C11" l="1"/>
  <c r="D10"/>
  <c r="C27"/>
  <c r="D26"/>
  <c r="C63"/>
  <c r="D62"/>
  <c r="C79"/>
  <c r="D78"/>
  <c r="D96"/>
  <c r="D12" i="20" s="1"/>
  <c r="C12" s="1"/>
  <c r="C80" i="21" l="1"/>
  <c r="D79"/>
  <c r="C64"/>
  <c r="D63"/>
  <c r="C28"/>
  <c r="D27"/>
  <c r="C12"/>
  <c r="D11"/>
  <c r="C13" l="1"/>
  <c r="D12"/>
  <c r="C29"/>
  <c r="D28"/>
  <c r="C65"/>
  <c r="D64"/>
  <c r="C81"/>
  <c r="D80"/>
  <c r="C82" l="1"/>
  <c r="D82" s="1"/>
  <c r="D81"/>
  <c r="C66"/>
  <c r="D66" s="1"/>
  <c r="D65"/>
  <c r="C30"/>
  <c r="D30" s="1"/>
  <c r="D29"/>
  <c r="C14"/>
  <c r="D14" s="1"/>
  <c r="D13"/>
  <c r="D16" l="1"/>
  <c r="D6" i="20" s="1"/>
  <c r="D32" i="21"/>
  <c r="D7" i="20" s="1"/>
  <c r="C7" s="1"/>
  <c r="D68" i="21"/>
  <c r="D10" i="20" s="1"/>
  <c r="C10" s="1"/>
  <c r="D84" i="21"/>
  <c r="D11" i="20" s="1"/>
  <c r="C11" s="1"/>
  <c r="D17" l="1"/>
  <c r="C17" s="1"/>
  <c r="D13" i="19" s="1"/>
  <c r="D14" s="1"/>
  <c r="D16" s="1"/>
  <c r="D19" s="1"/>
  <c r="C6" i="20"/>
  <c r="D36" i="19" l="1"/>
  <c r="D22"/>
  <c r="Z63" i="1"/>
  <c r="Z53"/>
  <c r="Z65" s="1"/>
  <c r="Z15"/>
  <c r="X63"/>
  <c r="X53"/>
  <c r="X65" s="1"/>
  <c r="X15"/>
  <c r="V63"/>
  <c r="V53"/>
  <c r="V65" s="1"/>
  <c r="V15"/>
  <c r="T63"/>
  <c r="T53"/>
  <c r="T65" s="1"/>
  <c r="T15"/>
  <c r="R15"/>
  <c r="P15"/>
  <c r="L15"/>
  <c r="J15"/>
  <c r="R77"/>
  <c r="J77"/>
  <c r="R63"/>
  <c r="R65" s="1"/>
  <c r="P63"/>
  <c r="P65" s="1"/>
  <c r="N63"/>
  <c r="N65" s="1"/>
  <c r="L63"/>
  <c r="L65" s="1"/>
  <c r="J63"/>
  <c r="J65" s="1"/>
  <c r="R53"/>
  <c r="P53"/>
  <c r="N53"/>
  <c r="L53"/>
  <c r="J53"/>
  <c r="R28"/>
  <c r="P28"/>
  <c r="J28"/>
  <c r="A93" i="18"/>
  <c r="A94" s="1"/>
  <c r="D88"/>
  <c r="B88"/>
  <c r="E86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B92" s="1"/>
  <c r="C8"/>
  <c r="C88" s="1"/>
  <c r="E18" i="17"/>
  <c r="E20" s="1"/>
  <c r="E24" s="1"/>
  <c r="A11"/>
  <c r="A13" s="1"/>
  <c r="A15" s="1"/>
  <c r="A18" s="1"/>
  <c r="A20" s="1"/>
  <c r="A22" s="1"/>
  <c r="A24" s="1"/>
  <c r="A27" s="1"/>
  <c r="A29" s="1"/>
  <c r="A31" s="1"/>
  <c r="E9"/>
  <c r="E11" s="1"/>
  <c r="E15" s="1"/>
  <c r="E27" s="1"/>
  <c r="E31" l="1"/>
  <c r="P36" i="1" s="1"/>
  <c r="AH36" s="1"/>
  <c r="G15" i="4"/>
  <c r="P71" i="1"/>
  <c r="P77" s="1"/>
  <c r="D27" i="19"/>
  <c r="D29" s="1"/>
  <c r="D24"/>
  <c r="D31" s="1"/>
  <c r="D38" s="1"/>
  <c r="G38" s="1"/>
  <c r="G36"/>
  <c r="G40" s="1"/>
  <c r="A95" i="18"/>
  <c r="B94"/>
  <c r="B93"/>
  <c r="D40" i="19" l="1"/>
  <c r="G54"/>
  <c r="E40"/>
  <c r="A96" i="18"/>
  <c r="B95"/>
  <c r="E122" i="16"/>
  <c r="D122"/>
  <c r="C122"/>
  <c r="F122" s="1"/>
  <c r="C8" i="9" s="1"/>
  <c r="E104" i="16"/>
  <c r="D104"/>
  <c r="C104"/>
  <c r="F104" s="1"/>
  <c r="C7" i="9" s="1"/>
  <c r="E68" i="16"/>
  <c r="D68"/>
  <c r="C68"/>
  <c r="F68" s="1"/>
  <c r="C6" i="9" s="1"/>
  <c r="E25" i="16"/>
  <c r="D25"/>
  <c r="C25"/>
  <c r="F25" s="1"/>
  <c r="C5" i="9" s="1"/>
  <c r="E122" i="15"/>
  <c r="D122"/>
  <c r="C122"/>
  <c r="F122" s="1"/>
  <c r="D8" i="9" s="1"/>
  <c r="E104" i="15"/>
  <c r="D104"/>
  <c r="C104"/>
  <c r="F104" s="1"/>
  <c r="D7" i="9" s="1"/>
  <c r="E68" i="15"/>
  <c r="D68"/>
  <c r="C68"/>
  <c r="F68" s="1"/>
  <c r="D6" i="9" s="1"/>
  <c r="E25" i="15"/>
  <c r="D25"/>
  <c r="C25"/>
  <c r="F25" s="1"/>
  <c r="D5" i="9" s="1"/>
  <c r="E122" i="14"/>
  <c r="D122"/>
  <c r="C122"/>
  <c r="F122" s="1"/>
  <c r="E8" i="9" s="1"/>
  <c r="E104" i="14"/>
  <c r="D104"/>
  <c r="C104"/>
  <c r="F104" s="1"/>
  <c r="E7" i="9" s="1"/>
  <c r="E68" i="14"/>
  <c r="D68"/>
  <c r="C68"/>
  <c r="F68" s="1"/>
  <c r="E6" i="9" s="1"/>
  <c r="E25" i="14"/>
  <c r="D25"/>
  <c r="C25"/>
  <c r="F25" s="1"/>
  <c r="E5" i="9" s="1"/>
  <c r="E122" i="13"/>
  <c r="D122"/>
  <c r="C122"/>
  <c r="F122" s="1"/>
  <c r="F8" i="9" s="1"/>
  <c r="E104" i="13"/>
  <c r="D104"/>
  <c r="C104"/>
  <c r="F104" s="1"/>
  <c r="F7" i="9" s="1"/>
  <c r="E68" i="13"/>
  <c r="D68"/>
  <c r="C68"/>
  <c r="F68" s="1"/>
  <c r="F6" i="9" s="1"/>
  <c r="E25" i="13"/>
  <c r="D25"/>
  <c r="C25"/>
  <c r="F25" s="1"/>
  <c r="F5" i="9" s="1"/>
  <c r="E122" i="12"/>
  <c r="D122"/>
  <c r="G122" s="1"/>
  <c r="G8" i="11" s="1"/>
  <c r="C122" i="12"/>
  <c r="F122" s="1"/>
  <c r="G8" i="9" s="1"/>
  <c r="E104" i="12"/>
  <c r="D104"/>
  <c r="G104" s="1"/>
  <c r="G7" i="11" s="1"/>
  <c r="C104" i="12"/>
  <c r="F104" s="1"/>
  <c r="G7" i="9" s="1"/>
  <c r="E68" i="12"/>
  <c r="D68"/>
  <c r="G68" s="1"/>
  <c r="G6" i="11" s="1"/>
  <c r="C68" i="12"/>
  <c r="F68" s="1"/>
  <c r="G6" i="9" s="1"/>
  <c r="E25" i="12"/>
  <c r="D25"/>
  <c r="G25" s="1"/>
  <c r="G5" i="11" s="1"/>
  <c r="C25" i="12"/>
  <c r="F25" s="1"/>
  <c r="G5" i="9" s="1"/>
  <c r="N23" i="11"/>
  <c r="N21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N23" i="10"/>
  <c r="N21"/>
  <c r="E8"/>
  <c r="E7"/>
  <c r="E6"/>
  <c r="E5"/>
  <c r="N23" i="9"/>
  <c r="N21"/>
  <c r="G8" i="8"/>
  <c r="F8"/>
  <c r="E8"/>
  <c r="D8"/>
  <c r="C8"/>
  <c r="G7"/>
  <c r="F7"/>
  <c r="E7"/>
  <c r="D7"/>
  <c r="C7"/>
  <c r="G6"/>
  <c r="F6"/>
  <c r="E6"/>
  <c r="D6"/>
  <c r="C6"/>
  <c r="G5"/>
  <c r="L11" i="5" s="1"/>
  <c r="F5" i="8"/>
  <c r="J11" i="5" s="1"/>
  <c r="E5" i="8"/>
  <c r="H11" i="5" s="1"/>
  <c r="D5" i="8"/>
  <c r="F11" i="5" s="1"/>
  <c r="C5" i="8"/>
  <c r="D11" i="5" s="1"/>
  <c r="G18" i="7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2"/>
  <c r="F12"/>
  <c r="E12"/>
  <c r="D12"/>
  <c r="C12"/>
  <c r="G8"/>
  <c r="F8"/>
  <c r="E8"/>
  <c r="D8"/>
  <c r="C8"/>
  <c r="G7"/>
  <c r="F7"/>
  <c r="E7"/>
  <c r="D7"/>
  <c r="C7"/>
  <c r="G6"/>
  <c r="F6"/>
  <c r="E6"/>
  <c r="D6"/>
  <c r="C6"/>
  <c r="G5"/>
  <c r="F5"/>
  <c r="E5"/>
  <c r="D5"/>
  <c r="C5"/>
  <c r="G18" i="6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8"/>
  <c r="F8"/>
  <c r="E8"/>
  <c r="D8"/>
  <c r="C8"/>
  <c r="G7"/>
  <c r="F7"/>
  <c r="E7"/>
  <c r="D7"/>
  <c r="C7"/>
  <c r="G6"/>
  <c r="F6"/>
  <c r="E6"/>
  <c r="D6"/>
  <c r="C6"/>
  <c r="G5"/>
  <c r="L9" i="5" s="1"/>
  <c r="L13" s="1"/>
  <c r="F5" i="6"/>
  <c r="J9" i="5" s="1"/>
  <c r="J13" s="1"/>
  <c r="E5" i="6"/>
  <c r="H9" i="5" s="1"/>
  <c r="H13" s="1"/>
  <c r="D5" i="6"/>
  <c r="F9" i="5" s="1"/>
  <c r="F13" s="1"/>
  <c r="C5" i="6"/>
  <c r="D9" i="5" s="1"/>
  <c r="D13" s="1"/>
  <c r="L15" s="1"/>
  <c r="N17" s="1"/>
  <c r="N21" s="1"/>
  <c r="N27"/>
  <c r="A11"/>
  <c r="A13" s="1"/>
  <c r="A15" s="1"/>
  <c r="A17" s="1"/>
  <c r="A19" s="1"/>
  <c r="A21" s="1"/>
  <c r="A23" s="1"/>
  <c r="A25" s="1"/>
  <c r="N9"/>
  <c r="N19" s="1"/>
  <c r="F7"/>
  <c r="H7" s="1"/>
  <c r="J7" s="1"/>
  <c r="L7" s="1"/>
  <c r="N7" s="1"/>
  <c r="N25" l="1"/>
  <c r="N11" i="1" s="1"/>
  <c r="AH11" s="1"/>
  <c r="AH15" s="1"/>
  <c r="G56" i="19"/>
  <c r="G25" i="4" s="1"/>
  <c r="G85" i="19"/>
  <c r="N15" i="1"/>
  <c r="A97" i="18"/>
  <c r="B96"/>
  <c r="G25" i="13"/>
  <c r="F5" i="11" s="1"/>
  <c r="G68" i="13"/>
  <c r="F6" i="11" s="1"/>
  <c r="G104" i="13"/>
  <c r="F7" i="11" s="1"/>
  <c r="G122" i="13"/>
  <c r="F8" i="11" s="1"/>
  <c r="G25" i="14"/>
  <c r="E5" i="11" s="1"/>
  <c r="G68" i="14"/>
  <c r="E6" i="11" s="1"/>
  <c r="G104" i="14"/>
  <c r="E7" i="11" s="1"/>
  <c r="G122" i="14"/>
  <c r="E8" i="11" s="1"/>
  <c r="G25" i="15"/>
  <c r="D5" i="11" s="1"/>
  <c r="G68" i="15"/>
  <c r="D6" i="11" s="1"/>
  <c r="G104" i="15"/>
  <c r="D7" i="11" s="1"/>
  <c r="G122" i="15"/>
  <c r="D8" i="11" s="1"/>
  <c r="G25" i="16"/>
  <c r="C5" i="11" s="1"/>
  <c r="G68" i="16"/>
  <c r="C6" i="11" s="1"/>
  <c r="G104" i="16"/>
  <c r="C7" i="11" s="1"/>
  <c r="G122" i="16"/>
  <c r="C8" i="11" s="1"/>
  <c r="N13" i="5"/>
  <c r="N29" l="1"/>
  <c r="G13" i="4" s="1"/>
  <c r="N19" i="1"/>
  <c r="N20"/>
  <c r="N21"/>
  <c r="N18"/>
  <c r="G75" i="19"/>
  <c r="Z19" i="1" s="1"/>
  <c r="G76" i="19"/>
  <c r="Z20" i="1" s="1"/>
  <c r="G77" i="19"/>
  <c r="Z21" i="1" s="1"/>
  <c r="G78" i="19"/>
  <c r="Z22" i="1" s="1"/>
  <c r="AH22" s="1"/>
  <c r="G79" i="19"/>
  <c r="Z23" i="1" s="1"/>
  <c r="AH23" s="1"/>
  <c r="G80" i="19"/>
  <c r="Z24" i="1" s="1"/>
  <c r="AH24" s="1"/>
  <c r="G81" i="19"/>
  <c r="Z25" i="1" s="1"/>
  <c r="AH25" s="1"/>
  <c r="G82" i="19"/>
  <c r="Z26" i="1" s="1"/>
  <c r="AH26" s="1"/>
  <c r="G83" i="19"/>
  <c r="Z27" i="1" s="1"/>
  <c r="G74" i="19"/>
  <c r="Z18" i="1" s="1"/>
  <c r="Z28" s="1"/>
  <c r="A98" i="18"/>
  <c r="B97"/>
  <c r="I27" i="4"/>
  <c r="AB27" i="1" s="1"/>
  <c r="AB28" s="1"/>
  <c r="I25" i="4"/>
  <c r="I23"/>
  <c r="X27" i="1" s="1"/>
  <c r="X28" s="1"/>
  <c r="I21" i="4"/>
  <c r="V27" i="1" s="1"/>
  <c r="V28" s="1"/>
  <c r="I19" i="4"/>
  <c r="T27" i="1" s="1"/>
  <c r="T28" s="1"/>
  <c r="I17" i="4"/>
  <c r="I15"/>
  <c r="I13"/>
  <c r="I11"/>
  <c r="L27" i="1" s="1"/>
  <c r="AH27" s="1"/>
  <c r="I9" i="4"/>
  <c r="I29" s="1"/>
  <c r="J50" i="1"/>
  <c r="AH21" l="1"/>
  <c r="AH19"/>
  <c r="AH18"/>
  <c r="AH20"/>
  <c r="N31" i="5"/>
  <c r="Z71" i="1"/>
  <c r="Z77" s="1"/>
  <c r="N28"/>
  <c r="T71"/>
  <c r="T77" s="1"/>
  <c r="V71"/>
  <c r="V77" s="1"/>
  <c r="X71"/>
  <c r="X77" s="1"/>
  <c r="AB71"/>
  <c r="AB77" s="1"/>
  <c r="L28"/>
  <c r="A99" i="18"/>
  <c r="B98"/>
  <c r="L71" i="1" l="1"/>
  <c r="AH28"/>
  <c r="N71"/>
  <c r="N77" s="1"/>
  <c r="A100" i="18"/>
  <c r="B99"/>
  <c r="L77" i="1" l="1"/>
  <c r="AH71"/>
  <c r="AH77" s="1"/>
  <c r="A101" i="18"/>
  <c r="B100"/>
  <c r="A82" i="1"/>
  <c r="A79"/>
  <c r="A80" s="1"/>
  <c r="A71"/>
  <c r="A67"/>
  <c r="A65"/>
  <c r="A56"/>
  <c r="A42"/>
  <c r="A39"/>
  <c r="A37"/>
  <c r="A18"/>
  <c r="A13"/>
  <c r="A14"/>
  <c r="A15"/>
  <c r="A12"/>
  <c r="H82"/>
  <c r="H79"/>
  <c r="H77"/>
  <c r="H76"/>
  <c r="H75"/>
  <c r="H74"/>
  <c r="H73"/>
  <c r="H71"/>
  <c r="H62"/>
  <c r="H61"/>
  <c r="H60"/>
  <c r="H59"/>
  <c r="H58"/>
  <c r="H57"/>
  <c r="H56"/>
  <c r="H63"/>
  <c r="H65" s="1"/>
  <c r="H67" s="1"/>
  <c r="H53"/>
  <c r="H52"/>
  <c r="H51"/>
  <c r="H50"/>
  <c r="H49"/>
  <c r="H48"/>
  <c r="H47"/>
  <c r="H46"/>
  <c r="H45"/>
  <c r="H44"/>
  <c r="H43"/>
  <c r="H42"/>
  <c r="H37"/>
  <c r="H39" s="1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5"/>
  <c r="H12"/>
  <c r="H13"/>
  <c r="H14"/>
  <c r="H11"/>
  <c r="F80"/>
  <c r="F77"/>
  <c r="F65"/>
  <c r="F63"/>
  <c r="F53"/>
  <c r="F39"/>
  <c r="F37"/>
  <c r="F28"/>
  <c r="F15"/>
  <c r="D82"/>
  <c r="D80"/>
  <c r="D77"/>
  <c r="D67"/>
  <c r="D65"/>
  <c r="D63"/>
  <c r="D53"/>
  <c r="D39"/>
  <c r="D37"/>
  <c r="D28"/>
  <c r="D15"/>
  <c r="J79" l="1"/>
  <c r="H80"/>
  <c r="A102" i="18"/>
  <c r="B101"/>
  <c r="A72" i="1"/>
  <c r="A77" s="1"/>
  <c r="A73"/>
  <c r="A74"/>
  <c r="A75"/>
  <c r="A76"/>
  <c r="A57"/>
  <c r="A63" s="1"/>
  <c r="A58"/>
  <c r="A59"/>
  <c r="A60"/>
  <c r="A61"/>
  <c r="A62"/>
  <c r="A43"/>
  <c r="A53" s="1"/>
  <c r="A44"/>
  <c r="A45"/>
  <c r="A46"/>
  <c r="A47"/>
  <c r="A48"/>
  <c r="A49"/>
  <c r="A50"/>
  <c r="A51"/>
  <c r="A52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J80" l="1"/>
  <c r="J82" s="1"/>
  <c r="J32" s="1"/>
  <c r="L79"/>
  <c r="A103" i="18"/>
  <c r="B102"/>
  <c r="L80" i="1" l="1"/>
  <c r="L82" s="1"/>
  <c r="L32" s="1"/>
  <c r="N79"/>
  <c r="J37"/>
  <c r="J39" s="1"/>
  <c r="A104" i="18"/>
  <c r="B103"/>
  <c r="L37" i="1" l="1"/>
  <c r="L39" s="1"/>
  <c r="R79"/>
  <c r="N80"/>
  <c r="N82" s="1"/>
  <c r="N32" s="1"/>
  <c r="P79"/>
  <c r="A105" i="18"/>
  <c r="B104"/>
  <c r="R80" i="1" l="1"/>
  <c r="R82" s="1"/>
  <c r="R32" s="1"/>
  <c r="R37" s="1"/>
  <c r="R39" s="1"/>
  <c r="T79"/>
  <c r="P80"/>
  <c r="P82" s="1"/>
  <c r="P32" s="1"/>
  <c r="P37" s="1"/>
  <c r="P39" s="1"/>
  <c r="N37"/>
  <c r="N39" s="1"/>
  <c r="A106" i="18"/>
  <c r="B105"/>
  <c r="T80" i="1" l="1"/>
  <c r="T82" s="1"/>
  <c r="T32" s="1"/>
  <c r="V79"/>
  <c r="X79" s="1"/>
  <c r="A107" i="18"/>
  <c r="B106"/>
  <c r="X80" i="1" l="1"/>
  <c r="X82" s="1"/>
  <c r="X32" s="1"/>
  <c r="X37" s="1"/>
  <c r="X39" s="1"/>
  <c r="Z79"/>
  <c r="V80"/>
  <c r="V82" s="1"/>
  <c r="V32" s="1"/>
  <c r="V37" s="1"/>
  <c r="V39" s="1"/>
  <c r="T37"/>
  <c r="T39" s="1"/>
  <c r="A108" i="18"/>
  <c r="B108" s="1"/>
  <c r="B107"/>
  <c r="Z80" i="1" l="1"/>
  <c r="Z82" s="1"/>
  <c r="Z32" s="1"/>
  <c r="AB79"/>
  <c r="AB80" s="1"/>
  <c r="AB82" s="1"/>
  <c r="AB32" s="1"/>
  <c r="AB37" l="1"/>
  <c r="AB39" s="1"/>
  <c r="AH32"/>
  <c r="AH37" s="1"/>
  <c r="AH80"/>
  <c r="AH82" s="1"/>
  <c r="Z37"/>
  <c r="Z39" s="1"/>
  <c r="AH39"/>
</calcChain>
</file>

<file path=xl/comments1.xml><?xml version="1.0" encoding="utf-8"?>
<comments xmlns="http://schemas.openxmlformats.org/spreadsheetml/2006/main">
  <authors>
    <author>Author</author>
  </authors>
  <commentList>
    <comment ref="C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BPA Balancing Account MWh excluded from total</t>
        </r>
      </text>
    </comment>
  </commentList>
</comments>
</file>

<file path=xl/sharedStrings.xml><?xml version="1.0" encoding="utf-8"?>
<sst xmlns="http://schemas.openxmlformats.org/spreadsheetml/2006/main" count="1002" uniqueCount="495">
  <si>
    <t>PacifiCorp - WA</t>
  </si>
  <si>
    <t>Summary of Washington Adjustments</t>
  </si>
  <si>
    <t>Line</t>
  </si>
  <si>
    <t>Description</t>
  </si>
  <si>
    <t>Unadjusted Results</t>
  </si>
  <si>
    <t>Company Adjustments</t>
  </si>
  <si>
    <t>Company Adjusted Results</t>
  </si>
  <si>
    <t>Operating Revenues:</t>
  </si>
  <si>
    <t>General Business Revenues</t>
  </si>
  <si>
    <t>Interdepartmental</t>
  </si>
  <si>
    <t>Special Sales</t>
  </si>
  <si>
    <t>Other Operating Revenues</t>
  </si>
  <si>
    <t>Total Operating Revenues</t>
  </si>
  <si>
    <t>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</si>
  <si>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</si>
  <si>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</si>
  <si>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</si>
  <si>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</si>
  <si>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</si>
  <si>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</si>
  <si>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</si>
  <si>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</si>
  <si>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</si>
  <si>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</si>
  <si>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>Total O&amp;M Expenses</t>
  </si>
  <si>
    <t>Depreciation</t>
  </si>
  <si>
    <t>Amortization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</si>
  <si>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</si>
  <si>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</si>
  <si>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</si>
  <si>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</si>
  <si>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</si>
  <si>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</si>
  <si>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>Total Operating Expenses:</t>
  </si>
  <si>
    <t>Operating Rev For Return:</t>
  </si>
  <si>
    <t>Rate Base:</t>
  </si>
  <si>
    <t>Electric Plant In Service</t>
  </si>
  <si>
    <t>Plant Held for Future Use</t>
  </si>
  <si>
    <t>Misc Deferred Debits</t>
  </si>
  <si>
    <t>Nuclear Fuel</t>
  </si>
  <si>
    <t>Prepayments</t>
  </si>
  <si>
    <t>Fuel Stock</t>
  </si>
  <si>
    <t>Material &amp; Supplies</t>
  </si>
  <si>
    <t>Working Capital</t>
  </si>
  <si>
    <t>Misc Rate Base</t>
  </si>
  <si>
    <t>Total Electric Plant:</t>
  </si>
  <si>
    <t>Elec Plant Acq. Adj</t>
  </si>
  <si>
    <t>Weatherization Loans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</si>
  <si>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</si>
  <si>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</si>
  <si>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</si>
  <si>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</si>
  <si>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</si>
  <si>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</si>
  <si>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</si>
  <si>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</si>
  <si>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>Total Rate Base Deductions</t>
  </si>
  <si>
    <t>Total Rate Base:</t>
  </si>
  <si>
    <t>Return on Rate Base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</si>
  <si>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</si>
  <si>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</si>
  <si>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</si>
  <si>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</si>
  <si>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</si>
  <si>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</si>
  <si>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</si>
  <si>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</si>
  <si>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</si>
  <si>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</si>
  <si>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</si>
  <si>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+ Other</t>
  </si>
  <si>
    <t>ICNU Adj.</t>
  </si>
  <si>
    <t>Incentive Comp.</t>
  </si>
  <si>
    <t>PacifiCorp Washington</t>
  </si>
  <si>
    <t>Meyer Proposed Revenue Requirement Adjustments</t>
  </si>
  <si>
    <t>Adjustment to Company Revenue Requirement</t>
  </si>
  <si>
    <t>Company Position</t>
  </si>
  <si>
    <t>ICNU/PC Position</t>
  </si>
  <si>
    <t>Issue</t>
  </si>
  <si>
    <t>(WA Situs)</t>
  </si>
  <si>
    <t>Cash Working Capital (Revenue Requirement)</t>
  </si>
  <si>
    <t>Incentive Compensation</t>
  </si>
  <si>
    <t>Residential Rate Revenues</t>
  </si>
  <si>
    <t>*</t>
  </si>
  <si>
    <t>SO2 Allowance Revenues</t>
  </si>
  <si>
    <t>2010 Pro Forma Wage Increases</t>
  </si>
  <si>
    <t>Outside Legal Expense</t>
  </si>
  <si>
    <t>Supplemental Executive Retirement Plan</t>
  </si>
  <si>
    <t>Charitable Donations/Washington Challenge Grants</t>
  </si>
  <si>
    <t>2009 Wages</t>
  </si>
  <si>
    <t>Management Fee (SERP, Bonuses, &amp; Legislative)</t>
  </si>
  <si>
    <t>Total Adjustment to PacifiCorp Revenue Requirement</t>
  </si>
  <si>
    <t>Note:</t>
  </si>
  <si>
    <t>*ICNU Residential Rate Revenues presented net of additional fuel cost.</t>
  </si>
  <si>
    <t>Residential Revenues</t>
  </si>
  <si>
    <t>PacifiCorp - Washington</t>
  </si>
  <si>
    <t>Residential Sales</t>
  </si>
  <si>
    <r>
      <t xml:space="preserve">Test Year Normalized </t>
    </r>
    <r>
      <rPr>
        <vertAlign val="superscript"/>
        <sz val="11"/>
        <color theme="1"/>
        <rFont val="Arial"/>
        <family val="2"/>
      </rPr>
      <t>(2)</t>
    </r>
  </si>
  <si>
    <t>Megawatt Hours Sold</t>
  </si>
  <si>
    <t>Average Customers</t>
  </si>
  <si>
    <t>Average Use (kWh)</t>
  </si>
  <si>
    <t>5 yr Average kWh Use/Customer</t>
  </si>
  <si>
    <t>Predicted kWh</t>
  </si>
  <si>
    <t>Revenue per kWh</t>
  </si>
  <si>
    <t>Normal Revenue</t>
  </si>
  <si>
    <t>Company Adjusted Revenue</t>
  </si>
  <si>
    <t xml:space="preserve"> Adjustment to Company Revenues</t>
  </si>
  <si>
    <r>
      <t>Fuel Cost Percentage</t>
    </r>
    <r>
      <rPr>
        <vertAlign val="superscript"/>
        <sz val="11"/>
        <color theme="1"/>
        <rFont val="Arial"/>
        <family val="2"/>
      </rPr>
      <t xml:space="preserve"> (4)</t>
    </r>
  </si>
  <si>
    <r>
      <t>Fuel Cost Related to Additional Sales</t>
    </r>
    <r>
      <rPr>
        <vertAlign val="superscript"/>
        <sz val="11"/>
        <color theme="1"/>
        <rFont val="Arial"/>
        <family val="2"/>
      </rPr>
      <t xml:space="preserve"> (5)</t>
    </r>
  </si>
  <si>
    <t>Total Adjustment to Revenue Requirement</t>
  </si>
  <si>
    <t>Sources:</t>
  </si>
  <si>
    <t>(1) Source: FERC Form 1 Page 304</t>
  </si>
  <si>
    <t>(2) Source: Exhibit RBD-3 Table 2</t>
  </si>
  <si>
    <t>(3) Company Adjusted Revenue / Weather Normalized MWh</t>
  </si>
  <si>
    <t>(4) Company Normalized Fuel Cost (Page 5.2.1) ÷ Washington Revenue (Page 3.1.1)</t>
  </si>
  <si>
    <t>(5) Line 12 x Line 13</t>
  </si>
  <si>
    <t>PacifiCorp</t>
  </si>
  <si>
    <t xml:space="preserve">MWh Sold </t>
  </si>
  <si>
    <t>Residential</t>
  </si>
  <si>
    <t>Commercial</t>
  </si>
  <si>
    <t>Industrial</t>
  </si>
  <si>
    <t>Irrigation</t>
  </si>
  <si>
    <t>Unbilled Revenue</t>
  </si>
  <si>
    <t>Source: Ferc Form 1 page 304</t>
  </si>
  <si>
    <t>Revenue</t>
  </si>
  <si>
    <t>Unbilled Revenue - Uncollected</t>
  </si>
  <si>
    <t>Average Number of Customers</t>
  </si>
  <si>
    <t>KWh of Sales per Customer</t>
  </si>
  <si>
    <t>Average
Customers
Actual</t>
  </si>
  <si>
    <t>Adjusted
kWhs</t>
  </si>
  <si>
    <t>kWhs
per
Customer</t>
  </si>
  <si>
    <t>Source: Exhibit RBD-3 Table 2</t>
  </si>
  <si>
    <t>Revenue Per KWh Sold</t>
  </si>
  <si>
    <t>Unbilled Revenue Per KWh Sold</t>
  </si>
  <si>
    <t xml:space="preserve">Number and Title of Rate schedule </t>
  </si>
  <si>
    <t>MWh Sold</t>
  </si>
  <si>
    <t xml:space="preserve">02LNX00109-REF/NREF ADV +  </t>
  </si>
  <si>
    <t>02NETMT135 - WA RES NET</t>
  </si>
  <si>
    <t xml:space="preserve">02OALTB15R-WA OUTD AR LGT </t>
  </si>
  <si>
    <t xml:space="preserve">02RESD0016-WA RES SRVC  </t>
  </si>
  <si>
    <t xml:space="preserve">02RESD0017-BILL ASSISTANC   </t>
  </si>
  <si>
    <t xml:space="preserve">02RESD0017-BILL ASSISTANCE   </t>
  </si>
  <si>
    <t xml:space="preserve">02RESD0018-WA 3 PHASE RES </t>
  </si>
  <si>
    <t xml:space="preserve">02RESD018X-WA 3 PHASE RES </t>
  </si>
  <si>
    <t xml:space="preserve">02RFNDCENT - CENTRALIA RFND </t>
  </si>
  <si>
    <t xml:space="preserve">02ZZMERGCR-MERGER CREDITS   </t>
  </si>
  <si>
    <t xml:space="preserve">ACQUISITION COMMITMENT-A and  </t>
  </si>
  <si>
    <t xml:space="preserve">BPA BALANCING ACCOUNT  </t>
  </si>
  <si>
    <t xml:space="preserve">SMUD REVENUE IMPUTATIONS  </t>
  </si>
  <si>
    <t xml:space="preserve">WASHINGTON - CHEHALIS  </t>
  </si>
  <si>
    <t xml:space="preserve">UNBILLED REV - UNCOLLECTIBLE </t>
  </si>
  <si>
    <t xml:space="preserve">UNBILLED REVENUE   </t>
  </si>
  <si>
    <t xml:space="preserve"> Total Residential</t>
  </si>
  <si>
    <t>Commercial Sales</t>
  </si>
  <si>
    <t xml:space="preserve">02GNSB0024-WA GEN SRVC DO </t>
  </si>
  <si>
    <t xml:space="preserve">02GNSB024F-GEN SRVC DOM/F  </t>
  </si>
  <si>
    <t xml:space="preserve">02GNSB24FP-WA GEN SVC  </t>
  </si>
  <si>
    <t xml:space="preserve">02GNSV0024-WA GEN SRVC  </t>
  </si>
  <si>
    <t xml:space="preserve">02GNSV024F-WA GEN SRVC-FL  </t>
  </si>
  <si>
    <t xml:space="preserve">02LGSB0036-LRG GEN SVC IRG </t>
  </si>
  <si>
    <t xml:space="preserve">02LGSB0036-LRG GENSVC IRG  </t>
  </si>
  <si>
    <t xml:space="preserve">02LGSV0036-WA LRG GEN SRV </t>
  </si>
  <si>
    <t xml:space="preserve">02LGSV048T-LRG GEN SRVC 1 </t>
  </si>
  <si>
    <t xml:space="preserve">02LNX00102-LINE EXT 0.8 G </t>
  </si>
  <si>
    <t xml:space="preserve">02LNX00103-LINE EXT 0.8 G </t>
  </si>
  <si>
    <t xml:space="preserve">02LNX00105-CNTRCT $ MIN G </t>
  </si>
  <si>
    <t xml:space="preserve">02LNX00110-REF/NREF ADV +  </t>
  </si>
  <si>
    <t xml:space="preserve">02LNX00112-YR INCURRED CH  </t>
  </si>
  <si>
    <t xml:space="preserve">02LNX00300-LINE EXT 0.8 G </t>
  </si>
  <si>
    <t>02LNX00310 - IRG, 0.8 ANNUAL</t>
  </si>
  <si>
    <t>02LNX00311 - LINE EXT 0.8</t>
  </si>
  <si>
    <t xml:space="preserve">02OALT015N-WA OUTD AR LGT </t>
  </si>
  <si>
    <t xml:space="preserve">02OALTB15N-WA OUTD AR LGT </t>
  </si>
  <si>
    <t xml:space="preserve">02RCFL0054-WA REC FIELD L </t>
  </si>
  <si>
    <t xml:space="preserve">02NMT24135, Net metering, WA </t>
  </si>
  <si>
    <t xml:space="preserve">02NMT36135-WA NET METER LRG </t>
  </si>
  <si>
    <t>Total Commercial Sales</t>
  </si>
  <si>
    <t>Industial Sales</t>
  </si>
  <si>
    <t xml:space="preserve">02GNSB0024-WA GEN SRVC </t>
  </si>
  <si>
    <t>02GNSB0024-WA GEN SRVC DO</t>
  </si>
  <si>
    <t xml:space="preserve">02GNSB24FP-WA GEN SVC </t>
  </si>
  <si>
    <t xml:space="preserve">02GNSV0024-WA GEN SRVC </t>
  </si>
  <si>
    <t xml:space="preserve">02GNSV024F-WA GEN  </t>
  </si>
  <si>
    <t>02LGSV0036-WA LRG GEN SRV</t>
  </si>
  <si>
    <t>02LGSV048M-WA LRG GEN SRV</t>
  </si>
  <si>
    <t>02LGSV048T-LRG GEN SRVC 1</t>
  </si>
  <si>
    <t>02OALT015N-WA OUTD AR LGT</t>
  </si>
  <si>
    <t>02OALTB15N-WA OUTD AR LGT</t>
  </si>
  <si>
    <t xml:space="preserve">02PRSV47TM-LRG PART REQMT </t>
  </si>
  <si>
    <t>02LGSB0036-LRG GEN SVC IRG</t>
  </si>
  <si>
    <t xml:space="preserve">02LGSB0036-LRG GENSVC IRG </t>
  </si>
  <si>
    <t xml:space="preserve">ACQUISITION COMMITMENT-A and </t>
  </si>
  <si>
    <t xml:space="preserve">BPA BALANCING ACCOUNT </t>
  </si>
  <si>
    <t xml:space="preserve">SMUD REVENUE IMPUTATIONS </t>
  </si>
  <si>
    <t xml:space="preserve">WASHINGTON - CHEHALIS </t>
  </si>
  <si>
    <t xml:space="preserve">UNBILLED REVENUE  </t>
  </si>
  <si>
    <t>Total Industial Sales</t>
  </si>
  <si>
    <t>Irrigation Sales</t>
  </si>
  <si>
    <t xml:space="preserve">02APSV0040-WA AG PMP SRVC  </t>
  </si>
  <si>
    <t xml:space="preserve">02APSV040X-WA AG PMP SRVC  </t>
  </si>
  <si>
    <t xml:space="preserve">02BPADEBIT-BPA ADJUST FEE   </t>
  </si>
  <si>
    <t xml:space="preserve">02LNX00102-LINE EXT 0.8 G  </t>
  </si>
  <si>
    <t xml:space="preserve">02LNX00103-LINE EXT 0.8 G  </t>
  </si>
  <si>
    <t xml:space="preserve">02LNX00105-CNTRCT $ MIN G  </t>
  </si>
  <si>
    <t xml:space="preserve">02LNX00109-REF/NREF ADV +   </t>
  </si>
  <si>
    <t xml:space="preserve">02LNX00110-REF/NREF ADV +   </t>
  </si>
  <si>
    <t xml:space="preserve">02LNX00310 - IRG, 0.8 ANNUAL </t>
  </si>
  <si>
    <t>02LNX00312 - WA IRG LINE EXT</t>
  </si>
  <si>
    <t xml:space="preserve">02ZZMERGCR-MERGER CREDITS    </t>
  </si>
  <si>
    <t xml:space="preserve">WASHINGTON - CHEHALIS   </t>
  </si>
  <si>
    <t xml:space="preserve">IRRIGATION BPA BAL ACCT  </t>
  </si>
  <si>
    <t xml:space="preserve">IRRIGATION UNBILLED    </t>
  </si>
  <si>
    <t>Total Irrigation Sales</t>
  </si>
  <si>
    <t>02LNX00109-REF/NREF ADV+</t>
  </si>
  <si>
    <t xml:space="preserve">02GNSB0024-WA GEN SRVC  </t>
  </si>
  <si>
    <t xml:space="preserve">02GNSV024F-WA GEN   </t>
  </si>
  <si>
    <t xml:space="preserve">02LGSV048M-WA LRG GEN SRV </t>
  </si>
  <si>
    <t xml:space="preserve">02PRSV47TM-LRG PART REQMT  </t>
  </si>
  <si>
    <t xml:space="preserve">SMUD REVENUE -441720  </t>
  </si>
  <si>
    <t xml:space="preserve">02APSV0040-WA AG PMP SRVC </t>
  </si>
  <si>
    <t xml:space="preserve">02APSV040X-WA AG PMP SRVC </t>
  </si>
  <si>
    <t xml:space="preserve">02LNX00109-REF/NREF ADV + </t>
  </si>
  <si>
    <t xml:space="preserve">02LNX00110-REF/NREF ADV + </t>
  </si>
  <si>
    <t xml:space="preserve">IRRIGATION BPA BAL ACCT </t>
  </si>
  <si>
    <t xml:space="preserve">IRRIGATION UNBILLED   </t>
  </si>
  <si>
    <t xml:space="preserve">BLUESKY ENERGY  </t>
  </si>
  <si>
    <t>02OALTB15R-OUTD AR LGT RES</t>
  </si>
  <si>
    <t xml:space="preserve">02RESD0016-RES SRVC  </t>
  </si>
  <si>
    <t xml:space="preserve">02RESD0017-BILL ASSISTANC  </t>
  </si>
  <si>
    <t xml:space="preserve">02RESD0017-BILL ASSISTANCE  </t>
  </si>
  <si>
    <t>02RESD0018 3 PHASE RES</t>
  </si>
  <si>
    <t>02RESD018X 3 PHASE RES</t>
  </si>
  <si>
    <t xml:space="preserve">CENTRALIA RFND  </t>
  </si>
  <si>
    <t xml:space="preserve">ACQUISITION COMMITMENT  </t>
  </si>
  <si>
    <t xml:space="preserve">ACQUISITION   </t>
  </si>
  <si>
    <t>UNBILLED REV - UNCOLLECTIBLE</t>
  </si>
  <si>
    <t xml:space="preserve">02GNSB0024-GEN SRVC DO </t>
  </si>
  <si>
    <t xml:space="preserve">02GNSB024F-GEN SRVC DOM/F </t>
  </si>
  <si>
    <t xml:space="preserve">02GNSB24FP-GEN SVC  </t>
  </si>
  <si>
    <t xml:space="preserve">02GNSV0024-GEN SRVC  </t>
  </si>
  <si>
    <t xml:space="preserve">02GNSV024F-GEN SRVC-FL  </t>
  </si>
  <si>
    <t xml:space="preserve">02LGSV0036-LRG GEN SRV </t>
  </si>
  <si>
    <t>02LNX00102-LINE EXT 0.8 G</t>
  </si>
  <si>
    <t>02LNX00103-LINE EXT 0.8 G</t>
  </si>
  <si>
    <t>02LNX00105-CNTRCT $ MIN G</t>
  </si>
  <si>
    <t xml:space="preserve">02LNX00112-YR INCURRED CH </t>
  </si>
  <si>
    <t>02LNX00300-LINE EXT 0.8 G</t>
  </si>
  <si>
    <t>02LNX00311- LINE EXT 0.8</t>
  </si>
  <si>
    <t xml:space="preserve">02OALT015N-OUTD AR LGT </t>
  </si>
  <si>
    <t>02OALTB15N-OUTD AR LGT NR</t>
  </si>
  <si>
    <t xml:space="preserve">02RCFL0054-REC FIELD L </t>
  </si>
  <si>
    <t xml:space="preserve">MERGER CREDITS  </t>
  </si>
  <si>
    <t xml:space="preserve">02NMT24135, Net metering </t>
  </si>
  <si>
    <t xml:space="preserve">02GNSB0024-GEN SRVC DO   </t>
  </si>
  <si>
    <t xml:space="preserve">02GNSB24FP-GEN SVC    </t>
  </si>
  <si>
    <t xml:space="preserve">02GNSV0024-GEN SRVC    </t>
  </si>
  <si>
    <t xml:space="preserve">02GNSV024F- GEN SRVC-FL   </t>
  </si>
  <si>
    <t xml:space="preserve">02LGSV0036-LRG GEN SRV   </t>
  </si>
  <si>
    <t xml:space="preserve">02LGSV048M-LRG GEN SRV   </t>
  </si>
  <si>
    <t xml:space="preserve">02LGSV048T-LRG GEN SRVC 1  </t>
  </si>
  <si>
    <t xml:space="preserve">02OALT015N-OUTD AR LGT   </t>
  </si>
  <si>
    <t xml:space="preserve">02OALTB15N-OUTD AR LGT NR  </t>
  </si>
  <si>
    <t xml:space="preserve">02PRSV47TM-LRG PART REQMT   </t>
  </si>
  <si>
    <t xml:space="preserve">CENTRALIA RFND    </t>
  </si>
  <si>
    <t xml:space="preserve">MERGER CREDITS    </t>
  </si>
  <si>
    <t xml:space="preserve">02LGSB0036-LRG GEN SVC IRG  </t>
  </si>
  <si>
    <t xml:space="preserve">02LGSB0036-LRG GENSVC IRG   </t>
  </si>
  <si>
    <t>02LGSB048T - GEN SRVC, NO BPA</t>
  </si>
  <si>
    <t xml:space="preserve">ACQUISITION COMMITMENT    </t>
  </si>
  <si>
    <t xml:space="preserve">ACQUISITION     </t>
  </si>
  <si>
    <t xml:space="preserve">BPA BALANCING ACCOUNT   </t>
  </si>
  <si>
    <t xml:space="preserve">UNBILLED REVENUE    </t>
  </si>
  <si>
    <t xml:space="preserve">02APSV0040-AG PMP SRVC </t>
  </si>
  <si>
    <t xml:space="preserve">02APSV040X-AG PMP SRVC </t>
  </si>
  <si>
    <t xml:space="preserve">02BPADEBIT-BPA ADJUST FEE </t>
  </si>
  <si>
    <t>02LNX00310-IRG 0.8 ANNUAL MIN</t>
  </si>
  <si>
    <t xml:space="preserve">02LNX00312-IRG LINE EXT </t>
  </si>
  <si>
    <t xml:space="preserve">02OALT013R-WA OUTD AR LGT </t>
  </si>
  <si>
    <t xml:space="preserve">02OALT015R-WA OUTD AR LGT </t>
  </si>
  <si>
    <t xml:space="preserve">ACQUISITION    </t>
  </si>
  <si>
    <t xml:space="preserve">02GNSV0025-WA GEN SRVC DO </t>
  </si>
  <si>
    <t xml:space="preserve">02GNSV025F-GEN SRVC DOM/F  </t>
  </si>
  <si>
    <t xml:space="preserve">02GNSV24FP-GNSV SEASONAL   </t>
  </si>
  <si>
    <t xml:space="preserve">02GNSV24FP-GNSV Seasonal   </t>
  </si>
  <si>
    <t xml:space="preserve">02LGSV0035-WA LRG GEN SRV </t>
  </si>
  <si>
    <t xml:space="preserve">02OALT013N-WA OUTD AR LGT </t>
  </si>
  <si>
    <t xml:space="preserve">02GNSB0024-WA GEN SRVC DO  </t>
  </si>
  <si>
    <t xml:space="preserve">02GNSB24FP-WA GEN SVC   </t>
  </si>
  <si>
    <t xml:space="preserve">02GNSV0024-WA GEN SRVC   </t>
  </si>
  <si>
    <t xml:space="preserve">02GNSV0025-WA GEN SRVC DO  </t>
  </si>
  <si>
    <t xml:space="preserve">02GNSV024F-WA GEN SRVC-FL   </t>
  </si>
  <si>
    <t xml:space="preserve">02GNSV24FP-GNSV SEASONAL    </t>
  </si>
  <si>
    <t xml:space="preserve">02GNSV24FP-GNSV Seasonal    </t>
  </si>
  <si>
    <t xml:space="preserve">02LGSV0035-WA LRG GEN SRV  </t>
  </si>
  <si>
    <t xml:space="preserve">02LGSV0036-WA LRG GEN SRV  </t>
  </si>
  <si>
    <t xml:space="preserve">02LGSV048M-WA LRG GEN SRV  </t>
  </si>
  <si>
    <t xml:space="preserve">02OALT013N-WA OUTD AR LGT  </t>
  </si>
  <si>
    <t xml:space="preserve">02OALT015N-WA OUTD AR LGT  </t>
  </si>
  <si>
    <t xml:space="preserve">02OALTB15N-WA OUTD AR LGT  </t>
  </si>
  <si>
    <t xml:space="preserve">02RFNDCENT - CENTRALIA RFND  </t>
  </si>
  <si>
    <t xml:space="preserve">02LGSB048T - WA GEN SRVC, </t>
  </si>
  <si>
    <t>02LGSB048T - WA GEN SRVC, NO</t>
  </si>
  <si>
    <t xml:space="preserve">ACQUISITION COMMITMENT-A and   </t>
  </si>
  <si>
    <t>02APSV0040-WA AG PMP SRVC</t>
  </si>
  <si>
    <t>02APSV040X-WA AG PMP SRVC</t>
  </si>
  <si>
    <t>02RFNDCENT - CENTRALIA RFND</t>
  </si>
  <si>
    <t xml:space="preserve">02ZZMERGCR-MERGER CREDITS  </t>
  </si>
  <si>
    <t>IRRIGATION BPA BAL ACCT</t>
  </si>
  <si>
    <t xml:space="preserve">IRRIGATION UNBILLED  </t>
  </si>
  <si>
    <t xml:space="preserve">02BLSKY01R-BLUESKY ENERGY   </t>
  </si>
  <si>
    <t xml:space="preserve">UNBILLED REV - UNCOLLECT </t>
  </si>
  <si>
    <t xml:space="preserve">02BLSKY01N-BLUESKY ENERGY   </t>
  </si>
  <si>
    <t xml:space="preserve">02LNX00300-LINE EXT 0.8 G  </t>
  </si>
  <si>
    <t xml:space="preserve">02BPADEBIT-BPA ADJUST FEE  </t>
  </si>
  <si>
    <t xml:space="preserve">    </t>
  </si>
  <si>
    <t>SO2 Emission Sales</t>
  </si>
  <si>
    <r>
      <t>Adjustment to SO</t>
    </r>
    <r>
      <rPr>
        <b/>
        <u/>
        <vertAlign val="subscript"/>
        <sz val="11"/>
        <color theme="1"/>
        <rFont val="Arial"/>
        <family val="2"/>
      </rPr>
      <t>2</t>
    </r>
    <r>
      <rPr>
        <b/>
        <u/>
        <sz val="11"/>
        <color theme="1"/>
        <rFont val="Arial"/>
        <family val="2"/>
      </rPr>
      <t xml:space="preserve"> Emission Allowance Sales Revenue</t>
    </r>
  </si>
  <si>
    <t>Amount</t>
  </si>
  <si>
    <r>
      <t>Total Unamortized Balance as of 2009 For Sales Before 2009</t>
    </r>
    <r>
      <rPr>
        <vertAlign val="superscript"/>
        <sz val="11"/>
        <color theme="1"/>
        <rFont val="Arial"/>
        <family val="2"/>
      </rPr>
      <t>1</t>
    </r>
  </si>
  <si>
    <t>Amortization of Balance Over 5 Years</t>
  </si>
  <si>
    <r>
      <t>WA Weighting</t>
    </r>
    <r>
      <rPr>
        <vertAlign val="superscript"/>
        <sz val="11"/>
        <color theme="1"/>
        <rFont val="Arial"/>
        <family val="2"/>
      </rPr>
      <t>2</t>
    </r>
  </si>
  <si>
    <t>WA Weighted TY Amortization of Remaining Balance</t>
  </si>
  <si>
    <r>
      <t>2009 TY Sales Remaining Unamortized Balance</t>
    </r>
    <r>
      <rPr>
        <vertAlign val="superscript"/>
        <sz val="11"/>
        <color theme="1"/>
        <rFont val="Arial"/>
        <family val="2"/>
      </rPr>
      <t>1</t>
    </r>
  </si>
  <si>
    <r>
      <t>WA Weighting</t>
    </r>
    <r>
      <rPr>
        <vertAlign val="superscript"/>
        <sz val="11"/>
        <color theme="1"/>
        <rFont val="Arial"/>
        <family val="2"/>
      </rPr>
      <t>3</t>
    </r>
  </si>
  <si>
    <t>WA Weighted Amortization of 2009 TY Sales Remaining Balance</t>
  </si>
  <si>
    <t>Total Amortizations Proposed (Line 4 + Line 8)</t>
  </si>
  <si>
    <r>
      <t>Total Company Amortizations Proposed</t>
    </r>
    <r>
      <rPr>
        <vertAlign val="superscript"/>
        <sz val="11"/>
        <color theme="1"/>
        <rFont val="Arial"/>
        <family val="2"/>
      </rPr>
      <t>3</t>
    </r>
  </si>
  <si>
    <t>Total Adjustment to Company Revenues</t>
  </si>
  <si>
    <t xml:space="preserve">                                   </t>
  </si>
  <si>
    <t>Sources &amp; Notes: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</si>
  <si>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Calculated using data from Company workpapers 3.4.1 through 3.4.3 from Exhibit___(RBD-3).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</si>
  <si>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Workpaper 3.4.3 from Exhibit___(RBD-3).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</si>
  <si>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>Workpaper 3.4 from Exhibit___(RBD-3).</t>
    </r>
  </si>
  <si>
    <r>
      <t>Recalculation of SO</t>
    </r>
    <r>
      <rPr>
        <b/>
        <vertAlign val="subscript"/>
        <sz val="11"/>
        <color theme="1"/>
        <rFont val="Arial"/>
        <family val="2"/>
      </rPr>
      <t>2</t>
    </r>
    <r>
      <rPr>
        <b/>
        <sz val="11"/>
        <color theme="1"/>
        <rFont val="Arial"/>
        <family val="2"/>
      </rPr>
      <t xml:space="preserve"> Emission Allowance Sales Amortization</t>
    </r>
  </si>
  <si>
    <t>Booked Amount</t>
  </si>
  <si>
    <t>Accum Amort Dec 2009</t>
  </si>
  <si>
    <t>Unamort Balance Dec 2009</t>
  </si>
  <si>
    <t>Total as of Dec 2009</t>
  </si>
  <si>
    <t>SERP</t>
  </si>
  <si>
    <t>Donations</t>
  </si>
  <si>
    <t>Officer Exempt Wage Adjustment</t>
  </si>
  <si>
    <t>($000)</t>
  </si>
  <si>
    <t>Officer Wages</t>
  </si>
  <si>
    <t>Company Wage Inflation</t>
  </si>
  <si>
    <t>Officer Wages Before Increase</t>
  </si>
  <si>
    <t>Average Wage Inflation Rate</t>
  </si>
  <si>
    <t>Annualized Wage Increase</t>
  </si>
  <si>
    <t>Adjustment to Labor</t>
  </si>
  <si>
    <t>O&amp;M Percentage</t>
  </si>
  <si>
    <t>Expense Adjustment</t>
  </si>
  <si>
    <t>FICA Annualized Wage Adjustment</t>
  </si>
  <si>
    <t>Medicare Rate (no cap)</t>
  </si>
  <si>
    <t>Social Security Rate</t>
  </si>
  <si>
    <t>Percentage of Social Security Wages</t>
  </si>
  <si>
    <t>Total FICA Tax Adjustment</t>
  </si>
  <si>
    <t>Total Co</t>
  </si>
  <si>
    <t>%</t>
  </si>
  <si>
    <t>WA-Situs</t>
  </si>
  <si>
    <t>Labor Allocation</t>
  </si>
  <si>
    <t>FICA Allocation</t>
  </si>
  <si>
    <t>Total</t>
  </si>
  <si>
    <t>Calculation of Positions</t>
  </si>
  <si>
    <t>(Adjustments Presented in Whole Dollars)</t>
  </si>
  <si>
    <t>Washington Allocated Labor From Response to ICNU DR 11.3</t>
  </si>
  <si>
    <r>
      <t>Company Labor Adjustments for Restating</t>
    </r>
    <r>
      <rPr>
        <vertAlign val="superscript"/>
        <sz val="11"/>
        <color theme="1"/>
        <rFont val="Arial"/>
        <family val="2"/>
      </rPr>
      <t>6</t>
    </r>
  </si>
  <si>
    <t>Company Restated Position for 2009 (Line 15 + Line 16)</t>
  </si>
  <si>
    <t>ICNU Adjusment (WA-Situs Line 14 * 1,000)</t>
  </si>
  <si>
    <t>ICNU Position for 2009 Labor Cost</t>
  </si>
  <si>
    <t xml:space="preserve">                 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</si>
  <si>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Calibri"/>
        <family val="2"/>
        <scheme val="minor"/>
      </rPr>
      <t>Company Exhibit___(RBD-3), Attached Worksheet 4.3.3.</t>
    </r>
  </si>
  <si>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>See Worksheet Annualized Wage Increases.</t>
    </r>
  </si>
  <si>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>Company Exhibit___(RBD-3), Attached Worksheet 4.3.2.</t>
    </r>
  </si>
  <si>
    <r>
      <rPr>
        <vertAlign val="superscript"/>
        <sz val="11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>Company Exhibit___(RBD-3), Attached Worksheet 4.3.6.</t>
    </r>
  </si>
  <si>
    <r>
      <rPr>
        <vertAlign val="superscript"/>
        <sz val="11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>Company Exhibit___(RBD-3), Attached Worksheet 4.2, Washington  Allocated Total / Total Company Total.</t>
    </r>
  </si>
  <si>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Calibri"/>
        <family val="2"/>
        <scheme val="minor"/>
      </rPr>
      <t>Company Exhibit___(RBD-3), Attached Worksheet 4.2.</t>
    </r>
  </si>
  <si>
    <t>Annualized Wage Increases</t>
  </si>
  <si>
    <t>Annualized After Wage Increase*</t>
  </si>
  <si>
    <t>Wage Increase %</t>
  </si>
  <si>
    <t>Annualized Wages Before Increase*</t>
  </si>
  <si>
    <t>IBEW 125</t>
  </si>
  <si>
    <t>IBEW 659</t>
  </si>
  <si>
    <t>UWUA 197</t>
  </si>
  <si>
    <t>IBEW 415 (Laramie 57)</t>
  </si>
  <si>
    <t>IBEW 57 PD</t>
  </si>
  <si>
    <t>IBEW 57 PS</t>
  </si>
  <si>
    <t>IBEW57 - CT</t>
  </si>
  <si>
    <t>UWUA 127 Wyoming</t>
  </si>
  <si>
    <t>PCCC Non-Exempt</t>
  </si>
  <si>
    <t>Non-Exempt</t>
  </si>
  <si>
    <t>*Worksheet divides total wages by the number of months with an increase and multiplies by 12 to get an annualized wages.</t>
  </si>
  <si>
    <t>Source:</t>
  </si>
  <si>
    <t>Derived from data presented in Exhibit___(RBD-3) Attached worksheet 4.3.3.</t>
  </si>
  <si>
    <t>Month</t>
  </si>
  <si>
    <t>After Wage Increase</t>
  </si>
  <si>
    <t>Wage Inflation Rate</t>
  </si>
  <si>
    <t>Wage at Previous Rate</t>
  </si>
  <si>
    <t>Other Labor</t>
  </si>
  <si>
    <t>Attach ICNU 11.3</t>
  </si>
  <si>
    <t>Washington Allocated and Direct (Situs) Assigned</t>
  </si>
  <si>
    <t>O&amp;M Accounts, Allocated and Direct Assigned Labor Amounts only</t>
  </si>
  <si>
    <t>For the year ended 2009 Test Period</t>
  </si>
  <si>
    <t xml:space="preserve"> </t>
  </si>
  <si>
    <t>CY 2009 Test Period</t>
  </si>
  <si>
    <t>Labor</t>
  </si>
  <si>
    <t>FERC Account</t>
  </si>
  <si>
    <t>Account Description</t>
  </si>
  <si>
    <t>Washington Allocated</t>
  </si>
  <si>
    <t>Washington Situs</t>
  </si>
  <si>
    <t>Operation Supervision &amp; Engineering</t>
  </si>
  <si>
    <t>Fuel Related</t>
  </si>
  <si>
    <t>Steam Expenses</t>
  </si>
  <si>
    <t>Steam From Other Sources</t>
  </si>
  <si>
    <t>Electric Expenses</t>
  </si>
  <si>
    <t>Misc. Steam Expense</t>
  </si>
  <si>
    <t>Rents</t>
  </si>
  <si>
    <t>Maint Supervision &amp; Engineering</t>
  </si>
  <si>
    <t>Maintenance of Structures</t>
  </si>
  <si>
    <t>Maintenance of Boiler Plant</t>
  </si>
  <si>
    <t>Maintenance of Electric Plant</t>
  </si>
  <si>
    <t>Maintenance of Misc. Steam Plant</t>
  </si>
  <si>
    <t>Operation Super &amp; Engineering</t>
  </si>
  <si>
    <t>Nuclear Fuel Expense</t>
  </si>
  <si>
    <t>Coolants and Water</t>
  </si>
  <si>
    <t>Misc. Nuclear Expenses</t>
  </si>
  <si>
    <t>Maintenance Super &amp; Engineering</t>
  </si>
  <si>
    <t>Maintenance of Reactor Plant</t>
  </si>
  <si>
    <t>Maintenance of Misc Nuclear</t>
  </si>
  <si>
    <t>Water For Power</t>
  </si>
  <si>
    <t>Hydraulic Expenses</t>
  </si>
  <si>
    <t>Misc. Hydro Expenses</t>
  </si>
  <si>
    <t>Rents (Hydro Generation)</t>
  </si>
  <si>
    <t>Maintenance of Dams &amp; Waterways</t>
  </si>
  <si>
    <t>Maintenance of Misc. Hydro Plant</t>
  </si>
  <si>
    <t>Fuel</t>
  </si>
  <si>
    <t>Generation Expense</t>
  </si>
  <si>
    <t>Miscellaneous Other</t>
  </si>
  <si>
    <t>Maint of Generation &amp; Electric Plant</t>
  </si>
  <si>
    <t>Maintenance of Misc. Other</t>
  </si>
  <si>
    <t>Purchased Power</t>
  </si>
  <si>
    <t>System Control &amp; Load Dispatch</t>
  </si>
  <si>
    <t>Other Expenses</t>
  </si>
  <si>
    <t>Load Dispatching</t>
  </si>
  <si>
    <t>Station Expense</t>
  </si>
  <si>
    <t>Overhead Line Expense</t>
  </si>
  <si>
    <t>Underground Line Expense</t>
  </si>
  <si>
    <t>Transmission of Electricity by Others</t>
  </si>
  <si>
    <t>Misc. Transmission Expense</t>
  </si>
  <si>
    <t>Rents - Transmission</t>
  </si>
  <si>
    <t>Maintenance of Station Equipment</t>
  </si>
  <si>
    <t>Maintenance of Overhead Lines</t>
  </si>
  <si>
    <t>Maintenance of Underground Lines</t>
  </si>
  <si>
    <t>Maint of Misc. Transmission Plant</t>
  </si>
  <si>
    <t>Overhead Line Expenses</t>
  </si>
  <si>
    <t>Street Lighting &amp; Signal Systems</t>
  </si>
  <si>
    <t>Meter Expenses</t>
  </si>
  <si>
    <t>Customer Installation Expenses</t>
  </si>
  <si>
    <t>Misc. Distribution Expenses</t>
  </si>
  <si>
    <t>Maintenance of Line Transformers</t>
  </si>
  <si>
    <t>Maint of Street Lighting &amp; Signal Sys.</t>
  </si>
  <si>
    <t>Maintenance of Meters</t>
  </si>
  <si>
    <t>Maint of Misc. Distribution Plant</t>
  </si>
  <si>
    <t>Supervision</t>
  </si>
  <si>
    <t>Meter Reading Expense</t>
  </si>
  <si>
    <t>Customer Receipts &amp; Collections</t>
  </si>
  <si>
    <t>Uncollectible Accounts</t>
  </si>
  <si>
    <t>Misc. Customer Accounts Expense</t>
  </si>
  <si>
    <t>Customer Assistance</t>
  </si>
  <si>
    <t>Informational &amp; Instructional Adv</t>
  </si>
  <si>
    <t>Misc. Customer Service</t>
  </si>
  <si>
    <t>Advertising Expense</t>
  </si>
  <si>
    <t>Misc. Sales Expense</t>
  </si>
  <si>
    <t>Administrative &amp; General Salaries</t>
  </si>
  <si>
    <t>Office Supplies &amp; expenses</t>
  </si>
  <si>
    <t>A&amp;G Expenses Transferred</t>
  </si>
  <si>
    <t>Outside Services</t>
  </si>
  <si>
    <t>Property Insurance</t>
  </si>
  <si>
    <t>Injuries &amp; Damages</t>
  </si>
  <si>
    <t>Employee Pensions &amp; Benefits</t>
  </si>
  <si>
    <t>Franchise Requirements</t>
  </si>
  <si>
    <t>Regulatory Commission Expense</t>
  </si>
  <si>
    <t>Duplicate Charges</t>
  </si>
  <si>
    <t>Misc General Expenses</t>
  </si>
  <si>
    <t>Maintenance of General Plant</t>
  </si>
  <si>
    <t>Total Utility Labor</t>
  </si>
  <si>
    <t>PacifiCorp Spread</t>
  </si>
  <si>
    <t>ICNU Spread</t>
  </si>
  <si>
    <t>Management Fee</t>
  </si>
  <si>
    <t>CWC*</t>
  </si>
  <si>
    <t>*Interest synchronization adjustment necessary.</t>
  </si>
  <si>
    <r>
      <t>Pro Forma Wage Increase</t>
    </r>
    <r>
      <rPr>
        <u/>
        <vertAlign val="superscript"/>
        <sz val="11"/>
        <color theme="1"/>
        <rFont val="Arial"/>
        <family val="2"/>
      </rPr>
      <t>‡</t>
    </r>
  </si>
  <si>
    <r>
      <rPr>
        <vertAlign val="superscript"/>
        <sz val="11"/>
        <color theme="1"/>
        <rFont val="Arial"/>
        <family val="2"/>
      </rPr>
      <t>‡</t>
    </r>
    <r>
      <rPr>
        <sz val="11"/>
        <color theme="1"/>
        <rFont val="Calibri"/>
        <family val="2"/>
      </rPr>
      <t>See Company Exhibit RBD-3, 4.0 Proforma</t>
    </r>
  </si>
  <si>
    <t>Non NPC Adjustments</t>
  </si>
  <si>
    <t>NPC Adjustments</t>
  </si>
  <si>
    <t>ICNU RJF-1CT</t>
  </si>
  <si>
    <t>ICNU Adjusted Results</t>
  </si>
</sst>
</file>

<file path=xl/styles.xml><?xml version="1.0" encoding="utf-8"?>
<styleSheet xmlns="http://schemas.openxmlformats.org/spreadsheetml/2006/main">
  <numFmts count="11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(&quot;$&quot;* #,##0_);_(&quot;$&quot;* \(#,##0\);_(&quot;$&quot;* &quot;-&quot;??_);_(@_)"/>
    <numFmt numFmtId="167" formatCode="0_);\(0\)"/>
    <numFmt numFmtId="168" formatCode="#,##0.0000"/>
    <numFmt numFmtId="169" formatCode="#,##0.00000"/>
    <numFmt numFmtId="170" formatCode="0.0000"/>
    <numFmt numFmtId="171" formatCode="[$-409]mmm\-yy;@"/>
  </numFmts>
  <fonts count="2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0"/>
      <color theme="1"/>
      <name val="Arial"/>
      <family val="2"/>
    </font>
    <font>
      <b/>
      <u/>
      <sz val="11"/>
      <color theme="1"/>
      <name val="Arial"/>
      <family val="2"/>
    </font>
    <font>
      <b/>
      <sz val="22"/>
      <color theme="1"/>
      <name val="Arial"/>
      <family val="2"/>
    </font>
    <font>
      <sz val="9"/>
      <color theme="1"/>
      <name val="Arial"/>
      <family val="2"/>
    </font>
    <font>
      <u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u/>
      <sz val="9"/>
      <color theme="1"/>
      <name val="Arial"/>
      <family val="2"/>
    </font>
    <font>
      <u val="singleAccounting"/>
      <sz val="11"/>
      <color theme="1"/>
      <name val="Arial"/>
      <family val="2"/>
    </font>
    <font>
      <b/>
      <u val="doubleAccounting"/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theme="1"/>
      <name val="Arial"/>
      <family val="2"/>
    </font>
    <font>
      <b/>
      <u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Calibri"/>
      <family val="2"/>
      <scheme val="minor"/>
    </font>
    <font>
      <u/>
      <vertAlign val="superscript"/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0" fontId="0" fillId="0" borderId="0" xfId="3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0" xfId="1" applyNumberFormat="1" applyFont="1" applyBorder="1"/>
    <xf numFmtId="165" fontId="0" fillId="0" borderId="4" xfId="1" applyNumberFormat="1" applyFont="1" applyBorder="1"/>
    <xf numFmtId="165" fontId="0" fillId="0" borderId="0" xfId="0" applyNumberFormat="1"/>
    <xf numFmtId="43" fontId="0" fillId="0" borderId="0" xfId="0" applyNumberFormat="1"/>
    <xf numFmtId="165" fontId="0" fillId="0" borderId="0" xfId="0" applyNumberFormat="1" applyBorder="1"/>
    <xf numFmtId="165" fontId="0" fillId="0" borderId="2" xfId="0" applyNumberFormat="1" applyBorder="1"/>
    <xf numFmtId="0" fontId="4" fillId="0" borderId="0" xfId="0" applyFont="1" applyAlignment="1">
      <alignment horizontal="center"/>
    </xf>
    <xf numFmtId="0" fontId="1" fillId="0" borderId="0" xfId="4"/>
    <xf numFmtId="0" fontId="3" fillId="0" borderId="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1" fillId="0" borderId="0" xfId="4" applyAlignment="1">
      <alignment horizontal="center"/>
    </xf>
    <xf numFmtId="166" fontId="0" fillId="0" borderId="0" xfId="5" applyNumberFormat="1" applyFont="1"/>
    <xf numFmtId="44" fontId="0" fillId="0" borderId="0" xfId="5" applyFont="1"/>
    <xf numFmtId="166" fontId="1" fillId="0" borderId="0" xfId="4" applyNumberFormat="1"/>
    <xf numFmtId="165" fontId="0" fillId="0" borderId="0" xfId="6" applyNumberFormat="1" applyFont="1"/>
    <xf numFmtId="165" fontId="1" fillId="0" borderId="0" xfId="4" applyNumberFormat="1"/>
    <xf numFmtId="166" fontId="1" fillId="0" borderId="4" xfId="4" applyNumberFormat="1" applyBorder="1"/>
    <xf numFmtId="0" fontId="9" fillId="0" borderId="0" xfId="4" applyFont="1"/>
    <xf numFmtId="0" fontId="1" fillId="0" borderId="0" xfId="4" applyAlignment="1">
      <alignment horizontal="right"/>
    </xf>
    <xf numFmtId="0" fontId="10" fillId="0" borderId="0" xfId="4" applyFont="1" applyAlignment="1">
      <alignment horizontal="center"/>
    </xf>
    <xf numFmtId="0" fontId="1" fillId="0" borderId="2" xfId="4" applyBorder="1" applyAlignment="1">
      <alignment horizontal="center" wrapText="1"/>
    </xf>
    <xf numFmtId="0" fontId="9" fillId="0" borderId="0" xfId="4" applyFont="1" applyAlignment="1">
      <alignment horizontal="center"/>
    </xf>
    <xf numFmtId="167" fontId="9" fillId="0" borderId="0" xfId="4" applyNumberFormat="1" applyFont="1" applyAlignment="1">
      <alignment horizontal="center"/>
    </xf>
    <xf numFmtId="0" fontId="12" fillId="0" borderId="0" xfId="4" applyFont="1" applyAlignment="1">
      <alignment horizontal="center"/>
    </xf>
    <xf numFmtId="167" fontId="9" fillId="0" borderId="0" xfId="4" applyNumberFormat="1" applyFont="1"/>
    <xf numFmtId="167" fontId="11" fillId="0" borderId="0" xfId="4" applyNumberFormat="1" applyFont="1" applyAlignment="1">
      <alignment horizontal="left"/>
    </xf>
    <xf numFmtId="3" fontId="1" fillId="0" borderId="0" xfId="4" applyNumberFormat="1"/>
    <xf numFmtId="2" fontId="1" fillId="0" borderId="0" xfId="4" applyNumberFormat="1" applyAlignment="1">
      <alignment horizontal="center"/>
    </xf>
    <xf numFmtId="165" fontId="0" fillId="0" borderId="0" xfId="6" applyNumberFormat="1" applyFont="1" applyAlignment="1">
      <alignment horizontal="center"/>
    </xf>
    <xf numFmtId="43" fontId="0" fillId="0" borderId="0" xfId="6" applyNumberFormat="1" applyFont="1" applyAlignment="1">
      <alignment horizontal="center"/>
    </xf>
    <xf numFmtId="2" fontId="1" fillId="0" borderId="0" xfId="4" applyNumberFormat="1" applyAlignment="1">
      <alignment horizontal="right"/>
    </xf>
    <xf numFmtId="43" fontId="0" fillId="0" borderId="0" xfId="6" applyNumberFormat="1" applyFont="1"/>
    <xf numFmtId="166" fontId="0" fillId="0" borderId="0" xfId="6" applyNumberFormat="1" applyFont="1" applyAlignment="1">
      <alignment horizontal="center"/>
    </xf>
    <xf numFmtId="166" fontId="1" fillId="0" borderId="0" xfId="4" applyNumberFormat="1" applyAlignment="1">
      <alignment horizontal="center"/>
    </xf>
    <xf numFmtId="166" fontId="10" fillId="0" borderId="0" xfId="4" applyNumberFormat="1" applyFont="1" applyAlignment="1">
      <alignment horizontal="center"/>
    </xf>
    <xf numFmtId="166" fontId="13" fillId="0" borderId="0" xfId="6" applyNumberFormat="1" applyFont="1" applyAlignment="1">
      <alignment horizontal="center"/>
    </xf>
    <xf numFmtId="0" fontId="10" fillId="0" borderId="0" xfId="4" applyFont="1" applyAlignment="1">
      <alignment horizontal="left"/>
    </xf>
    <xf numFmtId="0" fontId="1" fillId="0" borderId="0" xfId="4" applyAlignment="1">
      <alignment horizontal="left"/>
    </xf>
    <xf numFmtId="166" fontId="3" fillId="0" borderId="0" xfId="4" applyNumberFormat="1" applyFont="1" applyAlignment="1">
      <alignment horizontal="center"/>
    </xf>
    <xf numFmtId="10" fontId="1" fillId="0" borderId="0" xfId="7" applyNumberFormat="1" applyFont="1" applyAlignment="1"/>
    <xf numFmtId="166" fontId="13" fillId="0" borderId="0" xfId="5" applyNumberFormat="1" applyFont="1" applyAlignment="1">
      <alignment horizontal="center"/>
    </xf>
    <xf numFmtId="166" fontId="14" fillId="0" borderId="0" xfId="4" applyNumberFormat="1" applyFont="1" applyAlignment="1">
      <alignment horizontal="center"/>
    </xf>
    <xf numFmtId="0" fontId="1" fillId="0" borderId="5" xfId="4" applyBorder="1" applyAlignment="1">
      <alignment horizontal="left"/>
    </xf>
    <xf numFmtId="0" fontId="1" fillId="0" borderId="0" xfId="4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left"/>
    </xf>
    <xf numFmtId="168" fontId="1" fillId="0" borderId="0" xfId="4" applyNumberFormat="1"/>
    <xf numFmtId="0" fontId="3" fillId="0" borderId="0" xfId="4" applyFont="1" applyAlignment="1">
      <alignment wrapText="1"/>
    </xf>
    <xf numFmtId="0" fontId="1" fillId="0" borderId="0" xfId="4" applyAlignment="1">
      <alignment horizontal="center" wrapText="1"/>
    </xf>
    <xf numFmtId="3" fontId="3" fillId="0" borderId="0" xfId="4" applyNumberFormat="1" applyFont="1"/>
    <xf numFmtId="168" fontId="3" fillId="0" borderId="0" xfId="4" applyNumberFormat="1" applyFont="1"/>
    <xf numFmtId="169" fontId="3" fillId="0" borderId="0" xfId="4" applyNumberFormat="1" applyFont="1"/>
    <xf numFmtId="43" fontId="0" fillId="0" borderId="0" xfId="6" applyFont="1"/>
    <xf numFmtId="170" fontId="1" fillId="0" borderId="0" xfId="4" applyNumberFormat="1"/>
    <xf numFmtId="170" fontId="3" fillId="0" borderId="0" xfId="4" applyNumberFormat="1" applyFont="1"/>
    <xf numFmtId="0" fontId="7" fillId="0" borderId="0" xfId="4" applyFont="1" applyAlignment="1">
      <alignment horizontal="center"/>
    </xf>
    <xf numFmtId="9" fontId="0" fillId="0" borderId="0" xfId="7" applyFont="1"/>
    <xf numFmtId="164" fontId="0" fillId="0" borderId="0" xfId="7" applyNumberFormat="1" applyFont="1"/>
    <xf numFmtId="166" fontId="0" fillId="0" borderId="1" xfId="5" applyNumberFormat="1" applyFont="1" applyBorder="1"/>
    <xf numFmtId="0" fontId="1" fillId="0" borderId="0" xfId="4" applyFill="1"/>
    <xf numFmtId="165" fontId="0" fillId="0" borderId="0" xfId="6" applyNumberFormat="1" applyFont="1" applyFill="1" applyAlignment="1">
      <alignment horizontal="right"/>
    </xf>
    <xf numFmtId="166" fontId="0" fillId="0" borderId="4" xfId="5" applyNumberFormat="1" applyFont="1" applyFill="1" applyBorder="1"/>
    <xf numFmtId="0" fontId="11" fillId="0" borderId="0" xfId="4" applyFont="1" applyAlignment="1">
      <alignment horizontal="left"/>
    </xf>
    <xf numFmtId="1" fontId="1" fillId="0" borderId="0" xfId="4" applyNumberFormat="1"/>
    <xf numFmtId="165" fontId="0" fillId="0" borderId="0" xfId="6" applyNumberFormat="1" applyFont="1" applyAlignment="1">
      <alignment horizontal="center" wrapText="1"/>
    </xf>
    <xf numFmtId="1" fontId="1" fillId="0" borderId="0" xfId="4" applyNumberFormat="1" applyAlignment="1">
      <alignment horizontal="center" wrapText="1"/>
    </xf>
    <xf numFmtId="17" fontId="1" fillId="0" borderId="0" xfId="4" applyNumberFormat="1"/>
    <xf numFmtId="1" fontId="0" fillId="0" borderId="0" xfId="6" applyNumberFormat="1" applyFont="1"/>
    <xf numFmtId="171" fontId="0" fillId="0" borderId="0" xfId="6" applyNumberFormat="1" applyFont="1"/>
    <xf numFmtId="0" fontId="0" fillId="0" borderId="0" xfId="0" applyBorder="1"/>
    <xf numFmtId="0" fontId="5" fillId="0" borderId="0" xfId="0" applyFont="1" applyBorder="1" applyAlignment="1">
      <alignment horizontal="center"/>
    </xf>
    <xf numFmtId="10" fontId="0" fillId="0" borderId="0" xfId="3" applyNumberFormat="1" applyFont="1" applyBorder="1"/>
    <xf numFmtId="10" fontId="0" fillId="0" borderId="0" xfId="7" applyNumberFormat="1" applyFont="1"/>
    <xf numFmtId="166" fontId="0" fillId="0" borderId="5" xfId="5" applyNumberFormat="1" applyFont="1" applyBorder="1"/>
    <xf numFmtId="166" fontId="1" fillId="0" borderId="0" xfId="4" applyNumberFormat="1" applyBorder="1"/>
    <xf numFmtId="0" fontId="1" fillId="0" borderId="2" xfId="4" applyBorder="1"/>
    <xf numFmtId="9" fontId="7" fillId="0" borderId="0" xfId="4" applyNumberFormat="1" applyFont="1" applyAlignment="1">
      <alignment horizontal="center"/>
    </xf>
    <xf numFmtId="165" fontId="11" fillId="0" borderId="0" xfId="6" applyNumberFormat="1" applyFont="1" applyAlignment="1">
      <alignment horizontal="left"/>
    </xf>
    <xf numFmtId="166" fontId="1" fillId="0" borderId="1" xfId="4" applyNumberFormat="1" applyBorder="1"/>
    <xf numFmtId="10" fontId="1" fillId="0" borderId="1" xfId="4" applyNumberFormat="1" applyBorder="1"/>
    <xf numFmtId="166" fontId="0" fillId="0" borderId="2" xfId="5" applyNumberFormat="1" applyFont="1" applyBorder="1"/>
    <xf numFmtId="166" fontId="1" fillId="0" borderId="2" xfId="4" applyNumberFormat="1" applyBorder="1"/>
    <xf numFmtId="166" fontId="1" fillId="0" borderId="3" xfId="4" applyNumberFormat="1" applyBorder="1"/>
    <xf numFmtId="0" fontId="10" fillId="0" borderId="0" xfId="4" applyFont="1"/>
    <xf numFmtId="0" fontId="1" fillId="0" borderId="0" xfId="4" applyAlignment="1">
      <alignment horizontal="left" indent="1"/>
    </xf>
    <xf numFmtId="0" fontId="1" fillId="0" borderId="2" xfId="4" applyFont="1" applyBorder="1" applyAlignment="1">
      <alignment horizontal="center" wrapText="1"/>
    </xf>
    <xf numFmtId="10" fontId="0" fillId="0" borderId="6" xfId="7" applyNumberFormat="1" applyFont="1" applyBorder="1"/>
    <xf numFmtId="6" fontId="1" fillId="0" borderId="0" xfId="4" applyNumberFormat="1"/>
    <xf numFmtId="6" fontId="1" fillId="0" borderId="0" xfId="4" applyNumberFormat="1" applyAlignment="1">
      <alignment horizontal="center"/>
    </xf>
    <xf numFmtId="10" fontId="0" fillId="0" borderId="0" xfId="7" applyNumberFormat="1" applyFont="1" applyAlignment="1">
      <alignment horizontal="center"/>
    </xf>
    <xf numFmtId="165" fontId="3" fillId="0" borderId="0" xfId="6" applyNumberFormat="1" applyFont="1"/>
    <xf numFmtId="10" fontId="3" fillId="0" borderId="0" xfId="7" applyNumberFormat="1" applyFont="1"/>
    <xf numFmtId="0" fontId="22" fillId="0" borderId="0" xfId="8" applyFont="1"/>
    <xf numFmtId="0" fontId="21" fillId="0" borderId="0" xfId="8"/>
    <xf numFmtId="0" fontId="21" fillId="0" borderId="0" xfId="8" applyFont="1" applyFill="1" applyBorder="1"/>
    <xf numFmtId="0" fontId="21" fillId="0" borderId="0" xfId="8" applyFont="1"/>
    <xf numFmtId="0" fontId="21" fillId="0" borderId="0" xfId="8" applyFill="1" applyBorder="1"/>
    <xf numFmtId="0" fontId="22" fillId="0" borderId="0" xfId="8" applyFont="1" applyAlignment="1">
      <alignment wrapText="1"/>
    </xf>
    <xf numFmtId="0" fontId="23" fillId="0" borderId="1" xfId="8" applyFont="1" applyBorder="1" applyAlignment="1">
      <alignment horizontal="centerContinuous" wrapText="1"/>
    </xf>
    <xf numFmtId="0" fontId="21" fillId="0" borderId="0" xfId="8" applyFont="1" applyAlignment="1">
      <alignment wrapText="1"/>
    </xf>
    <xf numFmtId="0" fontId="21" fillId="0" borderId="2" xfId="8" applyFont="1" applyBorder="1" applyAlignment="1">
      <alignment horizontal="centerContinuous" wrapText="1"/>
    </xf>
    <xf numFmtId="0" fontId="21" fillId="0" borderId="2" xfId="8" applyFont="1" applyBorder="1" applyAlignment="1">
      <alignment horizontal="left" wrapText="1"/>
    </xf>
    <xf numFmtId="0" fontId="21" fillId="0" borderId="1" xfId="8" applyFont="1" applyBorder="1" applyAlignment="1">
      <alignment horizontal="center" wrapText="1"/>
    </xf>
    <xf numFmtId="0" fontId="21" fillId="0" borderId="0" xfId="8" applyFont="1" applyAlignment="1">
      <alignment horizontal="left" vertical="top"/>
    </xf>
    <xf numFmtId="165" fontId="21" fillId="0" borderId="0" xfId="9" applyNumberFormat="1" applyFont="1" applyAlignment="1">
      <alignment horizontal="right" vertical="top"/>
    </xf>
    <xf numFmtId="0" fontId="21" fillId="0" borderId="2" xfId="8" applyFont="1" applyBorder="1" applyAlignment="1">
      <alignment horizontal="left" vertical="top"/>
    </xf>
    <xf numFmtId="165" fontId="21" fillId="0" borderId="2" xfId="9" applyNumberFormat="1" applyFont="1" applyBorder="1" applyAlignment="1">
      <alignment horizontal="right" vertical="top"/>
    </xf>
    <xf numFmtId="0" fontId="21" fillId="0" borderId="0" xfId="8" applyFont="1" applyFill="1" applyAlignment="1">
      <alignment horizontal="left" vertical="top"/>
    </xf>
    <xf numFmtId="165" fontId="21" fillId="0" borderId="0" xfId="9" applyNumberFormat="1" applyFont="1" applyFill="1" applyAlignment="1">
      <alignment horizontal="right" vertical="top"/>
    </xf>
    <xf numFmtId="165" fontId="1" fillId="0" borderId="0" xfId="1" applyNumberFormat="1" applyFont="1"/>
    <xf numFmtId="165" fontId="1" fillId="0" borderId="4" xfId="1" applyNumberFormat="1" applyFont="1" applyBorder="1"/>
    <xf numFmtId="0" fontId="0" fillId="0" borderId="0" xfId="0" applyAlignment="1">
      <alignment horizontal="left"/>
    </xf>
    <xf numFmtId="166" fontId="0" fillId="0" borderId="4" xfId="2" applyNumberFormat="1" applyFont="1" applyBorder="1"/>
    <xf numFmtId="0" fontId="4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0" borderId="0" xfId="1" applyNumberFormat="1" applyFont="1" applyBorder="1"/>
    <xf numFmtId="0" fontId="2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3" fillId="0" borderId="2" xfId="4" applyFont="1" applyBorder="1" applyAlignment="1">
      <alignment horizontal="center" wrapText="1"/>
    </xf>
    <xf numFmtId="0" fontId="8" fillId="0" borderId="0" xfId="4" applyFont="1" applyAlignment="1">
      <alignment horizontal="center"/>
    </xf>
    <xf numFmtId="0" fontId="17" fillId="0" borderId="0" xfId="4" applyFont="1" applyAlignment="1">
      <alignment horizontal="center"/>
    </xf>
    <xf numFmtId="0" fontId="1" fillId="0" borderId="0" xfId="4" applyAlignment="1">
      <alignment horizontal="left" wrapText="1" indent="1"/>
    </xf>
    <xf numFmtId="0" fontId="20" fillId="0" borderId="0" xfId="4" applyFont="1" applyAlignment="1">
      <alignment horizontal="center"/>
    </xf>
    <xf numFmtId="0" fontId="1" fillId="0" borderId="0" xfId="4" quotePrefix="1" applyAlignment="1">
      <alignment horizontal="center"/>
    </xf>
    <xf numFmtId="0" fontId="1" fillId="0" borderId="0" xfId="4" applyAlignment="1">
      <alignment horizontal="center"/>
    </xf>
    <xf numFmtId="0" fontId="1" fillId="0" borderId="0" xfId="4" applyFont="1" applyAlignment="1">
      <alignment horizontal="center"/>
    </xf>
    <xf numFmtId="0" fontId="3" fillId="0" borderId="2" xfId="4" applyFont="1" applyBorder="1" applyAlignment="1">
      <alignment horizontal="center"/>
    </xf>
    <xf numFmtId="0" fontId="1" fillId="0" borderId="0" xfId="4" applyAlignment="1">
      <alignment horizontal="left" wrapText="1"/>
    </xf>
    <xf numFmtId="6" fontId="1" fillId="0" borderId="0" xfId="4" applyNumberFormat="1" applyAlignment="1">
      <alignment horizontal="center"/>
    </xf>
  </cellXfs>
  <cellStyles count="10">
    <cellStyle name="Comma" xfId="1" builtinId="3"/>
    <cellStyle name="Comma 2" xfId="6"/>
    <cellStyle name="Comma 2 2" xfId="9"/>
    <cellStyle name="Currency" xfId="2" builtinId="4"/>
    <cellStyle name="Currency 2" xfId="5"/>
    <cellStyle name="Normal" xfId="0" builtinId="0"/>
    <cellStyle name="Normal 2" xfId="4"/>
    <cellStyle name="Normal 2 2" xfId="8"/>
    <cellStyle name="Percent" xfId="3" builtinId="5"/>
    <cellStyle name="Percent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6"/>
  <sheetViews>
    <sheetView tabSelected="1" topLeftCell="W1" workbookViewId="0">
      <selection activeCell="AD32" sqref="AD32"/>
    </sheetView>
  </sheetViews>
  <sheetFormatPr defaultRowHeight="15"/>
  <cols>
    <col min="1" max="1" width="9.140625" style="1"/>
    <col min="2" max="2" width="27.7109375" bestFit="1" customWidth="1"/>
    <col min="3" max="3" width="1.7109375" customWidth="1"/>
    <col min="4" max="4" width="18.28515625" bestFit="1" customWidth="1"/>
    <col min="5" max="5" width="1.7109375" customWidth="1"/>
    <col min="6" max="6" width="21.42578125" bestFit="1" customWidth="1"/>
    <col min="7" max="7" width="1.7109375" customWidth="1"/>
    <col min="8" max="8" width="25" bestFit="1" customWidth="1"/>
    <col min="9" max="9" width="1.7109375" customWidth="1"/>
    <col min="10" max="10" width="14.85546875" customWidth="1"/>
    <col min="11" max="11" width="1.7109375" style="80" customWidth="1"/>
    <col min="12" max="12" width="15.5703125" bestFit="1" customWidth="1"/>
    <col min="13" max="13" width="1.7109375" style="80" customWidth="1"/>
    <col min="14" max="14" width="20.42578125" bestFit="1" customWidth="1"/>
    <col min="15" max="15" width="1.7109375" style="80" customWidth="1"/>
    <col min="16" max="16" width="18" bestFit="1" customWidth="1"/>
    <col min="17" max="17" width="1.7109375" style="80" customWidth="1"/>
    <col min="18" max="18" width="23.7109375" bestFit="1" customWidth="1"/>
    <col min="19" max="19" width="1.7109375" customWidth="1"/>
    <col min="20" max="20" width="23.7109375" bestFit="1" customWidth="1"/>
    <col min="21" max="21" width="1.7109375" customWidth="1"/>
    <col min="22" max="22" width="15.42578125" customWidth="1"/>
    <col min="23" max="23" width="1.7109375" customWidth="1"/>
    <col min="24" max="24" width="15.42578125" customWidth="1"/>
    <col min="25" max="25" width="1.7109375" customWidth="1"/>
    <col min="26" max="26" width="15.42578125" customWidth="1"/>
    <col min="27" max="27" width="1.7109375" customWidth="1"/>
    <col min="28" max="28" width="16.5703125" bestFit="1" customWidth="1"/>
    <col min="29" max="29" width="1.7109375" customWidth="1"/>
    <col min="30" max="30" width="20.85546875" customWidth="1"/>
    <col min="31" max="31" width="1.7109375" customWidth="1"/>
    <col min="32" max="32" width="19" customWidth="1"/>
    <col min="33" max="33" width="2.5703125" customWidth="1"/>
    <col min="34" max="34" width="27.7109375" bestFit="1" customWidth="1"/>
  </cols>
  <sheetData>
    <row r="1" spans="1:34" ht="33.7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</row>
    <row r="4" spans="1:34">
      <c r="A4" s="128" t="s">
        <v>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</row>
    <row r="5" spans="1:3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24"/>
      <c r="AE5" s="124"/>
      <c r="AF5" s="124"/>
      <c r="AG5" s="124"/>
      <c r="AH5" s="15"/>
    </row>
    <row r="7" spans="1:34">
      <c r="J7" s="1" t="s">
        <v>71</v>
      </c>
      <c r="L7" s="1" t="s">
        <v>71</v>
      </c>
      <c r="N7" s="1" t="s">
        <v>71</v>
      </c>
      <c r="P7" s="1" t="s">
        <v>71</v>
      </c>
      <c r="R7" s="1" t="s">
        <v>71</v>
      </c>
      <c r="T7" s="1" t="s">
        <v>71</v>
      </c>
      <c r="V7" s="1" t="s">
        <v>71</v>
      </c>
      <c r="X7" s="1" t="s">
        <v>71</v>
      </c>
      <c r="Z7" s="1" t="s">
        <v>71</v>
      </c>
      <c r="AB7" s="1" t="s">
        <v>71</v>
      </c>
      <c r="AD7" s="1" t="s">
        <v>493</v>
      </c>
      <c r="AE7" s="1"/>
      <c r="AF7" s="1" t="s">
        <v>493</v>
      </c>
    </row>
    <row r="8" spans="1:34" s="2" customFormat="1" ht="17.25">
      <c r="A8" s="2" t="s">
        <v>2</v>
      </c>
      <c r="B8" s="2" t="s">
        <v>3</v>
      </c>
      <c r="D8" s="2" t="s">
        <v>4</v>
      </c>
      <c r="F8" s="2" t="s">
        <v>5</v>
      </c>
      <c r="H8" s="2" t="s">
        <v>6</v>
      </c>
      <c r="J8" s="2" t="s">
        <v>487</v>
      </c>
      <c r="K8" s="81"/>
      <c r="L8" s="2" t="s">
        <v>72</v>
      </c>
      <c r="M8" s="81"/>
      <c r="N8" s="2" t="s">
        <v>94</v>
      </c>
      <c r="O8" s="81"/>
      <c r="P8" s="2" t="s">
        <v>315</v>
      </c>
      <c r="Q8" s="81"/>
      <c r="R8" s="2" t="s">
        <v>489</v>
      </c>
      <c r="T8" s="2" t="s">
        <v>86</v>
      </c>
      <c r="V8" s="2" t="s">
        <v>338</v>
      </c>
      <c r="X8" s="2" t="s">
        <v>339</v>
      </c>
      <c r="Z8" s="2" t="s">
        <v>89</v>
      </c>
      <c r="AB8" s="2" t="s">
        <v>486</v>
      </c>
      <c r="AD8" s="2" t="s">
        <v>491</v>
      </c>
      <c r="AF8" s="2" t="s">
        <v>492</v>
      </c>
      <c r="AH8" s="2" t="s">
        <v>494</v>
      </c>
    </row>
    <row r="10" spans="1:34">
      <c r="B10" s="3" t="s">
        <v>7</v>
      </c>
    </row>
    <row r="11" spans="1:34">
      <c r="A11" s="1">
        <v>1</v>
      </c>
      <c r="B11" t="s">
        <v>8</v>
      </c>
      <c r="D11" s="5">
        <v>266100835</v>
      </c>
      <c r="F11" s="5">
        <v>5664590</v>
      </c>
      <c r="H11" s="11">
        <f>D11+F11</f>
        <v>271765425</v>
      </c>
      <c r="J11" s="5"/>
      <c r="K11" s="9"/>
      <c r="L11" s="5"/>
      <c r="M11" s="9"/>
      <c r="N11" s="5">
        <f>'Residental Revenue Adjustment'!N25</f>
        <v>4257770.7844336778</v>
      </c>
      <c r="O11" s="9"/>
      <c r="P11" s="5"/>
      <c r="Q11" s="9"/>
      <c r="R11" s="5"/>
      <c r="T11" s="5"/>
      <c r="V11" s="5"/>
      <c r="X11" s="5"/>
      <c r="Z11" s="5"/>
      <c r="AB11" s="5"/>
      <c r="AD11" s="5">
        <v>0</v>
      </c>
      <c r="AF11" s="5">
        <v>0</v>
      </c>
      <c r="AH11" s="11">
        <f>SUM(H11:AF11)</f>
        <v>276023195.78443366</v>
      </c>
    </row>
    <row r="12" spans="1:34">
      <c r="A12" s="1">
        <f>MAX($A$11:A11)+1</f>
        <v>2</v>
      </c>
      <c r="B12" t="s">
        <v>9</v>
      </c>
      <c r="D12" s="5">
        <v>0</v>
      </c>
      <c r="F12" s="5">
        <v>0</v>
      </c>
      <c r="H12" s="11">
        <f t="shared" ref="H12:H14" si="0">D12+F12</f>
        <v>0</v>
      </c>
      <c r="J12" s="5"/>
      <c r="K12" s="9"/>
      <c r="L12" s="5"/>
      <c r="M12" s="9"/>
      <c r="N12" s="5"/>
      <c r="O12" s="9"/>
      <c r="P12" s="5"/>
      <c r="Q12" s="9"/>
      <c r="R12" s="5"/>
      <c r="T12" s="5"/>
      <c r="V12" s="5"/>
      <c r="X12" s="5"/>
      <c r="Z12" s="5"/>
      <c r="AB12" s="5"/>
      <c r="AD12" s="5">
        <v>0</v>
      </c>
      <c r="AF12" s="5">
        <v>0</v>
      </c>
      <c r="AH12" s="11">
        <f>SUM(H12:AF12)</f>
        <v>0</v>
      </c>
    </row>
    <row r="13" spans="1:34">
      <c r="A13" s="1">
        <f>MAX($A$11:A12)+1</f>
        <v>3</v>
      </c>
      <c r="B13" t="s">
        <v>10</v>
      </c>
      <c r="D13" s="5">
        <v>78723890</v>
      </c>
      <c r="F13" s="5">
        <v>-39752892</v>
      </c>
      <c r="H13" s="11">
        <f t="shared" si="0"/>
        <v>38970998</v>
      </c>
      <c r="J13" s="5"/>
      <c r="K13" s="9"/>
      <c r="L13" s="5"/>
      <c r="M13" s="9"/>
      <c r="N13" s="5"/>
      <c r="O13" s="9"/>
      <c r="P13" s="5"/>
      <c r="Q13" s="9"/>
      <c r="R13" s="5"/>
      <c r="T13" s="5"/>
      <c r="V13" s="5"/>
      <c r="X13" s="5"/>
      <c r="Z13" s="5"/>
      <c r="AB13" s="5"/>
      <c r="AD13" s="5">
        <v>0</v>
      </c>
      <c r="AF13" s="5">
        <v>1088182.7654438745</v>
      </c>
      <c r="AH13" s="11">
        <f>SUM(H13:AF13)</f>
        <v>40059180.765443876</v>
      </c>
    </row>
    <row r="14" spans="1:34">
      <c r="A14" s="1">
        <f>MAX($A$11:A13)+1</f>
        <v>4</v>
      </c>
      <c r="B14" t="s">
        <v>11</v>
      </c>
      <c r="D14" s="5">
        <v>12554857</v>
      </c>
      <c r="F14" s="5">
        <v>-5942121</v>
      </c>
      <c r="H14" s="11">
        <f t="shared" si="0"/>
        <v>6612736</v>
      </c>
      <c r="J14" s="5"/>
      <c r="K14" s="9"/>
      <c r="L14" s="5"/>
      <c r="M14" s="9"/>
      <c r="N14" s="5"/>
      <c r="O14" s="9"/>
      <c r="P14" s="5"/>
      <c r="Q14" s="9"/>
      <c r="R14" s="5"/>
      <c r="T14" s="5"/>
      <c r="V14" s="5"/>
      <c r="X14" s="5"/>
      <c r="Z14" s="5"/>
      <c r="AB14" s="5"/>
      <c r="AD14" s="5">
        <v>4870266.33591229</v>
      </c>
      <c r="AF14" s="5">
        <v>0</v>
      </c>
      <c r="AH14" s="11">
        <f>SUM(H14:AF14)</f>
        <v>11483002.335912291</v>
      </c>
    </row>
    <row r="15" spans="1:34">
      <c r="A15" s="1">
        <f>MAX($A$11:A14)+1</f>
        <v>5</v>
      </c>
      <c r="B15" s="3" t="s">
        <v>12</v>
      </c>
      <c r="D15" s="6">
        <f>SUM(D11:D14)</f>
        <v>357379582</v>
      </c>
      <c r="F15" s="6">
        <f>SUM(F11:F14)</f>
        <v>-40030423</v>
      </c>
      <c r="H15" s="6">
        <f>SUM(H11:H14)</f>
        <v>317349159</v>
      </c>
      <c r="J15" s="6">
        <f>SUM(J11:J14)</f>
        <v>0</v>
      </c>
      <c r="K15" s="9"/>
      <c r="L15" s="6">
        <f>SUM(L11:L14)</f>
        <v>0</v>
      </c>
      <c r="M15" s="9"/>
      <c r="N15" s="6">
        <f>SUM(N11:N14)</f>
        <v>4257770.7844336778</v>
      </c>
      <c r="O15" s="9"/>
      <c r="P15" s="6">
        <f>SUM(P11:P14)</f>
        <v>0</v>
      </c>
      <c r="Q15" s="9"/>
      <c r="R15" s="6">
        <f>SUM(R11:R14)</f>
        <v>0</v>
      </c>
      <c r="T15" s="6">
        <f>SUM(T11:T14)</f>
        <v>0</v>
      </c>
      <c r="V15" s="6">
        <f>SUM(V11:V14)</f>
        <v>0</v>
      </c>
      <c r="X15" s="6">
        <f>SUM(X11:X14)</f>
        <v>0</v>
      </c>
      <c r="Z15" s="6">
        <f>SUM(Z11:Z14)</f>
        <v>0</v>
      </c>
      <c r="AB15" s="6">
        <f>SUM(AB11:AB14)</f>
        <v>0</v>
      </c>
      <c r="AD15" s="6">
        <v>4870266.33591229</v>
      </c>
      <c r="AF15" s="6">
        <v>1088182.7654438745</v>
      </c>
      <c r="AH15" s="6">
        <f>SUM(AH11:AH14)</f>
        <v>327565378.88578981</v>
      </c>
    </row>
    <row r="16" spans="1:34">
      <c r="D16" s="5"/>
      <c r="F16" s="5"/>
      <c r="J16" s="5"/>
      <c r="K16" s="9"/>
      <c r="L16" s="5"/>
      <c r="M16" s="9"/>
      <c r="N16" s="5"/>
      <c r="O16" s="9"/>
      <c r="P16" s="5"/>
      <c r="Q16" s="9"/>
      <c r="R16" s="5"/>
      <c r="T16" s="5"/>
      <c r="V16" s="5"/>
      <c r="X16" s="5"/>
      <c r="Z16" s="5"/>
      <c r="AB16" s="5"/>
      <c r="AD16" s="5"/>
      <c r="AF16" s="5"/>
      <c r="AH16" s="5"/>
    </row>
    <row r="17" spans="1:34">
      <c r="B17" s="3" t="s">
        <v>13</v>
      </c>
      <c r="D17" s="5"/>
      <c r="F17" s="5"/>
      <c r="J17" s="5"/>
      <c r="K17" s="9"/>
      <c r="L17" s="5"/>
      <c r="M17" s="9"/>
      <c r="N17" s="5"/>
      <c r="O17" s="9"/>
      <c r="P17" s="5"/>
      <c r="Q17" s="9"/>
      <c r="R17" s="5"/>
      <c r="T17" s="5"/>
      <c r="V17" s="5"/>
      <c r="X17" s="5"/>
      <c r="Z17" s="5"/>
      <c r="AB17" s="5"/>
      <c r="AD17" s="5">
        <v>0</v>
      </c>
      <c r="AF17" s="5">
        <v>0</v>
      </c>
      <c r="AH17" s="5"/>
    </row>
    <row r="18" spans="1:34">
      <c r="A18" s="1">
        <f>MAX($A$11:A17)+1</f>
        <v>6</v>
      </c>
      <c r="B18" t="s">
        <v>14</v>
      </c>
      <c r="D18" s="5">
        <v>48371133</v>
      </c>
      <c r="F18" s="5">
        <v>2862819</v>
      </c>
      <c r="H18" s="13">
        <f t="shared" ref="H18:H36" si="1">D18+F18</f>
        <v>51233952</v>
      </c>
      <c r="J18" s="5"/>
      <c r="K18" s="9"/>
      <c r="L18" s="5"/>
      <c r="M18" s="9"/>
      <c r="N18" s="5">
        <f>H18/SUM($H$18:$H$21)*'Residental Revenue Adjustment'!$N$29</f>
        <v>603688.42338769196</v>
      </c>
      <c r="O18" s="9"/>
      <c r="P18" s="5"/>
      <c r="Q18" s="9"/>
      <c r="R18" s="5">
        <v>-59055</v>
      </c>
      <c r="T18" s="5"/>
      <c r="V18" s="5"/>
      <c r="X18" s="5"/>
      <c r="Z18" s="5">
        <f>'2009 Wage Adjustment Calc'!G74</f>
        <v>-20273.614867281471</v>
      </c>
      <c r="AB18" s="5"/>
      <c r="AD18" s="5">
        <v>-561123.64</v>
      </c>
      <c r="AF18" s="5">
        <v>-650958.20403599995</v>
      </c>
      <c r="AH18" s="11">
        <f t="shared" ref="AH18:AH36" si="2">SUM(H18:AF18)</f>
        <v>50546229.964484408</v>
      </c>
    </row>
    <row r="19" spans="1:34">
      <c r="A19" s="1">
        <f>MAX($A$11:A18)+1</f>
        <v>7</v>
      </c>
      <c r="B19" t="s">
        <v>15</v>
      </c>
      <c r="D19" s="5">
        <v>0</v>
      </c>
      <c r="F19" s="5">
        <v>0</v>
      </c>
      <c r="H19" s="13">
        <f t="shared" si="1"/>
        <v>0</v>
      </c>
      <c r="J19" s="5"/>
      <c r="K19" s="9"/>
      <c r="L19" s="5"/>
      <c r="M19" s="9"/>
      <c r="N19" s="5">
        <f>H19/SUM($H$18:$H$21)*'Residental Revenue Adjustment'!$N$29</f>
        <v>0</v>
      </c>
      <c r="O19" s="9"/>
      <c r="P19" s="5"/>
      <c r="Q19" s="9"/>
      <c r="R19" s="5">
        <v>0</v>
      </c>
      <c r="T19" s="5"/>
      <c r="V19" s="5"/>
      <c r="X19" s="5"/>
      <c r="Z19" s="5">
        <f>'2009 Wage Adjustment Calc'!G75</f>
        <v>0</v>
      </c>
      <c r="AB19" s="5"/>
      <c r="AD19" s="5">
        <v>0</v>
      </c>
      <c r="AF19" s="5">
        <v>0</v>
      </c>
      <c r="AH19" s="11">
        <f t="shared" si="2"/>
        <v>0</v>
      </c>
    </row>
    <row r="20" spans="1:34">
      <c r="A20" s="1">
        <f>MAX($A$11:A19)+1</f>
        <v>8</v>
      </c>
      <c r="B20" t="s">
        <v>16</v>
      </c>
      <c r="D20" s="5">
        <v>6349038</v>
      </c>
      <c r="F20" s="5">
        <v>16093</v>
      </c>
      <c r="H20" s="13">
        <f t="shared" si="1"/>
        <v>6365131</v>
      </c>
      <c r="J20" s="5"/>
      <c r="K20" s="9"/>
      <c r="L20" s="5"/>
      <c r="M20" s="9"/>
      <c r="N20" s="5">
        <f>H20/SUM($H$18:$H$21)*'Residental Revenue Adjustment'!$N$29</f>
        <v>75000.185385779405</v>
      </c>
      <c r="O20" s="9"/>
      <c r="P20" s="5"/>
      <c r="Q20" s="9"/>
      <c r="R20" s="5">
        <v>-25399</v>
      </c>
      <c r="T20" s="5"/>
      <c r="V20" s="5"/>
      <c r="X20" s="5"/>
      <c r="Z20" s="5">
        <f>'2009 Wage Adjustment Calc'!G76</f>
        <v>-8721.0274111663948</v>
      </c>
      <c r="AB20" s="5"/>
      <c r="AD20" s="5">
        <v>0</v>
      </c>
      <c r="AF20" s="5">
        <v>0</v>
      </c>
      <c r="AH20" s="11">
        <f t="shared" si="2"/>
        <v>6406011.1579746129</v>
      </c>
    </row>
    <row r="21" spans="1:34">
      <c r="A21" s="1">
        <f>MAX($A$11:A20)+1</f>
        <v>9</v>
      </c>
      <c r="B21" t="s">
        <v>17</v>
      </c>
      <c r="D21" s="5">
        <v>125305885</v>
      </c>
      <c r="F21" s="5">
        <v>-11553820</v>
      </c>
      <c r="H21" s="13">
        <f t="shared" si="1"/>
        <v>113752065</v>
      </c>
      <c r="J21" s="5"/>
      <c r="K21" s="9"/>
      <c r="L21" s="5"/>
      <c r="M21" s="9"/>
      <c r="N21" s="5">
        <f>H21/SUM($H$18:$H$21)*'Residental Revenue Adjustment'!$N$29</f>
        <v>1340337.8442667131</v>
      </c>
      <c r="O21" s="9"/>
      <c r="P21" s="5"/>
      <c r="Q21" s="9"/>
      <c r="R21" s="5">
        <v>-30949</v>
      </c>
      <c r="T21" s="5"/>
      <c r="V21" s="5"/>
      <c r="X21" s="5"/>
      <c r="Z21" s="5">
        <f>'2009 Wage Adjustment Calc'!G77</f>
        <v>-10625.007441390509</v>
      </c>
      <c r="AB21" s="5"/>
      <c r="AD21" s="5">
        <v>0</v>
      </c>
      <c r="AF21" s="5">
        <v>-5069020.2616525013</v>
      </c>
      <c r="AH21" s="11">
        <f t="shared" si="2"/>
        <v>109981808.57517283</v>
      </c>
    </row>
    <row r="22" spans="1:34">
      <c r="A22" s="1">
        <f>MAX($A$11:A21)+1</f>
        <v>10</v>
      </c>
      <c r="B22" t="s">
        <v>18</v>
      </c>
      <c r="D22" s="5">
        <v>25362553</v>
      </c>
      <c r="F22" s="5">
        <v>3197288</v>
      </c>
      <c r="H22" s="13">
        <f t="shared" si="1"/>
        <v>28559841</v>
      </c>
      <c r="J22" s="5"/>
      <c r="K22" s="9"/>
      <c r="L22" s="5"/>
      <c r="M22" s="9"/>
      <c r="N22" s="5"/>
      <c r="O22" s="9"/>
      <c r="P22" s="5"/>
      <c r="Q22" s="9"/>
      <c r="R22" s="5">
        <v>-21962</v>
      </c>
      <c r="T22" s="5"/>
      <c r="V22" s="5"/>
      <c r="X22" s="5"/>
      <c r="Z22" s="5">
        <f>'2009 Wage Adjustment Calc'!G78</f>
        <v>-7540.4710287896723</v>
      </c>
      <c r="AB22" s="5"/>
      <c r="AD22" s="5">
        <v>0</v>
      </c>
      <c r="AF22" s="5">
        <v>-1466809.5418867692</v>
      </c>
      <c r="AH22" s="11">
        <f t="shared" si="2"/>
        <v>27063528.987084441</v>
      </c>
    </row>
    <row r="23" spans="1:34">
      <c r="A23" s="1">
        <f>MAX($A$11:A22)+1</f>
        <v>11</v>
      </c>
      <c r="B23" t="s">
        <v>19</v>
      </c>
      <c r="D23" s="5">
        <v>13621607</v>
      </c>
      <c r="F23" s="5">
        <v>98475</v>
      </c>
      <c r="H23" s="13">
        <f t="shared" si="1"/>
        <v>13720082</v>
      </c>
      <c r="J23" s="5"/>
      <c r="K23" s="9"/>
      <c r="L23" s="5"/>
      <c r="M23" s="9"/>
      <c r="N23" s="5"/>
      <c r="O23" s="9"/>
      <c r="P23" s="5"/>
      <c r="Q23" s="9"/>
      <c r="R23" s="5">
        <v>-91505</v>
      </c>
      <c r="T23" s="5"/>
      <c r="V23" s="5"/>
      <c r="X23" s="5"/>
      <c r="Z23" s="5">
        <f>'2009 Wage Adjustment Calc'!G79</f>
        <v>-31417.889589642196</v>
      </c>
      <c r="AB23" s="5"/>
      <c r="AD23" s="5">
        <v>0</v>
      </c>
      <c r="AF23" s="5">
        <v>0</v>
      </c>
      <c r="AH23" s="11">
        <f t="shared" si="2"/>
        <v>13597159.110410357</v>
      </c>
    </row>
    <row r="24" spans="1:34">
      <c r="A24" s="1">
        <f>MAX($A$11:A23)+1</f>
        <v>12</v>
      </c>
      <c r="B24" t="s">
        <v>20</v>
      </c>
      <c r="D24" s="5">
        <v>8025975</v>
      </c>
      <c r="F24" s="5">
        <v>62200</v>
      </c>
      <c r="H24" s="13">
        <f t="shared" si="1"/>
        <v>8088175</v>
      </c>
      <c r="J24" s="5"/>
      <c r="K24" s="9"/>
      <c r="L24" s="5"/>
      <c r="M24" s="9"/>
      <c r="N24" s="5"/>
      <c r="O24" s="9"/>
      <c r="P24" s="5"/>
      <c r="Q24" s="9"/>
      <c r="R24" s="5">
        <v>-57733</v>
      </c>
      <c r="T24" s="5"/>
      <c r="V24" s="5"/>
      <c r="X24" s="5"/>
      <c r="Z24" s="5">
        <f>'2009 Wage Adjustment Calc'!G80</f>
        <v>-19820.920314640774</v>
      </c>
      <c r="AB24" s="5"/>
      <c r="AD24" s="5">
        <v>0</v>
      </c>
      <c r="AF24" s="5">
        <v>0</v>
      </c>
      <c r="AH24" s="11">
        <f t="shared" si="2"/>
        <v>8010621.0796853593</v>
      </c>
    </row>
    <row r="25" spans="1:34">
      <c r="A25" s="1">
        <f>MAX($A$11:A24)+1</f>
        <v>13</v>
      </c>
      <c r="B25" t="s">
        <v>21</v>
      </c>
      <c r="D25" s="5">
        <v>5423426</v>
      </c>
      <c r="F25" s="5">
        <v>-4856178</v>
      </c>
      <c r="H25" s="13">
        <f t="shared" si="1"/>
        <v>567248</v>
      </c>
      <c r="J25" s="5"/>
      <c r="K25" s="9"/>
      <c r="L25" s="5"/>
      <c r="M25" s="9"/>
      <c r="N25" s="5"/>
      <c r="O25" s="9"/>
      <c r="P25" s="5"/>
      <c r="Q25" s="9"/>
      <c r="R25" s="5">
        <v>-2679</v>
      </c>
      <c r="T25" s="5"/>
      <c r="V25" s="5"/>
      <c r="X25" s="5"/>
      <c r="Z25" s="5">
        <f>'2009 Wage Adjustment Calc'!G81</f>
        <v>-918.70365094729959</v>
      </c>
      <c r="AB25" s="5"/>
      <c r="AD25" s="5">
        <v>0</v>
      </c>
      <c r="AF25" s="5">
        <v>0</v>
      </c>
      <c r="AH25" s="11">
        <f t="shared" si="2"/>
        <v>563650.29634905269</v>
      </c>
    </row>
    <row r="26" spans="1:34">
      <c r="A26" s="1">
        <f>MAX($A$11:A25)+1</f>
        <v>14</v>
      </c>
      <c r="B26" t="s">
        <v>22</v>
      </c>
      <c r="D26" s="5">
        <v>0</v>
      </c>
      <c r="F26" s="5">
        <v>0</v>
      </c>
      <c r="H26" s="13">
        <f t="shared" si="1"/>
        <v>0</v>
      </c>
      <c r="J26" s="5"/>
      <c r="K26" s="9"/>
      <c r="L26" s="5"/>
      <c r="M26" s="9"/>
      <c r="N26" s="5"/>
      <c r="O26" s="9"/>
      <c r="P26" s="5"/>
      <c r="Q26" s="9"/>
      <c r="R26" s="5">
        <v>0</v>
      </c>
      <c r="T26" s="5"/>
      <c r="V26" s="5"/>
      <c r="X26" s="5"/>
      <c r="Z26" s="5">
        <f>'2009 Wage Adjustment Calc'!G82</f>
        <v>0</v>
      </c>
      <c r="AB26" s="5"/>
      <c r="AD26" s="5">
        <v>0</v>
      </c>
      <c r="AF26" s="5">
        <v>0</v>
      </c>
      <c r="AH26" s="11">
        <f t="shared" si="2"/>
        <v>0</v>
      </c>
    </row>
    <row r="27" spans="1:34">
      <c r="A27" s="1">
        <f>MAX($A$11:A26)+1</f>
        <v>15</v>
      </c>
      <c r="B27" t="s">
        <v>23</v>
      </c>
      <c r="D27" s="7">
        <v>12167263</v>
      </c>
      <c r="F27" s="7">
        <v>-1389444</v>
      </c>
      <c r="H27" s="14">
        <f t="shared" si="1"/>
        <v>10777819</v>
      </c>
      <c r="J27" s="7"/>
      <c r="K27" s="9"/>
      <c r="L27" s="7">
        <f>'Summary of Adjustments Table'!I11</f>
        <v>-700000</v>
      </c>
      <c r="M27" s="9"/>
      <c r="N27" s="7"/>
      <c r="O27" s="9"/>
      <c r="P27" s="7"/>
      <c r="Q27" s="9"/>
      <c r="R27" s="7">
        <v>-84611</v>
      </c>
      <c r="T27" s="7">
        <f>'Summary of Adjustments Table'!I19</f>
        <v>-48931</v>
      </c>
      <c r="V27" s="7">
        <f>'Summary of Adjustments Table'!I21</f>
        <v>-169675</v>
      </c>
      <c r="X27" s="7">
        <f>'Summary of Adjustments Table'!I23</f>
        <v>-22112</v>
      </c>
      <c r="Z27" s="7">
        <f>'2009 Wage Adjustment Calc'!G83</f>
        <v>-29047.900461111476</v>
      </c>
      <c r="AB27" s="7">
        <f>'Summary of Adjustments Table'!I27</f>
        <v>-171180</v>
      </c>
      <c r="AD27" s="7">
        <v>0</v>
      </c>
      <c r="AF27" s="7">
        <v>0</v>
      </c>
      <c r="AH27" s="11">
        <f t="shared" si="2"/>
        <v>9552262.0995388888</v>
      </c>
    </row>
    <row r="28" spans="1:34">
      <c r="A28" s="1">
        <f>MAX($A$11:A27)+1</f>
        <v>16</v>
      </c>
      <c r="B28" s="3" t="s">
        <v>24</v>
      </c>
      <c r="D28" s="5">
        <f>SUM(D18:D27)</f>
        <v>244626880</v>
      </c>
      <c r="F28" s="5">
        <f>SUM(F18:F27)</f>
        <v>-11562567</v>
      </c>
      <c r="H28" s="5">
        <f>SUM(H18:H27)</f>
        <v>233064313</v>
      </c>
      <c r="J28" s="5">
        <f>SUM(J18:J27)</f>
        <v>0</v>
      </c>
      <c r="K28" s="9"/>
      <c r="L28" s="5">
        <f>SUM(L18:L27)</f>
        <v>-700000</v>
      </c>
      <c r="M28" s="9"/>
      <c r="N28" s="5">
        <f>SUM(N18:N27)</f>
        <v>2019026.4530401845</v>
      </c>
      <c r="O28" s="9"/>
      <c r="P28" s="5">
        <f>SUM(P18:P27)</f>
        <v>0</v>
      </c>
      <c r="Q28" s="9"/>
      <c r="R28" s="5">
        <f>SUM(R18:R27)</f>
        <v>-373893</v>
      </c>
      <c r="T28" s="5">
        <f>SUM(T18:T27)</f>
        <v>-48931</v>
      </c>
      <c r="V28" s="5">
        <f>SUM(V18:V27)</f>
        <v>-169675</v>
      </c>
      <c r="X28" s="5">
        <f>SUM(X18:X27)</f>
        <v>-22112</v>
      </c>
      <c r="Z28" s="5">
        <f>SUM(Z18:Z27)</f>
        <v>-128365.53476496979</v>
      </c>
      <c r="AB28" s="5">
        <f>SUM(AB18:AB27)</f>
        <v>-171180</v>
      </c>
      <c r="AD28" s="5">
        <v>-561123.64</v>
      </c>
      <c r="AF28" s="5">
        <v>-7186788.0075752717</v>
      </c>
      <c r="AH28" s="11">
        <f t="shared" si="2"/>
        <v>225721271.27069995</v>
      </c>
    </row>
    <row r="29" spans="1:34">
      <c r="A29" s="1">
        <f>MAX($A$11:A28)+1</f>
        <v>17</v>
      </c>
      <c r="B29" t="s">
        <v>25</v>
      </c>
      <c r="D29" s="5">
        <v>36705844</v>
      </c>
      <c r="F29" s="5">
        <v>-444461</v>
      </c>
      <c r="H29" s="13">
        <f t="shared" si="1"/>
        <v>36261383</v>
      </c>
      <c r="J29" s="5"/>
      <c r="K29" s="9"/>
      <c r="L29" s="5"/>
      <c r="M29" s="9"/>
      <c r="N29" s="5"/>
      <c r="O29" s="9"/>
      <c r="P29" s="5"/>
      <c r="Q29" s="9"/>
      <c r="R29" s="5"/>
      <c r="T29" s="5"/>
      <c r="V29" s="5"/>
      <c r="X29" s="5"/>
      <c r="Z29" s="5"/>
      <c r="AB29" s="5"/>
      <c r="AD29" s="5">
        <v>0</v>
      </c>
      <c r="AF29" s="5">
        <v>0</v>
      </c>
      <c r="AH29" s="11">
        <f t="shared" si="2"/>
        <v>36261383</v>
      </c>
    </row>
    <row r="30" spans="1:34">
      <c r="A30" s="1">
        <f>MAX($A$11:A29)+1</f>
        <v>18</v>
      </c>
      <c r="B30" t="s">
        <v>26</v>
      </c>
      <c r="D30" s="5">
        <v>4017010</v>
      </c>
      <c r="F30" s="5">
        <v>-351858</v>
      </c>
      <c r="H30" s="13">
        <f t="shared" si="1"/>
        <v>3665152</v>
      </c>
      <c r="J30" s="5"/>
      <c r="K30" s="9"/>
      <c r="L30" s="5"/>
      <c r="M30" s="9"/>
      <c r="N30" s="5"/>
      <c r="O30" s="9"/>
      <c r="P30" s="5"/>
      <c r="Q30" s="9"/>
      <c r="R30" s="5"/>
      <c r="T30" s="5"/>
      <c r="V30" s="5"/>
      <c r="X30" s="5"/>
      <c r="Z30" s="5"/>
      <c r="AB30" s="5"/>
      <c r="AD30" s="5">
        <v>0</v>
      </c>
      <c r="AF30" s="5">
        <v>0</v>
      </c>
      <c r="AH30" s="11">
        <f t="shared" si="2"/>
        <v>3665152</v>
      </c>
    </row>
    <row r="31" spans="1:34">
      <c r="A31" s="1">
        <f>MAX($A$11:A30)+1</f>
        <v>19</v>
      </c>
      <c r="B31" t="s">
        <v>27</v>
      </c>
      <c r="D31" s="5">
        <v>17744812</v>
      </c>
      <c r="F31" s="5">
        <v>-470741</v>
      </c>
      <c r="H31" s="13">
        <f t="shared" si="1"/>
        <v>17274071</v>
      </c>
      <c r="J31" s="5"/>
      <c r="K31" s="9"/>
      <c r="L31" s="5"/>
      <c r="M31" s="9"/>
      <c r="N31" s="5"/>
      <c r="O31" s="9"/>
      <c r="P31" s="5"/>
      <c r="Q31" s="9"/>
      <c r="R31" s="5"/>
      <c r="T31" s="5"/>
      <c r="V31" s="5"/>
      <c r="X31" s="5"/>
      <c r="Z31" s="5"/>
      <c r="AB31" s="5"/>
      <c r="AD31" s="5">
        <v>0</v>
      </c>
      <c r="AF31" s="5">
        <v>0</v>
      </c>
      <c r="AH31" s="11">
        <f t="shared" si="2"/>
        <v>17274071</v>
      </c>
    </row>
    <row r="32" spans="1:34">
      <c r="A32" s="1">
        <f>MAX($A$11:A31)+1</f>
        <v>20</v>
      </c>
      <c r="B32" t="s">
        <v>28</v>
      </c>
      <c r="D32" s="5">
        <v>-13966180</v>
      </c>
      <c r="F32" s="5">
        <v>-13927036</v>
      </c>
      <c r="H32" s="13">
        <f t="shared" si="1"/>
        <v>-27893216</v>
      </c>
      <c r="J32" s="5">
        <f>J82</f>
        <v>0</v>
      </c>
      <c r="K32" s="9"/>
      <c r="L32" s="5">
        <f t="shared" ref="L32" si="3">L82</f>
        <v>244999.99999999997</v>
      </c>
      <c r="M32" s="9"/>
      <c r="N32" s="5">
        <f t="shared" ref="N32" si="4">N82</f>
        <v>783560.51598772267</v>
      </c>
      <c r="O32" s="9"/>
      <c r="P32" s="5">
        <f t="shared" ref="P32" si="5">P82</f>
        <v>98507.652785500017</v>
      </c>
      <c r="Q32" s="9"/>
      <c r="R32" s="5">
        <f t="shared" ref="R32" si="6">R82</f>
        <v>130862.54999999999</v>
      </c>
      <c r="S32" s="9"/>
      <c r="T32" s="5">
        <f t="shared" ref="T32" si="7">T82</f>
        <v>17125.849999999999</v>
      </c>
      <c r="U32" s="9"/>
      <c r="V32" s="5">
        <f t="shared" ref="V32" si="8">V82</f>
        <v>59386.249999999993</v>
      </c>
      <c r="W32" s="9"/>
      <c r="X32" s="5">
        <f t="shared" ref="X32" si="9">X82</f>
        <v>7739.2</v>
      </c>
      <c r="Y32" s="9"/>
      <c r="Z32" s="5">
        <f t="shared" ref="Z32" si="10">Z82</f>
        <v>44927.937167739423</v>
      </c>
      <c r="AA32" s="9"/>
      <c r="AB32" s="5">
        <f t="shared" ref="AB32" si="11">AB82</f>
        <v>59912.999999999993</v>
      </c>
      <c r="AC32" s="9"/>
      <c r="AD32" s="5">
        <v>1900986.4915693013</v>
      </c>
      <c r="AE32" s="126"/>
      <c r="AF32" s="5">
        <v>2896239.7705567013</v>
      </c>
      <c r="AG32" s="9"/>
      <c r="AH32" s="11">
        <f t="shared" si="2"/>
        <v>-21648966.781933032</v>
      </c>
    </row>
    <row r="33" spans="1:34">
      <c r="A33" s="1">
        <f>MAX($A$11:A32)+1</f>
        <v>21</v>
      </c>
      <c r="B33" t="s">
        <v>29</v>
      </c>
      <c r="D33" s="5">
        <v>0</v>
      </c>
      <c r="F33" s="5">
        <v>0</v>
      </c>
      <c r="H33" s="13">
        <f t="shared" si="1"/>
        <v>0</v>
      </c>
      <c r="J33" s="5"/>
      <c r="K33" s="9"/>
      <c r="L33" s="5"/>
      <c r="M33" s="9"/>
      <c r="N33" s="5"/>
      <c r="O33" s="9"/>
      <c r="P33" s="5"/>
      <c r="Q33" s="9"/>
      <c r="R33" s="5"/>
      <c r="T33" s="5"/>
      <c r="V33" s="5"/>
      <c r="X33" s="5"/>
      <c r="Z33" s="5"/>
      <c r="AB33" s="5"/>
      <c r="AD33" s="5">
        <v>0</v>
      </c>
      <c r="AF33" s="5">
        <v>0</v>
      </c>
      <c r="AH33" s="11">
        <f t="shared" si="2"/>
        <v>0</v>
      </c>
    </row>
    <row r="34" spans="1:34">
      <c r="A34" s="1">
        <f>MAX($A$11:A33)+1</f>
        <v>22</v>
      </c>
      <c r="B34" t="s">
        <v>30</v>
      </c>
      <c r="D34" s="5">
        <v>22359798</v>
      </c>
      <c r="F34" s="5">
        <v>3723897</v>
      </c>
      <c r="H34" s="13">
        <f t="shared" si="1"/>
        <v>26083695</v>
      </c>
      <c r="J34" s="5"/>
      <c r="K34" s="9"/>
      <c r="L34" s="5"/>
      <c r="M34" s="9"/>
      <c r="N34" s="5"/>
      <c r="O34" s="9"/>
      <c r="P34" s="5"/>
      <c r="Q34" s="9"/>
      <c r="R34" s="5"/>
      <c r="T34" s="5"/>
      <c r="V34" s="5"/>
      <c r="X34" s="5"/>
      <c r="Z34" s="5"/>
      <c r="AB34" s="5"/>
      <c r="AD34" s="5">
        <v>0</v>
      </c>
      <c r="AF34" s="5">
        <v>0</v>
      </c>
      <c r="AH34" s="11">
        <f t="shared" si="2"/>
        <v>26083695</v>
      </c>
    </row>
    <row r="35" spans="1:34">
      <c r="A35" s="1">
        <f>MAX($A$11:A34)+1</f>
        <v>23</v>
      </c>
      <c r="B35" t="s">
        <v>31</v>
      </c>
      <c r="D35" s="5">
        <v>0</v>
      </c>
      <c r="F35" s="5">
        <v>0</v>
      </c>
      <c r="H35" s="13">
        <f t="shared" si="1"/>
        <v>0</v>
      </c>
      <c r="J35" s="5"/>
      <c r="K35" s="9"/>
      <c r="L35" s="5"/>
      <c r="M35" s="9"/>
      <c r="N35" s="5"/>
      <c r="O35" s="9"/>
      <c r="P35" s="5"/>
      <c r="Q35" s="9"/>
      <c r="R35" s="5"/>
      <c r="T35" s="5"/>
      <c r="V35" s="5"/>
      <c r="X35" s="5"/>
      <c r="Z35" s="5"/>
      <c r="AB35" s="5"/>
      <c r="AD35" s="5">
        <v>0</v>
      </c>
      <c r="AF35" s="5">
        <v>0</v>
      </c>
      <c r="AH35" s="11">
        <f t="shared" si="2"/>
        <v>0</v>
      </c>
    </row>
    <row r="36" spans="1:34">
      <c r="A36" s="1">
        <f>MAX($A$11:A35)+1</f>
        <v>24</v>
      </c>
      <c r="B36" t="s">
        <v>32</v>
      </c>
      <c r="D36" s="5">
        <v>-341244</v>
      </c>
      <c r="F36" s="5">
        <v>-202997</v>
      </c>
      <c r="H36" s="13">
        <f t="shared" si="1"/>
        <v>-544241</v>
      </c>
      <c r="J36" s="5"/>
      <c r="K36" s="9"/>
      <c r="L36" s="5"/>
      <c r="M36" s="9"/>
      <c r="N36" s="5"/>
      <c r="O36" s="9"/>
      <c r="P36" s="5">
        <f>-'Revenue Adjustment'!E31</f>
        <v>-281450.43653000006</v>
      </c>
      <c r="Q36" s="9"/>
      <c r="R36" s="5"/>
      <c r="T36" s="5"/>
      <c r="V36" s="5"/>
      <c r="X36" s="5"/>
      <c r="Z36" s="5"/>
      <c r="AB36" s="5"/>
      <c r="AD36" s="5">
        <v>0</v>
      </c>
      <c r="AF36" s="5">
        <v>0</v>
      </c>
      <c r="AH36" s="11">
        <f t="shared" si="2"/>
        <v>-825691.43653000006</v>
      </c>
    </row>
    <row r="37" spans="1:34">
      <c r="A37" s="1">
        <f>MAX($A$11:A36)+1</f>
        <v>25</v>
      </c>
      <c r="B37" s="3" t="s">
        <v>33</v>
      </c>
      <c r="D37" s="6">
        <f>SUM(D28:D36)</f>
        <v>311146920</v>
      </c>
      <c r="F37" s="6">
        <f>SUM(F28:F36)</f>
        <v>-23235763</v>
      </c>
      <c r="H37" s="6">
        <f>SUM(H28:H36)</f>
        <v>287911157</v>
      </c>
      <c r="J37" s="6">
        <f>SUM(J28:J36)</f>
        <v>0</v>
      </c>
      <c r="K37" s="9"/>
      <c r="L37" s="6">
        <f>SUM(L28:L36)</f>
        <v>-455000</v>
      </c>
      <c r="M37" s="9"/>
      <c r="N37" s="6">
        <f>SUM(N28:N36)</f>
        <v>2802586.9690279071</v>
      </c>
      <c r="O37" s="9"/>
      <c r="P37" s="6">
        <f>SUM(P28:P36)</f>
        <v>-182942.78374450005</v>
      </c>
      <c r="Q37" s="9"/>
      <c r="R37" s="6">
        <f>SUM(R28:R36)</f>
        <v>-243030.45</v>
      </c>
      <c r="T37" s="6">
        <f>SUM(T28:T36)</f>
        <v>-31805.15</v>
      </c>
      <c r="V37" s="6">
        <f>SUM(V28:V36)</f>
        <v>-110288.75</v>
      </c>
      <c r="X37" s="6">
        <f>SUM(X28:X36)</f>
        <v>-14372.8</v>
      </c>
      <c r="Z37" s="6">
        <f>SUM(Z28:Z36)</f>
        <v>-83437.597597230371</v>
      </c>
      <c r="AB37" s="6">
        <f>SUM(AB28:AB36)</f>
        <v>-111267</v>
      </c>
      <c r="AD37" s="6">
        <v>1339862.8515693014</v>
      </c>
      <c r="AF37" s="6">
        <v>-4290548.2370185694</v>
      </c>
      <c r="AH37" s="6">
        <f>SUM(AH28:AH36)</f>
        <v>286530914.05223691</v>
      </c>
    </row>
    <row r="38" spans="1:34">
      <c r="D38" s="5"/>
      <c r="F38" s="5"/>
      <c r="H38" s="5"/>
      <c r="J38" s="5"/>
      <c r="K38" s="9"/>
      <c r="L38" s="5"/>
      <c r="M38" s="9"/>
      <c r="N38" s="5"/>
      <c r="O38" s="9"/>
      <c r="P38" s="5"/>
      <c r="Q38" s="9"/>
      <c r="R38" s="5"/>
      <c r="T38" s="5"/>
      <c r="V38" s="5"/>
      <c r="X38" s="5"/>
      <c r="Z38" s="5"/>
      <c r="AB38" s="5"/>
      <c r="AD38" s="5"/>
      <c r="AF38" s="5"/>
      <c r="AH38" s="5"/>
    </row>
    <row r="39" spans="1:34" ht="15.75" thickBot="1">
      <c r="A39" s="1">
        <f>MAX($A$11:A38)+1</f>
        <v>26</v>
      </c>
      <c r="B39" t="s">
        <v>34</v>
      </c>
      <c r="D39" s="8">
        <f>D15-D37</f>
        <v>46232662</v>
      </c>
      <c r="F39" s="8">
        <f>F15-F37</f>
        <v>-16794660</v>
      </c>
      <c r="H39" s="8">
        <f>H15-H37</f>
        <v>29438002</v>
      </c>
      <c r="J39" s="8">
        <f>J15-J37</f>
        <v>0</v>
      </c>
      <c r="K39" s="9"/>
      <c r="L39" s="8">
        <f>L15-L37</f>
        <v>455000</v>
      </c>
      <c r="M39" s="9"/>
      <c r="N39" s="8">
        <f>N15-N37</f>
        <v>1455183.8154057707</v>
      </c>
      <c r="O39" s="9"/>
      <c r="P39" s="8">
        <f>P15-P37</f>
        <v>182942.78374450005</v>
      </c>
      <c r="Q39" s="9"/>
      <c r="R39" s="8">
        <f>R15-R37</f>
        <v>243030.45</v>
      </c>
      <c r="T39" s="8">
        <f>T15-T37</f>
        <v>31805.15</v>
      </c>
      <c r="V39" s="8">
        <f>V15-V37</f>
        <v>110288.75</v>
      </c>
      <c r="X39" s="8">
        <f>X15-X37</f>
        <v>14372.8</v>
      </c>
      <c r="Z39" s="8">
        <f>Z15-Z37</f>
        <v>83437.597597230371</v>
      </c>
      <c r="AB39" s="8">
        <f>AB15-AB37</f>
        <v>111267</v>
      </c>
      <c r="AD39" s="8">
        <v>3530403.4843429886</v>
      </c>
      <c r="AF39" s="8">
        <v>5378731.0024624448</v>
      </c>
      <c r="AH39" s="8">
        <f>AH15-AH37</f>
        <v>41034464.833552897</v>
      </c>
    </row>
    <row r="40" spans="1:34" ht="15.75" thickTop="1">
      <c r="D40" s="5"/>
      <c r="F40" s="5"/>
      <c r="J40" s="5"/>
      <c r="K40" s="9"/>
      <c r="L40" s="5"/>
      <c r="M40" s="9"/>
      <c r="N40" s="5"/>
      <c r="O40" s="9"/>
      <c r="P40" s="5"/>
      <c r="Q40" s="9"/>
      <c r="R40" s="5"/>
      <c r="T40" s="5"/>
      <c r="V40" s="5"/>
      <c r="X40" s="5"/>
      <c r="Z40" s="5"/>
      <c r="AB40" s="5"/>
      <c r="AD40" s="5"/>
      <c r="AF40" s="5"/>
      <c r="AH40" s="5"/>
    </row>
    <row r="41" spans="1:34">
      <c r="B41" s="3" t="s">
        <v>35</v>
      </c>
      <c r="D41" s="5"/>
      <c r="F41" s="5"/>
      <c r="J41" s="5"/>
      <c r="K41" s="9"/>
      <c r="L41" s="5"/>
      <c r="M41" s="9"/>
      <c r="N41" s="5"/>
      <c r="O41" s="9"/>
      <c r="P41" s="5"/>
      <c r="Q41" s="9"/>
      <c r="R41" s="5"/>
      <c r="T41" s="5"/>
      <c r="V41" s="5"/>
      <c r="X41" s="5"/>
      <c r="Z41" s="5"/>
      <c r="AB41" s="5"/>
      <c r="AD41" s="5">
        <v>0</v>
      </c>
      <c r="AF41" s="5">
        <v>0</v>
      </c>
      <c r="AH41" s="5"/>
    </row>
    <row r="42" spans="1:34">
      <c r="A42" s="1">
        <f>MAX($A$11:A41)+1</f>
        <v>27</v>
      </c>
      <c r="B42" t="s">
        <v>36</v>
      </c>
      <c r="D42" s="5">
        <v>1398743841</v>
      </c>
      <c r="F42" s="5">
        <v>7022563</v>
      </c>
      <c r="H42" s="13">
        <f t="shared" ref="H42:H52" si="12">D42+F42</f>
        <v>1405766404</v>
      </c>
      <c r="J42" s="5"/>
      <c r="K42" s="9"/>
      <c r="L42" s="5"/>
      <c r="M42" s="9"/>
      <c r="N42" s="5"/>
      <c r="O42" s="9"/>
      <c r="P42" s="5"/>
      <c r="Q42" s="9"/>
      <c r="R42" s="5"/>
      <c r="T42" s="5"/>
      <c r="V42" s="5"/>
      <c r="X42" s="5"/>
      <c r="Z42" s="5"/>
      <c r="AB42" s="5"/>
      <c r="AD42" s="5">
        <v>0</v>
      </c>
      <c r="AF42" s="5">
        <v>0</v>
      </c>
      <c r="AH42" s="11">
        <f t="shared" ref="AH42:AH52" si="13">SUM(H42:AF42)</f>
        <v>1405766404</v>
      </c>
    </row>
    <row r="43" spans="1:34">
      <c r="A43" s="1">
        <f>MAX($A$11:A42)+1</f>
        <v>28</v>
      </c>
      <c r="B43" t="s">
        <v>37</v>
      </c>
      <c r="D43" s="5">
        <v>37310</v>
      </c>
      <c r="F43" s="5">
        <v>0</v>
      </c>
      <c r="H43" s="13">
        <f t="shared" si="12"/>
        <v>37310</v>
      </c>
      <c r="J43" s="5"/>
      <c r="K43" s="9"/>
      <c r="L43" s="5"/>
      <c r="M43" s="9"/>
      <c r="N43" s="5"/>
      <c r="O43" s="9"/>
      <c r="P43" s="5"/>
      <c r="Q43" s="9"/>
      <c r="R43" s="5"/>
      <c r="T43" s="5"/>
      <c r="V43" s="5"/>
      <c r="X43" s="5"/>
      <c r="Z43" s="5"/>
      <c r="AB43" s="5"/>
      <c r="AD43" s="5">
        <v>0</v>
      </c>
      <c r="AF43" s="5">
        <v>0</v>
      </c>
      <c r="AH43" s="11">
        <f t="shared" si="13"/>
        <v>37310</v>
      </c>
    </row>
    <row r="44" spans="1:34">
      <c r="A44" s="1">
        <f>MAX($A$11:A43)+1</f>
        <v>29</v>
      </c>
      <c r="B44" t="s">
        <v>38</v>
      </c>
      <c r="D44" s="5">
        <v>6671729</v>
      </c>
      <c r="F44" s="5">
        <v>12477362</v>
      </c>
      <c r="H44" s="13">
        <f t="shared" si="12"/>
        <v>19149091</v>
      </c>
      <c r="J44" s="5"/>
      <c r="K44" s="9"/>
      <c r="L44" s="5"/>
      <c r="M44" s="9"/>
      <c r="N44" s="5"/>
      <c r="O44" s="9"/>
      <c r="P44" s="5"/>
      <c r="Q44" s="9"/>
      <c r="R44" s="5"/>
      <c r="T44" s="5"/>
      <c r="V44" s="5"/>
      <c r="X44" s="5"/>
      <c r="Z44" s="5"/>
      <c r="AB44" s="5"/>
      <c r="AD44" s="5">
        <v>0</v>
      </c>
      <c r="AF44" s="5">
        <v>0</v>
      </c>
      <c r="AH44" s="11">
        <f t="shared" si="13"/>
        <v>19149091</v>
      </c>
    </row>
    <row r="45" spans="1:34">
      <c r="A45" s="1">
        <f>MAX($A$11:A44)+1</f>
        <v>30</v>
      </c>
      <c r="B45" t="s">
        <v>46</v>
      </c>
      <c r="D45" s="5">
        <v>0</v>
      </c>
      <c r="F45" s="5">
        <v>0</v>
      </c>
      <c r="H45" s="13">
        <f t="shared" si="12"/>
        <v>0</v>
      </c>
      <c r="J45" s="5"/>
      <c r="K45" s="9"/>
      <c r="L45" s="5"/>
      <c r="M45" s="9"/>
      <c r="N45" s="5"/>
      <c r="O45" s="9"/>
      <c r="P45" s="5"/>
      <c r="Q45" s="9"/>
      <c r="R45" s="5"/>
      <c r="T45" s="5"/>
      <c r="V45" s="5"/>
      <c r="X45" s="5"/>
      <c r="Z45" s="5"/>
      <c r="AB45" s="5"/>
      <c r="AD45" s="5">
        <v>0</v>
      </c>
      <c r="AF45" s="5">
        <v>0</v>
      </c>
      <c r="AH45" s="11">
        <f t="shared" si="13"/>
        <v>0</v>
      </c>
    </row>
    <row r="46" spans="1:34">
      <c r="A46" s="1">
        <f>MAX($A$11:A45)+1</f>
        <v>31</v>
      </c>
      <c r="B46" t="s">
        <v>39</v>
      </c>
      <c r="D46" s="5">
        <v>0</v>
      </c>
      <c r="F46" s="5">
        <v>0</v>
      </c>
      <c r="H46" s="13">
        <f t="shared" si="12"/>
        <v>0</v>
      </c>
      <c r="J46" s="5"/>
      <c r="K46" s="9"/>
      <c r="L46" s="5"/>
      <c r="M46" s="9"/>
      <c r="N46" s="5"/>
      <c r="O46" s="9"/>
      <c r="P46" s="5"/>
      <c r="Q46" s="9"/>
      <c r="R46" s="5"/>
      <c r="T46" s="5"/>
      <c r="V46" s="5"/>
      <c r="X46" s="5"/>
      <c r="Z46" s="5"/>
      <c r="AB46" s="5"/>
      <c r="AD46" s="5">
        <v>0</v>
      </c>
      <c r="AF46" s="5">
        <v>0</v>
      </c>
      <c r="AH46" s="11">
        <f t="shared" si="13"/>
        <v>0</v>
      </c>
    </row>
    <row r="47" spans="1:34">
      <c r="A47" s="1">
        <f>MAX($A$11:A46)+1</f>
        <v>32</v>
      </c>
      <c r="B47" t="s">
        <v>40</v>
      </c>
      <c r="D47" s="5">
        <v>2850428</v>
      </c>
      <c r="F47" s="5">
        <v>-2850428</v>
      </c>
      <c r="H47" s="13">
        <f t="shared" si="12"/>
        <v>0</v>
      </c>
      <c r="J47" s="5"/>
      <c r="K47" s="9"/>
      <c r="L47" s="5"/>
      <c r="M47" s="9"/>
      <c r="N47" s="5"/>
      <c r="O47" s="9"/>
      <c r="P47" s="5"/>
      <c r="Q47" s="9"/>
      <c r="R47" s="5"/>
      <c r="T47" s="5"/>
      <c r="V47" s="5"/>
      <c r="X47" s="5"/>
      <c r="Z47" s="5"/>
      <c r="AB47" s="5"/>
      <c r="AD47" s="5">
        <v>0</v>
      </c>
      <c r="AF47" s="5">
        <v>0</v>
      </c>
      <c r="AH47" s="11">
        <f t="shared" si="13"/>
        <v>0</v>
      </c>
    </row>
    <row r="48" spans="1:34">
      <c r="A48" s="1">
        <f>MAX($A$11:A47)+1</f>
        <v>33</v>
      </c>
      <c r="B48" t="s">
        <v>41</v>
      </c>
      <c r="D48" s="5">
        <v>3524551</v>
      </c>
      <c r="F48" s="5">
        <v>0</v>
      </c>
      <c r="H48" s="13">
        <f t="shared" si="12"/>
        <v>3524551</v>
      </c>
      <c r="J48" s="5"/>
      <c r="K48" s="9"/>
      <c r="L48" s="5"/>
      <c r="M48" s="9"/>
      <c r="N48" s="5"/>
      <c r="O48" s="9"/>
      <c r="P48" s="5"/>
      <c r="Q48" s="9"/>
      <c r="R48" s="5"/>
      <c r="T48" s="5"/>
      <c r="V48" s="5"/>
      <c r="X48" s="5"/>
      <c r="Z48" s="5"/>
      <c r="AB48" s="5"/>
      <c r="AD48" s="5">
        <v>0</v>
      </c>
      <c r="AF48" s="5">
        <v>0</v>
      </c>
      <c r="AH48" s="11">
        <f t="shared" si="13"/>
        <v>3524551</v>
      </c>
    </row>
    <row r="49" spans="1:34">
      <c r="A49" s="1">
        <f>MAX($A$11:A48)+1</f>
        <v>34</v>
      </c>
      <c r="B49" t="s">
        <v>42</v>
      </c>
      <c r="D49" s="5">
        <v>7763143</v>
      </c>
      <c r="F49" s="5">
        <v>12560</v>
      </c>
      <c r="H49" s="13">
        <f t="shared" si="12"/>
        <v>7775703</v>
      </c>
      <c r="J49" s="5"/>
      <c r="K49" s="9"/>
      <c r="L49" s="5"/>
      <c r="M49" s="9"/>
      <c r="N49" s="5"/>
      <c r="O49" s="9"/>
      <c r="P49" s="5"/>
      <c r="Q49" s="9"/>
      <c r="R49" s="5"/>
      <c r="T49" s="5"/>
      <c r="V49" s="5"/>
      <c r="X49" s="5"/>
      <c r="Z49" s="5"/>
      <c r="AB49" s="5"/>
      <c r="AD49" s="5">
        <v>0</v>
      </c>
      <c r="AF49" s="5">
        <v>0</v>
      </c>
      <c r="AH49" s="11">
        <f t="shared" si="13"/>
        <v>7775703</v>
      </c>
    </row>
    <row r="50" spans="1:34">
      <c r="A50" s="1">
        <f>MAX($A$11:A49)+1</f>
        <v>35</v>
      </c>
      <c r="B50" t="s">
        <v>43</v>
      </c>
      <c r="D50" s="5">
        <v>13606718</v>
      </c>
      <c r="F50" s="5">
        <v>-2461567</v>
      </c>
      <c r="H50" s="13">
        <f t="shared" si="12"/>
        <v>11145151</v>
      </c>
      <c r="J50" s="5">
        <f>-H50</f>
        <v>-11145151</v>
      </c>
      <c r="K50" s="9"/>
      <c r="L50" s="5"/>
      <c r="M50" s="9"/>
      <c r="N50" s="5"/>
      <c r="O50" s="9"/>
      <c r="P50" s="5"/>
      <c r="Q50" s="9"/>
      <c r="R50" s="5"/>
      <c r="T50" s="5"/>
      <c r="V50" s="5"/>
      <c r="X50" s="5"/>
      <c r="Z50" s="5"/>
      <c r="AB50" s="5"/>
      <c r="AD50" s="5">
        <v>0</v>
      </c>
      <c r="AF50" s="5">
        <v>0</v>
      </c>
      <c r="AH50" s="11">
        <f t="shared" si="13"/>
        <v>0</v>
      </c>
    </row>
    <row r="51" spans="1:34">
      <c r="A51" s="1">
        <f>MAX($A$11:A50)+1</f>
        <v>36</v>
      </c>
      <c r="B51" t="s">
        <v>47</v>
      </c>
      <c r="D51" s="5">
        <v>2046741</v>
      </c>
      <c r="F51" s="5">
        <v>0</v>
      </c>
      <c r="H51" s="13">
        <f t="shared" si="12"/>
        <v>2046741</v>
      </c>
      <c r="J51" s="5"/>
      <c r="K51" s="9"/>
      <c r="L51" s="5"/>
      <c r="M51" s="9"/>
      <c r="N51" s="5"/>
      <c r="O51" s="9"/>
      <c r="P51" s="5"/>
      <c r="Q51" s="9"/>
      <c r="R51" s="5"/>
      <c r="T51" s="5"/>
      <c r="V51" s="5"/>
      <c r="X51" s="5"/>
      <c r="Z51" s="5"/>
      <c r="AB51" s="5"/>
      <c r="AD51" s="5">
        <v>0</v>
      </c>
      <c r="AF51" s="5">
        <v>0</v>
      </c>
      <c r="AH51" s="11">
        <f t="shared" si="13"/>
        <v>2046741</v>
      </c>
    </row>
    <row r="52" spans="1:34">
      <c r="A52" s="1">
        <f>MAX($A$11:A51)+1</f>
        <v>37</v>
      </c>
      <c r="B52" t="s">
        <v>44</v>
      </c>
      <c r="D52" s="5">
        <v>268577</v>
      </c>
      <c r="F52" s="5">
        <v>-308624</v>
      </c>
      <c r="H52" s="13">
        <f t="shared" si="12"/>
        <v>-40047</v>
      </c>
      <c r="J52" s="5"/>
      <c r="K52" s="9"/>
      <c r="L52" s="5"/>
      <c r="M52" s="9"/>
      <c r="N52" s="5"/>
      <c r="O52" s="9"/>
      <c r="P52" s="5"/>
      <c r="Q52" s="9"/>
      <c r="R52" s="5"/>
      <c r="T52" s="5"/>
      <c r="V52" s="5"/>
      <c r="X52" s="5"/>
      <c r="Z52" s="5"/>
      <c r="AB52" s="5"/>
      <c r="AD52" s="5">
        <v>0</v>
      </c>
      <c r="AF52" s="5">
        <v>0</v>
      </c>
      <c r="AH52" s="11">
        <f t="shared" si="13"/>
        <v>-40047</v>
      </c>
    </row>
    <row r="53" spans="1:34">
      <c r="A53" s="1">
        <f>MAX($A$11:A52)+1</f>
        <v>38</v>
      </c>
      <c r="B53" s="3" t="s">
        <v>45</v>
      </c>
      <c r="D53" s="6">
        <f>SUM(D42:D52)</f>
        <v>1435513038</v>
      </c>
      <c r="F53" s="6">
        <f>SUM(F42:F52)</f>
        <v>13891866</v>
      </c>
      <c r="H53" s="6">
        <f>SUM(H42:H52)</f>
        <v>1449404904</v>
      </c>
      <c r="J53" s="6">
        <f>SUM(J42:J52)</f>
        <v>-11145151</v>
      </c>
      <c r="K53" s="9"/>
      <c r="L53" s="6">
        <f>SUM(L42:L52)</f>
        <v>0</v>
      </c>
      <c r="M53" s="9"/>
      <c r="N53" s="6">
        <f>SUM(N42:N52)</f>
        <v>0</v>
      </c>
      <c r="O53" s="9"/>
      <c r="P53" s="6">
        <f>SUM(P42:P52)</f>
        <v>0</v>
      </c>
      <c r="Q53" s="9"/>
      <c r="R53" s="6">
        <f>SUM(R42:R52)</f>
        <v>0</v>
      </c>
      <c r="T53" s="6">
        <f>SUM(T42:T52)</f>
        <v>0</v>
      </c>
      <c r="V53" s="6">
        <f>SUM(V42:V52)</f>
        <v>0</v>
      </c>
      <c r="X53" s="6">
        <f>SUM(X42:X52)</f>
        <v>0</v>
      </c>
      <c r="Z53" s="6">
        <f>SUM(Z42:Z52)</f>
        <v>0</v>
      </c>
      <c r="AB53" s="6">
        <f>SUM(AB42:AB52)</f>
        <v>0</v>
      </c>
      <c r="AD53" s="6">
        <v>0</v>
      </c>
      <c r="AF53" s="6">
        <v>0</v>
      </c>
      <c r="AH53" s="6">
        <f>SUM(AH42:AH52)</f>
        <v>1438259753</v>
      </c>
    </row>
    <row r="54" spans="1:34">
      <c r="D54" s="5"/>
      <c r="F54" s="5"/>
      <c r="J54" s="5"/>
      <c r="K54" s="9"/>
      <c r="L54" s="5"/>
      <c r="M54" s="9"/>
      <c r="N54" s="5"/>
      <c r="O54" s="9"/>
      <c r="P54" s="5"/>
      <c r="Q54" s="9"/>
      <c r="R54" s="5"/>
      <c r="T54" s="5"/>
      <c r="V54" s="5"/>
      <c r="X54" s="5"/>
      <c r="Z54" s="5"/>
      <c r="AB54" s="5"/>
      <c r="AD54" s="5"/>
      <c r="AF54" s="5"/>
      <c r="AH54" s="5"/>
    </row>
    <row r="55" spans="1:34">
      <c r="B55" s="3" t="s">
        <v>48</v>
      </c>
      <c r="D55" s="5"/>
      <c r="F55" s="5"/>
      <c r="J55" s="5"/>
      <c r="K55" s="9"/>
      <c r="L55" s="5"/>
      <c r="M55" s="9"/>
      <c r="N55" s="5"/>
      <c r="O55" s="9"/>
      <c r="P55" s="5"/>
      <c r="Q55" s="9"/>
      <c r="R55" s="5"/>
      <c r="T55" s="5"/>
      <c r="V55" s="5"/>
      <c r="X55" s="5"/>
      <c r="Z55" s="5"/>
      <c r="AB55" s="5"/>
      <c r="AD55" s="5">
        <v>0</v>
      </c>
      <c r="AF55" s="5">
        <v>0</v>
      </c>
      <c r="AH55" s="11">
        <f t="shared" ref="AH55:AH62" si="14">SUM(H55:AF55)</f>
        <v>0</v>
      </c>
    </row>
    <row r="56" spans="1:34">
      <c r="A56" s="1">
        <f>MAX($A$11:A55)+1</f>
        <v>39</v>
      </c>
      <c r="B56" t="s">
        <v>49</v>
      </c>
      <c r="D56" s="5">
        <v>-503192584</v>
      </c>
      <c r="F56" s="5">
        <v>16084595</v>
      </c>
      <c r="H56" s="13">
        <f t="shared" ref="H56:H62" si="15">D56+F56</f>
        <v>-487107989</v>
      </c>
      <c r="J56" s="5"/>
      <c r="K56" s="9"/>
      <c r="L56" s="5"/>
      <c r="M56" s="9"/>
      <c r="N56" s="5"/>
      <c r="O56" s="9"/>
      <c r="P56" s="5"/>
      <c r="Q56" s="9"/>
      <c r="R56" s="5"/>
      <c r="T56" s="5"/>
      <c r="V56" s="5"/>
      <c r="X56" s="5"/>
      <c r="Z56" s="5"/>
      <c r="AB56" s="5"/>
      <c r="AD56" s="5">
        <v>0</v>
      </c>
      <c r="AF56" s="5">
        <v>0</v>
      </c>
      <c r="AH56" s="11">
        <f t="shared" si="14"/>
        <v>-487107989</v>
      </c>
    </row>
    <row r="57" spans="1:34">
      <c r="A57" s="1">
        <f>MAX($A$11:A56)+1</f>
        <v>40</v>
      </c>
      <c r="B57" t="s">
        <v>50</v>
      </c>
      <c r="D57" s="5">
        <v>-34606345</v>
      </c>
      <c r="F57" s="5">
        <v>0</v>
      </c>
      <c r="H57" s="13">
        <f t="shared" si="15"/>
        <v>-34606345</v>
      </c>
      <c r="J57" s="5"/>
      <c r="K57" s="9"/>
      <c r="L57" s="5"/>
      <c r="M57" s="9"/>
      <c r="N57" s="5"/>
      <c r="O57" s="9"/>
      <c r="P57" s="5"/>
      <c r="Q57" s="9"/>
      <c r="R57" s="5"/>
      <c r="T57" s="5"/>
      <c r="V57" s="5"/>
      <c r="X57" s="5"/>
      <c r="Z57" s="5"/>
      <c r="AB57" s="5"/>
      <c r="AD57" s="5">
        <v>0</v>
      </c>
      <c r="AF57" s="5">
        <v>0</v>
      </c>
      <c r="AH57" s="11">
        <f t="shared" si="14"/>
        <v>-34606345</v>
      </c>
    </row>
    <row r="58" spans="1:34">
      <c r="A58" s="1">
        <f>MAX($A$11:A57)+1</f>
        <v>41</v>
      </c>
      <c r="B58" t="s">
        <v>51</v>
      </c>
      <c r="D58" s="5">
        <v>-128569574</v>
      </c>
      <c r="F58" s="5">
        <v>-12019788</v>
      </c>
      <c r="H58" s="13">
        <f t="shared" si="15"/>
        <v>-140589362</v>
      </c>
      <c r="J58" s="5"/>
      <c r="K58" s="9"/>
      <c r="L58" s="5"/>
      <c r="M58" s="9"/>
      <c r="N58" s="5"/>
      <c r="O58" s="9"/>
      <c r="P58" s="5"/>
      <c r="Q58" s="9"/>
      <c r="R58" s="5"/>
      <c r="T58" s="5"/>
      <c r="V58" s="5"/>
      <c r="X58" s="5"/>
      <c r="Z58" s="5"/>
      <c r="AB58" s="5"/>
      <c r="AD58" s="5">
        <v>0</v>
      </c>
      <c r="AF58" s="5">
        <v>0</v>
      </c>
      <c r="AH58" s="11">
        <f t="shared" si="14"/>
        <v>-140589362</v>
      </c>
    </row>
    <row r="59" spans="1:34">
      <c r="A59" s="1">
        <f>MAX($A$11:A58)+1</f>
        <v>42</v>
      </c>
      <c r="B59" t="s">
        <v>52</v>
      </c>
      <c r="D59" s="5">
        <v>-1096753</v>
      </c>
      <c r="F59" s="5">
        <v>144386</v>
      </c>
      <c r="H59" s="13">
        <f t="shared" si="15"/>
        <v>-952367</v>
      </c>
      <c r="J59" s="5"/>
      <c r="K59" s="9"/>
      <c r="L59" s="5"/>
      <c r="M59" s="9"/>
      <c r="N59" s="5"/>
      <c r="O59" s="9"/>
      <c r="P59" s="5"/>
      <c r="Q59" s="9"/>
      <c r="R59" s="5"/>
      <c r="T59" s="5"/>
      <c r="V59" s="5"/>
      <c r="X59" s="5"/>
      <c r="Z59" s="5"/>
      <c r="AB59" s="5"/>
      <c r="AD59" s="5">
        <v>0</v>
      </c>
      <c r="AF59" s="5">
        <v>0</v>
      </c>
      <c r="AH59" s="11">
        <f t="shared" si="14"/>
        <v>-952367</v>
      </c>
    </row>
    <row r="60" spans="1:34">
      <c r="A60" s="1">
        <f>MAX($A$11:A59)+1</f>
        <v>43</v>
      </c>
      <c r="B60" t="s">
        <v>53</v>
      </c>
      <c r="D60" s="5">
        <v>-334500</v>
      </c>
      <c r="F60" s="5">
        <v>23143</v>
      </c>
      <c r="H60" s="13">
        <f t="shared" si="15"/>
        <v>-311357</v>
      </c>
      <c r="J60" s="5"/>
      <c r="K60" s="9"/>
      <c r="L60" s="5"/>
      <c r="M60" s="9"/>
      <c r="N60" s="5"/>
      <c r="O60" s="9"/>
      <c r="P60" s="5"/>
      <c r="Q60" s="9"/>
      <c r="R60" s="5"/>
      <c r="T60" s="5"/>
      <c r="V60" s="5"/>
      <c r="X60" s="5"/>
      <c r="Z60" s="5"/>
      <c r="AB60" s="5"/>
      <c r="AD60" s="5">
        <v>0</v>
      </c>
      <c r="AF60" s="5">
        <v>0</v>
      </c>
      <c r="AH60" s="11">
        <f t="shared" si="14"/>
        <v>-311357</v>
      </c>
    </row>
    <row r="61" spans="1:34">
      <c r="A61" s="1">
        <f>MAX($A$11:A60)+1</f>
        <v>44</v>
      </c>
      <c r="B61" t="s">
        <v>54</v>
      </c>
      <c r="D61" s="5">
        <v>0</v>
      </c>
      <c r="F61" s="5">
        <v>-2980496</v>
      </c>
      <c r="H61" s="13">
        <f t="shared" si="15"/>
        <v>-2980496</v>
      </c>
      <c r="J61" s="5"/>
      <c r="K61" s="9"/>
      <c r="L61" s="5"/>
      <c r="M61" s="9"/>
      <c r="N61" s="5"/>
      <c r="O61" s="9"/>
      <c r="P61" s="5"/>
      <c r="Q61" s="9"/>
      <c r="R61" s="5"/>
      <c r="T61" s="5"/>
      <c r="V61" s="5"/>
      <c r="X61" s="5"/>
      <c r="Z61" s="5"/>
      <c r="AB61" s="5"/>
      <c r="AD61" s="5">
        <v>0</v>
      </c>
      <c r="AF61" s="5">
        <v>0</v>
      </c>
      <c r="AH61" s="11">
        <f t="shared" si="14"/>
        <v>-2980496</v>
      </c>
    </row>
    <row r="62" spans="1:34">
      <c r="A62" s="1">
        <f>MAX($A$11:A61)+1</f>
        <v>45</v>
      </c>
      <c r="B62" t="s">
        <v>55</v>
      </c>
      <c r="D62" s="5">
        <v>-4865967</v>
      </c>
      <c r="F62" s="5">
        <v>-3238463</v>
      </c>
      <c r="H62" s="13">
        <f t="shared" si="15"/>
        <v>-8104430</v>
      </c>
      <c r="J62" s="5"/>
      <c r="K62" s="9"/>
      <c r="L62" s="5"/>
      <c r="M62" s="9"/>
      <c r="N62" s="5"/>
      <c r="O62" s="9"/>
      <c r="P62" s="5"/>
      <c r="Q62" s="9"/>
      <c r="R62" s="5"/>
      <c r="T62" s="5"/>
      <c r="V62" s="5"/>
      <c r="X62" s="5"/>
      <c r="Z62" s="5"/>
      <c r="AB62" s="5"/>
      <c r="AD62" s="5">
        <v>0</v>
      </c>
      <c r="AF62" s="5">
        <v>0</v>
      </c>
      <c r="AH62" s="11">
        <f t="shared" si="14"/>
        <v>-8104430</v>
      </c>
    </row>
    <row r="63" spans="1:34">
      <c r="A63" s="1">
        <f>MAX($A$11:A62)+1</f>
        <v>46</v>
      </c>
      <c r="B63" s="3" t="s">
        <v>56</v>
      </c>
      <c r="D63" s="6">
        <f>SUM(D56:D62)</f>
        <v>-672665723</v>
      </c>
      <c r="F63" s="6">
        <f>SUM(F56:F62)</f>
        <v>-1986623</v>
      </c>
      <c r="H63" s="6">
        <f>SUM(H56:H62)</f>
        <v>-674652346</v>
      </c>
      <c r="J63" s="6">
        <f>SUM(J56:J62)</f>
        <v>0</v>
      </c>
      <c r="K63" s="9"/>
      <c r="L63" s="6">
        <f>SUM(L56:L62)</f>
        <v>0</v>
      </c>
      <c r="M63" s="9"/>
      <c r="N63" s="6">
        <f>SUM(N56:N62)</f>
        <v>0</v>
      </c>
      <c r="O63" s="9"/>
      <c r="P63" s="6">
        <f>SUM(P56:P62)</f>
        <v>0</v>
      </c>
      <c r="Q63" s="9"/>
      <c r="R63" s="6">
        <f>SUM(R56:R62)</f>
        <v>0</v>
      </c>
      <c r="T63" s="6">
        <f>SUM(T56:T62)</f>
        <v>0</v>
      </c>
      <c r="V63" s="6">
        <f>SUM(V56:V62)</f>
        <v>0</v>
      </c>
      <c r="X63" s="6">
        <f>SUM(X56:X62)</f>
        <v>0</v>
      </c>
      <c r="Z63" s="6">
        <f>SUM(Z56:Z62)</f>
        <v>0</v>
      </c>
      <c r="AB63" s="6">
        <f>SUM(AB56:AB62)</f>
        <v>0</v>
      </c>
      <c r="AD63" s="6"/>
      <c r="AF63" s="6"/>
      <c r="AH63" s="6">
        <f>SUM(AH56:AH62)</f>
        <v>-674652346</v>
      </c>
    </row>
    <row r="64" spans="1:34">
      <c r="D64" s="5"/>
      <c r="F64" s="5"/>
      <c r="J64" s="5"/>
      <c r="K64" s="9"/>
      <c r="L64" s="5"/>
      <c r="M64" s="9"/>
      <c r="N64" s="5"/>
      <c r="O64" s="9"/>
      <c r="P64" s="5"/>
      <c r="Q64" s="9"/>
      <c r="R64" s="5"/>
      <c r="T64" s="5"/>
      <c r="V64" s="5"/>
      <c r="X64" s="5"/>
      <c r="Z64" s="5"/>
      <c r="AB64" s="5"/>
      <c r="AD64" s="5">
        <v>0</v>
      </c>
      <c r="AF64" s="5">
        <v>0</v>
      </c>
      <c r="AH64" s="5"/>
    </row>
    <row r="65" spans="1:35" ht="15.75" thickBot="1">
      <c r="A65" s="1">
        <f>MAX($A$11:A64)+1</f>
        <v>47</v>
      </c>
      <c r="B65" s="3" t="s">
        <v>57</v>
      </c>
      <c r="D65" s="8">
        <f>D53+D63</f>
        <v>762847315</v>
      </c>
      <c r="F65" s="8">
        <f>F53+F63</f>
        <v>11905243</v>
      </c>
      <c r="H65" s="8">
        <f>H53+H63</f>
        <v>774752558</v>
      </c>
      <c r="J65" s="8">
        <f>J53+J63</f>
        <v>-11145151</v>
      </c>
      <c r="K65" s="9"/>
      <c r="L65" s="8">
        <f>L53+L63</f>
        <v>0</v>
      </c>
      <c r="M65" s="9"/>
      <c r="N65" s="8">
        <f>N53+N63</f>
        <v>0</v>
      </c>
      <c r="O65" s="9"/>
      <c r="P65" s="8">
        <f>P53+P63</f>
        <v>0</v>
      </c>
      <c r="Q65" s="9"/>
      <c r="R65" s="8">
        <f>R53+R63</f>
        <v>0</v>
      </c>
      <c r="T65" s="8">
        <f>T53+T63</f>
        <v>0</v>
      </c>
      <c r="V65" s="8">
        <f>V53+V63</f>
        <v>0</v>
      </c>
      <c r="X65" s="8">
        <f>X53+X63</f>
        <v>0</v>
      </c>
      <c r="Z65" s="8">
        <f>Z53+Z63</f>
        <v>0</v>
      </c>
      <c r="AB65" s="8">
        <f>AB53+AB63</f>
        <v>0</v>
      </c>
      <c r="AD65" s="8"/>
      <c r="AF65" s="8"/>
      <c r="AH65" s="8">
        <f>AH53+AH63</f>
        <v>763607407</v>
      </c>
    </row>
    <row r="66" spans="1:35" ht="15.75" thickTop="1">
      <c r="D66" s="5"/>
      <c r="F66" s="5"/>
      <c r="J66" s="5"/>
      <c r="K66" s="9"/>
      <c r="L66" s="5"/>
      <c r="M66" s="9"/>
      <c r="N66" s="5"/>
      <c r="O66" s="9"/>
      <c r="P66" s="5"/>
      <c r="Q66" s="9"/>
      <c r="R66" s="5"/>
      <c r="T66" s="5"/>
      <c r="V66" s="5"/>
      <c r="X66" s="5"/>
      <c r="Z66" s="5"/>
      <c r="AB66" s="5"/>
      <c r="AD66" s="5">
        <v>0</v>
      </c>
      <c r="AF66" s="5">
        <v>0</v>
      </c>
      <c r="AH66" s="5"/>
    </row>
    <row r="67" spans="1:35">
      <c r="A67" s="1">
        <f>MAX($A$11:A66)+1</f>
        <v>48</v>
      </c>
      <c r="B67" t="s">
        <v>58</v>
      </c>
      <c r="D67" s="4">
        <f>D39/D65</f>
        <v>6.0605393885406804E-2</v>
      </c>
      <c r="F67" s="4"/>
      <c r="H67" s="4">
        <f>H39/H65</f>
        <v>3.7996650280178873E-2</v>
      </c>
      <c r="J67" s="4"/>
      <c r="K67" s="82"/>
      <c r="L67" s="4"/>
      <c r="M67" s="82"/>
      <c r="N67" s="4"/>
      <c r="O67" s="82"/>
      <c r="P67" s="4"/>
      <c r="Q67" s="82"/>
      <c r="R67" s="4"/>
      <c r="T67" s="4"/>
      <c r="V67" s="4"/>
      <c r="X67" s="4"/>
      <c r="Z67" s="4"/>
      <c r="AB67" s="4"/>
      <c r="AD67" s="4"/>
      <c r="AF67" s="4"/>
      <c r="AH67" s="4"/>
    </row>
    <row r="68" spans="1:35">
      <c r="B68" t="s">
        <v>59</v>
      </c>
      <c r="D68" s="5"/>
      <c r="F68" s="5"/>
      <c r="J68" s="5"/>
      <c r="K68" s="9"/>
      <c r="L68" s="5"/>
      <c r="M68" s="9"/>
      <c r="N68" s="5"/>
      <c r="O68" s="9"/>
      <c r="P68" s="5"/>
      <c r="Q68" s="9"/>
      <c r="R68" s="5"/>
      <c r="T68" s="5"/>
      <c r="V68" s="5"/>
      <c r="X68" s="5"/>
      <c r="Z68" s="5"/>
      <c r="AB68" s="5"/>
      <c r="AD68" s="5"/>
      <c r="AF68" s="5"/>
      <c r="AH68" s="5"/>
    </row>
    <row r="69" spans="1:35">
      <c r="D69" s="5"/>
      <c r="F69" s="5"/>
      <c r="J69" s="5"/>
      <c r="K69" s="9"/>
      <c r="L69" s="5"/>
      <c r="M69" s="9"/>
      <c r="N69" s="5"/>
      <c r="O69" s="9"/>
      <c r="P69" s="5"/>
      <c r="Q69" s="9"/>
      <c r="R69" s="5"/>
      <c r="T69" s="5"/>
      <c r="V69" s="5"/>
      <c r="X69" s="5"/>
      <c r="Z69" s="5"/>
      <c r="AB69" s="5"/>
      <c r="AD69" s="5"/>
      <c r="AF69" s="5"/>
      <c r="AH69" s="5"/>
    </row>
    <row r="70" spans="1:35">
      <c r="B70" t="s">
        <v>60</v>
      </c>
      <c r="D70" s="5"/>
      <c r="F70" s="5"/>
      <c r="J70" s="5"/>
      <c r="K70" s="9"/>
      <c r="L70" s="5"/>
      <c r="M70" s="9"/>
      <c r="N70" s="5"/>
      <c r="O70" s="9"/>
      <c r="P70" s="5"/>
      <c r="Q70" s="9"/>
      <c r="R70" s="5"/>
      <c r="T70" s="5"/>
      <c r="V70" s="5"/>
      <c r="X70" s="5"/>
      <c r="Z70" s="5"/>
      <c r="AB70" s="5"/>
      <c r="AD70" s="5"/>
      <c r="AF70" s="5"/>
      <c r="AH70" s="5"/>
    </row>
    <row r="71" spans="1:35">
      <c r="A71" s="1">
        <f>MAX($A$11:A70)+1</f>
        <v>49</v>
      </c>
      <c r="B71" t="s">
        <v>61</v>
      </c>
      <c r="D71" s="5">
        <v>54626280</v>
      </c>
      <c r="F71" s="5">
        <v>-26997799</v>
      </c>
      <c r="H71" s="13">
        <f t="shared" ref="H71" si="16">D71+F71</f>
        <v>27628481</v>
      </c>
      <c r="J71" s="5">
        <f t="shared" ref="J71" si="17">J15-J28-J36</f>
        <v>0</v>
      </c>
      <c r="K71" s="9"/>
      <c r="L71" s="5">
        <f t="shared" ref="L71" si="18">L15-L28-L36</f>
        <v>700000</v>
      </c>
      <c r="M71" s="9"/>
      <c r="N71" s="5">
        <f t="shared" ref="N71" si="19">N15-N28-N36</f>
        <v>2238744.3313934933</v>
      </c>
      <c r="O71" s="9"/>
      <c r="P71" s="5">
        <f>P15-P28-P36</f>
        <v>281450.43653000006</v>
      </c>
      <c r="Q71" s="9"/>
      <c r="R71" s="5">
        <f t="shared" ref="R71" si="20">R15-R28-R36</f>
        <v>373893</v>
      </c>
      <c r="S71" s="9"/>
      <c r="T71" s="5">
        <f t="shared" ref="T71" si="21">T15-T28-T36</f>
        <v>48931</v>
      </c>
      <c r="U71" s="9"/>
      <c r="V71" s="5">
        <f t="shared" ref="V71" si="22">V15-V28-V36</f>
        <v>169675</v>
      </c>
      <c r="W71" s="9"/>
      <c r="X71" s="5">
        <f t="shared" ref="X71" si="23">X15-X28-X36</f>
        <v>22112</v>
      </c>
      <c r="Y71" s="9"/>
      <c r="Z71" s="5">
        <f t="shared" ref="Z71" si="24">Z15-Z28-Z36</f>
        <v>128365.53476496979</v>
      </c>
      <c r="AA71" s="9"/>
      <c r="AB71" s="5">
        <f t="shared" ref="AB71" si="25">AB15-AB28-AB36</f>
        <v>171180</v>
      </c>
      <c r="AC71" s="9"/>
      <c r="AD71" s="5">
        <v>5431389.9759122897</v>
      </c>
      <c r="AE71" s="126"/>
      <c r="AF71" s="5">
        <v>8274970.7730191462</v>
      </c>
      <c r="AG71" s="9"/>
      <c r="AH71" s="11">
        <f t="shared" ref="AH71:AH76" si="26">SUM(H71:AF71)</f>
        <v>45469193.051619902</v>
      </c>
      <c r="AI71" s="9"/>
    </row>
    <row r="72" spans="1:35">
      <c r="A72" s="1">
        <f>MAX($A$11:A71)+1</f>
        <v>50</v>
      </c>
      <c r="B72" t="s">
        <v>62</v>
      </c>
      <c r="D72" s="5"/>
      <c r="F72" s="5"/>
      <c r="J72" s="5"/>
      <c r="K72" s="9"/>
      <c r="L72" s="5"/>
      <c r="M72" s="9"/>
      <c r="N72" s="5"/>
      <c r="O72" s="9"/>
      <c r="P72" s="5"/>
      <c r="Q72" s="9"/>
      <c r="R72" s="5"/>
      <c r="T72" s="5"/>
      <c r="V72" s="5"/>
      <c r="X72" s="5"/>
      <c r="Z72" s="5"/>
      <c r="AB72" s="5"/>
      <c r="AD72" s="5">
        <v>0</v>
      </c>
      <c r="AF72" s="5">
        <v>0</v>
      </c>
      <c r="AH72" s="11">
        <f t="shared" si="26"/>
        <v>0</v>
      </c>
    </row>
    <row r="73" spans="1:35">
      <c r="A73" s="1">
        <f>MAX($A$11:A72)+1</f>
        <v>51</v>
      </c>
      <c r="B73" t="s">
        <v>63</v>
      </c>
      <c r="D73" s="9">
        <v>-4599793</v>
      </c>
      <c r="F73" s="9">
        <v>217013</v>
      </c>
      <c r="H73" s="13">
        <f t="shared" ref="H73:H76" si="27">D73+F73</f>
        <v>-4382780</v>
      </c>
      <c r="J73" s="9"/>
      <c r="K73" s="9"/>
      <c r="L73" s="9"/>
      <c r="M73" s="9"/>
      <c r="N73" s="9"/>
      <c r="O73" s="9"/>
      <c r="P73" s="9"/>
      <c r="Q73" s="9"/>
      <c r="R73" s="9"/>
      <c r="T73" s="9"/>
      <c r="V73" s="9"/>
      <c r="X73" s="9"/>
      <c r="Z73" s="9"/>
      <c r="AB73" s="9"/>
      <c r="AD73" s="9">
        <v>0</v>
      </c>
      <c r="AF73" s="9">
        <v>0</v>
      </c>
      <c r="AH73" s="11">
        <f t="shared" si="26"/>
        <v>-4382780</v>
      </c>
    </row>
    <row r="74" spans="1:35">
      <c r="A74" s="1">
        <f>MAX($A$11:A73)+1</f>
        <v>52</v>
      </c>
      <c r="B74" t="s">
        <v>64</v>
      </c>
      <c r="D74" s="9">
        <v>25236151</v>
      </c>
      <c r="F74" s="9">
        <v>-3514879</v>
      </c>
      <c r="H74" s="13">
        <f t="shared" si="27"/>
        <v>21721272</v>
      </c>
      <c r="J74" s="9"/>
      <c r="K74" s="9"/>
      <c r="L74" s="9"/>
      <c r="M74" s="9"/>
      <c r="N74" s="9"/>
      <c r="O74" s="9"/>
      <c r="P74" s="9"/>
      <c r="Q74" s="9"/>
      <c r="R74" s="9"/>
      <c r="T74" s="9"/>
      <c r="V74" s="9"/>
      <c r="X74" s="9"/>
      <c r="Z74" s="9"/>
      <c r="AB74" s="9"/>
      <c r="AD74" s="9">
        <v>0</v>
      </c>
      <c r="AF74" s="9">
        <v>0</v>
      </c>
      <c r="AH74" s="11">
        <f t="shared" si="26"/>
        <v>21721272</v>
      </c>
    </row>
    <row r="75" spans="1:35">
      <c r="A75" s="1">
        <f>MAX($A$11:A74)+1</f>
        <v>53</v>
      </c>
      <c r="B75" t="s">
        <v>65</v>
      </c>
      <c r="D75" s="9">
        <v>64493174</v>
      </c>
      <c r="F75" s="9">
        <v>-517510</v>
      </c>
      <c r="H75" s="13">
        <f t="shared" si="27"/>
        <v>63975664</v>
      </c>
      <c r="J75" s="9"/>
      <c r="K75" s="9"/>
      <c r="L75" s="9"/>
      <c r="M75" s="9"/>
      <c r="N75" s="9"/>
      <c r="O75" s="9"/>
      <c r="P75" s="9"/>
      <c r="Q75" s="9"/>
      <c r="R75" s="9"/>
      <c r="T75" s="9"/>
      <c r="V75" s="9"/>
      <c r="X75" s="9"/>
      <c r="Z75" s="9"/>
      <c r="AB75" s="9"/>
      <c r="AD75" s="9">
        <v>0</v>
      </c>
      <c r="AF75" s="9">
        <v>0</v>
      </c>
      <c r="AH75" s="11">
        <f t="shared" si="26"/>
        <v>63975664</v>
      </c>
    </row>
    <row r="76" spans="1:35">
      <c r="A76" s="1">
        <f>MAX($A$11:A75)+1</f>
        <v>54</v>
      </c>
      <c r="B76" t="s">
        <v>66</v>
      </c>
      <c r="D76" s="7">
        <v>138386468</v>
      </c>
      <c r="F76" s="7">
        <v>-536588</v>
      </c>
      <c r="H76" s="14">
        <f t="shared" si="27"/>
        <v>137849880</v>
      </c>
      <c r="J76" s="7"/>
      <c r="K76" s="9"/>
      <c r="L76" s="7"/>
      <c r="M76" s="9"/>
      <c r="N76" s="7"/>
      <c r="O76" s="9"/>
      <c r="P76" s="7"/>
      <c r="Q76" s="9"/>
      <c r="R76" s="7"/>
      <c r="T76" s="7"/>
      <c r="V76" s="7"/>
      <c r="X76" s="7"/>
      <c r="Z76" s="7"/>
      <c r="AB76" s="7"/>
      <c r="AD76" s="7">
        <v>0</v>
      </c>
      <c r="AF76" s="7">
        <v>0</v>
      </c>
      <c r="AH76" s="11">
        <f t="shared" si="26"/>
        <v>137849880</v>
      </c>
    </row>
    <row r="77" spans="1:35">
      <c r="A77" s="1">
        <f>MAX($A$11:A76)+1</f>
        <v>55</v>
      </c>
      <c r="B77" t="s">
        <v>67</v>
      </c>
      <c r="D77" s="5">
        <f>D71-D73-D74+D75-D76</f>
        <v>-39903372</v>
      </c>
      <c r="F77" s="5">
        <f>F71-F73-F74+F75-F76</f>
        <v>-23680855</v>
      </c>
      <c r="H77" s="5">
        <f>H71-H73-H74+H75-H76</f>
        <v>-63584227</v>
      </c>
      <c r="J77" s="5">
        <f>J71-J73-J74+J75-J76</f>
        <v>0</v>
      </c>
      <c r="K77" s="9"/>
      <c r="L77" s="5">
        <f>L71-L73-L74+L75-L76</f>
        <v>700000</v>
      </c>
      <c r="M77" s="9"/>
      <c r="N77" s="5">
        <f>N71-N73-N74+N75-N76</f>
        <v>2238744.3313934933</v>
      </c>
      <c r="O77" s="9"/>
      <c r="P77" s="5">
        <f>P71-P73-P74+P75-P76</f>
        <v>281450.43653000006</v>
      </c>
      <c r="Q77" s="9"/>
      <c r="R77" s="5">
        <f>R71-R73-R74+R75-R76</f>
        <v>373893</v>
      </c>
      <c r="T77" s="5">
        <f>T71-T73-T74+T75-T76</f>
        <v>48931</v>
      </c>
      <c r="V77" s="5">
        <f>V71-V73-V74+V75-V76</f>
        <v>169675</v>
      </c>
      <c r="X77" s="5">
        <f>X71-X73-X74+X75-X76</f>
        <v>22112</v>
      </c>
      <c r="Z77" s="5">
        <f>Z71-Z73-Z74+Z75-Z76</f>
        <v>128365.53476496979</v>
      </c>
      <c r="AB77" s="5">
        <f>AB71-AB73-AB74+AB75-AB76</f>
        <v>171180</v>
      </c>
      <c r="AD77" s="5">
        <v>5431389.9759122897</v>
      </c>
      <c r="AF77" s="5">
        <v>8274970.7730191462</v>
      </c>
      <c r="AH77" s="5">
        <f>AH71-AH73-AH74+AH75-AH76</f>
        <v>-45743514.948380098</v>
      </c>
    </row>
    <row r="78" spans="1:35">
      <c r="D78" s="5"/>
      <c r="F78" s="5"/>
      <c r="K78" s="9"/>
      <c r="M78" s="9"/>
      <c r="O78" s="9"/>
      <c r="Q78" s="9"/>
    </row>
    <row r="79" spans="1:35">
      <c r="A79" s="1">
        <f>MAX($A$11:A78)+1</f>
        <v>56</v>
      </c>
      <c r="B79" t="s">
        <v>68</v>
      </c>
      <c r="D79" s="5">
        <v>0</v>
      </c>
      <c r="F79" s="5">
        <v>0</v>
      </c>
      <c r="H79" s="13">
        <f t="shared" ref="H79:AB79" si="28">D79+F79</f>
        <v>0</v>
      </c>
      <c r="J79" s="13">
        <f t="shared" si="28"/>
        <v>0</v>
      </c>
      <c r="K79" s="9"/>
      <c r="L79" s="13">
        <f t="shared" si="28"/>
        <v>0</v>
      </c>
      <c r="M79" s="9"/>
      <c r="N79" s="13">
        <f t="shared" si="28"/>
        <v>0</v>
      </c>
      <c r="O79" s="9"/>
      <c r="P79" s="13">
        <f t="shared" si="28"/>
        <v>0</v>
      </c>
      <c r="Q79" s="9"/>
      <c r="R79" s="13">
        <f t="shared" si="28"/>
        <v>0</v>
      </c>
      <c r="T79" s="13">
        <f t="shared" si="28"/>
        <v>0</v>
      </c>
      <c r="V79" s="13">
        <f t="shared" si="28"/>
        <v>0</v>
      </c>
      <c r="X79" s="13">
        <f t="shared" si="28"/>
        <v>0</v>
      </c>
      <c r="Z79" s="13">
        <f t="shared" si="28"/>
        <v>0</v>
      </c>
      <c r="AB79" s="13">
        <f t="shared" si="28"/>
        <v>0</v>
      </c>
      <c r="AD79" s="13">
        <v>0</v>
      </c>
      <c r="AF79" s="13">
        <v>0</v>
      </c>
      <c r="AH79" s="11">
        <f>SUM(H79:AF79)</f>
        <v>0</v>
      </c>
    </row>
    <row r="80" spans="1:35" ht="15.75" thickBot="1">
      <c r="A80" s="1">
        <f>MAX($A$11:A79)+1</f>
        <v>57</v>
      </c>
      <c r="B80" t="s">
        <v>69</v>
      </c>
      <c r="D80" s="10">
        <f>D77+D79</f>
        <v>-39903372</v>
      </c>
      <c r="F80" s="10">
        <f>F77+F79</f>
        <v>-23680855</v>
      </c>
      <c r="H80" s="10">
        <f>H77+H79</f>
        <v>-63584227</v>
      </c>
      <c r="J80" s="10">
        <f>J77+J79</f>
        <v>0</v>
      </c>
      <c r="K80" s="9"/>
      <c r="L80" s="10">
        <f>L77+L79</f>
        <v>700000</v>
      </c>
      <c r="M80" s="9"/>
      <c r="N80" s="10">
        <f>N77+N79</f>
        <v>2238744.3313934933</v>
      </c>
      <c r="O80" s="9"/>
      <c r="P80" s="10">
        <f>P77+P79</f>
        <v>281450.43653000006</v>
      </c>
      <c r="Q80" s="9"/>
      <c r="R80" s="10">
        <f>R77+R79</f>
        <v>373893</v>
      </c>
      <c r="T80" s="10">
        <f>T77+T79</f>
        <v>48931</v>
      </c>
      <c r="V80" s="10">
        <f>V77+V79</f>
        <v>169675</v>
      </c>
      <c r="X80" s="10">
        <f>X77+X79</f>
        <v>22112</v>
      </c>
      <c r="Z80" s="10">
        <f>Z77+Z79</f>
        <v>128365.53476496979</v>
      </c>
      <c r="AB80" s="10">
        <f>AB77+AB79</f>
        <v>171180</v>
      </c>
      <c r="AD80" s="10">
        <v>5431389.9759122897</v>
      </c>
      <c r="AF80" s="10">
        <v>8274970.7730191462</v>
      </c>
      <c r="AH80" s="10">
        <f>AH77+AH79</f>
        <v>-45743514.948380098</v>
      </c>
    </row>
    <row r="81" spans="1:34" ht="15.75" thickTop="1">
      <c r="D81" s="5"/>
      <c r="F81" s="5"/>
      <c r="J81" s="5"/>
      <c r="K81" s="9"/>
      <c r="L81" s="5"/>
      <c r="M81" s="9"/>
      <c r="N81" s="5"/>
      <c r="O81" s="9"/>
      <c r="P81" s="5"/>
      <c r="Q81" s="9"/>
      <c r="R81" s="5"/>
      <c r="T81" s="5"/>
      <c r="V81" s="5"/>
      <c r="X81" s="5"/>
      <c r="Z81" s="5"/>
      <c r="AB81" s="5"/>
      <c r="AD81" s="5"/>
      <c r="AF81" s="5"/>
      <c r="AH81" s="5"/>
    </row>
    <row r="82" spans="1:34" ht="15.75" thickBot="1">
      <c r="A82" s="1">
        <f>MAX($A$11:A81)+1</f>
        <v>58</v>
      </c>
      <c r="B82" t="s">
        <v>70</v>
      </c>
      <c r="D82" s="8">
        <f>0.35*D80</f>
        <v>-13966180.199999999</v>
      </c>
      <c r="F82" s="8">
        <v>-13927036</v>
      </c>
      <c r="H82" s="8">
        <f t="shared" ref="H82" si="29">D82+F82</f>
        <v>-27893216.199999999</v>
      </c>
      <c r="J82" s="8">
        <f>J80*0.35</f>
        <v>0</v>
      </c>
      <c r="K82" s="9"/>
      <c r="L82" s="8">
        <f t="shared" ref="L82" si="30">L80*0.35</f>
        <v>244999.99999999997</v>
      </c>
      <c r="M82" s="9"/>
      <c r="N82" s="8">
        <f t="shared" ref="N82" si="31">N80*0.35</f>
        <v>783560.51598772267</v>
      </c>
      <c r="O82" s="9"/>
      <c r="P82" s="8">
        <f t="shared" ref="P82" si="32">P80*0.35</f>
        <v>98507.652785500017</v>
      </c>
      <c r="Q82" s="9"/>
      <c r="R82" s="8">
        <f t="shared" ref="R82" si="33">R80*0.35</f>
        <v>130862.54999999999</v>
      </c>
      <c r="S82" s="9"/>
      <c r="T82" s="8">
        <f t="shared" ref="T82" si="34">T80*0.35</f>
        <v>17125.849999999999</v>
      </c>
      <c r="U82" s="9"/>
      <c r="V82" s="8">
        <f t="shared" ref="V82" si="35">V80*0.35</f>
        <v>59386.249999999993</v>
      </c>
      <c r="W82" s="9"/>
      <c r="X82" s="8">
        <f t="shared" ref="X82" si="36">X80*0.35</f>
        <v>7739.2</v>
      </c>
      <c r="Y82" s="9"/>
      <c r="Z82" s="8">
        <f t="shared" ref="Z82" si="37">Z80*0.35</f>
        <v>44927.937167739423</v>
      </c>
      <c r="AA82" s="9"/>
      <c r="AB82" s="8">
        <f t="shared" ref="AB82" si="38">AB80*0.35</f>
        <v>59912.999999999993</v>
      </c>
      <c r="AC82" s="9"/>
      <c r="AD82" s="8">
        <v>1900986.4915693013</v>
      </c>
      <c r="AE82" s="126"/>
      <c r="AF82" s="8">
        <v>2896239.7705567013</v>
      </c>
      <c r="AG82" s="9"/>
      <c r="AH82" s="8">
        <f t="shared" ref="AH82" si="39">AH80*0.35</f>
        <v>-16010230.231933033</v>
      </c>
    </row>
    <row r="83" spans="1:34" ht="15.75" thickTop="1"/>
    <row r="85" spans="1:34">
      <c r="A85" s="122" t="s">
        <v>488</v>
      </c>
      <c r="F85" s="12"/>
    </row>
    <row r="86" spans="1:34" ht="17.25">
      <c r="A86" s="125" t="s">
        <v>490</v>
      </c>
      <c r="F86" s="12"/>
    </row>
  </sheetData>
  <mergeCells count="2">
    <mergeCell ref="A1:AH1"/>
    <mergeCell ref="A4:AH4"/>
  </mergeCells>
  <pageMargins left="0.7" right="0.7" top="0.75" bottom="0.75" header="0.3" footer="0.3"/>
  <pageSetup paperSize="3" scale="5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N23"/>
  <sheetViews>
    <sheetView workbookViewId="0">
      <selection activeCell="A6" sqref="A6"/>
    </sheetView>
  </sheetViews>
  <sheetFormatPr defaultRowHeight="14.25"/>
  <cols>
    <col min="1" max="1" width="9.140625" style="16"/>
    <col min="2" max="2" width="12.85546875" style="16" customWidth="1"/>
    <col min="3" max="3" width="12.7109375" style="16" bestFit="1" customWidth="1"/>
    <col min="4" max="4" width="18.5703125" style="16" bestFit="1" customWidth="1"/>
    <col min="5" max="5" width="15.7109375" style="16" bestFit="1" customWidth="1"/>
    <col min="6" max="6" width="9.140625" style="16"/>
    <col min="7" max="7" width="10.42578125" style="16" bestFit="1" customWidth="1"/>
    <col min="8" max="8" width="12.42578125" style="16" bestFit="1" customWidth="1"/>
    <col min="9" max="16384" width="9.140625" style="16"/>
  </cols>
  <sheetData>
    <row r="1" spans="2:5" ht="15">
      <c r="B1" s="53" t="s">
        <v>116</v>
      </c>
    </row>
    <row r="2" spans="2:5" ht="15">
      <c r="B2" s="56">
        <v>2009</v>
      </c>
    </row>
    <row r="3" spans="2:5">
      <c r="C3" s="19"/>
      <c r="D3" s="19"/>
    </row>
    <row r="4" spans="2:5" ht="45">
      <c r="C4" s="55" t="s">
        <v>128</v>
      </c>
      <c r="D4" s="55" t="s">
        <v>129</v>
      </c>
      <c r="E4" s="55" t="s">
        <v>130</v>
      </c>
    </row>
    <row r="5" spans="2:5" ht="15">
      <c r="B5" s="46" t="s">
        <v>118</v>
      </c>
      <c r="C5" s="23">
        <v>104746</v>
      </c>
      <c r="D5" s="23">
        <v>1584590296</v>
      </c>
      <c r="E5" s="24">
        <f>D5/C5</f>
        <v>15127.931338666871</v>
      </c>
    </row>
    <row r="6" spans="2:5" ht="15">
      <c r="B6" s="46" t="s">
        <v>119</v>
      </c>
      <c r="C6" s="23">
        <v>19911</v>
      </c>
      <c r="D6" s="23">
        <v>1456466358</v>
      </c>
      <c r="E6" s="24">
        <f>D6/C6</f>
        <v>73148.830194364928</v>
      </c>
    </row>
    <row r="7" spans="2:5" ht="15">
      <c r="B7" s="46" t="s">
        <v>120</v>
      </c>
      <c r="C7" s="23">
        <v>715</v>
      </c>
      <c r="D7" s="23">
        <v>832897299</v>
      </c>
      <c r="E7" s="24">
        <f t="shared" ref="E7:E8" si="0">D7/C7</f>
        <v>1164891.3272727274</v>
      </c>
    </row>
    <row r="8" spans="2:5" ht="15">
      <c r="B8" s="46" t="s">
        <v>121</v>
      </c>
      <c r="C8" s="23">
        <v>5303</v>
      </c>
      <c r="D8" s="23">
        <v>168577999</v>
      </c>
      <c r="E8" s="24">
        <f t="shared" si="0"/>
        <v>31789.175749575712</v>
      </c>
    </row>
    <row r="11" spans="2:5">
      <c r="B11" s="46" t="s">
        <v>131</v>
      </c>
    </row>
    <row r="21" spans="14:14">
      <c r="N21" s="16">
        <f>ROUND(L19*N9,0)</f>
        <v>0</v>
      </c>
    </row>
    <row r="23" spans="14:14">
      <c r="N23" s="16">
        <f>118564883/1584590296</f>
        <v>7.4823683635634228E-2</v>
      </c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3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132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57">
        <f>'2005'!G25</f>
        <v>5.1108352209615231E-2</v>
      </c>
      <c r="D5" s="57">
        <f>'2006'!G25</f>
        <v>5.1632562795368028E-2</v>
      </c>
      <c r="E5" s="57">
        <f>'2007'!G25</f>
        <v>6.1660115191270647E-2</v>
      </c>
      <c r="F5" s="57">
        <f>'2008'!G25</f>
        <v>6.6140816773187686E-2</v>
      </c>
      <c r="G5" s="57">
        <f>'2009'!G25</f>
        <v>7.3072418973348333E-2</v>
      </c>
    </row>
    <row r="6" spans="2:7">
      <c r="B6" s="16" t="s">
        <v>119</v>
      </c>
      <c r="C6" s="57">
        <f>'2005'!G68</f>
        <v>5.417346333764627E-2</v>
      </c>
      <c r="D6" s="57">
        <f>'2006'!G68</f>
        <v>5.5152757236725268E-2</v>
      </c>
      <c r="E6" s="57">
        <f>'2007'!G68</f>
        <v>5.7004310704706206E-2</v>
      </c>
      <c r="F6" s="57">
        <f>'2008'!G68</f>
        <v>5.9438427640822585E-2</v>
      </c>
      <c r="G6" s="57">
        <f>'2009'!G68</f>
        <v>7.4416494428957855E-2</v>
      </c>
    </row>
    <row r="7" spans="2:7">
      <c r="B7" s="16" t="s">
        <v>120</v>
      </c>
      <c r="C7" s="57">
        <f>'2005'!G104</f>
        <v>4.5060059287824937E-2</v>
      </c>
      <c r="D7" s="57">
        <f>'2006'!G104</f>
        <v>4.5472138032515513E-2</v>
      </c>
      <c r="E7" s="57">
        <f>'2007'!G104</f>
        <v>4.6465921966157481E-2</v>
      </c>
      <c r="F7" s="57">
        <f>'2008'!G104</f>
        <v>4.8241251267435808E-2</v>
      </c>
      <c r="G7" s="57">
        <f>'2009'!G104</f>
        <v>5.5534713456197926E-2</v>
      </c>
    </row>
    <row r="8" spans="2:7">
      <c r="B8" s="16" t="s">
        <v>121</v>
      </c>
      <c r="C8" s="57">
        <f>'2005'!G122</f>
        <v>4.7844583969552629E-2</v>
      </c>
      <c r="D8" s="57">
        <f>'2006'!G122</f>
        <v>4.9725075332922919E-2</v>
      </c>
      <c r="E8" s="57">
        <f>'2007'!G122</f>
        <v>6.0320751843978976E-2</v>
      </c>
      <c r="F8" s="57">
        <f>'2008'!G122</f>
        <v>6.2389524238331079E-2</v>
      </c>
      <c r="G8" s="57">
        <f>'2009'!G122</f>
        <v>6.9115717847434838E-2</v>
      </c>
    </row>
    <row r="12" spans="2:7">
      <c r="C12" s="57"/>
      <c r="D12" s="57"/>
      <c r="E12" s="57"/>
      <c r="F12" s="57"/>
      <c r="G12" s="57"/>
    </row>
    <row r="14" spans="2:7">
      <c r="B14" s="16" t="s">
        <v>133</v>
      </c>
    </row>
    <row r="15" spans="2:7">
      <c r="B15" s="16" t="s">
        <v>118</v>
      </c>
      <c r="C15" s="57">
        <f>'2005'!G24</f>
        <v>7.9299999999999995E-2</v>
      </c>
      <c r="D15" s="57">
        <f>'2006'!G24</f>
        <v>8.6099999999999996E-2</v>
      </c>
      <c r="E15" s="57">
        <f>'2007'!G24</f>
        <v>-9.8900000000000002E-2</v>
      </c>
      <c r="F15" s="57">
        <f>'2008'!G24</f>
        <v>-0.40150000000000002</v>
      </c>
      <c r="G15" s="57">
        <f>'2009'!G24</f>
        <v>0</v>
      </c>
    </row>
    <row r="16" spans="2:7">
      <c r="B16" s="16" t="s">
        <v>119</v>
      </c>
      <c r="C16" s="57">
        <f>'2005'!G67</f>
        <v>6.7400000000000002E-2</v>
      </c>
      <c r="D16" s="57">
        <f>'2006'!G67</f>
        <v>6.3600000000000004E-2</v>
      </c>
      <c r="E16" s="57">
        <f>'2007'!G67</f>
        <v>1.52E-2</v>
      </c>
      <c r="F16" s="57">
        <f>'2008'!G67</f>
        <v>-2.3599999999999999E-2</v>
      </c>
      <c r="G16" s="57">
        <f>'2009'!G67</f>
        <v>6.6600000000000006E-2</v>
      </c>
    </row>
    <row r="17" spans="2:14">
      <c r="B17" s="16" t="s">
        <v>120</v>
      </c>
      <c r="C17" s="57">
        <f>'2005'!G103</f>
        <v>0.107</v>
      </c>
      <c r="D17" s="57">
        <f>'2006'!G103</f>
        <v>4.1799999999999997E-2</v>
      </c>
      <c r="E17" s="57">
        <f>'2007'!G103</f>
        <v>2.6200000000000001E-2</v>
      </c>
      <c r="F17" s="57">
        <f>'2008'!G103</f>
        <v>3.9600000000000003E-2</v>
      </c>
      <c r="G17" s="57">
        <f>'2009'!G103</f>
        <v>7.3800000000000004E-2</v>
      </c>
    </row>
    <row r="18" spans="2:14">
      <c r="B18" s="16" t="s">
        <v>121</v>
      </c>
      <c r="C18" s="57">
        <f>'2005'!G121</f>
        <v>4.6300000000000001E-2</v>
      </c>
      <c r="D18" s="57">
        <f>'2006'!G121</f>
        <v>0.22459999999999999</v>
      </c>
      <c r="E18" s="57">
        <f>'2007'!G121</f>
        <v>0.2823</v>
      </c>
      <c r="F18" s="57">
        <f>'2008'!G121</f>
        <v>0</v>
      </c>
      <c r="G18" s="57">
        <f>'2009'!G121</f>
        <v>0</v>
      </c>
    </row>
    <row r="19" spans="2:14">
      <c r="B19" s="16" t="s">
        <v>101</v>
      </c>
    </row>
    <row r="21" spans="2:14">
      <c r="B21" s="16" t="s">
        <v>102</v>
      </c>
      <c r="N21" s="16">
        <f>ROUND(L19*N9,0)</f>
        <v>0</v>
      </c>
    </row>
    <row r="22" spans="2:14">
      <c r="B22" s="16" t="s">
        <v>123</v>
      </c>
    </row>
    <row r="23" spans="2:14">
      <c r="B23" s="16" t="s">
        <v>103</v>
      </c>
      <c r="C23" s="16">
        <v>3</v>
      </c>
      <c r="N23" s="16">
        <f>118564883/1584590296</f>
        <v>7.4823683635634228E-2</v>
      </c>
    </row>
  </sheetData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zoomScale="80" zoomScaleNormal="80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20.28515625" style="16" customWidth="1"/>
    <col min="9" max="9" width="12.42578125" style="16" bestFit="1" customWidth="1"/>
    <col min="10" max="10" width="9.140625" style="16"/>
    <col min="11" max="11" width="11.28515625" style="16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2</v>
      </c>
      <c r="B4" s="16" t="s">
        <v>136</v>
      </c>
      <c r="D4" s="16">
        <v>203</v>
      </c>
    </row>
    <row r="5" spans="1:8">
      <c r="A5" s="16">
        <v>3</v>
      </c>
      <c r="B5" s="16" t="s">
        <v>137</v>
      </c>
      <c r="C5" s="16">
        <v>176</v>
      </c>
      <c r="D5" s="35">
        <v>12189</v>
      </c>
      <c r="E5" s="16">
        <v>9</v>
      </c>
      <c r="F5" s="35">
        <v>19556</v>
      </c>
      <c r="G5" s="16">
        <v>6.93E-2</v>
      </c>
    </row>
    <row r="6" spans="1:8">
      <c r="A6" s="16">
        <v>4</v>
      </c>
      <c r="B6" s="16" t="s">
        <v>137</v>
      </c>
      <c r="D6" s="16">
        <v>-556</v>
      </c>
    </row>
    <row r="7" spans="1:8">
      <c r="A7" s="16">
        <v>5</v>
      </c>
      <c r="B7" s="16" t="s">
        <v>138</v>
      </c>
      <c r="C7" s="35">
        <v>1107</v>
      </c>
      <c r="D7" s="35">
        <v>148783</v>
      </c>
      <c r="E7" s="35">
        <v>1192</v>
      </c>
      <c r="F7" s="16">
        <v>929</v>
      </c>
      <c r="G7" s="16">
        <v>0.13439999999999999</v>
      </c>
    </row>
    <row r="8" spans="1:8">
      <c r="A8" s="16">
        <v>6</v>
      </c>
      <c r="B8" s="16" t="s">
        <v>138</v>
      </c>
      <c r="D8" s="35">
        <v>-3218</v>
      </c>
    </row>
    <row r="9" spans="1:8">
      <c r="A9" s="16">
        <v>7</v>
      </c>
      <c r="B9" s="16" t="s">
        <v>139</v>
      </c>
      <c r="C9" s="35">
        <v>1627647</v>
      </c>
      <c r="D9" s="35">
        <v>117731011</v>
      </c>
      <c r="E9" s="35">
        <v>99334</v>
      </c>
      <c r="F9" s="35">
        <v>16386</v>
      </c>
      <c r="G9" s="16">
        <v>7.2300000000000003E-2</v>
      </c>
    </row>
    <row r="10" spans="1:8">
      <c r="A10" s="16">
        <v>8</v>
      </c>
      <c r="B10" s="16" t="s">
        <v>139</v>
      </c>
      <c r="D10" s="35">
        <v>-4816545</v>
      </c>
    </row>
    <row r="11" spans="1:8">
      <c r="A11" s="16">
        <v>9</v>
      </c>
      <c r="B11" s="16" t="s">
        <v>140</v>
      </c>
      <c r="C11" s="35">
        <v>71240</v>
      </c>
      <c r="D11" s="35">
        <v>5155472</v>
      </c>
      <c r="E11" s="35">
        <v>4101</v>
      </c>
      <c r="F11" s="35">
        <v>17371</v>
      </c>
      <c r="G11" s="16">
        <v>7.2400000000000006E-2</v>
      </c>
    </row>
    <row r="12" spans="1:8">
      <c r="A12" s="16">
        <v>10</v>
      </c>
      <c r="B12" s="16" t="s">
        <v>141</v>
      </c>
      <c r="D12" s="35">
        <v>-212576</v>
      </c>
    </row>
    <row r="13" spans="1:8">
      <c r="A13" s="16">
        <v>11</v>
      </c>
      <c r="B13" s="16" t="s">
        <v>142</v>
      </c>
      <c r="C13" s="35">
        <v>2668</v>
      </c>
      <c r="D13" s="35">
        <v>210785</v>
      </c>
      <c r="E13" s="16">
        <v>95</v>
      </c>
      <c r="F13" s="35">
        <v>28084</v>
      </c>
      <c r="G13" s="16">
        <v>7.9000000000000001E-2</v>
      </c>
    </row>
    <row r="14" spans="1:8">
      <c r="A14" s="16">
        <v>12</v>
      </c>
      <c r="B14" s="16" t="s">
        <v>142</v>
      </c>
      <c r="D14" s="35">
        <v>-7821</v>
      </c>
    </row>
    <row r="15" spans="1:8">
      <c r="A15" s="16">
        <v>13</v>
      </c>
      <c r="B15" s="16" t="s">
        <v>143</v>
      </c>
      <c r="C15" s="16">
        <v>583</v>
      </c>
      <c r="D15" s="35">
        <v>45322</v>
      </c>
      <c r="E15" s="16">
        <v>23</v>
      </c>
      <c r="F15" s="35">
        <v>25348</v>
      </c>
      <c r="G15" s="16">
        <v>7.7700000000000005E-2</v>
      </c>
    </row>
    <row r="16" spans="1:8">
      <c r="A16" s="16">
        <v>14</v>
      </c>
      <c r="B16" s="16" t="s">
        <v>143</v>
      </c>
      <c r="D16" s="35">
        <v>-1694</v>
      </c>
    </row>
    <row r="17" spans="1:8">
      <c r="A17" s="16">
        <v>15</v>
      </c>
      <c r="B17" s="16" t="s">
        <v>144</v>
      </c>
      <c r="D17" s="16">
        <v>-3</v>
      </c>
    </row>
    <row r="18" spans="1:8">
      <c r="A18" s="16">
        <v>16</v>
      </c>
      <c r="B18" s="16" t="s">
        <v>145</v>
      </c>
      <c r="D18" s="16">
        <v>1</v>
      </c>
    </row>
    <row r="19" spans="1:8">
      <c r="A19" s="16">
        <v>17</v>
      </c>
      <c r="B19" s="16" t="s">
        <v>146</v>
      </c>
      <c r="D19" s="16">
        <v>275</v>
      </c>
    </row>
    <row r="20" spans="1:8">
      <c r="A20" s="16">
        <v>18</v>
      </c>
      <c r="B20" s="16" t="s">
        <v>147</v>
      </c>
      <c r="D20" s="35">
        <v>-1905297</v>
      </c>
    </row>
    <row r="21" spans="1:8">
      <c r="A21" s="16">
        <v>19</v>
      </c>
      <c r="B21" s="16" t="s">
        <v>148</v>
      </c>
      <c r="D21" s="35">
        <v>196762</v>
      </c>
    </row>
    <row r="22" spans="1:8">
      <c r="A22" s="16">
        <v>20</v>
      </c>
      <c r="B22" s="16" t="s">
        <v>149</v>
      </c>
      <c r="D22" s="35">
        <v>7920000</v>
      </c>
    </row>
    <row r="23" spans="1:8">
      <c r="A23" s="16">
        <v>21</v>
      </c>
      <c r="B23" s="16" t="s">
        <v>150</v>
      </c>
      <c r="D23" s="35">
        <v>-15000</v>
      </c>
    </row>
    <row r="24" spans="1:8">
      <c r="A24" s="16">
        <v>22</v>
      </c>
      <c r="B24" s="16" t="s">
        <v>151</v>
      </c>
      <c r="C24" s="35">
        <v>-28567</v>
      </c>
      <c r="D24" s="35">
        <v>-1556000</v>
      </c>
    </row>
    <row r="25" spans="1:8" ht="15">
      <c r="A25" s="53" t="s">
        <v>152</v>
      </c>
      <c r="C25" s="60">
        <f>SUM(C4:C22)</f>
        <v>1703421</v>
      </c>
      <c r="D25" s="60">
        <f t="shared" ref="D25:E25" si="0">SUM(D4:D22)</f>
        <v>124473093</v>
      </c>
      <c r="E25" s="60">
        <f t="shared" si="0"/>
        <v>104754</v>
      </c>
      <c r="F25" s="60">
        <f>C25/E25*1000</f>
        <v>16261.154705309582</v>
      </c>
      <c r="G25" s="61">
        <f>D25/C25/1000</f>
        <v>7.3072418973348333E-2</v>
      </c>
      <c r="H25" s="62"/>
    </row>
    <row r="26" spans="1:8">
      <c r="D26" s="35"/>
    </row>
    <row r="27" spans="1:8" ht="15">
      <c r="A27" s="53" t="s">
        <v>153</v>
      </c>
    </row>
    <row r="28" spans="1:8">
      <c r="A28" s="16">
        <v>1</v>
      </c>
      <c r="B28" s="16" t="s">
        <v>154</v>
      </c>
      <c r="C28" s="35">
        <v>42138</v>
      </c>
      <c r="D28" s="35">
        <v>3255593</v>
      </c>
      <c r="E28" s="35">
        <v>3194</v>
      </c>
      <c r="F28" s="35">
        <v>13193</v>
      </c>
      <c r="G28" s="16">
        <v>7.7299999999999994E-2</v>
      </c>
    </row>
    <row r="29" spans="1:8">
      <c r="A29" s="16">
        <v>2</v>
      </c>
      <c r="B29" s="16" t="s">
        <v>154</v>
      </c>
      <c r="C29" s="35">
        <v>-123173</v>
      </c>
    </row>
    <row r="30" spans="1:8">
      <c r="A30" s="16">
        <v>3</v>
      </c>
      <c r="B30" s="16" t="s">
        <v>155</v>
      </c>
      <c r="C30" s="16">
        <v>154</v>
      </c>
      <c r="D30" s="35">
        <v>15211</v>
      </c>
      <c r="E30" s="16">
        <v>6</v>
      </c>
      <c r="F30" s="35">
        <v>25667</v>
      </c>
      <c r="G30" s="16">
        <v>9.8799999999999999E-2</v>
      </c>
    </row>
    <row r="31" spans="1:8">
      <c r="A31" s="16">
        <v>4</v>
      </c>
      <c r="B31" s="16" t="s">
        <v>155</v>
      </c>
      <c r="D31" s="16">
        <v>-2</v>
      </c>
    </row>
    <row r="32" spans="1:8">
      <c r="A32" s="16">
        <v>5</v>
      </c>
      <c r="B32" s="16" t="s">
        <v>156</v>
      </c>
      <c r="C32" s="16">
        <v>185</v>
      </c>
      <c r="D32" s="35">
        <v>95242</v>
      </c>
      <c r="E32" s="16">
        <v>101</v>
      </c>
      <c r="F32" s="35">
        <v>1832</v>
      </c>
      <c r="G32" s="16">
        <v>0.51480000000000004</v>
      </c>
    </row>
    <row r="33" spans="1:7">
      <c r="A33" s="16">
        <v>6</v>
      </c>
      <c r="B33" s="16" t="s">
        <v>156</v>
      </c>
      <c r="D33" s="16">
        <v>-570</v>
      </c>
    </row>
    <row r="34" spans="1:7">
      <c r="A34" s="16">
        <v>7</v>
      </c>
      <c r="B34" s="16" t="s">
        <v>157</v>
      </c>
      <c r="C34" s="35">
        <v>479283</v>
      </c>
      <c r="D34" s="35">
        <v>33920784</v>
      </c>
      <c r="E34" s="35">
        <v>14128</v>
      </c>
      <c r="F34" s="35">
        <v>33924</v>
      </c>
      <c r="G34" s="16">
        <v>7.0800000000000002E-2</v>
      </c>
    </row>
    <row r="35" spans="1:7">
      <c r="A35" s="16">
        <v>8</v>
      </c>
      <c r="B35" s="16" t="s">
        <v>158</v>
      </c>
      <c r="C35" s="35">
        <v>1117</v>
      </c>
      <c r="D35" s="35">
        <v>118796</v>
      </c>
      <c r="E35" s="16">
        <v>113</v>
      </c>
      <c r="F35" s="35">
        <v>9885</v>
      </c>
      <c r="G35" s="16">
        <v>0.10639999999999999</v>
      </c>
    </row>
    <row r="36" spans="1:7">
      <c r="A36" s="16">
        <v>9</v>
      </c>
      <c r="B36" s="16" t="s">
        <v>159</v>
      </c>
      <c r="C36" s="35">
        <v>81058</v>
      </c>
      <c r="D36" s="35">
        <v>4775727</v>
      </c>
      <c r="E36" s="16">
        <v>94</v>
      </c>
      <c r="F36" s="35">
        <v>862319</v>
      </c>
      <c r="G36" s="16">
        <v>5.8900000000000001E-2</v>
      </c>
    </row>
    <row r="37" spans="1:7">
      <c r="A37" s="16">
        <v>10</v>
      </c>
      <c r="B37" s="16" t="s">
        <v>160</v>
      </c>
      <c r="D37" s="35">
        <v>-241236</v>
      </c>
    </row>
    <row r="38" spans="1:7">
      <c r="A38" s="16">
        <v>11</v>
      </c>
      <c r="B38" s="16" t="s">
        <v>161</v>
      </c>
      <c r="C38" s="35">
        <v>713397</v>
      </c>
      <c r="D38" s="35">
        <v>42892027</v>
      </c>
      <c r="E38" s="16">
        <v>836</v>
      </c>
      <c r="F38" s="35">
        <v>853346</v>
      </c>
      <c r="G38" s="16">
        <v>6.0100000000000001E-2</v>
      </c>
    </row>
    <row r="39" spans="1:7">
      <c r="A39" s="16">
        <v>12</v>
      </c>
      <c r="B39" s="16" t="s">
        <v>162</v>
      </c>
      <c r="C39" s="35">
        <v>135161</v>
      </c>
      <c r="D39" s="35">
        <v>7383037</v>
      </c>
      <c r="E39" s="16">
        <v>25</v>
      </c>
      <c r="F39" s="35">
        <v>5406440</v>
      </c>
      <c r="G39" s="16">
        <v>5.4600000000000003E-2</v>
      </c>
    </row>
    <row r="40" spans="1:7">
      <c r="A40" s="16">
        <v>13</v>
      </c>
      <c r="B40" s="16" t="s">
        <v>163</v>
      </c>
      <c r="D40" s="35">
        <v>65142</v>
      </c>
    </row>
    <row r="41" spans="1:7">
      <c r="A41" s="16">
        <v>14</v>
      </c>
      <c r="B41" s="16" t="s">
        <v>164</v>
      </c>
      <c r="D41" s="35">
        <v>6579</v>
      </c>
    </row>
    <row r="42" spans="1:7">
      <c r="A42" s="16">
        <v>15</v>
      </c>
      <c r="B42" s="16" t="s">
        <v>165</v>
      </c>
      <c r="D42" s="16">
        <v>-596</v>
      </c>
    </row>
    <row r="43" spans="1:7">
      <c r="A43" s="16">
        <v>16</v>
      </c>
      <c r="B43" s="16" t="s">
        <v>136</v>
      </c>
      <c r="D43" s="35">
        <v>327338</v>
      </c>
    </row>
    <row r="44" spans="1:7">
      <c r="A44" s="16">
        <v>17</v>
      </c>
      <c r="B44" s="16" t="s">
        <v>166</v>
      </c>
      <c r="D44" s="35">
        <v>13155</v>
      </c>
    </row>
    <row r="45" spans="1:7">
      <c r="A45" s="16">
        <v>18</v>
      </c>
      <c r="B45" s="16" t="s">
        <v>167</v>
      </c>
      <c r="D45" s="16">
        <v>669</v>
      </c>
    </row>
    <row r="46" spans="1:7">
      <c r="A46" s="16">
        <v>19</v>
      </c>
      <c r="B46" s="16" t="s">
        <v>168</v>
      </c>
      <c r="D46" s="35">
        <v>2663</v>
      </c>
    </row>
    <row r="47" spans="1:7">
      <c r="A47" s="16">
        <v>20</v>
      </c>
      <c r="B47" s="16" t="s">
        <v>169</v>
      </c>
      <c r="D47" s="35">
        <v>2685</v>
      </c>
    </row>
    <row r="48" spans="1:7">
      <c r="A48" s="16">
        <v>21</v>
      </c>
      <c r="B48" s="16" t="s">
        <v>170</v>
      </c>
      <c r="D48" s="35">
        <v>23939</v>
      </c>
    </row>
    <row r="49" spans="1:7">
      <c r="A49" s="16">
        <v>22</v>
      </c>
      <c r="B49" s="16" t="s">
        <v>171</v>
      </c>
      <c r="C49" s="35">
        <v>1671</v>
      </c>
      <c r="D49" s="35">
        <v>207735</v>
      </c>
      <c r="E49" s="16">
        <v>863</v>
      </c>
      <c r="F49" s="35">
        <v>1936</v>
      </c>
      <c r="G49" s="16">
        <v>0.12429999999999999</v>
      </c>
    </row>
    <row r="50" spans="1:7">
      <c r="A50" s="16">
        <v>23</v>
      </c>
      <c r="B50" s="16" t="s">
        <v>172</v>
      </c>
      <c r="C50" s="16">
        <v>613</v>
      </c>
      <c r="D50" s="35">
        <v>81808</v>
      </c>
      <c r="E50" s="16">
        <v>538</v>
      </c>
      <c r="F50" s="35">
        <v>1139</v>
      </c>
      <c r="G50" s="16">
        <v>0.13350000000000001</v>
      </c>
    </row>
    <row r="51" spans="1:7">
      <c r="A51" s="16">
        <v>24</v>
      </c>
      <c r="B51" s="16" t="s">
        <v>172</v>
      </c>
      <c r="D51" s="35">
        <v>-1788</v>
      </c>
    </row>
    <row r="52" spans="1:7">
      <c r="A52" s="16">
        <v>25</v>
      </c>
      <c r="B52" s="16" t="s">
        <v>173</v>
      </c>
      <c r="C52" s="16">
        <v>259</v>
      </c>
      <c r="D52" s="35">
        <v>21297</v>
      </c>
      <c r="E52" s="16">
        <v>29</v>
      </c>
      <c r="F52" s="35">
        <v>8931</v>
      </c>
      <c r="G52" s="16">
        <v>8.2199999999999995E-2</v>
      </c>
    </row>
    <row r="53" spans="1:7">
      <c r="A53" s="16">
        <v>26</v>
      </c>
      <c r="B53" s="16" t="s">
        <v>144</v>
      </c>
      <c r="C53" s="16">
        <v>5</v>
      </c>
    </row>
    <row r="54" spans="1:7">
      <c r="A54" s="16">
        <v>27</v>
      </c>
      <c r="B54" s="16" t="s">
        <v>145</v>
      </c>
      <c r="C54" s="16">
        <v>2</v>
      </c>
    </row>
    <row r="55" spans="1:7">
      <c r="A55" s="16">
        <v>28</v>
      </c>
      <c r="B55" s="16" t="s">
        <v>174</v>
      </c>
      <c r="C55" s="16">
        <v>71</v>
      </c>
      <c r="D55" s="35">
        <v>5270</v>
      </c>
      <c r="E55" s="16">
        <v>3</v>
      </c>
      <c r="F55" s="35">
        <v>23667</v>
      </c>
      <c r="G55" s="16">
        <v>7.4200000000000002E-2</v>
      </c>
    </row>
    <row r="56" spans="1:7">
      <c r="A56" s="16">
        <v>29</v>
      </c>
      <c r="B56" s="16" t="s">
        <v>175</v>
      </c>
      <c r="C56" s="16">
        <v>36</v>
      </c>
      <c r="D56" s="35">
        <v>3299</v>
      </c>
      <c r="E56" s="16">
        <v>1</v>
      </c>
      <c r="F56" s="35">
        <v>36000</v>
      </c>
      <c r="G56" s="16">
        <v>9.1600000000000001E-2</v>
      </c>
    </row>
    <row r="57" spans="1:7">
      <c r="A57" s="16">
        <v>30</v>
      </c>
      <c r="B57" s="16" t="s">
        <v>146</v>
      </c>
      <c r="D57" s="16">
        <v>244</v>
      </c>
    </row>
    <row r="58" spans="1:7">
      <c r="A58" s="16">
        <v>31</v>
      </c>
      <c r="B58" s="16" t="s">
        <v>147</v>
      </c>
      <c r="D58" s="35">
        <v>-143821</v>
      </c>
    </row>
    <row r="59" spans="1:7">
      <c r="A59" s="16">
        <v>32</v>
      </c>
      <c r="B59" s="16" t="s">
        <v>148</v>
      </c>
      <c r="D59" s="35">
        <v>170832</v>
      </c>
    </row>
    <row r="60" spans="1:7">
      <c r="A60" s="16">
        <v>33</v>
      </c>
      <c r="B60" s="16" t="s">
        <v>149</v>
      </c>
      <c r="D60" s="35">
        <v>6120000</v>
      </c>
    </row>
    <row r="61" spans="1:7" hidden="1"/>
    <row r="62" spans="1:7" hidden="1">
      <c r="C62" s="35"/>
      <c r="D62" s="35"/>
    </row>
    <row r="63" spans="1:7" hidden="1">
      <c r="C63" s="35"/>
      <c r="D63" s="35"/>
    </row>
    <row r="64" spans="1:7" hidden="1">
      <c r="C64" s="35"/>
      <c r="D64" s="35"/>
    </row>
    <row r="65" spans="1:8" hidden="1">
      <c r="C65" s="35"/>
      <c r="D65" s="35"/>
    </row>
    <row r="66" spans="1:8" hidden="1">
      <c r="C66" s="35"/>
      <c r="D66" s="35"/>
    </row>
    <row r="67" spans="1:8">
      <c r="A67" s="16">
        <v>34</v>
      </c>
      <c r="B67" s="16" t="s">
        <v>151</v>
      </c>
      <c r="C67" s="35">
        <v>25266</v>
      </c>
      <c r="D67" s="35">
        <v>1683000</v>
      </c>
      <c r="G67" s="16">
        <v>6.6600000000000006E-2</v>
      </c>
    </row>
    <row r="68" spans="1:8" ht="15">
      <c r="A68" s="53" t="s">
        <v>176</v>
      </c>
      <c r="C68" s="60">
        <f>SUM(C28:C66)</f>
        <v>1331977</v>
      </c>
      <c r="D68" s="60">
        <f t="shared" ref="D68:E68" si="1">SUM(D28:D66)</f>
        <v>99121059</v>
      </c>
      <c r="E68" s="60">
        <f t="shared" si="1"/>
        <v>19931</v>
      </c>
      <c r="F68" s="60">
        <f>C68/E68*1000</f>
        <v>66829.411469570012</v>
      </c>
      <c r="G68" s="61">
        <f>D68/C68/1000</f>
        <v>7.4416494428957855E-2</v>
      </c>
      <c r="H68" s="63"/>
    </row>
    <row r="69" spans="1:8">
      <c r="C69" s="35"/>
      <c r="D69" s="35"/>
    </row>
    <row r="70" spans="1:8" ht="15">
      <c r="A70" s="53" t="s">
        <v>177</v>
      </c>
    </row>
    <row r="71" spans="1:8">
      <c r="A71" s="16">
        <v>35</v>
      </c>
      <c r="B71" s="16" t="s">
        <v>178</v>
      </c>
      <c r="C71" s="35">
        <v>2760</v>
      </c>
      <c r="D71" s="35">
        <v>206876</v>
      </c>
      <c r="E71" s="16">
        <v>98</v>
      </c>
      <c r="F71" s="35">
        <v>28163</v>
      </c>
      <c r="G71" s="16">
        <v>7.4999999999999997E-2</v>
      </c>
    </row>
    <row r="72" spans="1:8">
      <c r="A72" s="16">
        <v>36</v>
      </c>
      <c r="B72" s="16" t="s">
        <v>179</v>
      </c>
      <c r="D72" s="35">
        <v>-7726</v>
      </c>
    </row>
    <row r="73" spans="1:8">
      <c r="A73" s="16">
        <v>37</v>
      </c>
      <c r="B73" s="16" t="s">
        <v>180</v>
      </c>
      <c r="C73" s="16">
        <v>5</v>
      </c>
      <c r="D73" s="35">
        <v>1899</v>
      </c>
      <c r="E73" s="16">
        <v>1</v>
      </c>
      <c r="F73" s="35">
        <v>5000</v>
      </c>
      <c r="G73" s="16">
        <v>0.37980000000000003</v>
      </c>
    </row>
    <row r="74" spans="1:8">
      <c r="A74" s="16">
        <v>38</v>
      </c>
      <c r="B74" s="16" t="s">
        <v>180</v>
      </c>
      <c r="D74" s="16">
        <v>-13</v>
      </c>
    </row>
    <row r="75" spans="1:8">
      <c r="A75" s="16">
        <v>39</v>
      </c>
      <c r="B75" s="16" t="s">
        <v>181</v>
      </c>
      <c r="C75" s="35">
        <v>16583</v>
      </c>
      <c r="D75" s="35">
        <v>1199690</v>
      </c>
      <c r="E75" s="16">
        <v>370</v>
      </c>
      <c r="F75" s="35">
        <v>44819</v>
      </c>
      <c r="G75" s="16">
        <v>7.2300000000000003E-2</v>
      </c>
    </row>
    <row r="76" spans="1:8">
      <c r="A76" s="16">
        <v>40</v>
      </c>
      <c r="B76" s="16" t="s">
        <v>182</v>
      </c>
      <c r="C76" s="16">
        <v>33</v>
      </c>
      <c r="D76" s="35">
        <v>6647</v>
      </c>
      <c r="E76" s="16">
        <v>4</v>
      </c>
      <c r="F76" s="35">
        <v>8250</v>
      </c>
      <c r="G76" s="16">
        <v>0.2014</v>
      </c>
    </row>
    <row r="77" spans="1:8">
      <c r="A77" s="16">
        <v>1</v>
      </c>
      <c r="B77" s="16" t="s">
        <v>183</v>
      </c>
      <c r="C77" s="35">
        <v>128361</v>
      </c>
      <c r="D77" s="35">
        <v>7853744</v>
      </c>
      <c r="E77" s="16">
        <v>123</v>
      </c>
      <c r="F77" s="35">
        <v>1043585</v>
      </c>
      <c r="G77" s="16">
        <v>6.1199999999999997E-2</v>
      </c>
    </row>
    <row r="78" spans="1:8">
      <c r="A78" s="16">
        <v>2</v>
      </c>
      <c r="B78" s="16" t="s">
        <v>184</v>
      </c>
      <c r="C78" s="35">
        <v>17243</v>
      </c>
      <c r="D78" s="35">
        <v>1224200</v>
      </c>
      <c r="E78" s="16">
        <v>1</v>
      </c>
      <c r="F78" s="35">
        <v>17243000</v>
      </c>
      <c r="G78" s="16">
        <v>7.0999999999999994E-2</v>
      </c>
    </row>
    <row r="79" spans="1:8">
      <c r="A79" s="16">
        <v>3</v>
      </c>
      <c r="B79" s="16" t="s">
        <v>185</v>
      </c>
      <c r="C79" s="35">
        <v>660556</v>
      </c>
      <c r="D79" s="35">
        <v>31950527</v>
      </c>
      <c r="E79" s="16">
        <v>32</v>
      </c>
      <c r="F79" s="35">
        <v>20642375</v>
      </c>
      <c r="G79" s="16">
        <v>4.8399999999999999E-2</v>
      </c>
    </row>
    <row r="80" spans="1:8">
      <c r="A80" s="16">
        <v>4</v>
      </c>
      <c r="B80" s="16" t="s">
        <v>186</v>
      </c>
      <c r="C80" s="16">
        <v>119</v>
      </c>
      <c r="D80" s="35">
        <v>13846</v>
      </c>
      <c r="E80" s="16">
        <v>42</v>
      </c>
      <c r="F80" s="35">
        <v>2833</v>
      </c>
      <c r="G80" s="16">
        <v>0.1164</v>
      </c>
    </row>
    <row r="81" spans="1:7">
      <c r="A81" s="16">
        <v>5</v>
      </c>
      <c r="B81" s="16" t="s">
        <v>187</v>
      </c>
      <c r="C81" s="16">
        <v>29</v>
      </c>
      <c r="D81" s="35">
        <v>3830</v>
      </c>
      <c r="E81" s="16">
        <v>18</v>
      </c>
      <c r="F81" s="35">
        <v>1611</v>
      </c>
      <c r="G81" s="16">
        <v>0.1321</v>
      </c>
    </row>
    <row r="82" spans="1:7">
      <c r="A82" s="16">
        <v>6</v>
      </c>
      <c r="B82" s="16" t="s">
        <v>187</v>
      </c>
      <c r="D82" s="16">
        <v>-81</v>
      </c>
    </row>
    <row r="83" spans="1:7">
      <c r="A83" s="16">
        <v>7</v>
      </c>
      <c r="B83" s="16" t="s">
        <v>188</v>
      </c>
      <c r="C83" s="35">
        <v>1540</v>
      </c>
      <c r="D83" s="35">
        <v>167035</v>
      </c>
      <c r="E83" s="16">
        <v>1</v>
      </c>
      <c r="F83" s="35">
        <v>1540000</v>
      </c>
      <c r="G83" s="16">
        <v>0.1085</v>
      </c>
    </row>
    <row r="84" spans="1:7">
      <c r="A84" s="16">
        <v>8</v>
      </c>
      <c r="B84" s="16" t="s">
        <v>189</v>
      </c>
      <c r="C84" s="35">
        <v>4581</v>
      </c>
      <c r="D84" s="35">
        <v>430088</v>
      </c>
      <c r="E84" s="16">
        <v>29</v>
      </c>
      <c r="F84" s="35">
        <v>157966</v>
      </c>
      <c r="G84" s="16">
        <v>9.3899999999999997E-2</v>
      </c>
    </row>
    <row r="85" spans="1:7">
      <c r="A85" s="16">
        <v>9</v>
      </c>
      <c r="B85" s="16" t="s">
        <v>190</v>
      </c>
      <c r="D85" s="35">
        <v>-13424</v>
      </c>
    </row>
    <row r="86" spans="1:7">
      <c r="A86" s="16">
        <v>10</v>
      </c>
      <c r="B86" s="16" t="s">
        <v>191</v>
      </c>
      <c r="D86" s="16">
        <v>182</v>
      </c>
    </row>
    <row r="87" spans="1:7">
      <c r="A87" s="16">
        <v>11</v>
      </c>
      <c r="B87" s="16" t="s">
        <v>192</v>
      </c>
      <c r="D87" s="35">
        <v>-8560</v>
      </c>
    </row>
    <row r="88" spans="1:7">
      <c r="A88" s="16">
        <v>12</v>
      </c>
      <c r="B88" s="16" t="s">
        <v>193</v>
      </c>
      <c r="D88" s="35">
        <v>105570</v>
      </c>
    </row>
    <row r="89" spans="1:7">
      <c r="A89" s="16">
        <v>13</v>
      </c>
      <c r="B89" s="16" t="s">
        <v>194</v>
      </c>
      <c r="D89" s="35">
        <v>3060000</v>
      </c>
    </row>
    <row r="90" spans="1:7" hidden="1"/>
    <row r="91" spans="1:7" hidden="1">
      <c r="C91" s="35"/>
      <c r="D91" s="35"/>
    </row>
    <row r="92" spans="1:7" hidden="1">
      <c r="C92" s="35"/>
      <c r="D92" s="35"/>
    </row>
    <row r="93" spans="1:7" hidden="1">
      <c r="C93" s="35"/>
      <c r="D93" s="35"/>
    </row>
    <row r="94" spans="1:7" hidden="1">
      <c r="C94" s="35"/>
      <c r="D94" s="35"/>
    </row>
    <row r="95" spans="1:7" hidden="1">
      <c r="C95" s="35"/>
      <c r="D95" s="35"/>
    </row>
    <row r="96" spans="1:7" hidden="1">
      <c r="C96" s="35"/>
      <c r="D96" s="35"/>
    </row>
    <row r="97" spans="1:7" hidden="1">
      <c r="C97" s="35"/>
      <c r="D97" s="35"/>
    </row>
    <row r="98" spans="1:7" hidden="1">
      <c r="C98" s="35"/>
      <c r="D98" s="35"/>
    </row>
    <row r="99" spans="1:7" hidden="1">
      <c r="C99" s="35"/>
      <c r="D99" s="35"/>
    </row>
    <row r="100" spans="1:7" hidden="1">
      <c r="C100" s="35"/>
      <c r="D100" s="35"/>
    </row>
    <row r="101" spans="1:7" hidden="1">
      <c r="C101" s="35"/>
      <c r="D101" s="35"/>
    </row>
    <row r="102" spans="1:7" hidden="1">
      <c r="C102" s="35"/>
      <c r="D102" s="35"/>
    </row>
    <row r="103" spans="1:7">
      <c r="A103" s="16">
        <v>14</v>
      </c>
      <c r="B103" s="16" t="s">
        <v>195</v>
      </c>
      <c r="C103" s="35">
        <v>16578</v>
      </c>
      <c r="D103" s="35">
        <v>1224000</v>
      </c>
      <c r="G103" s="16">
        <v>7.3800000000000004E-2</v>
      </c>
    </row>
    <row r="104" spans="1:7" ht="15">
      <c r="A104" s="53" t="s">
        <v>196</v>
      </c>
      <c r="C104" s="60">
        <f>SUM(C71:C102)</f>
        <v>831810</v>
      </c>
      <c r="D104" s="60">
        <f t="shared" ref="D104:E104" si="2">SUM(D71:D102)</f>
        <v>46194330</v>
      </c>
      <c r="E104" s="60">
        <f t="shared" si="2"/>
        <v>719</v>
      </c>
      <c r="F104" s="60">
        <f>C104/E104*1000</f>
        <v>1156898.4700973574</v>
      </c>
      <c r="G104" s="61">
        <f>D104/C104/1000</f>
        <v>5.5534713456197926E-2</v>
      </c>
    </row>
    <row r="105" spans="1:7">
      <c r="C105" s="35"/>
      <c r="D105" s="35"/>
    </row>
    <row r="106" spans="1:7" ht="15">
      <c r="A106" s="53" t="s">
        <v>197</v>
      </c>
    </row>
    <row r="107" spans="1:7">
      <c r="A107" s="16">
        <v>26</v>
      </c>
      <c r="B107" s="16" t="s">
        <v>198</v>
      </c>
      <c r="C107" s="35">
        <v>144135</v>
      </c>
      <c r="D107" s="35">
        <v>9711488</v>
      </c>
      <c r="E107" s="35">
        <v>4615</v>
      </c>
      <c r="F107" s="35">
        <v>31232</v>
      </c>
      <c r="G107" s="16">
        <v>6.7400000000000002E-2</v>
      </c>
    </row>
    <row r="108" spans="1:7">
      <c r="A108" s="16">
        <v>27</v>
      </c>
      <c r="B108" s="16" t="s">
        <v>198</v>
      </c>
      <c r="D108" s="35">
        <v>-384070</v>
      </c>
    </row>
    <row r="109" spans="1:7">
      <c r="A109" s="16">
        <v>28</v>
      </c>
      <c r="B109" s="16" t="s">
        <v>199</v>
      </c>
      <c r="C109" s="35">
        <v>24724</v>
      </c>
      <c r="D109" s="35">
        <v>1655638</v>
      </c>
      <c r="E109" s="16">
        <v>698</v>
      </c>
      <c r="F109" s="35">
        <v>35421</v>
      </c>
      <c r="G109" s="64">
        <v>6.7000000000000004E-2</v>
      </c>
    </row>
    <row r="110" spans="1:7">
      <c r="A110" s="16">
        <v>29</v>
      </c>
      <c r="B110" s="16" t="s">
        <v>200</v>
      </c>
      <c r="D110" s="35">
        <v>9693</v>
      </c>
    </row>
    <row r="111" spans="1:7">
      <c r="A111" s="16">
        <v>30</v>
      </c>
      <c r="B111" s="16" t="s">
        <v>201</v>
      </c>
      <c r="D111" s="16">
        <v>878</v>
      </c>
    </row>
    <row r="112" spans="1:7">
      <c r="A112" s="16">
        <v>31</v>
      </c>
      <c r="B112" s="16" t="s">
        <v>202</v>
      </c>
      <c r="D112" s="35">
        <v>10482</v>
      </c>
    </row>
    <row r="113" spans="1:8">
      <c r="A113" s="16">
        <v>32</v>
      </c>
      <c r="B113" s="16" t="s">
        <v>203</v>
      </c>
      <c r="D113" s="16">
        <v>30</v>
      </c>
    </row>
    <row r="114" spans="1:8">
      <c r="A114" s="16">
        <v>33</v>
      </c>
      <c r="B114" s="16" t="s">
        <v>204</v>
      </c>
      <c r="D114" s="16">
        <v>39</v>
      </c>
    </row>
    <row r="115" spans="1:8">
      <c r="A115" s="16">
        <v>34</v>
      </c>
      <c r="B115" s="16" t="s">
        <v>205</v>
      </c>
      <c r="D115" s="35">
        <v>100557</v>
      </c>
    </row>
    <row r="116" spans="1:8">
      <c r="A116" s="16">
        <v>35</v>
      </c>
      <c r="B116" s="16" t="s">
        <v>206</v>
      </c>
      <c r="D116" s="35">
        <v>1703</v>
      </c>
    </row>
    <row r="117" spans="1:8">
      <c r="A117" s="16">
        <v>36</v>
      </c>
      <c r="B117" s="16" t="s">
        <v>207</v>
      </c>
      <c r="D117" s="35">
        <v>7011</v>
      </c>
    </row>
    <row r="118" spans="1:8">
      <c r="A118" s="16">
        <v>37</v>
      </c>
      <c r="B118" s="16" t="s">
        <v>208</v>
      </c>
      <c r="D118" s="16">
        <v>3</v>
      </c>
    </row>
    <row r="119" spans="1:8">
      <c r="A119" s="16">
        <v>38</v>
      </c>
      <c r="B119" s="16" t="s">
        <v>209</v>
      </c>
      <c r="D119" s="35">
        <v>720000</v>
      </c>
    </row>
    <row r="120" spans="1:8">
      <c r="A120" s="16">
        <v>39</v>
      </c>
      <c r="B120" s="16" t="s">
        <v>210</v>
      </c>
      <c r="D120" s="35">
        <v>-162641</v>
      </c>
    </row>
    <row r="121" spans="1:8">
      <c r="A121" s="16">
        <v>40</v>
      </c>
      <c r="B121" s="16" t="s">
        <v>211</v>
      </c>
      <c r="C121" s="16">
        <v>57</v>
      </c>
      <c r="D121" s="35">
        <v>3000</v>
      </c>
      <c r="E121" s="16">
        <v>5.2600000000000001E-2</v>
      </c>
    </row>
    <row r="122" spans="1:8" ht="15">
      <c r="A122" s="53" t="s">
        <v>212</v>
      </c>
      <c r="C122" s="60">
        <f>SUM(C107:C120)</f>
        <v>168859</v>
      </c>
      <c r="D122" s="60">
        <f>SUM(D107:D120)</f>
        <v>11670811</v>
      </c>
      <c r="E122" s="60">
        <f>SUM(E107:E120)</f>
        <v>5313</v>
      </c>
      <c r="F122" s="60">
        <f>C122/E122*1000</f>
        <v>31782.232260493132</v>
      </c>
      <c r="G122" s="61">
        <f>D122/C122/1000</f>
        <v>6.9115717847434838E-2</v>
      </c>
      <c r="H122" s="23"/>
    </row>
  </sheetData>
  <pageMargins left="0.7" right="0.7" top="0.75" bottom="0.75" header="0.3" footer="0.3"/>
  <pageSetup scale="7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2"/>
  <sheetViews>
    <sheetView zoomScale="80" zoomScaleNormal="80" workbookViewId="0">
      <pane ySplit="2" topLeftCell="A21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6.5703125" style="16" customWidth="1"/>
    <col min="3" max="7" width="14.42578125" style="16" customWidth="1"/>
    <col min="8" max="16384" width="9.140625" style="16"/>
  </cols>
  <sheetData>
    <row r="1" spans="1:7">
      <c r="A1" s="16" t="s">
        <v>123</v>
      </c>
    </row>
    <row r="2" spans="1:7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</row>
    <row r="3" spans="1:7" ht="15">
      <c r="A3" s="53" t="s">
        <v>118</v>
      </c>
    </row>
    <row r="4" spans="1:7">
      <c r="A4" s="16">
        <v>40</v>
      </c>
      <c r="B4" s="16" t="s">
        <v>213</v>
      </c>
      <c r="D4" s="35">
        <v>584</v>
      </c>
      <c r="F4" s="35"/>
    </row>
    <row r="5" spans="1:7">
      <c r="A5" s="16">
        <v>1</v>
      </c>
      <c r="B5" s="16" t="s">
        <v>137</v>
      </c>
      <c r="C5" s="16">
        <v>16</v>
      </c>
      <c r="D5" s="35">
        <v>1046</v>
      </c>
      <c r="E5" s="16">
        <v>3</v>
      </c>
      <c r="F5" s="35">
        <v>5333</v>
      </c>
      <c r="G5" s="16">
        <v>6.54E-2</v>
      </c>
    </row>
    <row r="6" spans="1:7">
      <c r="A6" s="16">
        <v>2</v>
      </c>
      <c r="B6" s="16" t="s">
        <v>137</v>
      </c>
      <c r="D6" s="16">
        <v>-10</v>
      </c>
    </row>
    <row r="7" spans="1:7">
      <c r="A7" s="16">
        <v>3</v>
      </c>
      <c r="B7" s="16" t="s">
        <v>138</v>
      </c>
      <c r="C7" s="35">
        <v>1131</v>
      </c>
      <c r="D7" s="35">
        <v>150853</v>
      </c>
      <c r="E7" s="35">
        <v>1223</v>
      </c>
      <c r="F7" s="16">
        <v>925</v>
      </c>
      <c r="G7" s="16">
        <v>0.13339999999999999</v>
      </c>
    </row>
    <row r="8" spans="1:7">
      <c r="A8" s="16">
        <v>4</v>
      </c>
      <c r="B8" s="16" t="s">
        <v>138</v>
      </c>
      <c r="D8" s="16">
        <v>-259</v>
      </c>
    </row>
    <row r="9" spans="1:7">
      <c r="A9" s="16">
        <v>5</v>
      </c>
      <c r="B9" s="16" t="s">
        <v>139</v>
      </c>
      <c r="C9" s="35">
        <v>1558123</v>
      </c>
      <c r="D9" s="35">
        <v>104829336</v>
      </c>
      <c r="E9" s="35">
        <v>99024</v>
      </c>
      <c r="F9" s="35">
        <v>15735</v>
      </c>
      <c r="G9" s="16">
        <v>6.7299999999999999E-2</v>
      </c>
    </row>
    <row r="10" spans="1:7">
      <c r="A10" s="16">
        <v>6</v>
      </c>
      <c r="B10" s="16" t="s">
        <v>139</v>
      </c>
      <c r="D10" s="35">
        <v>-570130</v>
      </c>
    </row>
    <row r="11" spans="1:7">
      <c r="A11" s="16">
        <v>7</v>
      </c>
      <c r="B11" s="16" t="s">
        <v>140</v>
      </c>
      <c r="C11" s="35">
        <v>64105</v>
      </c>
      <c r="D11" s="35">
        <v>4317854</v>
      </c>
      <c r="E11" s="35">
        <v>3814</v>
      </c>
      <c r="F11" s="35">
        <v>16808</v>
      </c>
      <c r="G11" s="16">
        <v>6.7400000000000002E-2</v>
      </c>
    </row>
    <row r="12" spans="1:7">
      <c r="A12" s="16">
        <v>8</v>
      </c>
      <c r="B12" s="16" t="s">
        <v>141</v>
      </c>
      <c r="D12" s="35">
        <v>-25904</v>
      </c>
    </row>
    <row r="13" spans="1:7">
      <c r="A13" s="16">
        <v>9</v>
      </c>
      <c r="B13" s="16" t="s">
        <v>142</v>
      </c>
      <c r="C13" s="35">
        <v>2618</v>
      </c>
      <c r="D13" s="35">
        <v>193707</v>
      </c>
      <c r="E13" s="16">
        <v>98</v>
      </c>
      <c r="F13" s="35">
        <v>26714</v>
      </c>
      <c r="G13" s="16">
        <v>7.3999999999999996E-2</v>
      </c>
    </row>
    <row r="14" spans="1:7">
      <c r="A14" s="16">
        <v>10</v>
      </c>
      <c r="B14" s="16" t="s">
        <v>142</v>
      </c>
      <c r="D14" s="16">
        <v>-842</v>
      </c>
    </row>
    <row r="15" spans="1:7">
      <c r="A15" s="16">
        <v>11</v>
      </c>
      <c r="B15" s="16" t="s">
        <v>143</v>
      </c>
      <c r="C15" s="16">
        <v>603</v>
      </c>
      <c r="D15" s="35">
        <v>43737</v>
      </c>
      <c r="E15" s="16">
        <v>25</v>
      </c>
      <c r="F15" s="35">
        <v>24120</v>
      </c>
      <c r="G15" s="16">
        <v>7.2499999999999995E-2</v>
      </c>
    </row>
    <row r="16" spans="1:7">
      <c r="A16" s="16">
        <v>12</v>
      </c>
      <c r="B16" s="16" t="s">
        <v>143</v>
      </c>
      <c r="D16" s="16">
        <v>-186</v>
      </c>
    </row>
    <row r="17" spans="1:7">
      <c r="A17" s="16">
        <v>13</v>
      </c>
      <c r="B17" s="16" t="s">
        <v>144</v>
      </c>
      <c r="D17" s="16">
        <v>-1</v>
      </c>
    </row>
    <row r="18" spans="1:7">
      <c r="A18" s="16">
        <v>14</v>
      </c>
      <c r="B18" s="16" t="s">
        <v>145</v>
      </c>
      <c r="D18" s="16">
        <v>4</v>
      </c>
    </row>
    <row r="19" spans="1:7">
      <c r="A19" s="16">
        <v>15</v>
      </c>
      <c r="B19" s="16" t="s">
        <v>146</v>
      </c>
      <c r="D19" s="16">
        <v>194</v>
      </c>
    </row>
    <row r="20" spans="1:7">
      <c r="A20" s="16">
        <v>16</v>
      </c>
      <c r="B20" s="16" t="s">
        <v>147</v>
      </c>
      <c r="D20" s="35">
        <v>-522412</v>
      </c>
    </row>
    <row r="21" spans="1:7">
      <c r="A21" s="16">
        <v>17</v>
      </c>
      <c r="B21" s="16" t="s">
        <v>148</v>
      </c>
      <c r="D21" s="35">
        <v>-833183</v>
      </c>
    </row>
    <row r="22" spans="1:7" hidden="1"/>
    <row r="23" spans="1:7">
      <c r="A23" s="16">
        <v>18</v>
      </c>
      <c r="B23" s="16" t="s">
        <v>150</v>
      </c>
      <c r="D23" s="35">
        <v>1000</v>
      </c>
    </row>
    <row r="24" spans="1:7">
      <c r="A24" s="16">
        <v>19</v>
      </c>
      <c r="B24" s="16" t="s">
        <v>151</v>
      </c>
      <c r="C24" s="16">
        <v>-675</v>
      </c>
      <c r="D24" s="35">
        <v>271000</v>
      </c>
      <c r="G24" s="16">
        <v>-0.40150000000000002</v>
      </c>
    </row>
    <row r="25" spans="1:7" ht="15">
      <c r="A25" s="53" t="s">
        <v>152</v>
      </c>
      <c r="C25" s="60">
        <f>SUM(C4:C22)</f>
        <v>1626596</v>
      </c>
      <c r="D25" s="60">
        <f t="shared" ref="D25:E25" si="0">SUM(D4:D22)</f>
        <v>107584388</v>
      </c>
      <c r="E25" s="60">
        <f t="shared" si="0"/>
        <v>104187</v>
      </c>
      <c r="F25" s="60">
        <f>C25/E25*1000</f>
        <v>15612.274084098784</v>
      </c>
      <c r="G25" s="65">
        <f>D25/(E25*F25)</f>
        <v>6.6140816773187686E-2</v>
      </c>
    </row>
    <row r="27" spans="1:7" ht="15">
      <c r="A27" s="53" t="s">
        <v>153</v>
      </c>
    </row>
    <row r="28" spans="1:7">
      <c r="A28" s="16">
        <v>4</v>
      </c>
      <c r="B28" s="16" t="s">
        <v>154</v>
      </c>
      <c r="C28" s="35">
        <v>41173</v>
      </c>
      <c r="D28" s="35">
        <v>3018724</v>
      </c>
      <c r="E28" s="35">
        <v>3203</v>
      </c>
      <c r="F28" s="35">
        <v>12855</v>
      </c>
      <c r="G28" s="16">
        <v>7.3300000000000004E-2</v>
      </c>
    </row>
    <row r="29" spans="1:7">
      <c r="A29" s="16">
        <v>5</v>
      </c>
      <c r="B29" s="16" t="s">
        <v>154</v>
      </c>
      <c r="D29" s="35">
        <v>-12657</v>
      </c>
    </row>
    <row r="30" spans="1:7">
      <c r="A30" s="16">
        <v>6</v>
      </c>
      <c r="B30" s="16" t="s">
        <v>155</v>
      </c>
      <c r="C30" s="16">
        <v>215</v>
      </c>
      <c r="D30" s="35">
        <v>19843</v>
      </c>
      <c r="E30" s="16">
        <v>8</v>
      </c>
      <c r="F30" s="35">
        <v>26875</v>
      </c>
      <c r="G30" s="16">
        <v>9.2299999999999993E-2</v>
      </c>
    </row>
    <row r="31" spans="1:7">
      <c r="A31" s="16">
        <v>7</v>
      </c>
      <c r="B31" s="16" t="s">
        <v>155</v>
      </c>
      <c r="D31" s="16">
        <v>-4</v>
      </c>
    </row>
    <row r="32" spans="1:7">
      <c r="A32" s="16">
        <v>8</v>
      </c>
      <c r="B32" s="16" t="s">
        <v>156</v>
      </c>
      <c r="C32" s="16">
        <v>644</v>
      </c>
      <c r="D32" s="35">
        <v>123968</v>
      </c>
      <c r="E32" s="16">
        <v>104</v>
      </c>
      <c r="F32" s="35">
        <v>6192</v>
      </c>
      <c r="G32" s="16">
        <v>0.1925</v>
      </c>
    </row>
    <row r="33" spans="1:7">
      <c r="A33" s="16">
        <v>9</v>
      </c>
      <c r="B33" s="16" t="s">
        <v>156</v>
      </c>
      <c r="D33" s="16">
        <v>-20</v>
      </c>
    </row>
    <row r="34" spans="1:7">
      <c r="A34" s="16">
        <v>10</v>
      </c>
      <c r="B34" s="16" t="s">
        <v>157</v>
      </c>
      <c r="C34" s="35">
        <v>472047</v>
      </c>
      <c r="D34" s="35">
        <v>31457816</v>
      </c>
      <c r="E34" s="35">
        <v>13827</v>
      </c>
      <c r="F34" s="35">
        <v>34140</v>
      </c>
      <c r="G34" s="16">
        <v>6.6600000000000006E-2</v>
      </c>
    </row>
    <row r="35" spans="1:7">
      <c r="A35" s="16">
        <v>11</v>
      </c>
      <c r="B35" s="16" t="s">
        <v>158</v>
      </c>
      <c r="C35" s="35">
        <v>1207</v>
      </c>
      <c r="D35" s="35">
        <v>120541</v>
      </c>
      <c r="E35" s="16">
        <v>121</v>
      </c>
      <c r="F35" s="35">
        <v>9975</v>
      </c>
      <c r="G35" s="16">
        <v>9.9900000000000003E-2</v>
      </c>
    </row>
    <row r="36" spans="1:7">
      <c r="A36" s="16">
        <v>12</v>
      </c>
      <c r="B36" s="16" t="s">
        <v>159</v>
      </c>
      <c r="C36" s="35">
        <v>77132</v>
      </c>
      <c r="D36" s="35">
        <v>4256415</v>
      </c>
      <c r="E36" s="16">
        <v>91</v>
      </c>
      <c r="F36" s="35">
        <v>847604</v>
      </c>
      <c r="G36" s="16">
        <v>5.5199999999999999E-2</v>
      </c>
    </row>
    <row r="37" spans="1:7">
      <c r="A37" s="16">
        <v>13</v>
      </c>
      <c r="B37" s="16" t="s">
        <v>160</v>
      </c>
      <c r="D37" s="35">
        <v>-26392</v>
      </c>
    </row>
    <row r="38" spans="1:7">
      <c r="A38" s="16">
        <v>14</v>
      </c>
      <c r="B38" s="16" t="s">
        <v>161</v>
      </c>
      <c r="C38" s="35">
        <v>680057</v>
      </c>
      <c r="D38" s="35">
        <v>38135069</v>
      </c>
      <c r="E38" s="16">
        <v>808</v>
      </c>
      <c r="F38" s="35">
        <v>841655</v>
      </c>
      <c r="G38" s="16">
        <v>5.6099999999999997E-2</v>
      </c>
    </row>
    <row r="39" spans="1:7">
      <c r="A39" s="16">
        <v>15</v>
      </c>
      <c r="B39" s="16" t="s">
        <v>162</v>
      </c>
      <c r="C39" s="35">
        <v>134165</v>
      </c>
      <c r="D39" s="35">
        <v>6837482</v>
      </c>
      <c r="E39" s="16">
        <v>25</v>
      </c>
      <c r="F39" s="35">
        <v>5366600</v>
      </c>
      <c r="G39" s="16">
        <v>5.0999999999999997E-2</v>
      </c>
    </row>
    <row r="40" spans="1:7">
      <c r="A40" s="16">
        <v>16</v>
      </c>
      <c r="B40" s="16" t="s">
        <v>163</v>
      </c>
      <c r="D40" s="35">
        <v>55319</v>
      </c>
    </row>
    <row r="41" spans="1:7">
      <c r="A41" s="16">
        <v>17</v>
      </c>
      <c r="B41" s="16" t="s">
        <v>164</v>
      </c>
      <c r="D41" s="35">
        <v>2746</v>
      </c>
    </row>
    <row r="42" spans="1:7">
      <c r="A42" s="16">
        <v>18</v>
      </c>
      <c r="B42" s="16" t="s">
        <v>165</v>
      </c>
      <c r="D42" s="16">
        <v>883</v>
      </c>
    </row>
    <row r="43" spans="1:7">
      <c r="A43" s="16">
        <v>19</v>
      </c>
      <c r="B43" s="16" t="s">
        <v>136</v>
      </c>
      <c r="D43" s="35">
        <v>210983</v>
      </c>
    </row>
    <row r="44" spans="1:7">
      <c r="A44" s="16">
        <v>20</v>
      </c>
      <c r="B44" s="16" t="s">
        <v>166</v>
      </c>
      <c r="D44" s="35">
        <v>13948</v>
      </c>
    </row>
    <row r="45" spans="1:7">
      <c r="A45" s="16">
        <v>21</v>
      </c>
      <c r="B45" s="16" t="s">
        <v>167</v>
      </c>
      <c r="D45" s="16">
        <v>669</v>
      </c>
    </row>
    <row r="46" spans="1:7">
      <c r="A46" s="16">
        <v>22</v>
      </c>
      <c r="B46" s="16" t="s">
        <v>168</v>
      </c>
      <c r="D46" s="35">
        <v>3746</v>
      </c>
    </row>
    <row r="47" spans="1:7">
      <c r="A47" s="16">
        <v>23</v>
      </c>
      <c r="B47" s="16" t="s">
        <v>169</v>
      </c>
      <c r="D47" s="35">
        <v>2685</v>
      </c>
    </row>
    <row r="48" spans="1:7">
      <c r="A48" s="16">
        <v>24</v>
      </c>
      <c r="B48" s="16" t="s">
        <v>170</v>
      </c>
      <c r="D48" s="35">
        <v>14236</v>
      </c>
    </row>
    <row r="49" spans="1:7">
      <c r="A49" s="16">
        <v>25</v>
      </c>
      <c r="B49" s="16" t="s">
        <v>171</v>
      </c>
      <c r="C49" s="35">
        <v>1686</v>
      </c>
      <c r="D49" s="35">
        <v>207837</v>
      </c>
      <c r="E49" s="16">
        <v>876</v>
      </c>
      <c r="F49" s="35">
        <v>1925</v>
      </c>
      <c r="G49" s="16">
        <v>0.12330000000000001</v>
      </c>
    </row>
    <row r="50" spans="1:7">
      <c r="A50" s="16">
        <v>26</v>
      </c>
      <c r="B50" s="16" t="s">
        <v>172</v>
      </c>
      <c r="C50" s="16">
        <v>631</v>
      </c>
      <c r="D50" s="35">
        <v>83454</v>
      </c>
      <c r="E50" s="16">
        <v>548</v>
      </c>
      <c r="F50" s="35">
        <v>1151</v>
      </c>
      <c r="G50" s="16">
        <v>0.1323</v>
      </c>
    </row>
    <row r="51" spans="1:7">
      <c r="A51" s="16">
        <v>27</v>
      </c>
      <c r="B51" s="16" t="s">
        <v>172</v>
      </c>
      <c r="D51" s="16">
        <v>-190</v>
      </c>
    </row>
    <row r="52" spans="1:7">
      <c r="A52" s="16">
        <v>28</v>
      </c>
      <c r="B52" s="16" t="s">
        <v>173</v>
      </c>
      <c r="C52" s="16">
        <v>261</v>
      </c>
      <c r="D52" s="35">
        <v>21082</v>
      </c>
      <c r="E52" s="16">
        <v>29</v>
      </c>
      <c r="F52" s="35">
        <v>9000</v>
      </c>
      <c r="G52" s="16">
        <v>8.0799999999999997E-2</v>
      </c>
    </row>
    <row r="53" spans="1:7">
      <c r="A53" s="16">
        <v>29</v>
      </c>
      <c r="B53" s="16" t="s">
        <v>144</v>
      </c>
      <c r="D53" s="16">
        <v>7</v>
      </c>
    </row>
    <row r="54" spans="1:7">
      <c r="A54" s="16">
        <v>30</v>
      </c>
      <c r="B54" s="16" t="s">
        <v>145</v>
      </c>
      <c r="D54" s="16">
        <v>7</v>
      </c>
    </row>
    <row r="55" spans="1:7">
      <c r="A55" s="16">
        <v>31</v>
      </c>
      <c r="B55" s="16" t="s">
        <v>174</v>
      </c>
      <c r="C55" s="16">
        <v>2</v>
      </c>
      <c r="D55" s="16">
        <v>91</v>
      </c>
      <c r="E55" s="16">
        <v>1</v>
      </c>
      <c r="F55" s="35">
        <v>2000</v>
      </c>
      <c r="G55" s="16">
        <v>4.5499999999999999E-2</v>
      </c>
    </row>
    <row r="56" spans="1:7">
      <c r="A56" s="16">
        <v>32</v>
      </c>
      <c r="B56" s="16" t="s">
        <v>146</v>
      </c>
      <c r="D56" s="16">
        <v>173</v>
      </c>
    </row>
    <row r="57" spans="1:7">
      <c r="A57" s="16">
        <v>33</v>
      </c>
      <c r="B57" s="16" t="s">
        <v>147</v>
      </c>
      <c r="D57" s="35">
        <v>-58012</v>
      </c>
    </row>
    <row r="58" spans="1:7">
      <c r="A58" s="16">
        <v>34</v>
      </c>
      <c r="B58" s="16" t="s">
        <v>148</v>
      </c>
      <c r="D58" s="35">
        <v>-728628</v>
      </c>
    </row>
    <row r="59" spans="1:7" hidden="1">
      <c r="D59" s="35"/>
    </row>
    <row r="60" spans="1:7" hidden="1"/>
    <row r="61" spans="1:7" hidden="1"/>
    <row r="62" spans="1:7" hidden="1"/>
    <row r="63" spans="1:7" hidden="1"/>
    <row r="64" spans="1:7" hidden="1"/>
    <row r="65" spans="1:7" hidden="1"/>
    <row r="66" spans="1:7" hidden="1"/>
    <row r="67" spans="1:7">
      <c r="A67" s="16">
        <v>35</v>
      </c>
      <c r="B67" s="16" t="s">
        <v>151</v>
      </c>
      <c r="C67" s="35">
        <v>-5093</v>
      </c>
      <c r="D67" s="35">
        <v>120000</v>
      </c>
      <c r="G67" s="16">
        <v>-2.3599999999999999E-2</v>
      </c>
    </row>
    <row r="68" spans="1:7" ht="15">
      <c r="A68" s="53" t="s">
        <v>176</v>
      </c>
      <c r="C68" s="60">
        <f>SUM(C28:C66)</f>
        <v>1409220</v>
      </c>
      <c r="D68" s="60">
        <f t="shared" ref="D68:E68" si="1">SUM(D28:D66)</f>
        <v>83761821</v>
      </c>
      <c r="E68" s="60">
        <f t="shared" si="1"/>
        <v>19641</v>
      </c>
      <c r="F68" s="60">
        <f>C68/E68*1000</f>
        <v>71748.892622575222</v>
      </c>
      <c r="G68" s="65">
        <f>D68/(E68*F68)</f>
        <v>5.9438427640822585E-2</v>
      </c>
    </row>
    <row r="70" spans="1:7" ht="15">
      <c r="A70" s="53" t="s">
        <v>177</v>
      </c>
    </row>
    <row r="71" spans="1:7">
      <c r="A71" s="16">
        <v>29</v>
      </c>
      <c r="B71" s="16" t="s">
        <v>214</v>
      </c>
      <c r="C71" s="35">
        <v>2862</v>
      </c>
      <c r="D71" s="35">
        <v>201799</v>
      </c>
      <c r="E71" s="16">
        <v>102</v>
      </c>
      <c r="F71" s="35">
        <v>28059</v>
      </c>
      <c r="G71" s="16">
        <v>7.0499999999999993E-2</v>
      </c>
    </row>
    <row r="72" spans="1:7">
      <c r="A72" s="16">
        <v>30</v>
      </c>
      <c r="B72" s="16" t="s">
        <v>154</v>
      </c>
      <c r="D72" s="16">
        <v>-559</v>
      </c>
    </row>
    <row r="73" spans="1:7">
      <c r="A73" s="16">
        <v>31</v>
      </c>
      <c r="B73" s="16" t="s">
        <v>156</v>
      </c>
      <c r="C73" s="16">
        <v>13</v>
      </c>
      <c r="D73" s="35">
        <v>2166</v>
      </c>
      <c r="E73" s="16">
        <v>1</v>
      </c>
      <c r="F73" s="35">
        <v>13000</v>
      </c>
      <c r="G73" s="16">
        <v>0.1666</v>
      </c>
    </row>
    <row r="74" spans="1:7">
      <c r="A74" s="16">
        <v>32</v>
      </c>
      <c r="B74" s="16" t="s">
        <v>157</v>
      </c>
      <c r="C74" s="35">
        <v>16477</v>
      </c>
      <c r="D74" s="35">
        <v>1122489</v>
      </c>
      <c r="E74" s="16">
        <v>366</v>
      </c>
      <c r="F74" s="35">
        <v>45019</v>
      </c>
      <c r="G74" s="16">
        <v>6.8099999999999994E-2</v>
      </c>
    </row>
    <row r="75" spans="1:7">
      <c r="A75" s="16">
        <v>33</v>
      </c>
      <c r="B75" s="16" t="s">
        <v>215</v>
      </c>
      <c r="C75" s="16">
        <v>33</v>
      </c>
      <c r="D75" s="35">
        <v>6276</v>
      </c>
      <c r="E75" s="16">
        <v>4</v>
      </c>
      <c r="F75" s="35">
        <v>8250</v>
      </c>
      <c r="G75" s="16">
        <v>0.19020000000000001</v>
      </c>
    </row>
    <row r="76" spans="1:7">
      <c r="A76" s="16">
        <v>34</v>
      </c>
      <c r="B76" s="16" t="s">
        <v>161</v>
      </c>
      <c r="C76" s="35">
        <v>133664</v>
      </c>
      <c r="D76" s="35">
        <v>7679003</v>
      </c>
      <c r="E76" s="16">
        <v>128</v>
      </c>
      <c r="F76" s="35">
        <v>1044250</v>
      </c>
      <c r="G76" s="16">
        <v>5.7500000000000002E-2</v>
      </c>
    </row>
    <row r="77" spans="1:7">
      <c r="A77" s="16">
        <v>35</v>
      </c>
      <c r="B77" s="16" t="s">
        <v>216</v>
      </c>
      <c r="C77" s="35">
        <v>26414</v>
      </c>
      <c r="D77" s="35">
        <v>1698933</v>
      </c>
      <c r="E77" s="16">
        <v>1</v>
      </c>
      <c r="F77" s="35">
        <v>26414000</v>
      </c>
      <c r="G77" s="16">
        <v>6.4299999999999996E-2</v>
      </c>
    </row>
    <row r="78" spans="1:7">
      <c r="A78" s="16">
        <v>36</v>
      </c>
      <c r="B78" s="16" t="s">
        <v>162</v>
      </c>
      <c r="C78" s="35">
        <v>690523</v>
      </c>
      <c r="D78" s="35">
        <v>31041808</v>
      </c>
      <c r="E78" s="16">
        <v>33</v>
      </c>
      <c r="F78" s="35">
        <v>20924939</v>
      </c>
      <c r="G78" s="16">
        <v>4.4999999999999998E-2</v>
      </c>
    </row>
    <row r="79" spans="1:7">
      <c r="A79" s="16">
        <v>37</v>
      </c>
      <c r="B79" s="16" t="s">
        <v>171</v>
      </c>
      <c r="C79" s="16">
        <v>127</v>
      </c>
      <c r="D79" s="35">
        <v>14778</v>
      </c>
      <c r="E79" s="16">
        <v>43</v>
      </c>
      <c r="F79" s="35">
        <v>2953</v>
      </c>
      <c r="G79" s="16">
        <v>0.1164</v>
      </c>
    </row>
    <row r="80" spans="1:7">
      <c r="A80" s="16">
        <v>38</v>
      </c>
      <c r="B80" s="16" t="s">
        <v>172</v>
      </c>
      <c r="C80" s="16">
        <v>32</v>
      </c>
      <c r="D80" s="35">
        <v>4263</v>
      </c>
      <c r="E80" s="16">
        <v>19</v>
      </c>
      <c r="F80" s="35">
        <v>1684</v>
      </c>
      <c r="G80" s="16">
        <v>0.13320000000000001</v>
      </c>
    </row>
    <row r="81" spans="1:7">
      <c r="A81" s="16">
        <v>39</v>
      </c>
      <c r="B81" s="16" t="s">
        <v>172</v>
      </c>
      <c r="D81" s="16">
        <v>-8</v>
      </c>
    </row>
    <row r="82" spans="1:7">
      <c r="A82" s="16">
        <v>40</v>
      </c>
      <c r="B82" s="16" t="s">
        <v>217</v>
      </c>
      <c r="C82" s="35">
        <v>1120</v>
      </c>
      <c r="D82" s="35">
        <v>81026</v>
      </c>
      <c r="E82" s="16">
        <v>1</v>
      </c>
      <c r="F82" s="35">
        <v>1120000</v>
      </c>
      <c r="G82" s="16">
        <v>7.2300000000000003E-2</v>
      </c>
    </row>
    <row r="83" spans="1:7">
      <c r="A83" s="16">
        <v>1</v>
      </c>
      <c r="B83" s="16" t="s">
        <v>159</v>
      </c>
      <c r="C83" s="35">
        <v>4519</v>
      </c>
      <c r="D83" s="35">
        <v>398423</v>
      </c>
      <c r="E83" s="16">
        <v>29</v>
      </c>
      <c r="F83" s="35">
        <v>155828</v>
      </c>
      <c r="G83" s="16">
        <v>8.8200000000000001E-2</v>
      </c>
    </row>
    <row r="84" spans="1:7">
      <c r="A84" s="16">
        <v>2</v>
      </c>
      <c r="B84" s="16" t="s">
        <v>160</v>
      </c>
      <c r="D84" s="16">
        <v>-619</v>
      </c>
    </row>
    <row r="85" spans="1:7">
      <c r="A85" s="16">
        <v>3</v>
      </c>
      <c r="B85" s="16" t="s">
        <v>146</v>
      </c>
      <c r="D85" s="16">
        <v>129</v>
      </c>
    </row>
    <row r="86" spans="1:7">
      <c r="A86" s="16">
        <v>4</v>
      </c>
      <c r="B86" s="16" t="s">
        <v>147</v>
      </c>
      <c r="D86" s="16">
        <v>-991</v>
      </c>
    </row>
    <row r="87" spans="1:7">
      <c r="A87" s="16">
        <v>5</v>
      </c>
      <c r="B87" s="16" t="s">
        <v>218</v>
      </c>
    </row>
    <row r="88" spans="1:7" hidden="1"/>
    <row r="89" spans="1:7" hidden="1">
      <c r="C89" s="35"/>
      <c r="D89" s="35"/>
    </row>
    <row r="90" spans="1:7" hidden="1">
      <c r="C90" s="35"/>
      <c r="D90" s="35"/>
    </row>
    <row r="91" spans="1:7" hidden="1">
      <c r="C91" s="35"/>
      <c r="D91" s="35"/>
    </row>
    <row r="92" spans="1:7" hidden="1">
      <c r="C92" s="35"/>
      <c r="D92" s="35"/>
    </row>
    <row r="93" spans="1:7" hidden="1">
      <c r="C93" s="35"/>
      <c r="D93" s="35"/>
    </row>
    <row r="94" spans="1:7" hidden="1">
      <c r="C94" s="35"/>
      <c r="D94" s="35"/>
    </row>
    <row r="95" spans="1:7" hidden="1">
      <c r="C95" s="35"/>
      <c r="D95" s="35"/>
    </row>
    <row r="96" spans="1:7" hidden="1">
      <c r="C96" s="35"/>
      <c r="D96" s="35"/>
    </row>
    <row r="97" spans="1:7" hidden="1">
      <c r="C97" s="35"/>
      <c r="D97" s="35"/>
    </row>
    <row r="98" spans="1:7" hidden="1">
      <c r="C98" s="35"/>
      <c r="D98" s="35"/>
    </row>
    <row r="99" spans="1:7" hidden="1">
      <c r="C99" s="35"/>
      <c r="D99" s="35"/>
    </row>
    <row r="100" spans="1:7" hidden="1">
      <c r="C100" s="35"/>
      <c r="D100" s="35"/>
    </row>
    <row r="101" spans="1:7" hidden="1">
      <c r="C101" s="35"/>
      <c r="D101" s="35"/>
    </row>
    <row r="102" spans="1:7" hidden="1">
      <c r="C102" s="35"/>
      <c r="D102" s="35"/>
    </row>
    <row r="103" spans="1:7">
      <c r="A103" s="16">
        <v>6</v>
      </c>
      <c r="B103" s="16" t="s">
        <v>151</v>
      </c>
      <c r="C103" s="35">
        <v>-2122</v>
      </c>
      <c r="D103" s="35">
        <v>-84000</v>
      </c>
      <c r="G103" s="16">
        <v>3.9600000000000003E-2</v>
      </c>
    </row>
    <row r="104" spans="1:7" ht="15">
      <c r="A104" s="53" t="s">
        <v>196</v>
      </c>
      <c r="C104" s="60">
        <f>SUM(C71:C102)</f>
        <v>875784</v>
      </c>
      <c r="D104" s="60">
        <f t="shared" ref="D104:E104" si="2">SUM(D71:D102)</f>
        <v>42248916</v>
      </c>
      <c r="E104" s="60">
        <f t="shared" si="2"/>
        <v>727</v>
      </c>
      <c r="F104" s="60">
        <f>C104/E104*1000</f>
        <v>1204654.7455295736</v>
      </c>
      <c r="G104" s="65">
        <f>D104/(E104*F104)</f>
        <v>4.8241251267435808E-2</v>
      </c>
    </row>
    <row r="105" spans="1:7">
      <c r="C105" s="35"/>
      <c r="D105" s="35"/>
    </row>
    <row r="106" spans="1:7" ht="15">
      <c r="A106" s="53" t="s">
        <v>197</v>
      </c>
    </row>
    <row r="107" spans="1:7">
      <c r="A107" s="16">
        <v>3</v>
      </c>
      <c r="B107" s="16" t="s">
        <v>219</v>
      </c>
      <c r="C107" s="35">
        <v>145096</v>
      </c>
      <c r="D107" s="35">
        <v>9033284</v>
      </c>
      <c r="E107" s="35">
        <v>4633</v>
      </c>
      <c r="F107" s="35">
        <v>31318</v>
      </c>
      <c r="G107" s="16">
        <v>6.2300000000000001E-2</v>
      </c>
    </row>
    <row r="108" spans="1:7">
      <c r="A108" s="16">
        <v>4</v>
      </c>
      <c r="B108" s="16" t="s">
        <v>219</v>
      </c>
      <c r="D108" s="35">
        <v>-7333</v>
      </c>
    </row>
    <row r="109" spans="1:7">
      <c r="A109" s="16">
        <v>5</v>
      </c>
      <c r="B109" s="16" t="s">
        <v>220</v>
      </c>
      <c r="C109" s="35">
        <v>21479</v>
      </c>
      <c r="D109" s="35">
        <v>1337083</v>
      </c>
      <c r="E109" s="16">
        <v>647</v>
      </c>
      <c r="F109" s="35">
        <v>33198</v>
      </c>
      <c r="G109" s="16">
        <v>6.2300000000000001E-2</v>
      </c>
    </row>
    <row r="110" spans="1:7">
      <c r="A110" s="16">
        <v>6</v>
      </c>
      <c r="B110" s="16" t="s">
        <v>163</v>
      </c>
      <c r="D110" s="16">
        <v>878</v>
      </c>
    </row>
    <row r="111" spans="1:7">
      <c r="A111" s="16">
        <v>7</v>
      </c>
      <c r="B111" s="16" t="s">
        <v>164</v>
      </c>
      <c r="D111" s="35">
        <v>4452</v>
      </c>
    </row>
    <row r="112" spans="1:7">
      <c r="A112" s="16">
        <v>8</v>
      </c>
      <c r="B112" s="16" t="s">
        <v>165</v>
      </c>
      <c r="D112" s="16">
        <v>35</v>
      </c>
    </row>
    <row r="113" spans="1:7">
      <c r="A113" s="16">
        <v>9</v>
      </c>
      <c r="B113" s="16" t="s">
        <v>221</v>
      </c>
      <c r="D113" s="35">
        <v>1676</v>
      </c>
    </row>
    <row r="114" spans="1:7">
      <c r="A114" s="16">
        <v>10</v>
      </c>
      <c r="B114" s="16" t="s">
        <v>222</v>
      </c>
      <c r="D114" s="16">
        <v>64437</v>
      </c>
    </row>
    <row r="115" spans="1:7">
      <c r="A115" s="16">
        <v>11</v>
      </c>
      <c r="B115" s="16" t="s">
        <v>169</v>
      </c>
      <c r="D115" s="16">
        <v>124</v>
      </c>
    </row>
    <row r="116" spans="1:7">
      <c r="A116" s="16">
        <v>12</v>
      </c>
      <c r="B116" s="16" t="s">
        <v>207</v>
      </c>
      <c r="D116" s="35">
        <v>1110</v>
      </c>
    </row>
    <row r="117" spans="1:7">
      <c r="A117" s="16">
        <v>13</v>
      </c>
      <c r="B117" s="16" t="s">
        <v>144</v>
      </c>
      <c r="D117" s="16">
        <v>-7</v>
      </c>
    </row>
    <row r="118" spans="1:7">
      <c r="A118" s="16">
        <v>14</v>
      </c>
      <c r="B118" s="16" t="s">
        <v>145</v>
      </c>
      <c r="D118" s="16">
        <v>-2</v>
      </c>
    </row>
    <row r="119" spans="1:7">
      <c r="A119" s="16">
        <v>15</v>
      </c>
      <c r="B119" s="16" t="s">
        <v>223</v>
      </c>
      <c r="D119" s="35">
        <v>-43202</v>
      </c>
    </row>
    <row r="120" spans="1:7" hidden="1"/>
    <row r="121" spans="1:7">
      <c r="A121" s="16">
        <v>16</v>
      </c>
      <c r="B121" s="16" t="s">
        <v>224</v>
      </c>
      <c r="C121" s="16">
        <v>3</v>
      </c>
    </row>
    <row r="122" spans="1:7" ht="15">
      <c r="A122" s="53" t="s">
        <v>212</v>
      </c>
      <c r="C122" s="60">
        <f>SUM(C107:C120)</f>
        <v>166575</v>
      </c>
      <c r="D122" s="60">
        <f>SUM(D107:D120)</f>
        <v>10392535</v>
      </c>
      <c r="E122" s="60">
        <f>SUM(E107:E120)</f>
        <v>5280</v>
      </c>
      <c r="F122" s="60">
        <f>C122/E122*1000</f>
        <v>31548.295454545452</v>
      </c>
      <c r="G122" s="65">
        <f>D122/(E122*F122)</f>
        <v>6.2389524238331079E-2</v>
      </c>
    </row>
  </sheetData>
  <pageMargins left="0.7" right="0.7" top="0.75" bottom="0.75" header="0.3" footer="0.3"/>
  <pageSetup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2"/>
  <sheetViews>
    <sheetView zoomScale="85" zoomScaleNormal="85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9</v>
      </c>
      <c r="B4" s="16" t="s">
        <v>221</v>
      </c>
      <c r="D4" s="16">
        <v>628</v>
      </c>
    </row>
    <row r="5" spans="1:8">
      <c r="A5" s="16">
        <v>10</v>
      </c>
      <c r="B5" s="16" t="s">
        <v>225</v>
      </c>
      <c r="D5" s="16">
        <v>-1</v>
      </c>
    </row>
    <row r="6" spans="1:8">
      <c r="A6" s="16">
        <v>11</v>
      </c>
      <c r="B6" s="16" t="s">
        <v>226</v>
      </c>
      <c r="C6" s="35">
        <v>1172</v>
      </c>
      <c r="D6" s="35">
        <v>151000</v>
      </c>
      <c r="E6" s="35">
        <v>1264</v>
      </c>
      <c r="F6" s="16">
        <v>927</v>
      </c>
      <c r="G6" s="16">
        <v>0.1288</v>
      </c>
    </row>
    <row r="7" spans="1:8">
      <c r="A7" s="16">
        <v>12</v>
      </c>
      <c r="B7" s="16" t="s">
        <v>226</v>
      </c>
      <c r="D7" s="35">
        <v>-5009</v>
      </c>
    </row>
    <row r="8" spans="1:8">
      <c r="A8" s="16">
        <v>13</v>
      </c>
      <c r="B8" s="16" t="s">
        <v>227</v>
      </c>
      <c r="C8" s="35">
        <v>1579342</v>
      </c>
      <c r="D8" s="35">
        <v>101030086</v>
      </c>
      <c r="E8" s="35">
        <v>99275</v>
      </c>
      <c r="F8" s="35">
        <v>15909</v>
      </c>
      <c r="G8" s="16">
        <v>6.4000000000000001E-2</v>
      </c>
    </row>
    <row r="9" spans="1:8">
      <c r="A9" s="16">
        <v>14</v>
      </c>
      <c r="B9" s="16" t="s">
        <v>227</v>
      </c>
      <c r="D9" s="35">
        <v>-7261593</v>
      </c>
    </row>
    <row r="10" spans="1:8">
      <c r="A10" s="16">
        <v>15</v>
      </c>
      <c r="B10" s="16" t="s">
        <v>228</v>
      </c>
      <c r="C10" s="35">
        <v>45842</v>
      </c>
      <c r="D10" s="35">
        <v>2936976</v>
      </c>
      <c r="E10" s="35">
        <v>2506</v>
      </c>
      <c r="F10" s="35">
        <v>18293</v>
      </c>
      <c r="G10" s="16">
        <v>6.4100000000000004E-2</v>
      </c>
    </row>
    <row r="11" spans="1:8">
      <c r="A11" s="16">
        <v>16</v>
      </c>
      <c r="B11" s="16" t="s">
        <v>229</v>
      </c>
      <c r="D11" s="35">
        <v>-237546</v>
      </c>
    </row>
    <row r="12" spans="1:8">
      <c r="A12" s="16">
        <v>17</v>
      </c>
      <c r="B12" s="16" t="s">
        <v>230</v>
      </c>
      <c r="C12" s="35">
        <v>2745</v>
      </c>
      <c r="D12" s="35">
        <v>193926</v>
      </c>
      <c r="E12" s="16">
        <v>98</v>
      </c>
      <c r="F12" s="35">
        <v>28010</v>
      </c>
      <c r="G12" s="16">
        <v>7.0599999999999996E-2</v>
      </c>
    </row>
    <row r="13" spans="1:8">
      <c r="A13" s="16">
        <v>18</v>
      </c>
      <c r="B13" s="16" t="s">
        <v>230</v>
      </c>
      <c r="D13" s="35">
        <v>-11888</v>
      </c>
    </row>
    <row r="14" spans="1:8">
      <c r="A14" s="16">
        <v>19</v>
      </c>
      <c r="B14" s="16" t="s">
        <v>231</v>
      </c>
      <c r="C14" s="35">
        <v>710</v>
      </c>
      <c r="D14" s="35">
        <v>49346</v>
      </c>
      <c r="E14" s="16">
        <v>26</v>
      </c>
      <c r="F14" s="35">
        <v>27308</v>
      </c>
      <c r="G14" s="16">
        <v>6.9500000000000006E-2</v>
      </c>
    </row>
    <row r="15" spans="1:8">
      <c r="A15" s="16">
        <v>20</v>
      </c>
      <c r="B15" s="16" t="s">
        <v>231</v>
      </c>
      <c r="D15" s="35">
        <v>-3230</v>
      </c>
    </row>
    <row r="16" spans="1:8">
      <c r="A16" s="16">
        <v>21</v>
      </c>
      <c r="B16" s="16" t="s">
        <v>232</v>
      </c>
      <c r="D16" s="35">
        <v>-7</v>
      </c>
      <c r="E16" s="35"/>
    </row>
    <row r="17" spans="1:7">
      <c r="A17" s="16">
        <v>22</v>
      </c>
      <c r="B17" s="16" t="s">
        <v>233</v>
      </c>
      <c r="D17" s="35">
        <v>-97669</v>
      </c>
    </row>
    <row r="18" spans="1:7">
      <c r="A18" s="16">
        <v>23</v>
      </c>
      <c r="B18" s="16" t="s">
        <v>234</v>
      </c>
      <c r="D18" s="35">
        <v>129980</v>
      </c>
    </row>
    <row r="19" spans="1:7">
      <c r="A19" s="16">
        <v>24</v>
      </c>
      <c r="B19" s="16" t="s">
        <v>192</v>
      </c>
      <c r="D19" s="35">
        <v>3619335</v>
      </c>
    </row>
    <row r="20" spans="1:7" hidden="1"/>
    <row r="21" spans="1:7" hidden="1"/>
    <row r="22" spans="1:7" hidden="1">
      <c r="C22" s="35"/>
      <c r="D22" s="35"/>
    </row>
    <row r="23" spans="1:7">
      <c r="A23" s="16">
        <v>25</v>
      </c>
      <c r="B23" s="16" t="s">
        <v>235</v>
      </c>
      <c r="D23" s="35">
        <v>3000</v>
      </c>
    </row>
    <row r="24" spans="1:7">
      <c r="A24" s="16">
        <v>26</v>
      </c>
      <c r="B24" s="16" t="s">
        <v>195</v>
      </c>
      <c r="C24" s="35">
        <v>-3085</v>
      </c>
      <c r="D24" s="35">
        <v>305000</v>
      </c>
      <c r="G24" s="16">
        <v>-9.8900000000000002E-2</v>
      </c>
    </row>
    <row r="25" spans="1:7" ht="15">
      <c r="A25" s="53" t="s">
        <v>152</v>
      </c>
      <c r="C25" s="60">
        <f>SUM(C4:C22)</f>
        <v>1629811</v>
      </c>
      <c r="D25" s="60">
        <f t="shared" ref="D25:E25" si="0">SUM(D4:D22)</f>
        <v>100494334</v>
      </c>
      <c r="E25" s="60">
        <f t="shared" si="0"/>
        <v>103169</v>
      </c>
      <c r="F25" s="60">
        <f>C25/E25*1000</f>
        <v>15797.487617404453</v>
      </c>
      <c r="G25" s="65">
        <f>D25/(E25*F25)</f>
        <v>6.1660115191270647E-2</v>
      </c>
    </row>
    <row r="26" spans="1:7">
      <c r="C26" s="35"/>
      <c r="D26" s="35"/>
    </row>
    <row r="27" spans="1:7">
      <c r="D27" s="35"/>
    </row>
    <row r="28" spans="1:7" ht="15">
      <c r="A28" s="53" t="s">
        <v>153</v>
      </c>
    </row>
    <row r="29" spans="1:7">
      <c r="A29" s="16">
        <v>13</v>
      </c>
      <c r="B29" s="35" t="s">
        <v>236</v>
      </c>
      <c r="C29" s="35">
        <v>41717</v>
      </c>
      <c r="D29" s="35">
        <v>2929486</v>
      </c>
      <c r="E29" s="35">
        <v>3180</v>
      </c>
      <c r="F29" s="35">
        <v>13119</v>
      </c>
      <c r="G29" s="16">
        <v>7.0199999999999999E-2</v>
      </c>
    </row>
    <row r="30" spans="1:7">
      <c r="A30" s="16">
        <v>14</v>
      </c>
      <c r="B30" s="35" t="s">
        <v>236</v>
      </c>
      <c r="D30" s="35">
        <v>-172018</v>
      </c>
    </row>
    <row r="31" spans="1:7">
      <c r="A31" s="16">
        <v>15</v>
      </c>
      <c r="B31" s="35" t="s">
        <v>237</v>
      </c>
      <c r="C31" s="16">
        <v>228</v>
      </c>
      <c r="D31" s="35">
        <v>20255</v>
      </c>
      <c r="E31" s="16">
        <v>9</v>
      </c>
      <c r="F31" s="35">
        <v>25333</v>
      </c>
      <c r="G31" s="16">
        <v>8.8800000000000004E-2</v>
      </c>
    </row>
    <row r="32" spans="1:7">
      <c r="A32" s="16">
        <v>16</v>
      </c>
      <c r="B32" s="35" t="s">
        <v>237</v>
      </c>
      <c r="D32" s="16">
        <v>-156</v>
      </c>
    </row>
    <row r="33" spans="1:7">
      <c r="A33" s="16">
        <v>17</v>
      </c>
      <c r="B33" s="35" t="s">
        <v>238</v>
      </c>
      <c r="C33" s="35">
        <v>405</v>
      </c>
      <c r="D33" s="35">
        <v>99744</v>
      </c>
      <c r="E33" s="35">
        <v>107</v>
      </c>
      <c r="F33" s="35">
        <v>3785</v>
      </c>
      <c r="G33" s="16">
        <v>0.24629999999999999</v>
      </c>
    </row>
    <row r="34" spans="1:7">
      <c r="A34" s="16">
        <v>18</v>
      </c>
      <c r="B34" s="35" t="s">
        <v>238</v>
      </c>
      <c r="D34" s="35">
        <v>-3017</v>
      </c>
    </row>
    <row r="35" spans="1:7">
      <c r="A35" s="16">
        <v>19</v>
      </c>
      <c r="B35" s="35" t="s">
        <v>239</v>
      </c>
      <c r="C35" s="35">
        <v>464956</v>
      </c>
      <c r="D35" s="35">
        <v>29838106</v>
      </c>
      <c r="E35" s="35">
        <v>13523</v>
      </c>
      <c r="F35" s="35">
        <v>34383</v>
      </c>
      <c r="G35" s="16">
        <v>6.4199999999999993E-2</v>
      </c>
    </row>
    <row r="36" spans="1:7">
      <c r="A36" s="16">
        <v>20</v>
      </c>
      <c r="B36" s="35" t="s">
        <v>240</v>
      </c>
      <c r="C36" s="35">
        <v>1211</v>
      </c>
      <c r="D36" s="35">
        <v>115540</v>
      </c>
      <c r="E36" s="35">
        <v>122</v>
      </c>
      <c r="F36" s="35">
        <v>9926</v>
      </c>
      <c r="G36" s="16">
        <v>9.5399999999999999E-2</v>
      </c>
    </row>
    <row r="37" spans="1:7">
      <c r="A37" s="16">
        <v>21</v>
      </c>
      <c r="B37" s="35" t="s">
        <v>189</v>
      </c>
      <c r="C37" s="35">
        <v>86232</v>
      </c>
      <c r="D37" s="35">
        <v>4506151</v>
      </c>
      <c r="E37" s="16">
        <v>95</v>
      </c>
      <c r="F37" s="35">
        <v>907705</v>
      </c>
      <c r="G37" s="16">
        <v>5.2299999999999999E-2</v>
      </c>
    </row>
    <row r="38" spans="1:7">
      <c r="A38" s="16">
        <v>22</v>
      </c>
      <c r="B38" s="35" t="s">
        <v>190</v>
      </c>
      <c r="D38" s="35">
        <v>-363637</v>
      </c>
    </row>
    <row r="39" spans="1:7">
      <c r="A39" s="16">
        <v>23</v>
      </c>
      <c r="B39" s="35" t="s">
        <v>241</v>
      </c>
      <c r="C39" s="35">
        <v>674915</v>
      </c>
      <c r="D39" s="35">
        <v>36048841</v>
      </c>
      <c r="E39" s="16">
        <v>811</v>
      </c>
      <c r="F39" s="35">
        <v>832201</v>
      </c>
      <c r="G39" s="16">
        <v>5.3400000000000003E-2</v>
      </c>
    </row>
    <row r="40" spans="1:7">
      <c r="A40" s="16">
        <v>24</v>
      </c>
      <c r="B40" s="35" t="s">
        <v>185</v>
      </c>
      <c r="C40" s="35">
        <v>153043</v>
      </c>
      <c r="D40" s="35">
        <v>7333945</v>
      </c>
      <c r="E40" s="16">
        <v>27</v>
      </c>
      <c r="F40" s="35">
        <v>5668259</v>
      </c>
      <c r="G40" s="16">
        <v>4.7899999999999998E-2</v>
      </c>
    </row>
    <row r="41" spans="1:7">
      <c r="A41" s="16">
        <v>25</v>
      </c>
      <c r="B41" s="35" t="s">
        <v>242</v>
      </c>
      <c r="D41" s="35">
        <v>55619</v>
      </c>
    </row>
    <row r="42" spans="1:7">
      <c r="A42" s="16">
        <v>26</v>
      </c>
      <c r="B42" s="35" t="s">
        <v>243</v>
      </c>
      <c r="D42" s="35">
        <v>4132</v>
      </c>
    </row>
    <row r="43" spans="1:7">
      <c r="A43" s="16">
        <v>27</v>
      </c>
      <c r="B43" s="35" t="s">
        <v>244</v>
      </c>
      <c r="D43" s="16">
        <v>692</v>
      </c>
    </row>
    <row r="44" spans="1:7">
      <c r="A44" s="16">
        <v>28</v>
      </c>
      <c r="B44" s="35" t="s">
        <v>221</v>
      </c>
      <c r="D44" s="35">
        <v>162752</v>
      </c>
    </row>
    <row r="45" spans="1:7">
      <c r="A45" s="16">
        <v>29</v>
      </c>
      <c r="B45" s="35" t="s">
        <v>222</v>
      </c>
      <c r="D45" s="35">
        <v>12557</v>
      </c>
    </row>
    <row r="46" spans="1:7">
      <c r="A46" s="16">
        <v>30</v>
      </c>
      <c r="B46" s="35" t="s">
        <v>245</v>
      </c>
      <c r="D46" s="16">
        <v>669</v>
      </c>
    </row>
    <row r="47" spans="1:7">
      <c r="A47" s="16">
        <v>31</v>
      </c>
      <c r="B47" s="35" t="s">
        <v>246</v>
      </c>
      <c r="D47" s="35">
        <v>4665</v>
      </c>
    </row>
    <row r="48" spans="1:7">
      <c r="A48" s="16">
        <v>32</v>
      </c>
      <c r="B48" s="35" t="s">
        <v>247</v>
      </c>
      <c r="D48" s="35">
        <v>1647</v>
      </c>
    </row>
    <row r="49" spans="1:7">
      <c r="A49" s="16">
        <v>33</v>
      </c>
      <c r="B49" s="35" t="s">
        <v>248</v>
      </c>
      <c r="C49" s="35">
        <v>1700</v>
      </c>
      <c r="D49" s="35">
        <v>201867</v>
      </c>
      <c r="E49" s="16">
        <v>891</v>
      </c>
      <c r="F49" s="35">
        <v>1908</v>
      </c>
      <c r="G49" s="16">
        <v>0.1187</v>
      </c>
    </row>
    <row r="50" spans="1:7">
      <c r="A50" s="16">
        <v>34</v>
      </c>
      <c r="B50" s="35" t="s">
        <v>249</v>
      </c>
      <c r="C50" s="35">
        <v>650</v>
      </c>
      <c r="D50" s="35">
        <v>82850</v>
      </c>
      <c r="E50" s="16">
        <v>563</v>
      </c>
      <c r="F50" s="35">
        <v>1155</v>
      </c>
      <c r="G50" s="16">
        <v>0.1275</v>
      </c>
    </row>
    <row r="51" spans="1:7">
      <c r="A51" s="16">
        <v>35</v>
      </c>
      <c r="B51" s="35" t="s">
        <v>249</v>
      </c>
      <c r="D51" s="35">
        <v>-2782</v>
      </c>
    </row>
    <row r="52" spans="1:7">
      <c r="A52" s="16">
        <v>36</v>
      </c>
      <c r="B52" s="35" t="s">
        <v>250</v>
      </c>
      <c r="C52" s="16">
        <v>227</v>
      </c>
      <c r="D52" s="35">
        <v>18033</v>
      </c>
      <c r="E52" s="16">
        <v>28</v>
      </c>
      <c r="F52" s="35">
        <v>8107</v>
      </c>
      <c r="G52" s="16">
        <v>7.9399999999999998E-2</v>
      </c>
    </row>
    <row r="53" spans="1:7">
      <c r="A53" s="16">
        <v>37</v>
      </c>
      <c r="B53" s="35" t="s">
        <v>232</v>
      </c>
      <c r="D53" s="35">
        <v>-141</v>
      </c>
      <c r="E53" s="35"/>
    </row>
    <row r="54" spans="1:7">
      <c r="A54" s="16">
        <v>38</v>
      </c>
      <c r="B54" s="35" t="s">
        <v>251</v>
      </c>
      <c r="D54" s="16">
        <v>16</v>
      </c>
    </row>
    <row r="55" spans="1:7">
      <c r="A55" s="16">
        <v>39</v>
      </c>
      <c r="B55" s="35" t="s">
        <v>252</v>
      </c>
      <c r="C55" s="16">
        <v>5</v>
      </c>
      <c r="D55" s="16">
        <v>454</v>
      </c>
      <c r="E55" s="16">
        <v>1</v>
      </c>
      <c r="F55" s="35">
        <v>5000</v>
      </c>
      <c r="G55" s="16">
        <v>9.0800000000000006E-2</v>
      </c>
    </row>
    <row r="56" spans="1:7">
      <c r="A56" s="16">
        <v>40</v>
      </c>
      <c r="B56" s="35" t="s">
        <v>233</v>
      </c>
      <c r="D56" s="35">
        <v>-86849</v>
      </c>
      <c r="E56" s="35"/>
    </row>
    <row r="57" spans="1:7">
      <c r="A57" s="16">
        <v>1</v>
      </c>
      <c r="B57" s="35" t="s">
        <v>233</v>
      </c>
      <c r="D57" s="35">
        <v>115580</v>
      </c>
      <c r="F57" s="35"/>
    </row>
    <row r="58" spans="1:7">
      <c r="A58" s="16">
        <v>2</v>
      </c>
      <c r="B58" s="35" t="s">
        <v>192</v>
      </c>
      <c r="D58" s="35">
        <v>322616</v>
      </c>
    </row>
    <row r="59" spans="1:7" hidden="1"/>
    <row r="60" spans="1:7" hidden="1">
      <c r="B60" s="35"/>
      <c r="C60" s="35"/>
      <c r="D60" s="35"/>
    </row>
    <row r="61" spans="1:7" hidden="1">
      <c r="B61" s="35"/>
      <c r="C61" s="35"/>
      <c r="D61" s="35"/>
    </row>
    <row r="62" spans="1:7" hidden="1">
      <c r="B62" s="35"/>
      <c r="C62" s="35"/>
      <c r="D62" s="35"/>
    </row>
    <row r="63" spans="1:7" hidden="1">
      <c r="B63" s="35"/>
      <c r="C63" s="35"/>
      <c r="D63" s="35"/>
    </row>
    <row r="64" spans="1:7" hidden="1">
      <c r="B64" s="35"/>
      <c r="C64" s="35"/>
      <c r="D64" s="35"/>
    </row>
    <row r="65" spans="1:7" hidden="1">
      <c r="B65" s="35"/>
      <c r="C65" s="35"/>
      <c r="D65" s="35"/>
    </row>
    <row r="66" spans="1:7" hidden="1">
      <c r="B66" s="35"/>
      <c r="C66" s="35"/>
      <c r="D66" s="35"/>
    </row>
    <row r="67" spans="1:7">
      <c r="A67" s="16">
        <v>3</v>
      </c>
      <c r="B67" s="35" t="s">
        <v>195</v>
      </c>
      <c r="C67" s="35">
        <v>-6503</v>
      </c>
      <c r="D67" s="35">
        <v>-99000</v>
      </c>
      <c r="G67" s="16">
        <v>1.52E-2</v>
      </c>
    </row>
    <row r="68" spans="1:7" ht="15">
      <c r="A68" s="53" t="s">
        <v>176</v>
      </c>
      <c r="C68" s="60">
        <f>SUM(C28:C66)</f>
        <v>1425289</v>
      </c>
      <c r="D68" s="60">
        <f t="shared" ref="D68:E68" si="1">SUM(D28:D66)</f>
        <v>81247617</v>
      </c>
      <c r="E68" s="60">
        <f t="shared" si="1"/>
        <v>19357</v>
      </c>
      <c r="F68" s="60">
        <f>C68/E68*1000</f>
        <v>73631.709459110396</v>
      </c>
      <c r="G68" s="65">
        <f>D68/(E68*F68)</f>
        <v>5.7004310704706206E-2</v>
      </c>
    </row>
    <row r="69" spans="1:7">
      <c r="B69" s="35"/>
      <c r="C69" s="35"/>
      <c r="D69" s="35"/>
    </row>
    <row r="70" spans="1:7">
      <c r="D70" s="35"/>
    </row>
    <row r="71" spans="1:7" ht="15">
      <c r="A71" s="53" t="s">
        <v>177</v>
      </c>
      <c r="D71" s="35"/>
    </row>
    <row r="72" spans="1:7">
      <c r="A72" s="16">
        <v>4</v>
      </c>
      <c r="B72" s="35" t="s">
        <v>253</v>
      </c>
      <c r="C72" s="35">
        <v>3254</v>
      </c>
      <c r="D72" s="35">
        <v>215281</v>
      </c>
      <c r="E72" s="16">
        <v>105</v>
      </c>
      <c r="F72" s="35">
        <v>30990</v>
      </c>
      <c r="G72" s="16">
        <v>6.6199999999999995E-2</v>
      </c>
    </row>
    <row r="73" spans="1:7">
      <c r="A73" s="16">
        <v>5</v>
      </c>
      <c r="B73" s="35" t="s">
        <v>253</v>
      </c>
      <c r="D73" s="35">
        <v>-10526</v>
      </c>
    </row>
    <row r="74" spans="1:7">
      <c r="A74" s="16">
        <v>6</v>
      </c>
      <c r="B74" s="35" t="s">
        <v>254</v>
      </c>
      <c r="C74" s="16">
        <v>7</v>
      </c>
      <c r="D74" s="35">
        <v>1973</v>
      </c>
      <c r="E74" s="16">
        <v>1</v>
      </c>
      <c r="F74" s="35">
        <v>7000</v>
      </c>
      <c r="G74" s="16">
        <v>0.28189999999999998</v>
      </c>
    </row>
    <row r="75" spans="1:7">
      <c r="A75" s="16">
        <v>7</v>
      </c>
      <c r="B75" s="35" t="s">
        <v>254</v>
      </c>
      <c r="D75" s="16">
        <v>-20</v>
      </c>
    </row>
    <row r="76" spans="1:7">
      <c r="A76" s="16">
        <v>8</v>
      </c>
      <c r="B76" s="35" t="s">
        <v>255</v>
      </c>
      <c r="C76" s="35">
        <v>18006</v>
      </c>
      <c r="D76" s="35">
        <v>1159532</v>
      </c>
      <c r="E76" s="16">
        <v>376</v>
      </c>
      <c r="F76" s="35">
        <v>47888</v>
      </c>
      <c r="G76" s="16">
        <v>6.4399999999999999E-2</v>
      </c>
    </row>
    <row r="77" spans="1:7">
      <c r="A77" s="16">
        <v>9</v>
      </c>
      <c r="B77" s="35" t="s">
        <v>256</v>
      </c>
      <c r="C77" s="16">
        <v>33</v>
      </c>
      <c r="D77" s="35">
        <v>5796</v>
      </c>
      <c r="E77" s="16">
        <v>4</v>
      </c>
      <c r="F77" s="35">
        <v>8250</v>
      </c>
      <c r="G77" s="16">
        <v>0.17560000000000001</v>
      </c>
    </row>
    <row r="78" spans="1:7">
      <c r="A78" s="16">
        <v>10</v>
      </c>
      <c r="B78" s="35" t="s">
        <v>257</v>
      </c>
      <c r="C78" s="35">
        <v>136630</v>
      </c>
      <c r="D78" s="35">
        <v>7424663</v>
      </c>
      <c r="E78" s="16">
        <v>128</v>
      </c>
      <c r="F78" s="35">
        <v>1067422</v>
      </c>
      <c r="G78" s="16">
        <v>5.4300000000000001E-2</v>
      </c>
    </row>
    <row r="79" spans="1:7">
      <c r="A79" s="16">
        <v>11</v>
      </c>
      <c r="B79" s="35" t="s">
        <v>258</v>
      </c>
      <c r="C79" s="35">
        <v>25831</v>
      </c>
      <c r="D79" s="35">
        <v>1639796</v>
      </c>
      <c r="E79" s="16">
        <v>1</v>
      </c>
      <c r="F79" s="35">
        <v>25831000</v>
      </c>
      <c r="G79" s="16">
        <v>6.3500000000000001E-2</v>
      </c>
    </row>
    <row r="80" spans="1:7">
      <c r="A80" s="16">
        <v>12</v>
      </c>
      <c r="B80" s="35" t="s">
        <v>259</v>
      </c>
      <c r="C80" s="35">
        <v>674725</v>
      </c>
      <c r="D80" s="35">
        <v>29173220</v>
      </c>
      <c r="E80" s="16">
        <v>34</v>
      </c>
      <c r="F80" s="35">
        <v>19844853</v>
      </c>
      <c r="G80" s="16">
        <v>4.3200000000000002E-2</v>
      </c>
    </row>
    <row r="81" spans="1:7">
      <c r="A81" s="16">
        <v>13</v>
      </c>
      <c r="B81" s="35" t="s">
        <v>260</v>
      </c>
      <c r="C81" s="16">
        <v>127</v>
      </c>
      <c r="D81" s="35">
        <v>14250</v>
      </c>
      <c r="E81" s="16">
        <v>43</v>
      </c>
      <c r="F81" s="35">
        <v>2953</v>
      </c>
      <c r="G81" s="16">
        <v>0.11219999999999999</v>
      </c>
    </row>
    <row r="82" spans="1:7">
      <c r="A82" s="16">
        <v>14</v>
      </c>
      <c r="B82" s="35" t="s">
        <v>261</v>
      </c>
      <c r="C82" s="16">
        <v>32</v>
      </c>
      <c r="D82" s="35">
        <v>4114</v>
      </c>
      <c r="E82" s="16">
        <v>19</v>
      </c>
      <c r="F82" s="35">
        <v>1684</v>
      </c>
      <c r="G82" s="16">
        <v>0.12859999999999999</v>
      </c>
    </row>
    <row r="83" spans="1:7">
      <c r="A83" s="16">
        <v>15</v>
      </c>
      <c r="B83" s="35" t="s">
        <v>261</v>
      </c>
      <c r="D83" s="16">
        <v>-142</v>
      </c>
    </row>
    <row r="84" spans="1:7">
      <c r="A84" s="16">
        <v>16</v>
      </c>
      <c r="B84" s="35" t="s">
        <v>262</v>
      </c>
      <c r="C84" s="35">
        <v>1540</v>
      </c>
      <c r="D84" s="35">
        <v>148326</v>
      </c>
      <c r="E84" s="16">
        <v>1</v>
      </c>
      <c r="F84" s="35">
        <v>1540000</v>
      </c>
      <c r="G84" s="16">
        <v>9.6299999999999997E-2</v>
      </c>
    </row>
    <row r="85" spans="1:7">
      <c r="A85" s="16">
        <v>17</v>
      </c>
      <c r="B85" s="35" t="s">
        <v>263</v>
      </c>
      <c r="D85" s="16">
        <v>45</v>
      </c>
    </row>
    <row r="86" spans="1:7">
      <c r="A86" s="16">
        <v>18</v>
      </c>
      <c r="B86" s="35" t="s">
        <v>264</v>
      </c>
      <c r="D86" s="16">
        <v>-6</v>
      </c>
    </row>
    <row r="87" spans="1:7">
      <c r="A87" s="16">
        <v>19</v>
      </c>
      <c r="B87" s="35" t="s">
        <v>265</v>
      </c>
      <c r="C87" s="35">
        <v>3876</v>
      </c>
      <c r="D87" s="35">
        <v>347660</v>
      </c>
      <c r="E87" s="16">
        <v>27</v>
      </c>
      <c r="F87" s="35">
        <v>143556</v>
      </c>
      <c r="G87" s="16">
        <v>8.9700000000000002E-2</v>
      </c>
    </row>
    <row r="88" spans="1:7">
      <c r="A88" s="16">
        <v>20</v>
      </c>
      <c r="B88" s="35" t="s">
        <v>266</v>
      </c>
      <c r="D88" s="35">
        <v>-4950</v>
      </c>
    </row>
    <row r="89" spans="1:7">
      <c r="A89" s="16">
        <v>21</v>
      </c>
      <c r="B89" s="35" t="s">
        <v>267</v>
      </c>
      <c r="E89" s="16">
        <v>1</v>
      </c>
    </row>
    <row r="90" spans="1:7">
      <c r="A90" s="16">
        <v>22</v>
      </c>
      <c r="B90" s="35" t="s">
        <v>268</v>
      </c>
      <c r="D90" s="35">
        <v>-64803</v>
      </c>
    </row>
    <row r="91" spans="1:7">
      <c r="A91" s="16">
        <v>23</v>
      </c>
      <c r="B91" s="35" t="s">
        <v>269</v>
      </c>
      <c r="D91" s="35">
        <v>86241</v>
      </c>
    </row>
    <row r="92" spans="1:7">
      <c r="A92" s="16">
        <v>24</v>
      </c>
      <c r="B92" s="35" t="s">
        <v>270</v>
      </c>
      <c r="D92" s="35">
        <v>8941</v>
      </c>
    </row>
    <row r="93" spans="1:7" hidden="1"/>
    <row r="94" spans="1:7" hidden="1">
      <c r="B94" s="35"/>
      <c r="C94" s="35"/>
      <c r="D94" s="35"/>
    </row>
    <row r="95" spans="1:7" hidden="1">
      <c r="B95" s="35"/>
      <c r="C95" s="35"/>
      <c r="D95" s="35"/>
    </row>
    <row r="96" spans="1:7" hidden="1">
      <c r="B96" s="35"/>
      <c r="C96" s="35"/>
      <c r="D96" s="35"/>
    </row>
    <row r="97" spans="1:7" hidden="1">
      <c r="B97" s="35"/>
      <c r="C97" s="35"/>
      <c r="D97" s="35"/>
    </row>
    <row r="98" spans="1:7" hidden="1">
      <c r="B98" s="35"/>
      <c r="C98" s="35"/>
      <c r="D98" s="35"/>
    </row>
    <row r="99" spans="1:7" hidden="1">
      <c r="B99" s="35"/>
      <c r="C99" s="35"/>
      <c r="D99" s="35"/>
    </row>
    <row r="100" spans="1:7" hidden="1">
      <c r="B100" s="35"/>
      <c r="C100" s="35"/>
      <c r="D100" s="35"/>
    </row>
    <row r="101" spans="1:7" hidden="1">
      <c r="B101" s="35"/>
      <c r="C101" s="35"/>
      <c r="D101" s="35"/>
    </row>
    <row r="102" spans="1:7" hidden="1">
      <c r="B102" s="35"/>
      <c r="C102" s="35"/>
      <c r="D102" s="35"/>
    </row>
    <row r="103" spans="1:7">
      <c r="A103" s="16">
        <v>25</v>
      </c>
      <c r="B103" s="35" t="s">
        <v>271</v>
      </c>
      <c r="C103" s="35">
        <v>-5046</v>
      </c>
      <c r="D103" s="35">
        <v>-132000</v>
      </c>
      <c r="G103" s="16">
        <v>2.6200000000000001E-2</v>
      </c>
    </row>
    <row r="104" spans="1:7" ht="15">
      <c r="A104" s="53" t="s">
        <v>196</v>
      </c>
      <c r="C104" s="60">
        <f>SUM(C72:C102)</f>
        <v>864061</v>
      </c>
      <c r="D104" s="60">
        <f t="shared" ref="D104:E104" si="2">SUM(D72:D102)</f>
        <v>40149391</v>
      </c>
      <c r="E104" s="60">
        <f t="shared" si="2"/>
        <v>740</v>
      </c>
      <c r="F104" s="60">
        <f>C104/E104*1000</f>
        <v>1167650</v>
      </c>
      <c r="G104" s="65">
        <f>D104/(E104*F104)</f>
        <v>4.6465921966157481E-2</v>
      </c>
    </row>
    <row r="105" spans="1:7">
      <c r="B105" s="35"/>
      <c r="C105" s="35"/>
      <c r="D105" s="35"/>
    </row>
    <row r="106" spans="1:7" ht="15">
      <c r="A106" s="53" t="s">
        <v>197</v>
      </c>
    </row>
    <row r="107" spans="1:7">
      <c r="A107" s="16">
        <v>35</v>
      </c>
      <c r="B107" s="16" t="s">
        <v>272</v>
      </c>
      <c r="C107" s="35">
        <v>143928</v>
      </c>
      <c r="D107" s="35">
        <v>8647963</v>
      </c>
      <c r="E107" s="35">
        <v>4663</v>
      </c>
      <c r="F107" s="35">
        <v>30866</v>
      </c>
      <c r="G107" s="16">
        <v>6.0100000000000001E-2</v>
      </c>
    </row>
    <row r="108" spans="1:7">
      <c r="A108" s="16">
        <v>36</v>
      </c>
      <c r="B108" s="16" t="s">
        <v>272</v>
      </c>
      <c r="D108" s="35">
        <v>-361732</v>
      </c>
    </row>
    <row r="109" spans="1:7">
      <c r="A109" s="16">
        <v>37</v>
      </c>
      <c r="B109" s="16" t="s">
        <v>273</v>
      </c>
      <c r="C109" s="35">
        <v>20255</v>
      </c>
      <c r="D109" s="35">
        <v>1204250</v>
      </c>
      <c r="E109" s="16">
        <v>587</v>
      </c>
      <c r="F109" s="35">
        <v>34506</v>
      </c>
      <c r="G109" s="16">
        <v>5.9499999999999997E-2</v>
      </c>
    </row>
    <row r="110" spans="1:7">
      <c r="A110" s="16">
        <v>38</v>
      </c>
      <c r="B110" s="16" t="s">
        <v>274</v>
      </c>
      <c r="D110" s="35">
        <v>9370</v>
      </c>
    </row>
    <row r="111" spans="1:7">
      <c r="A111" s="16">
        <v>39</v>
      </c>
      <c r="B111" s="16" t="s">
        <v>242</v>
      </c>
      <c r="D111" s="16">
        <v>957</v>
      </c>
    </row>
    <row r="112" spans="1:7">
      <c r="A112" s="16">
        <v>40</v>
      </c>
      <c r="B112" s="16" t="s">
        <v>243</v>
      </c>
      <c r="D112" s="35">
        <v>5651</v>
      </c>
    </row>
    <row r="113" spans="1:7">
      <c r="A113" s="16">
        <v>1</v>
      </c>
      <c r="B113" s="16" t="s">
        <v>244</v>
      </c>
      <c r="D113" s="16">
        <v>30</v>
      </c>
    </row>
    <row r="114" spans="1:7">
      <c r="A114" s="16">
        <v>2</v>
      </c>
      <c r="B114" s="16" t="s">
        <v>221</v>
      </c>
      <c r="D114" s="35">
        <v>1951</v>
      </c>
    </row>
    <row r="115" spans="1:7">
      <c r="A115" s="16">
        <v>3</v>
      </c>
      <c r="B115" s="16" t="s">
        <v>222</v>
      </c>
      <c r="D115" s="35">
        <v>55647</v>
      </c>
    </row>
    <row r="116" spans="1:7">
      <c r="A116" s="16">
        <v>4</v>
      </c>
      <c r="B116" s="16" t="s">
        <v>275</v>
      </c>
      <c r="D116" s="16">
        <v>429</v>
      </c>
    </row>
    <row r="117" spans="1:7">
      <c r="A117" s="16">
        <v>5</v>
      </c>
      <c r="B117" s="16" t="s">
        <v>276</v>
      </c>
      <c r="D117" s="16">
        <v>145</v>
      </c>
    </row>
    <row r="118" spans="1:7">
      <c r="A118" s="16">
        <v>6</v>
      </c>
      <c r="B118" s="16" t="s">
        <v>232</v>
      </c>
      <c r="D118" s="16">
        <v>10</v>
      </c>
    </row>
    <row r="119" spans="1:7">
      <c r="A119" s="16">
        <v>7</v>
      </c>
      <c r="B119" s="16" t="s">
        <v>251</v>
      </c>
      <c r="D119" s="16">
        <v>9</v>
      </c>
    </row>
    <row r="120" spans="1:7">
      <c r="A120" s="16">
        <v>8</v>
      </c>
      <c r="B120" s="16" t="s">
        <v>192</v>
      </c>
      <c r="D120" s="35">
        <v>338962</v>
      </c>
    </row>
    <row r="121" spans="1:7">
      <c r="A121" s="16">
        <v>9</v>
      </c>
      <c r="B121" s="16" t="s">
        <v>195</v>
      </c>
      <c r="C121" s="16">
        <v>-209</v>
      </c>
      <c r="D121" s="35">
        <v>-59000</v>
      </c>
      <c r="G121" s="16">
        <v>0.2823</v>
      </c>
    </row>
    <row r="122" spans="1:7" ht="15">
      <c r="A122" s="53" t="s">
        <v>212</v>
      </c>
      <c r="C122" s="60">
        <f>SUM(C107:C120)</f>
        <v>164183</v>
      </c>
      <c r="D122" s="60">
        <f>SUM(D107:D120)</f>
        <v>9903642</v>
      </c>
      <c r="E122" s="60">
        <f>SUM(E107:E120)</f>
        <v>5250</v>
      </c>
      <c r="F122" s="60">
        <f>C122/E122*1000</f>
        <v>31272.952380952382</v>
      </c>
      <c r="G122" s="65">
        <f>D122/(E122*F122)</f>
        <v>6.0320751843978976E-2</v>
      </c>
    </row>
  </sheetData>
  <pageMargins left="0.7" right="0.7" top="0.75" bottom="0.75" header="0.3" footer="0.3"/>
  <pageSetup scale="4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2"/>
  <sheetViews>
    <sheetView zoomScale="85" zoomScaleNormal="85" workbookViewId="0">
      <pane ySplit="2" topLeftCell="A93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10</v>
      </c>
      <c r="B4" s="16" t="s">
        <v>136</v>
      </c>
      <c r="D4" s="35">
        <v>1421</v>
      </c>
    </row>
    <row r="5" spans="1:8">
      <c r="A5" s="16">
        <v>11</v>
      </c>
      <c r="B5" s="16" t="s">
        <v>277</v>
      </c>
      <c r="C5" s="16">
        <v>881</v>
      </c>
      <c r="D5" s="35">
        <v>110253</v>
      </c>
      <c r="E5" s="35">
        <v>1292</v>
      </c>
      <c r="F5" s="16">
        <v>682</v>
      </c>
      <c r="G5" s="16">
        <v>0.12509999999999999</v>
      </c>
    </row>
    <row r="6" spans="1:8">
      <c r="A6" s="16">
        <v>12</v>
      </c>
      <c r="B6" s="16" t="s">
        <v>277</v>
      </c>
      <c r="C6" s="35"/>
      <c r="D6" s="35">
        <v>-9947</v>
      </c>
    </row>
    <row r="7" spans="1:8">
      <c r="A7" s="16">
        <v>13</v>
      </c>
      <c r="B7" s="16" t="s">
        <v>278</v>
      </c>
      <c r="D7" s="16">
        <v>55</v>
      </c>
      <c r="E7" s="16">
        <v>1</v>
      </c>
    </row>
    <row r="8" spans="1:8">
      <c r="A8" s="16">
        <v>14</v>
      </c>
      <c r="B8" s="16" t="s">
        <v>138</v>
      </c>
      <c r="C8" s="35">
        <v>322</v>
      </c>
      <c r="D8" s="35">
        <v>40151</v>
      </c>
      <c r="E8" s="35">
        <v>1283</v>
      </c>
      <c r="F8" s="16">
        <v>251</v>
      </c>
      <c r="G8" s="16">
        <v>0.12470000000000001</v>
      </c>
    </row>
    <row r="9" spans="1:8">
      <c r="A9" s="16">
        <v>15</v>
      </c>
      <c r="B9" s="16" t="s">
        <v>138</v>
      </c>
      <c r="D9" s="35">
        <v>-3296</v>
      </c>
    </row>
    <row r="10" spans="1:8">
      <c r="A10" s="16">
        <v>16</v>
      </c>
      <c r="B10" s="16" t="s">
        <v>139</v>
      </c>
      <c r="C10" s="35">
        <v>1557092</v>
      </c>
      <c r="D10" s="35">
        <v>97485553</v>
      </c>
      <c r="E10" s="35">
        <v>98637</v>
      </c>
      <c r="F10" s="35">
        <v>15786</v>
      </c>
      <c r="G10" s="16">
        <v>6.2600000000000003E-2</v>
      </c>
    </row>
    <row r="11" spans="1:8">
      <c r="A11" s="16">
        <v>17</v>
      </c>
      <c r="B11" s="16" t="s">
        <v>139</v>
      </c>
      <c r="C11" s="35"/>
      <c r="D11" s="35">
        <v>-16945045</v>
      </c>
    </row>
    <row r="12" spans="1:8">
      <c r="A12" s="16">
        <v>18</v>
      </c>
      <c r="B12" s="16" t="s">
        <v>140</v>
      </c>
      <c r="C12" s="35">
        <v>39531</v>
      </c>
      <c r="D12" s="35">
        <v>2498991</v>
      </c>
      <c r="E12" s="35">
        <v>2027</v>
      </c>
      <c r="F12" s="35">
        <v>19502</v>
      </c>
      <c r="G12" s="16">
        <v>6.3200000000000006E-2</v>
      </c>
    </row>
    <row r="13" spans="1:8">
      <c r="A13" s="16">
        <v>19</v>
      </c>
      <c r="B13" s="16" t="s">
        <v>141</v>
      </c>
      <c r="D13" s="35">
        <v>-428615</v>
      </c>
    </row>
    <row r="14" spans="1:8">
      <c r="A14" s="16">
        <v>20</v>
      </c>
      <c r="B14" s="16" t="s">
        <v>142</v>
      </c>
      <c r="C14" s="35">
        <v>2805</v>
      </c>
      <c r="D14" s="35">
        <v>193979</v>
      </c>
      <c r="E14" s="16">
        <v>101</v>
      </c>
      <c r="F14" s="35">
        <v>27772</v>
      </c>
      <c r="G14" s="16">
        <v>6.9199999999999998E-2</v>
      </c>
    </row>
    <row r="15" spans="1:8">
      <c r="A15" s="16">
        <v>21</v>
      </c>
      <c r="B15" s="16" t="s">
        <v>142</v>
      </c>
      <c r="D15" s="35">
        <v>-30672</v>
      </c>
    </row>
    <row r="16" spans="1:8">
      <c r="A16" s="16">
        <v>22</v>
      </c>
      <c r="B16" s="16" t="s">
        <v>143</v>
      </c>
      <c r="C16" s="16">
        <v>761</v>
      </c>
      <c r="D16" s="35">
        <v>52118</v>
      </c>
      <c r="E16" s="16">
        <v>27</v>
      </c>
      <c r="F16" s="35">
        <v>28185</v>
      </c>
      <c r="G16" s="16">
        <v>6.8500000000000005E-2</v>
      </c>
    </row>
    <row r="17" spans="1:7">
      <c r="A17" s="16">
        <v>23</v>
      </c>
      <c r="B17" s="16" t="s">
        <v>143</v>
      </c>
      <c r="D17" s="35">
        <v>-8348</v>
      </c>
    </row>
    <row r="18" spans="1:7">
      <c r="A18" s="16">
        <v>24</v>
      </c>
      <c r="B18" s="16" t="s">
        <v>144</v>
      </c>
      <c r="D18" s="16">
        <v>-90</v>
      </c>
    </row>
    <row r="19" spans="1:7">
      <c r="A19" s="16">
        <v>25</v>
      </c>
      <c r="B19" s="16" t="s">
        <v>145</v>
      </c>
      <c r="D19" s="35">
        <v>-20</v>
      </c>
    </row>
    <row r="20" spans="1:7">
      <c r="A20" s="16">
        <v>26</v>
      </c>
      <c r="B20" s="16" t="s">
        <v>146</v>
      </c>
      <c r="C20" s="35"/>
      <c r="D20" s="35">
        <v>-146504</v>
      </c>
    </row>
    <row r="21" spans="1:7">
      <c r="A21" s="16">
        <v>27</v>
      </c>
      <c r="B21" s="16" t="s">
        <v>279</v>
      </c>
      <c r="D21" s="35">
        <v>-126011</v>
      </c>
      <c r="E21" s="35"/>
    </row>
    <row r="22" spans="1:7">
      <c r="A22" s="16">
        <v>28</v>
      </c>
      <c r="B22" s="16" t="s">
        <v>147</v>
      </c>
      <c r="C22" s="35">
        <v>1148662</v>
      </c>
    </row>
    <row r="23" spans="1:7" ht="15">
      <c r="A23" s="53">
        <v>29</v>
      </c>
      <c r="B23" s="16" t="s">
        <v>150</v>
      </c>
      <c r="C23" s="35">
        <v>10000</v>
      </c>
    </row>
    <row r="24" spans="1:7">
      <c r="A24" s="16">
        <v>30</v>
      </c>
      <c r="B24" s="16" t="s">
        <v>151</v>
      </c>
      <c r="C24" s="35">
        <v>-5050</v>
      </c>
      <c r="D24" s="35">
        <v>-435000</v>
      </c>
      <c r="G24" s="16">
        <v>8.6099999999999996E-2</v>
      </c>
    </row>
    <row r="25" spans="1:7" ht="15">
      <c r="A25" s="53" t="s">
        <v>152</v>
      </c>
      <c r="C25" s="60">
        <f>SUM(C4:C21)</f>
        <v>1601392</v>
      </c>
      <c r="D25" s="60">
        <f t="shared" ref="D25:E25" si="0">SUM(D4:D22)</f>
        <v>82683973</v>
      </c>
      <c r="E25" s="60">
        <f t="shared" si="0"/>
        <v>103368</v>
      </c>
      <c r="F25" s="60">
        <f>C25/E25*1000</f>
        <v>15492.144570853648</v>
      </c>
      <c r="G25" s="65">
        <f>D25/(E25*F25)</f>
        <v>5.1632562795368028E-2</v>
      </c>
    </row>
    <row r="26" spans="1:7">
      <c r="B26" s="35"/>
      <c r="D26" s="35"/>
    </row>
    <row r="27" spans="1:7" ht="15">
      <c r="A27" s="53" t="s">
        <v>153</v>
      </c>
      <c r="B27" s="35"/>
      <c r="D27" s="35"/>
      <c r="F27" s="35"/>
    </row>
    <row r="28" spans="1:7">
      <c r="A28" s="16">
        <v>28</v>
      </c>
      <c r="B28" s="16" t="s">
        <v>154</v>
      </c>
      <c r="C28" s="35">
        <v>11257</v>
      </c>
      <c r="D28" s="35">
        <v>782604</v>
      </c>
      <c r="E28" s="35">
        <v>3290</v>
      </c>
      <c r="F28" s="35">
        <v>3422</v>
      </c>
      <c r="G28" s="16">
        <v>6.9500000000000006E-2</v>
      </c>
    </row>
    <row r="29" spans="1:7">
      <c r="A29" s="16">
        <v>29</v>
      </c>
      <c r="B29" s="16" t="s">
        <v>154</v>
      </c>
      <c r="C29" s="35"/>
      <c r="D29" s="35">
        <v>-113342</v>
      </c>
    </row>
    <row r="30" spans="1:7">
      <c r="A30" s="16">
        <v>30</v>
      </c>
      <c r="B30" s="16" t="s">
        <v>155</v>
      </c>
      <c r="C30" s="16">
        <v>65</v>
      </c>
      <c r="D30" s="35">
        <v>5658</v>
      </c>
      <c r="E30" s="16">
        <v>10</v>
      </c>
      <c r="F30" s="35">
        <v>6500</v>
      </c>
      <c r="G30" s="16">
        <v>8.6999999999999994E-2</v>
      </c>
    </row>
    <row r="31" spans="1:7">
      <c r="A31" s="16">
        <v>31</v>
      </c>
      <c r="B31" s="16" t="s">
        <v>155</v>
      </c>
      <c r="C31" s="35"/>
      <c r="D31" s="35">
        <v>-96</v>
      </c>
      <c r="E31" s="35"/>
    </row>
    <row r="32" spans="1:7">
      <c r="A32" s="16">
        <v>32</v>
      </c>
      <c r="B32" s="16" t="s">
        <v>156</v>
      </c>
      <c r="C32" s="35">
        <v>19</v>
      </c>
      <c r="D32" s="35">
        <v>45462</v>
      </c>
      <c r="E32" s="16">
        <v>111</v>
      </c>
      <c r="F32" s="16">
        <v>171</v>
      </c>
      <c r="G32" s="16">
        <v>2.3927</v>
      </c>
    </row>
    <row r="33" spans="1:7">
      <c r="A33" s="16">
        <v>33</v>
      </c>
      <c r="B33" s="16" t="s">
        <v>156</v>
      </c>
      <c r="C33" s="35"/>
      <c r="D33" s="16">
        <v>-202</v>
      </c>
      <c r="E33" s="35"/>
    </row>
    <row r="34" spans="1:7">
      <c r="A34" s="16">
        <v>34</v>
      </c>
      <c r="B34" s="16" t="s">
        <v>157</v>
      </c>
      <c r="C34" s="35">
        <v>458489</v>
      </c>
      <c r="D34" s="35">
        <v>29105254</v>
      </c>
      <c r="E34" s="35">
        <v>13185</v>
      </c>
      <c r="F34" s="35">
        <v>34774</v>
      </c>
      <c r="G34" s="16">
        <v>6.3500000000000001E-2</v>
      </c>
    </row>
    <row r="35" spans="1:7">
      <c r="A35" s="16">
        <v>35</v>
      </c>
      <c r="B35" s="16" t="s">
        <v>280</v>
      </c>
      <c r="C35" s="35">
        <v>32367</v>
      </c>
      <c r="D35" s="35">
        <v>2228779</v>
      </c>
      <c r="E35" s="35">
        <v>3289</v>
      </c>
      <c r="F35" s="35">
        <v>9841</v>
      </c>
      <c r="G35" s="16">
        <v>6.8900000000000003E-2</v>
      </c>
    </row>
    <row r="36" spans="1:7">
      <c r="A36" s="16">
        <v>36</v>
      </c>
      <c r="B36" s="16" t="s">
        <v>280</v>
      </c>
      <c r="D36" s="35">
        <v>-364139</v>
      </c>
    </row>
    <row r="37" spans="1:7">
      <c r="A37" s="16">
        <v>37</v>
      </c>
      <c r="B37" s="16" t="s">
        <v>158</v>
      </c>
      <c r="C37" s="35">
        <v>1200</v>
      </c>
      <c r="D37" s="35">
        <v>111714</v>
      </c>
      <c r="E37" s="16">
        <v>122</v>
      </c>
      <c r="F37" s="35">
        <v>9836</v>
      </c>
      <c r="G37" s="16">
        <v>9.3100000000000002E-2</v>
      </c>
    </row>
    <row r="38" spans="1:7">
      <c r="A38" s="16">
        <v>38</v>
      </c>
      <c r="B38" s="16" t="s">
        <v>281</v>
      </c>
      <c r="C38" s="16">
        <v>192</v>
      </c>
      <c r="D38" s="35">
        <v>16787</v>
      </c>
      <c r="E38" s="16">
        <v>10</v>
      </c>
      <c r="F38" s="35">
        <v>19200</v>
      </c>
      <c r="G38" s="16">
        <v>8.7400000000000005E-2</v>
      </c>
    </row>
    <row r="39" spans="1:7">
      <c r="A39" s="16">
        <v>39</v>
      </c>
      <c r="B39" s="16" t="s">
        <v>281</v>
      </c>
      <c r="D39" s="16">
        <v>-307</v>
      </c>
    </row>
    <row r="40" spans="1:7">
      <c r="A40" s="16">
        <v>40</v>
      </c>
      <c r="B40" s="16" t="s">
        <v>282</v>
      </c>
      <c r="C40" s="35">
        <v>234</v>
      </c>
      <c r="D40" s="35">
        <v>39679</v>
      </c>
      <c r="E40" s="16">
        <v>113</v>
      </c>
      <c r="F40" s="35">
        <v>2071</v>
      </c>
      <c r="G40" s="16">
        <v>0.1696</v>
      </c>
    </row>
    <row r="41" spans="1:7">
      <c r="A41" s="16">
        <v>1</v>
      </c>
      <c r="B41" s="16" t="s">
        <v>283</v>
      </c>
      <c r="D41" s="35">
        <v>-2629</v>
      </c>
    </row>
    <row r="42" spans="1:7">
      <c r="A42" s="16">
        <v>2</v>
      </c>
      <c r="B42" s="16" t="s">
        <v>159</v>
      </c>
      <c r="C42" s="35">
        <v>26078</v>
      </c>
      <c r="D42" s="35">
        <v>1305042</v>
      </c>
      <c r="E42" s="16">
        <v>98</v>
      </c>
      <c r="F42" s="35">
        <v>266102</v>
      </c>
      <c r="G42" s="16">
        <v>0.05</v>
      </c>
    </row>
    <row r="43" spans="1:7">
      <c r="A43" s="16">
        <v>3</v>
      </c>
      <c r="B43" s="16" t="s">
        <v>160</v>
      </c>
      <c r="C43" s="35"/>
      <c r="D43" s="35">
        <v>-266006</v>
      </c>
    </row>
    <row r="44" spans="1:7">
      <c r="A44" s="16">
        <v>4</v>
      </c>
      <c r="B44" s="16" t="s">
        <v>284</v>
      </c>
      <c r="C44" s="35">
        <v>53073</v>
      </c>
      <c r="D44" s="35">
        <v>2788036</v>
      </c>
      <c r="E44" s="16">
        <v>96</v>
      </c>
      <c r="F44" s="35">
        <v>552844</v>
      </c>
      <c r="G44" s="16">
        <v>5.2499999999999998E-2</v>
      </c>
    </row>
    <row r="45" spans="1:7">
      <c r="A45" s="16">
        <v>5</v>
      </c>
      <c r="B45" s="16" t="s">
        <v>284</v>
      </c>
      <c r="D45" s="35">
        <v>-597070</v>
      </c>
    </row>
    <row r="46" spans="1:7">
      <c r="A46" s="16">
        <v>6</v>
      </c>
      <c r="B46" s="16" t="s">
        <v>161</v>
      </c>
      <c r="C46" s="35">
        <v>668945</v>
      </c>
      <c r="D46" s="35">
        <v>34992635</v>
      </c>
      <c r="E46" s="16">
        <v>791</v>
      </c>
      <c r="F46" s="35">
        <v>845695</v>
      </c>
      <c r="G46" s="16">
        <v>5.2299999999999999E-2</v>
      </c>
    </row>
    <row r="47" spans="1:7">
      <c r="A47" s="16">
        <v>7</v>
      </c>
      <c r="B47" s="16" t="s">
        <v>162</v>
      </c>
      <c r="C47" s="35">
        <v>153167</v>
      </c>
      <c r="D47" s="35">
        <v>7215122</v>
      </c>
      <c r="E47" s="16">
        <v>28</v>
      </c>
      <c r="F47" s="35">
        <v>5470250</v>
      </c>
      <c r="G47" s="16">
        <v>4.7100000000000003E-2</v>
      </c>
    </row>
    <row r="48" spans="1:7">
      <c r="A48" s="16">
        <v>8</v>
      </c>
      <c r="B48" s="16" t="s">
        <v>163</v>
      </c>
      <c r="D48" s="35">
        <v>43622</v>
      </c>
    </row>
    <row r="49" spans="1:7">
      <c r="A49" s="16">
        <v>9</v>
      </c>
      <c r="B49" s="16" t="s">
        <v>164</v>
      </c>
      <c r="C49" s="35"/>
      <c r="D49" s="35">
        <v>4436</v>
      </c>
    </row>
    <row r="50" spans="1:7">
      <c r="A50" s="16">
        <v>10</v>
      </c>
      <c r="B50" s="16" t="s">
        <v>165</v>
      </c>
      <c r="D50" s="35">
        <v>-7287</v>
      </c>
    </row>
    <row r="51" spans="1:7">
      <c r="A51" s="16">
        <v>11</v>
      </c>
      <c r="B51" s="16" t="s">
        <v>136</v>
      </c>
      <c r="D51" s="35">
        <v>158344</v>
      </c>
      <c r="E51" s="35"/>
    </row>
    <row r="52" spans="1:7">
      <c r="A52" s="16">
        <v>12</v>
      </c>
      <c r="B52" s="16" t="s">
        <v>166</v>
      </c>
      <c r="C52" s="35"/>
      <c r="D52" s="35">
        <v>17221</v>
      </c>
    </row>
    <row r="53" spans="1:7">
      <c r="A53" s="16">
        <v>13</v>
      </c>
      <c r="B53" s="16" t="s">
        <v>167</v>
      </c>
      <c r="C53" s="35"/>
      <c r="D53" s="16">
        <v>669</v>
      </c>
      <c r="E53" s="35"/>
    </row>
    <row r="54" spans="1:7">
      <c r="A54" s="16">
        <v>14</v>
      </c>
      <c r="B54" s="16" t="s">
        <v>168</v>
      </c>
      <c r="D54" s="35">
        <v>17266</v>
      </c>
    </row>
    <row r="55" spans="1:7">
      <c r="A55" s="16">
        <v>15</v>
      </c>
      <c r="B55" s="16" t="s">
        <v>285</v>
      </c>
      <c r="C55" s="16">
        <v>501</v>
      </c>
      <c r="D55" s="35">
        <v>62128</v>
      </c>
      <c r="E55" s="16">
        <v>594</v>
      </c>
      <c r="F55" s="16">
        <v>843</v>
      </c>
      <c r="G55" s="16">
        <v>0.124</v>
      </c>
    </row>
    <row r="56" spans="1:7">
      <c r="A56" s="16">
        <v>16</v>
      </c>
      <c r="B56" s="16" t="s">
        <v>285</v>
      </c>
      <c r="D56" s="35">
        <v>-5658</v>
      </c>
    </row>
    <row r="57" spans="1:7" ht="15">
      <c r="A57" s="53">
        <v>17</v>
      </c>
      <c r="B57" s="16" t="s">
        <v>171</v>
      </c>
      <c r="C57" s="35">
        <v>1740</v>
      </c>
      <c r="D57" s="35">
        <v>200406</v>
      </c>
      <c r="E57" s="16">
        <v>879</v>
      </c>
      <c r="F57" s="35">
        <v>1980</v>
      </c>
      <c r="G57" s="16">
        <v>0.1152</v>
      </c>
    </row>
    <row r="58" spans="1:7">
      <c r="A58" s="16">
        <v>18</v>
      </c>
      <c r="B58" s="16" t="s">
        <v>172</v>
      </c>
      <c r="C58" s="35">
        <v>177</v>
      </c>
      <c r="D58" s="35">
        <v>21887</v>
      </c>
      <c r="E58" s="16">
        <v>584</v>
      </c>
      <c r="F58" s="16">
        <v>303</v>
      </c>
      <c r="G58" s="16">
        <v>0.1237</v>
      </c>
    </row>
    <row r="59" spans="1:7">
      <c r="A59" s="16">
        <v>19</v>
      </c>
      <c r="B59" s="16" t="s">
        <v>172</v>
      </c>
      <c r="D59" s="35">
        <v>-1808</v>
      </c>
    </row>
    <row r="60" spans="1:7">
      <c r="A60" s="16">
        <v>20</v>
      </c>
      <c r="B60" s="16" t="s">
        <v>173</v>
      </c>
      <c r="C60" s="35">
        <v>241</v>
      </c>
      <c r="D60" s="35">
        <v>18534</v>
      </c>
      <c r="E60" s="16">
        <v>29</v>
      </c>
      <c r="F60" s="35">
        <v>8310</v>
      </c>
      <c r="G60" s="16">
        <v>7.6899999999999996E-2</v>
      </c>
    </row>
    <row r="61" spans="1:7">
      <c r="A61" s="16">
        <v>21</v>
      </c>
      <c r="B61" s="16" t="s">
        <v>144</v>
      </c>
      <c r="D61" s="16">
        <v>-140</v>
      </c>
    </row>
    <row r="62" spans="1:7">
      <c r="A62" s="16">
        <v>22</v>
      </c>
      <c r="B62" s="16" t="s">
        <v>145</v>
      </c>
      <c r="C62" s="35"/>
      <c r="D62" s="35">
        <v>43</v>
      </c>
      <c r="F62" s="35"/>
    </row>
    <row r="63" spans="1:7">
      <c r="A63" s="16">
        <v>23</v>
      </c>
      <c r="B63" s="16" t="s">
        <v>174</v>
      </c>
      <c r="C63" s="35">
        <v>5</v>
      </c>
      <c r="D63" s="16">
        <v>410</v>
      </c>
      <c r="E63" s="16">
        <v>1</v>
      </c>
      <c r="F63" s="35">
        <v>5000</v>
      </c>
      <c r="G63" s="16">
        <v>8.2000000000000003E-2</v>
      </c>
    </row>
    <row r="64" spans="1:7">
      <c r="A64" s="16">
        <v>24</v>
      </c>
      <c r="B64" s="16" t="s">
        <v>146</v>
      </c>
      <c r="C64" s="35"/>
      <c r="D64" s="35">
        <v>-130273</v>
      </c>
      <c r="E64" s="35"/>
    </row>
    <row r="65" spans="1:7">
      <c r="A65" s="16">
        <v>25</v>
      </c>
      <c r="B65" s="16" t="s">
        <v>279</v>
      </c>
      <c r="C65" s="35"/>
      <c r="D65" s="35">
        <v>-112051</v>
      </c>
      <c r="E65" s="35"/>
      <c r="G65" s="35"/>
    </row>
    <row r="66" spans="1:7">
      <c r="A66" s="16">
        <v>26</v>
      </c>
      <c r="B66" s="16" t="s">
        <v>147</v>
      </c>
      <c r="C66" s="35"/>
      <c r="D66" s="35">
        <v>60564</v>
      </c>
      <c r="E66" s="35"/>
    </row>
    <row r="67" spans="1:7">
      <c r="A67" s="16">
        <v>27</v>
      </c>
      <c r="B67" s="16" t="s">
        <v>151</v>
      </c>
      <c r="C67" s="35">
        <v>7357</v>
      </c>
      <c r="D67" s="35">
        <v>468000</v>
      </c>
      <c r="G67" s="16">
        <v>6.3600000000000004E-2</v>
      </c>
    </row>
    <row r="68" spans="1:7" ht="15">
      <c r="A68" s="53" t="s">
        <v>176</v>
      </c>
      <c r="C68" s="60">
        <f>SUM(C28:C66)</f>
        <v>1407750</v>
      </c>
      <c r="D68" s="60">
        <f t="shared" ref="D68:E68" si="1">SUM(D28:D66)</f>
        <v>77641294</v>
      </c>
      <c r="E68" s="60">
        <f t="shared" si="1"/>
        <v>23230</v>
      </c>
      <c r="F68" s="60">
        <f>C68/E68*1000</f>
        <v>60600.516573396468</v>
      </c>
      <c r="G68" s="65">
        <f>D68/(E68*F68)</f>
        <v>5.5152757236725268E-2</v>
      </c>
    </row>
    <row r="69" spans="1:7">
      <c r="B69" s="35"/>
      <c r="D69" s="35"/>
      <c r="F69" s="35"/>
    </row>
    <row r="70" spans="1:7" ht="15">
      <c r="A70" s="53" t="s">
        <v>177</v>
      </c>
      <c r="B70" s="35"/>
    </row>
    <row r="71" spans="1:7">
      <c r="A71" s="16">
        <v>31</v>
      </c>
      <c r="B71" s="16" t="s">
        <v>286</v>
      </c>
      <c r="C71" s="35">
        <v>841</v>
      </c>
      <c r="D71" s="35">
        <v>56256</v>
      </c>
      <c r="E71" s="16">
        <v>114</v>
      </c>
      <c r="F71" s="35">
        <v>7377</v>
      </c>
      <c r="G71" s="16">
        <v>6.6900000000000001E-2</v>
      </c>
    </row>
    <row r="72" spans="1:7">
      <c r="A72" s="16">
        <v>32</v>
      </c>
      <c r="B72" s="16" t="s">
        <v>286</v>
      </c>
      <c r="D72" s="35">
        <v>-8751</v>
      </c>
    </row>
    <row r="73" spans="1:7">
      <c r="A73" s="16">
        <v>33</v>
      </c>
      <c r="B73" s="16" t="s">
        <v>287</v>
      </c>
      <c r="D73" s="16">
        <v>614</v>
      </c>
      <c r="E73" s="16">
        <v>1</v>
      </c>
    </row>
    <row r="74" spans="1:7">
      <c r="A74" s="16">
        <v>34</v>
      </c>
      <c r="B74" s="16" t="s">
        <v>287</v>
      </c>
      <c r="C74" s="35"/>
      <c r="D74" s="16">
        <v>-1</v>
      </c>
      <c r="E74" s="35"/>
    </row>
    <row r="75" spans="1:7">
      <c r="A75" s="16">
        <v>35</v>
      </c>
      <c r="B75" s="16" t="s">
        <v>288</v>
      </c>
      <c r="C75" s="35">
        <v>19097</v>
      </c>
      <c r="D75" s="35">
        <v>1219613</v>
      </c>
      <c r="E75" s="16">
        <v>381</v>
      </c>
      <c r="F75" s="35">
        <v>50123</v>
      </c>
      <c r="G75" s="16">
        <v>6.3899999999999998E-2</v>
      </c>
    </row>
    <row r="76" spans="1:7">
      <c r="A76" s="16">
        <v>36</v>
      </c>
      <c r="B76" s="16" t="s">
        <v>289</v>
      </c>
      <c r="C76" s="35">
        <v>1890</v>
      </c>
      <c r="D76" s="35">
        <v>133122</v>
      </c>
      <c r="E76" s="16">
        <v>117</v>
      </c>
      <c r="F76" s="35">
        <v>16154</v>
      </c>
      <c r="G76" s="16">
        <v>7.0400000000000004E-2</v>
      </c>
    </row>
    <row r="77" spans="1:7">
      <c r="A77" s="16">
        <v>37</v>
      </c>
      <c r="B77" s="16" t="s">
        <v>289</v>
      </c>
      <c r="D77" s="35">
        <v>-21267</v>
      </c>
    </row>
    <row r="78" spans="1:7">
      <c r="A78" s="16">
        <v>38</v>
      </c>
      <c r="B78" s="16" t="s">
        <v>290</v>
      </c>
      <c r="C78" s="16">
        <v>33</v>
      </c>
      <c r="D78" s="35">
        <v>5441</v>
      </c>
      <c r="E78" s="16">
        <v>4</v>
      </c>
      <c r="F78" s="35">
        <v>8250</v>
      </c>
      <c r="G78" s="16">
        <v>0.16489999999999999</v>
      </c>
    </row>
    <row r="79" spans="1:7">
      <c r="A79" s="16">
        <v>39</v>
      </c>
      <c r="B79" s="16" t="s">
        <v>291</v>
      </c>
      <c r="C79" s="35">
        <v>1</v>
      </c>
      <c r="D79" s="16">
        <v>623</v>
      </c>
      <c r="E79" s="16">
        <v>1</v>
      </c>
      <c r="F79" s="35">
        <v>1000</v>
      </c>
      <c r="G79" s="16">
        <v>0.623</v>
      </c>
    </row>
    <row r="80" spans="1:7">
      <c r="A80" s="16">
        <v>40</v>
      </c>
      <c r="B80" s="16" t="s">
        <v>292</v>
      </c>
      <c r="C80" s="35"/>
      <c r="D80" s="35">
        <v>-9</v>
      </c>
    </row>
    <row r="81" spans="1:10">
      <c r="A81" s="16">
        <v>1</v>
      </c>
      <c r="B81" s="16" t="s">
        <v>293</v>
      </c>
      <c r="C81" s="35">
        <v>2214</v>
      </c>
      <c r="D81" s="35">
        <v>206527</v>
      </c>
      <c r="E81" s="16">
        <v>27</v>
      </c>
      <c r="F81" s="35">
        <v>82000</v>
      </c>
      <c r="G81" s="16">
        <v>9.3299999999999994E-2</v>
      </c>
    </row>
    <row r="82" spans="1:10">
      <c r="A82" s="16">
        <v>2</v>
      </c>
      <c r="B82" s="16" t="s">
        <v>293</v>
      </c>
      <c r="D82" s="35">
        <v>-24902</v>
      </c>
    </row>
    <row r="83" spans="1:10">
      <c r="A83" s="16">
        <v>3</v>
      </c>
      <c r="B83" s="16" t="s">
        <v>294</v>
      </c>
      <c r="C83" s="35">
        <v>145564</v>
      </c>
      <c r="D83" s="35">
        <v>7741178</v>
      </c>
      <c r="E83" s="16">
        <v>133</v>
      </c>
      <c r="F83" s="35">
        <v>1094466</v>
      </c>
      <c r="G83" s="16">
        <v>5.3199999999999997E-2</v>
      </c>
    </row>
    <row r="84" spans="1:10">
      <c r="A84" s="16">
        <v>4</v>
      </c>
      <c r="B84" s="16" t="s">
        <v>295</v>
      </c>
      <c r="C84" s="35">
        <v>72852</v>
      </c>
      <c r="D84" s="35">
        <v>3301774</v>
      </c>
      <c r="E84" s="16">
        <v>1</v>
      </c>
      <c r="F84" s="35">
        <v>72852000</v>
      </c>
      <c r="G84" s="16">
        <v>4.53E-2</v>
      </c>
    </row>
    <row r="85" spans="1:10">
      <c r="A85" s="16">
        <v>5</v>
      </c>
      <c r="B85" s="16" t="s">
        <v>259</v>
      </c>
      <c r="C85" s="35">
        <v>710265</v>
      </c>
      <c r="D85" s="35">
        <v>29878654</v>
      </c>
      <c r="E85" s="16">
        <v>35</v>
      </c>
      <c r="F85" s="35">
        <v>20293286</v>
      </c>
      <c r="G85" s="16">
        <v>4.2099999999999999E-2</v>
      </c>
    </row>
    <row r="86" spans="1:10">
      <c r="A86" s="16">
        <v>6</v>
      </c>
      <c r="B86" s="16" t="s">
        <v>201</v>
      </c>
      <c r="D86" s="35">
        <v>1572</v>
      </c>
    </row>
    <row r="87" spans="1:10">
      <c r="A87" s="16">
        <v>7</v>
      </c>
      <c r="B87" s="16" t="s">
        <v>204</v>
      </c>
      <c r="D87" s="16">
        <v>800</v>
      </c>
    </row>
    <row r="88" spans="1:10">
      <c r="A88" s="16">
        <v>8</v>
      </c>
      <c r="B88" s="16" t="s">
        <v>296</v>
      </c>
      <c r="C88" s="16">
        <v>24</v>
      </c>
      <c r="D88" s="35">
        <v>3031</v>
      </c>
      <c r="E88" s="16">
        <v>20</v>
      </c>
      <c r="F88" s="35">
        <v>1200</v>
      </c>
      <c r="G88" s="16">
        <v>0.1263</v>
      </c>
    </row>
    <row r="89" spans="1:10">
      <c r="A89" s="16">
        <v>9</v>
      </c>
      <c r="B89" s="16" t="s">
        <v>296</v>
      </c>
      <c r="D89" s="16">
        <v>-275</v>
      </c>
    </row>
    <row r="90" spans="1:10">
      <c r="A90" s="16">
        <v>10</v>
      </c>
      <c r="B90" s="16" t="s">
        <v>297</v>
      </c>
      <c r="C90" s="16">
        <v>120</v>
      </c>
      <c r="D90" s="35">
        <v>13249</v>
      </c>
      <c r="E90" s="16">
        <v>44</v>
      </c>
      <c r="F90" s="35">
        <v>2727</v>
      </c>
      <c r="G90" s="16">
        <v>0.1104</v>
      </c>
    </row>
    <row r="91" spans="1:10">
      <c r="A91" s="16">
        <v>11</v>
      </c>
      <c r="B91" s="16" t="s">
        <v>298</v>
      </c>
      <c r="C91" s="16">
        <v>8</v>
      </c>
      <c r="D91" s="35">
        <v>1040</v>
      </c>
      <c r="E91" s="16">
        <v>19</v>
      </c>
      <c r="F91" s="16">
        <v>421</v>
      </c>
      <c r="G91" s="16">
        <v>0.13</v>
      </c>
    </row>
    <row r="92" spans="1:10">
      <c r="A92" s="16">
        <v>12</v>
      </c>
      <c r="B92" s="16" t="s">
        <v>298</v>
      </c>
      <c r="D92" s="16">
        <v>-86</v>
      </c>
    </row>
    <row r="93" spans="1:10">
      <c r="A93" s="16">
        <v>13</v>
      </c>
      <c r="B93" s="16" t="s">
        <v>262</v>
      </c>
      <c r="C93" s="35">
        <v>21107</v>
      </c>
      <c r="D93" s="35">
        <v>1959919</v>
      </c>
      <c r="E93" s="16">
        <v>2</v>
      </c>
      <c r="F93" s="35">
        <v>10553500</v>
      </c>
      <c r="G93" s="16">
        <v>9.2899999999999996E-2</v>
      </c>
    </row>
    <row r="94" spans="1:10">
      <c r="A94" s="16">
        <v>14</v>
      </c>
      <c r="B94" s="16" t="s">
        <v>299</v>
      </c>
      <c r="D94" s="16">
        <v>38</v>
      </c>
    </row>
    <row r="95" spans="1:10">
      <c r="A95" s="16">
        <v>15</v>
      </c>
      <c r="B95" s="16" t="s">
        <v>208</v>
      </c>
      <c r="D95" s="16">
        <v>10</v>
      </c>
    </row>
    <row r="96" spans="1:10">
      <c r="A96" s="16">
        <v>16</v>
      </c>
      <c r="B96" s="16" t="s">
        <v>265</v>
      </c>
      <c r="C96" s="35">
        <v>1698</v>
      </c>
      <c r="D96" s="35">
        <v>117282</v>
      </c>
      <c r="E96" s="16">
        <v>29</v>
      </c>
      <c r="F96" s="35">
        <v>58552</v>
      </c>
      <c r="G96" s="16">
        <v>6.9099999999999995E-2</v>
      </c>
      <c r="H96" s="35"/>
      <c r="J96" s="35"/>
    </row>
    <row r="97" spans="1:10">
      <c r="A97" s="16">
        <v>17</v>
      </c>
      <c r="B97" s="16" t="s">
        <v>266</v>
      </c>
      <c r="C97" s="35"/>
      <c r="D97" s="35">
        <v>-18720</v>
      </c>
      <c r="J97" s="35"/>
    </row>
    <row r="98" spans="1:10">
      <c r="A98" s="16">
        <v>18</v>
      </c>
      <c r="B98" s="16" t="s">
        <v>300</v>
      </c>
      <c r="D98" s="35">
        <v>-29804</v>
      </c>
    </row>
    <row r="99" spans="1:10">
      <c r="A99" s="16">
        <v>19</v>
      </c>
      <c r="B99" s="16" t="s">
        <v>301</v>
      </c>
      <c r="C99" s="35">
        <v>2896</v>
      </c>
      <c r="D99" s="35">
        <v>139107</v>
      </c>
      <c r="E99" s="16">
        <v>1</v>
      </c>
      <c r="F99" s="35">
        <v>2896000</v>
      </c>
      <c r="G99" s="16">
        <v>4.8000000000000001E-2</v>
      </c>
    </row>
    <row r="100" spans="1:10">
      <c r="A100" s="16">
        <v>20</v>
      </c>
      <c r="B100" s="16" t="s">
        <v>302</v>
      </c>
      <c r="D100" s="35">
        <v>-97205</v>
      </c>
    </row>
    <row r="101" spans="1:10">
      <c r="A101" s="16">
        <v>21</v>
      </c>
      <c r="B101" s="16" t="s">
        <v>269</v>
      </c>
      <c r="D101" s="35">
        <v>-83608</v>
      </c>
    </row>
    <row r="102" spans="1:10">
      <c r="A102" s="16">
        <v>22</v>
      </c>
      <c r="B102" s="16" t="s">
        <v>270</v>
      </c>
      <c r="D102" s="35">
        <v>4267</v>
      </c>
    </row>
    <row r="103" spans="1:10">
      <c r="A103" s="16">
        <v>23</v>
      </c>
      <c r="B103" s="16" t="s">
        <v>271</v>
      </c>
      <c r="C103" s="35">
        <v>11567</v>
      </c>
      <c r="D103" s="35">
        <v>484000</v>
      </c>
      <c r="G103" s="16">
        <v>4.1799999999999997E-2</v>
      </c>
    </row>
    <row r="104" spans="1:10" ht="15">
      <c r="A104" s="53" t="s">
        <v>196</v>
      </c>
      <c r="C104" s="60">
        <f>SUM(C71:C102)</f>
        <v>978610</v>
      </c>
      <c r="D104" s="60">
        <f t="shared" ref="D104:E104" si="2">SUM(D71:D102)</f>
        <v>44499489</v>
      </c>
      <c r="E104" s="60">
        <f t="shared" si="2"/>
        <v>929</v>
      </c>
      <c r="F104" s="60">
        <f>C104/E104*1000</f>
        <v>1053401.5069967706</v>
      </c>
      <c r="G104" s="65">
        <f>D104/(E104*F104)</f>
        <v>4.5472138032515513E-2</v>
      </c>
    </row>
    <row r="106" spans="1:10" ht="15">
      <c r="A106" s="53" t="s">
        <v>197</v>
      </c>
    </row>
    <row r="107" spans="1:10">
      <c r="A107" s="16">
        <v>40</v>
      </c>
      <c r="B107" s="16" t="s">
        <v>303</v>
      </c>
      <c r="C107" s="35">
        <v>136211</v>
      </c>
      <c r="D107" s="35">
        <v>8050954</v>
      </c>
      <c r="E107" s="35">
        <v>4663</v>
      </c>
      <c r="F107" s="35">
        <v>29211</v>
      </c>
      <c r="G107" s="16">
        <v>5.91E-2</v>
      </c>
    </row>
    <row r="108" spans="1:10">
      <c r="A108" s="16">
        <v>1</v>
      </c>
      <c r="B108" s="16" t="s">
        <v>303</v>
      </c>
      <c r="D108" s="35">
        <v>-1527858</v>
      </c>
    </row>
    <row r="109" spans="1:10">
      <c r="A109" s="16">
        <v>2</v>
      </c>
      <c r="B109" s="16" t="s">
        <v>304</v>
      </c>
      <c r="C109" s="35">
        <v>18104</v>
      </c>
      <c r="D109" s="35">
        <v>1067940</v>
      </c>
      <c r="E109" s="16">
        <v>575</v>
      </c>
      <c r="F109" s="35">
        <v>31485</v>
      </c>
      <c r="G109" s="16">
        <v>5.8999999999999997E-2</v>
      </c>
    </row>
    <row r="110" spans="1:10">
      <c r="A110" s="16">
        <v>3</v>
      </c>
      <c r="B110" s="16" t="s">
        <v>274</v>
      </c>
      <c r="D110" s="35">
        <v>46050</v>
      </c>
    </row>
    <row r="111" spans="1:10">
      <c r="A111" s="16">
        <v>4</v>
      </c>
      <c r="B111" s="16" t="s">
        <v>242</v>
      </c>
      <c r="D111" s="35">
        <v>1086</v>
      </c>
    </row>
    <row r="112" spans="1:10">
      <c r="A112" s="16">
        <v>5</v>
      </c>
      <c r="B112" s="16" t="s">
        <v>243</v>
      </c>
      <c r="D112" s="35">
        <v>7012</v>
      </c>
    </row>
    <row r="113" spans="1:7">
      <c r="A113" s="16">
        <v>6</v>
      </c>
      <c r="B113" s="16" t="s">
        <v>244</v>
      </c>
      <c r="D113" s="16">
        <v>30</v>
      </c>
    </row>
    <row r="114" spans="1:7">
      <c r="A114" s="16">
        <v>7</v>
      </c>
      <c r="B114" s="16" t="s">
        <v>221</v>
      </c>
      <c r="D114" s="35">
        <v>1835</v>
      </c>
    </row>
    <row r="115" spans="1:7">
      <c r="A115" s="16">
        <v>8</v>
      </c>
      <c r="B115" s="16" t="s">
        <v>222</v>
      </c>
      <c r="D115" s="35">
        <v>50756</v>
      </c>
    </row>
    <row r="116" spans="1:7">
      <c r="A116" s="16">
        <v>9</v>
      </c>
      <c r="B116" s="16" t="s">
        <v>305</v>
      </c>
      <c r="D116" s="16">
        <v>-113</v>
      </c>
    </row>
    <row r="117" spans="1:7">
      <c r="A117" s="16">
        <v>10</v>
      </c>
      <c r="B117" s="16" t="s">
        <v>306</v>
      </c>
      <c r="D117" s="16">
        <v>-29</v>
      </c>
    </row>
    <row r="118" spans="1:7">
      <c r="A118" s="16">
        <v>11</v>
      </c>
      <c r="B118" s="16" t="s">
        <v>307</v>
      </c>
      <c r="D118" s="35">
        <v>-24338</v>
      </c>
    </row>
    <row r="119" spans="1:7" hidden="1"/>
    <row r="120" spans="1:7" hidden="1"/>
    <row r="121" spans="1:7">
      <c r="A121" s="16">
        <v>12</v>
      </c>
      <c r="B121" s="16" t="s">
        <v>308</v>
      </c>
      <c r="C121" s="16">
        <v>187</v>
      </c>
      <c r="D121" s="35">
        <v>42000</v>
      </c>
      <c r="G121" s="16">
        <v>0.22459999999999999</v>
      </c>
    </row>
    <row r="122" spans="1:7" ht="15">
      <c r="A122" s="53" t="s">
        <v>212</v>
      </c>
      <c r="C122" s="60">
        <f>SUM(C107:C120)</f>
        <v>154315</v>
      </c>
      <c r="D122" s="60">
        <f>SUM(D107:D120)</f>
        <v>7673325</v>
      </c>
      <c r="E122" s="60">
        <f>SUM(E107:E120)</f>
        <v>5238</v>
      </c>
      <c r="F122" s="60">
        <f>C122/E122*1000</f>
        <v>29460.672012218402</v>
      </c>
      <c r="G122" s="65">
        <f>D122/(E122*F122)</f>
        <v>4.9725075332922919E-2</v>
      </c>
    </row>
  </sheetData>
  <pageMargins left="0.7" right="0.7" top="0.75" bottom="0.75" header="0.3" footer="0.3"/>
  <pageSetup scale="4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8"/>
  <sheetViews>
    <sheetView zoomScale="85" zoomScaleNormal="85" workbookViewId="0">
      <pane ySplit="2" topLeftCell="A15" activePane="bottomLeft" state="frozen"/>
      <selection activeCell="A6" sqref="A6"/>
      <selection pane="bottomLeft" activeCell="A6" sqref="A6"/>
    </sheetView>
  </sheetViews>
  <sheetFormatPr defaultRowHeight="14.25"/>
  <cols>
    <col min="1" max="1" width="9.140625" style="16"/>
    <col min="2" max="2" width="38.7109375" style="16" customWidth="1"/>
    <col min="3" max="7" width="14.42578125" style="16" customWidth="1"/>
    <col min="8" max="8" width="13.28515625" style="16" customWidth="1"/>
    <col min="9" max="9" width="12.42578125" style="16" bestFit="1" customWidth="1"/>
    <col min="10" max="10" width="11.5703125" style="16" bestFit="1" customWidth="1"/>
    <col min="11" max="11" width="12.42578125" style="16" bestFit="1" customWidth="1"/>
    <col min="12" max="16384" width="9.140625" style="16"/>
  </cols>
  <sheetData>
    <row r="1" spans="1:8">
      <c r="A1" s="16" t="s">
        <v>123</v>
      </c>
    </row>
    <row r="2" spans="1:8" ht="45">
      <c r="B2" s="55" t="s">
        <v>134</v>
      </c>
      <c r="C2" s="55" t="s">
        <v>135</v>
      </c>
      <c r="D2" s="58" t="s">
        <v>124</v>
      </c>
      <c r="E2" s="58" t="s">
        <v>126</v>
      </c>
      <c r="F2" s="58" t="s">
        <v>127</v>
      </c>
      <c r="G2" s="58" t="s">
        <v>132</v>
      </c>
      <c r="H2" s="59"/>
    </row>
    <row r="3" spans="1:8" ht="15">
      <c r="A3" s="53" t="s">
        <v>118</v>
      </c>
    </row>
    <row r="4" spans="1:8">
      <c r="A4" s="16">
        <v>7</v>
      </c>
      <c r="B4" s="16" t="s">
        <v>309</v>
      </c>
      <c r="D4" s="35">
        <v>15353</v>
      </c>
      <c r="E4" s="35">
        <v>1345</v>
      </c>
      <c r="G4" s="64"/>
    </row>
    <row r="5" spans="1:8">
      <c r="A5" s="16">
        <v>8</v>
      </c>
      <c r="B5" s="16" t="s">
        <v>136</v>
      </c>
      <c r="C5" s="35"/>
      <c r="D5" s="35">
        <v>1160</v>
      </c>
      <c r="G5" s="64"/>
    </row>
    <row r="6" spans="1:8">
      <c r="A6" s="16">
        <v>9</v>
      </c>
      <c r="B6" s="16" t="s">
        <v>277</v>
      </c>
      <c r="C6" s="35">
        <v>1426</v>
      </c>
      <c r="D6" s="35">
        <v>151758</v>
      </c>
      <c r="E6" s="35">
        <v>1311</v>
      </c>
      <c r="F6" s="35">
        <v>1088</v>
      </c>
      <c r="G6" s="64">
        <v>0.10639999999999999</v>
      </c>
    </row>
    <row r="7" spans="1:8">
      <c r="A7" s="16">
        <v>10</v>
      </c>
      <c r="B7" s="16" t="s">
        <v>277</v>
      </c>
      <c r="D7" s="35">
        <v>-13729</v>
      </c>
      <c r="G7" s="64"/>
    </row>
    <row r="8" spans="1:8">
      <c r="A8" s="16">
        <v>11</v>
      </c>
      <c r="B8" s="16" t="s">
        <v>278</v>
      </c>
      <c r="C8" s="16">
        <v>2</v>
      </c>
      <c r="D8" s="16">
        <v>219</v>
      </c>
      <c r="E8" s="16">
        <v>1</v>
      </c>
      <c r="F8" s="35">
        <v>2000</v>
      </c>
      <c r="G8" s="64">
        <v>0.1095</v>
      </c>
    </row>
    <row r="9" spans="1:8">
      <c r="A9" s="16">
        <v>12</v>
      </c>
      <c r="B9" s="16" t="s">
        <v>139</v>
      </c>
      <c r="C9" s="35">
        <v>1514049</v>
      </c>
      <c r="D9" s="35">
        <v>94581481</v>
      </c>
      <c r="E9" s="35">
        <v>97519</v>
      </c>
      <c r="F9" s="35">
        <v>15526</v>
      </c>
      <c r="G9" s="64">
        <v>6.25E-2</v>
      </c>
    </row>
    <row r="10" spans="1:8">
      <c r="A10" s="16">
        <v>13</v>
      </c>
      <c r="B10" s="16" t="s">
        <v>139</v>
      </c>
      <c r="C10" s="35"/>
      <c r="D10" s="35">
        <v>-17033709</v>
      </c>
      <c r="E10" s="35"/>
      <c r="G10" s="64"/>
    </row>
    <row r="11" spans="1:8">
      <c r="A11" s="16">
        <v>14</v>
      </c>
      <c r="B11" s="16" t="s">
        <v>140</v>
      </c>
      <c r="C11" s="35">
        <v>40333</v>
      </c>
      <c r="D11" s="35">
        <v>2526902</v>
      </c>
      <c r="E11" s="35">
        <v>2326</v>
      </c>
      <c r="F11" s="35">
        <v>17340</v>
      </c>
      <c r="G11" s="64">
        <v>6.2700000000000006E-2</v>
      </c>
    </row>
    <row r="12" spans="1:8">
      <c r="A12" s="16">
        <v>15</v>
      </c>
      <c r="B12" s="16" t="s">
        <v>141</v>
      </c>
      <c r="C12" s="35"/>
      <c r="D12" s="35">
        <v>-453757</v>
      </c>
      <c r="E12" s="35"/>
      <c r="F12" s="35"/>
      <c r="G12" s="64"/>
    </row>
    <row r="13" spans="1:8">
      <c r="A13" s="16">
        <v>16</v>
      </c>
      <c r="B13" s="16" t="s">
        <v>142</v>
      </c>
      <c r="C13" s="35">
        <v>2752</v>
      </c>
      <c r="D13" s="35">
        <v>189575</v>
      </c>
      <c r="E13" s="16">
        <v>102</v>
      </c>
      <c r="F13" s="35">
        <v>26980</v>
      </c>
      <c r="G13" s="64">
        <v>6.8900000000000003E-2</v>
      </c>
    </row>
    <row r="14" spans="1:8">
      <c r="A14" s="16">
        <v>17</v>
      </c>
      <c r="B14" s="16" t="s">
        <v>142</v>
      </c>
      <c r="D14" s="35">
        <v>-30959</v>
      </c>
      <c r="G14" s="64"/>
    </row>
    <row r="15" spans="1:8">
      <c r="A15" s="16">
        <v>18</v>
      </c>
      <c r="B15" s="16" t="s">
        <v>143</v>
      </c>
      <c r="C15" s="16">
        <v>714</v>
      </c>
      <c r="D15" s="35">
        <v>48387</v>
      </c>
      <c r="E15" s="16">
        <v>28</v>
      </c>
      <c r="F15" s="35">
        <v>25500</v>
      </c>
      <c r="G15" s="64">
        <v>6.7799999999999999E-2</v>
      </c>
    </row>
    <row r="16" spans="1:8">
      <c r="A16" s="16">
        <v>19</v>
      </c>
      <c r="B16" s="16" t="s">
        <v>143</v>
      </c>
      <c r="D16" s="35">
        <v>-8036</v>
      </c>
      <c r="G16" s="64"/>
    </row>
    <row r="17" spans="1:7">
      <c r="A17" s="16">
        <v>20</v>
      </c>
      <c r="B17" s="16" t="s">
        <v>144</v>
      </c>
      <c r="D17" s="35">
        <v>-1168117</v>
      </c>
      <c r="G17" s="64"/>
    </row>
    <row r="18" spans="1:7">
      <c r="A18" s="16">
        <v>21</v>
      </c>
      <c r="B18" s="16" t="s">
        <v>145</v>
      </c>
      <c r="D18" s="16">
        <v>9</v>
      </c>
      <c r="G18" s="64"/>
    </row>
    <row r="19" spans="1:7">
      <c r="A19" s="16">
        <v>22</v>
      </c>
      <c r="B19" s="16" t="s">
        <v>147</v>
      </c>
      <c r="D19" s="35">
        <v>885490</v>
      </c>
      <c r="G19" s="64"/>
    </row>
    <row r="20" spans="1:7" hidden="1">
      <c r="G20" s="64"/>
    </row>
    <row r="21" spans="1:7" hidden="1">
      <c r="G21" s="64"/>
    </row>
    <row r="22" spans="1:7" hidden="1">
      <c r="G22" s="64"/>
    </row>
    <row r="23" spans="1:7">
      <c r="A23" s="16">
        <v>23</v>
      </c>
      <c r="B23" s="16" t="s">
        <v>310</v>
      </c>
      <c r="D23" s="35">
        <v>-17000</v>
      </c>
      <c r="G23" s="64"/>
    </row>
    <row r="24" spans="1:7">
      <c r="A24" s="16">
        <v>24</v>
      </c>
      <c r="B24" s="16" t="s">
        <v>151</v>
      </c>
      <c r="C24" s="35">
        <v>27746</v>
      </c>
      <c r="D24" s="35">
        <v>2200000</v>
      </c>
      <c r="G24" s="64">
        <v>7.9299999999999995E-2</v>
      </c>
    </row>
    <row r="25" spans="1:7" ht="15">
      <c r="A25" s="53" t="s">
        <v>152</v>
      </c>
      <c r="C25" s="60">
        <f>SUM(C4:C22)</f>
        <v>1559276</v>
      </c>
      <c r="D25" s="60">
        <f t="shared" ref="D25:E25" si="0">SUM(D4:D22)</f>
        <v>79692027</v>
      </c>
      <c r="E25" s="60">
        <f t="shared" si="0"/>
        <v>102632</v>
      </c>
      <c r="F25" s="60">
        <f>C25/E25*1000</f>
        <v>15192.883311247953</v>
      </c>
      <c r="G25" s="65">
        <f>D25/(E25*F25)</f>
        <v>5.1108352209615231E-2</v>
      </c>
    </row>
    <row r="26" spans="1:7">
      <c r="G26" s="64"/>
    </row>
    <row r="27" spans="1:7" ht="15">
      <c r="A27" s="53" t="s">
        <v>153</v>
      </c>
      <c r="B27" s="35"/>
      <c r="G27" s="64"/>
    </row>
    <row r="28" spans="1:7">
      <c r="A28" s="16">
        <v>31</v>
      </c>
      <c r="B28" s="16" t="s">
        <v>311</v>
      </c>
      <c r="D28" s="35">
        <v>2287</v>
      </c>
      <c r="E28" s="35">
        <v>45</v>
      </c>
      <c r="G28" s="64"/>
    </row>
    <row r="29" spans="1:7">
      <c r="A29" s="16">
        <v>32</v>
      </c>
      <c r="B29" s="16" t="s">
        <v>157</v>
      </c>
      <c r="C29" s="35">
        <v>449355</v>
      </c>
      <c r="D29" s="35">
        <v>28471809</v>
      </c>
      <c r="E29" s="35">
        <v>12987</v>
      </c>
      <c r="F29" s="35">
        <v>34600</v>
      </c>
      <c r="G29" s="64">
        <v>6.3399999999999998E-2</v>
      </c>
    </row>
    <row r="30" spans="1:7">
      <c r="A30" s="16">
        <v>33</v>
      </c>
      <c r="B30" s="16" t="s">
        <v>280</v>
      </c>
      <c r="C30" s="35">
        <v>48003</v>
      </c>
      <c r="D30" s="35">
        <v>3235633</v>
      </c>
      <c r="E30" s="35">
        <v>3301</v>
      </c>
      <c r="F30" s="35">
        <v>14542</v>
      </c>
      <c r="G30" s="64">
        <v>6.7400000000000002E-2</v>
      </c>
    </row>
    <row r="31" spans="1:7">
      <c r="A31" s="16">
        <v>34</v>
      </c>
      <c r="B31" s="16" t="s">
        <v>280</v>
      </c>
      <c r="C31" s="35"/>
      <c r="D31" s="35">
        <v>-539999</v>
      </c>
      <c r="G31" s="64"/>
    </row>
    <row r="32" spans="1:7">
      <c r="A32" s="16">
        <v>35</v>
      </c>
      <c r="B32" s="16" t="s">
        <v>158</v>
      </c>
      <c r="C32" s="35">
        <v>1210</v>
      </c>
      <c r="D32" s="35">
        <v>112573</v>
      </c>
      <c r="E32" s="16">
        <v>123</v>
      </c>
      <c r="F32" s="35">
        <v>9837</v>
      </c>
      <c r="G32" s="64">
        <v>9.2999999999999999E-2</v>
      </c>
    </row>
    <row r="33" spans="1:7">
      <c r="A33" s="16">
        <v>36</v>
      </c>
      <c r="B33" s="16" t="s">
        <v>281</v>
      </c>
      <c r="C33" s="35">
        <v>318</v>
      </c>
      <c r="D33" s="35">
        <v>22922</v>
      </c>
      <c r="E33" s="16">
        <v>11</v>
      </c>
      <c r="F33" s="35">
        <v>28909</v>
      </c>
      <c r="G33" s="64">
        <v>7.2099999999999997E-2</v>
      </c>
    </row>
    <row r="34" spans="1:7">
      <c r="A34" s="16">
        <v>37</v>
      </c>
      <c r="B34" s="16" t="s">
        <v>281</v>
      </c>
      <c r="C34" s="35"/>
      <c r="D34" s="35">
        <v>-443</v>
      </c>
      <c r="E34" s="35"/>
      <c r="G34" s="64"/>
    </row>
    <row r="35" spans="1:7">
      <c r="A35" s="16">
        <v>38</v>
      </c>
      <c r="B35" s="16" t="s">
        <v>282</v>
      </c>
      <c r="C35" s="35">
        <v>364</v>
      </c>
      <c r="D35" s="35">
        <v>92486</v>
      </c>
      <c r="E35" s="35">
        <v>118</v>
      </c>
      <c r="F35" s="35">
        <v>3085</v>
      </c>
      <c r="G35" s="64">
        <v>0.25409999999999999</v>
      </c>
    </row>
    <row r="36" spans="1:7">
      <c r="A36" s="16">
        <v>39</v>
      </c>
      <c r="B36" s="16" t="s">
        <v>283</v>
      </c>
      <c r="D36" s="35">
        <v>-4110</v>
      </c>
      <c r="G36" s="64"/>
    </row>
    <row r="37" spans="1:7">
      <c r="A37" s="16">
        <v>40</v>
      </c>
      <c r="B37" s="16" t="s">
        <v>284</v>
      </c>
      <c r="C37" s="35">
        <v>86725</v>
      </c>
      <c r="D37" s="35">
        <v>4426579</v>
      </c>
      <c r="E37" s="16">
        <v>100</v>
      </c>
      <c r="F37" s="35">
        <v>867250</v>
      </c>
      <c r="G37" s="64">
        <v>5.0999999999999997E-2</v>
      </c>
    </row>
    <row r="38" spans="1:7">
      <c r="A38" s="16">
        <v>1</v>
      </c>
      <c r="B38" s="16" t="s">
        <v>284</v>
      </c>
      <c r="D38" s="35">
        <v>-974886</v>
      </c>
      <c r="G38" s="64"/>
    </row>
    <row r="39" spans="1:7">
      <c r="A39" s="16">
        <v>2</v>
      </c>
      <c r="B39" s="16" t="s">
        <v>161</v>
      </c>
      <c r="C39" s="35">
        <v>661739</v>
      </c>
      <c r="D39" s="35">
        <v>34388697</v>
      </c>
      <c r="E39" s="16">
        <v>766</v>
      </c>
      <c r="F39" s="35">
        <v>863889</v>
      </c>
      <c r="G39" s="64">
        <v>5.1999999999999998E-2</v>
      </c>
    </row>
    <row r="40" spans="1:7">
      <c r="A40" s="16">
        <v>3</v>
      </c>
      <c r="B40" s="16" t="s">
        <v>162</v>
      </c>
      <c r="C40" s="35">
        <v>155740</v>
      </c>
      <c r="D40" s="35">
        <v>7369618</v>
      </c>
      <c r="E40" s="16">
        <v>29</v>
      </c>
      <c r="F40" s="35">
        <v>5370345</v>
      </c>
      <c r="G40" s="64">
        <v>4.7300000000000002E-2</v>
      </c>
    </row>
    <row r="41" spans="1:7">
      <c r="A41" s="16">
        <v>4</v>
      </c>
      <c r="B41" s="16" t="s">
        <v>163</v>
      </c>
      <c r="D41" s="35">
        <v>38427</v>
      </c>
      <c r="G41" s="64"/>
    </row>
    <row r="42" spans="1:7">
      <c r="A42" s="16">
        <v>5</v>
      </c>
      <c r="B42" s="16" t="s">
        <v>164</v>
      </c>
      <c r="D42" s="35">
        <v>84</v>
      </c>
      <c r="G42" s="64"/>
    </row>
    <row r="43" spans="1:7">
      <c r="A43" s="16">
        <v>6</v>
      </c>
      <c r="B43" s="16" t="s">
        <v>165</v>
      </c>
      <c r="D43" s="35">
        <v>2932</v>
      </c>
      <c r="G43" s="64"/>
    </row>
    <row r="44" spans="1:7">
      <c r="A44" s="16">
        <v>7</v>
      </c>
      <c r="B44" s="16" t="s">
        <v>136</v>
      </c>
      <c r="C44" s="35"/>
      <c r="D44" s="35">
        <v>67160</v>
      </c>
      <c r="E44" s="35"/>
      <c r="G44" s="64"/>
    </row>
    <row r="45" spans="1:7">
      <c r="A45" s="16">
        <v>8</v>
      </c>
      <c r="B45" s="16" t="s">
        <v>166</v>
      </c>
      <c r="C45" s="35"/>
      <c r="D45" s="35">
        <v>1236</v>
      </c>
      <c r="G45" s="64"/>
    </row>
    <row r="46" spans="1:7">
      <c r="A46" s="16">
        <v>9</v>
      </c>
      <c r="B46" s="16" t="s">
        <v>167</v>
      </c>
      <c r="C46" s="35"/>
      <c r="D46" s="16">
        <v>669</v>
      </c>
      <c r="E46" s="35"/>
      <c r="G46" s="64"/>
    </row>
    <row r="47" spans="1:7">
      <c r="A47" s="16">
        <v>10</v>
      </c>
      <c r="B47" s="16" t="s">
        <v>168</v>
      </c>
      <c r="D47" s="35">
        <v>23150</v>
      </c>
      <c r="G47" s="64"/>
    </row>
    <row r="48" spans="1:7">
      <c r="A48" s="16">
        <v>11</v>
      </c>
      <c r="B48" s="16" t="s">
        <v>285</v>
      </c>
      <c r="C48" s="16">
        <v>820</v>
      </c>
      <c r="D48" s="35">
        <v>86786</v>
      </c>
      <c r="E48" s="16">
        <v>616</v>
      </c>
      <c r="F48" s="35">
        <v>1331</v>
      </c>
      <c r="G48" s="64">
        <v>0.10580000000000001</v>
      </c>
    </row>
    <row r="49" spans="1:8">
      <c r="A49" s="16">
        <v>12</v>
      </c>
      <c r="B49" s="16" t="s">
        <v>285</v>
      </c>
      <c r="D49" s="35">
        <v>-7913</v>
      </c>
      <c r="G49" s="64"/>
    </row>
    <row r="50" spans="1:8">
      <c r="A50" s="16">
        <v>13</v>
      </c>
      <c r="B50" s="16" t="s">
        <v>171</v>
      </c>
      <c r="C50" s="35">
        <v>2060</v>
      </c>
      <c r="D50" s="35">
        <v>201911</v>
      </c>
      <c r="E50" s="16">
        <v>891</v>
      </c>
      <c r="F50" s="35">
        <v>2312</v>
      </c>
      <c r="G50" s="64">
        <v>9.8000000000000004E-2</v>
      </c>
    </row>
    <row r="51" spans="1:8" ht="15">
      <c r="A51" s="16">
        <v>14</v>
      </c>
      <c r="B51" s="16" t="s">
        <v>173</v>
      </c>
      <c r="C51" s="16">
        <v>282</v>
      </c>
      <c r="D51" s="35">
        <v>21532</v>
      </c>
      <c r="E51" s="16">
        <v>30</v>
      </c>
      <c r="F51" s="35">
        <v>9400</v>
      </c>
      <c r="G51" s="64">
        <v>7.6399999999999996E-2</v>
      </c>
      <c r="H51" s="65"/>
    </row>
    <row r="52" spans="1:8">
      <c r="A52" s="16">
        <v>15</v>
      </c>
      <c r="B52" s="16" t="s">
        <v>144</v>
      </c>
      <c r="D52" s="35">
        <v>-862859</v>
      </c>
      <c r="G52" s="64"/>
    </row>
    <row r="53" spans="1:8">
      <c r="A53" s="16">
        <v>16</v>
      </c>
      <c r="B53" s="16" t="s">
        <v>145</v>
      </c>
      <c r="C53" s="35"/>
      <c r="D53" s="35">
        <v>-1567</v>
      </c>
      <c r="E53" s="35"/>
      <c r="G53" s="64"/>
    </row>
    <row r="54" spans="1:8" ht="15">
      <c r="A54" s="16">
        <v>17</v>
      </c>
      <c r="B54" s="16" t="s">
        <v>174</v>
      </c>
      <c r="C54" s="16">
        <v>4</v>
      </c>
      <c r="D54" s="16">
        <v>287</v>
      </c>
      <c r="E54" s="16">
        <v>1</v>
      </c>
      <c r="F54" s="35">
        <v>4000</v>
      </c>
      <c r="G54" s="64">
        <v>7.1800000000000003E-2</v>
      </c>
      <c r="H54" s="65"/>
    </row>
    <row r="55" spans="1:8">
      <c r="A55" s="16">
        <v>18</v>
      </c>
      <c r="B55" s="16" t="s">
        <v>147</v>
      </c>
      <c r="D55" s="35">
        <v>26476</v>
      </c>
      <c r="G55" s="64"/>
    </row>
    <row r="56" spans="1:8" hidden="1">
      <c r="G56" s="64"/>
    </row>
    <row r="57" spans="1:8" hidden="1">
      <c r="C57" s="35"/>
      <c r="D57" s="35"/>
      <c r="G57" s="64"/>
    </row>
    <row r="58" spans="1:8" hidden="1">
      <c r="C58" s="35"/>
      <c r="D58" s="35"/>
      <c r="G58" s="64"/>
    </row>
    <row r="59" spans="1:8" hidden="1">
      <c r="C59" s="35"/>
      <c r="D59" s="35"/>
      <c r="G59" s="64"/>
    </row>
    <row r="60" spans="1:8" hidden="1">
      <c r="C60" s="35"/>
      <c r="D60" s="35"/>
      <c r="G60" s="64"/>
    </row>
    <row r="61" spans="1:8" hidden="1">
      <c r="C61" s="35"/>
      <c r="D61" s="35"/>
      <c r="G61" s="64"/>
    </row>
    <row r="62" spans="1:8" hidden="1">
      <c r="C62" s="35"/>
      <c r="D62" s="35"/>
      <c r="G62" s="64"/>
    </row>
    <row r="63" spans="1:8" hidden="1">
      <c r="C63" s="35"/>
      <c r="D63" s="35"/>
      <c r="G63" s="64"/>
    </row>
    <row r="64" spans="1:8" hidden="1">
      <c r="C64" s="35"/>
      <c r="D64" s="35"/>
      <c r="G64" s="64"/>
    </row>
    <row r="65" spans="1:8" hidden="1">
      <c r="C65" s="35"/>
      <c r="D65" s="35"/>
      <c r="G65" s="64"/>
    </row>
    <row r="66" spans="1:8" hidden="1">
      <c r="C66" s="35"/>
      <c r="D66" s="35"/>
      <c r="G66" s="64"/>
    </row>
    <row r="67" spans="1:8" ht="15">
      <c r="A67" s="16">
        <v>19</v>
      </c>
      <c r="B67" s="16" t="s">
        <v>151</v>
      </c>
      <c r="C67" s="35">
        <v>10100</v>
      </c>
      <c r="D67" s="35">
        <v>681000</v>
      </c>
      <c r="G67" s="64">
        <v>6.7400000000000002E-2</v>
      </c>
      <c r="H67" s="65"/>
    </row>
    <row r="68" spans="1:8" ht="15">
      <c r="A68" s="53" t="s">
        <v>176</v>
      </c>
      <c r="C68" s="60">
        <f>SUM(C28:C66)</f>
        <v>1406620</v>
      </c>
      <c r="D68" s="60">
        <f t="shared" ref="D68:E68" si="1">SUM(D28:D66)</f>
        <v>76201477</v>
      </c>
      <c r="E68" s="60">
        <f t="shared" si="1"/>
        <v>19018</v>
      </c>
      <c r="F68" s="60">
        <f>C68/E68*1000</f>
        <v>73962.561783573459</v>
      </c>
      <c r="G68" s="65">
        <f>D68/(E68*F68)</f>
        <v>5.417346333764627E-2</v>
      </c>
    </row>
    <row r="69" spans="1:8">
      <c r="C69" s="35"/>
      <c r="D69" s="35"/>
      <c r="G69" s="64"/>
    </row>
    <row r="70" spans="1:8" ht="15">
      <c r="A70" s="53" t="s">
        <v>177</v>
      </c>
      <c r="G70" s="64"/>
    </row>
    <row r="71" spans="1:8">
      <c r="A71" s="16">
        <v>25</v>
      </c>
      <c r="B71" s="16" t="s">
        <v>157</v>
      </c>
      <c r="C71" s="35">
        <v>19244</v>
      </c>
      <c r="D71" s="35">
        <v>1222349</v>
      </c>
      <c r="E71" s="16">
        <v>386</v>
      </c>
      <c r="F71" s="35">
        <v>49855</v>
      </c>
      <c r="G71" s="64">
        <v>6.3500000000000001E-2</v>
      </c>
    </row>
    <row r="72" spans="1:8">
      <c r="A72" s="16">
        <v>26</v>
      </c>
      <c r="B72" s="16" t="s">
        <v>280</v>
      </c>
      <c r="C72" s="35">
        <v>2665</v>
      </c>
      <c r="D72" s="35">
        <v>183349</v>
      </c>
      <c r="E72" s="16">
        <v>115</v>
      </c>
      <c r="F72" s="35">
        <v>23174</v>
      </c>
      <c r="G72" s="64">
        <v>6.88E-2</v>
      </c>
    </row>
    <row r="73" spans="1:8">
      <c r="A73" s="16">
        <v>27</v>
      </c>
      <c r="B73" s="16" t="s">
        <v>280</v>
      </c>
      <c r="D73" s="35">
        <v>-29979</v>
      </c>
      <c r="G73" s="64"/>
    </row>
    <row r="74" spans="1:8">
      <c r="A74" s="16">
        <v>28</v>
      </c>
      <c r="B74" s="16" t="s">
        <v>158</v>
      </c>
      <c r="C74" s="16">
        <v>33</v>
      </c>
      <c r="D74" s="35">
        <v>5438</v>
      </c>
      <c r="E74" s="16">
        <v>4</v>
      </c>
      <c r="F74" s="35">
        <v>8250</v>
      </c>
      <c r="G74" s="64">
        <v>0.1648</v>
      </c>
    </row>
    <row r="75" spans="1:8">
      <c r="A75" s="16">
        <v>29</v>
      </c>
      <c r="B75" s="16" t="s">
        <v>282</v>
      </c>
      <c r="C75" s="16">
        <v>2</v>
      </c>
      <c r="D75" s="16">
        <v>998</v>
      </c>
      <c r="E75" s="35">
        <v>1</v>
      </c>
      <c r="F75" s="35">
        <v>2000</v>
      </c>
      <c r="G75" s="64">
        <v>0.499</v>
      </c>
    </row>
    <row r="76" spans="1:8">
      <c r="A76" s="16">
        <v>30</v>
      </c>
      <c r="B76" s="16" t="s">
        <v>283</v>
      </c>
      <c r="C76" s="35"/>
      <c r="D76" s="35">
        <v>-18</v>
      </c>
      <c r="E76" s="35"/>
      <c r="G76" s="64"/>
    </row>
    <row r="77" spans="1:8">
      <c r="A77" s="16">
        <v>31</v>
      </c>
      <c r="B77" s="16" t="s">
        <v>284</v>
      </c>
      <c r="C77" s="35">
        <v>4786</v>
      </c>
      <c r="D77" s="35">
        <v>381261</v>
      </c>
      <c r="E77" s="16">
        <v>30</v>
      </c>
      <c r="F77" s="35">
        <v>159533</v>
      </c>
      <c r="G77" s="64">
        <v>7.9699999999999993E-2</v>
      </c>
    </row>
    <row r="78" spans="1:8">
      <c r="A78" s="16">
        <v>32</v>
      </c>
      <c r="B78" s="16" t="s">
        <v>284</v>
      </c>
      <c r="C78" s="35"/>
      <c r="D78" s="35">
        <v>-53845</v>
      </c>
      <c r="G78" s="64"/>
    </row>
    <row r="79" spans="1:8">
      <c r="A79" s="16">
        <v>33</v>
      </c>
      <c r="B79" s="16" t="s">
        <v>161</v>
      </c>
      <c r="C79" s="35">
        <v>164165</v>
      </c>
      <c r="D79" s="35">
        <v>8695247</v>
      </c>
      <c r="E79" s="16">
        <v>142</v>
      </c>
      <c r="F79" s="35">
        <v>1156092</v>
      </c>
      <c r="G79" s="64">
        <v>5.2999999999999999E-2</v>
      </c>
    </row>
    <row r="80" spans="1:8">
      <c r="A80" s="16">
        <v>34</v>
      </c>
      <c r="B80" s="16" t="s">
        <v>216</v>
      </c>
      <c r="C80" s="35">
        <v>93994</v>
      </c>
      <c r="D80" s="35">
        <v>3978019</v>
      </c>
      <c r="E80" s="16">
        <v>1</v>
      </c>
      <c r="F80" s="35">
        <v>93994000</v>
      </c>
      <c r="G80" s="64">
        <v>4.2299999999999997E-2</v>
      </c>
    </row>
    <row r="81" spans="1:7">
      <c r="A81" s="16">
        <v>35</v>
      </c>
      <c r="B81" s="16" t="s">
        <v>162</v>
      </c>
      <c r="C81" s="35">
        <v>744533</v>
      </c>
      <c r="D81" s="35">
        <v>31211831</v>
      </c>
      <c r="E81" s="16">
        <v>35</v>
      </c>
      <c r="F81" s="35">
        <v>21272371</v>
      </c>
      <c r="G81" s="64">
        <v>4.19E-2</v>
      </c>
    </row>
    <row r="82" spans="1:7">
      <c r="A82" s="16">
        <v>36</v>
      </c>
      <c r="B82" s="16" t="s">
        <v>163</v>
      </c>
      <c r="D82" s="35">
        <v>5208</v>
      </c>
      <c r="G82" s="64"/>
    </row>
    <row r="83" spans="1:7">
      <c r="A83" s="16">
        <v>37</v>
      </c>
      <c r="B83" s="16" t="s">
        <v>136</v>
      </c>
      <c r="C83" s="35"/>
      <c r="D83" s="35">
        <v>2340</v>
      </c>
      <c r="G83" s="64"/>
    </row>
    <row r="84" spans="1:7">
      <c r="A84" s="16">
        <v>38</v>
      </c>
      <c r="B84" s="16" t="s">
        <v>285</v>
      </c>
      <c r="C84" s="16">
        <v>35</v>
      </c>
      <c r="D84" s="35">
        <v>3783</v>
      </c>
      <c r="E84" s="16">
        <v>21</v>
      </c>
      <c r="F84" s="35">
        <v>1667</v>
      </c>
      <c r="G84" s="64">
        <v>0.1081</v>
      </c>
    </row>
    <row r="85" spans="1:7">
      <c r="A85" s="16">
        <v>39</v>
      </c>
      <c r="B85" s="16" t="s">
        <v>285</v>
      </c>
      <c r="C85" s="35"/>
      <c r="D85" s="16">
        <v>-334</v>
      </c>
      <c r="G85" s="64"/>
    </row>
    <row r="86" spans="1:7">
      <c r="A86" s="16">
        <v>40</v>
      </c>
      <c r="B86" s="16" t="s">
        <v>171</v>
      </c>
      <c r="C86" s="35">
        <v>177</v>
      </c>
      <c r="D86" s="35">
        <v>16467</v>
      </c>
      <c r="E86" s="16">
        <v>48</v>
      </c>
      <c r="F86" s="35">
        <v>3688</v>
      </c>
      <c r="G86" s="64">
        <v>9.2999999999999999E-2</v>
      </c>
    </row>
    <row r="87" spans="1:7">
      <c r="A87" s="16">
        <v>1</v>
      </c>
      <c r="B87" s="35" t="s">
        <v>262</v>
      </c>
      <c r="C87" s="35">
        <v>22019</v>
      </c>
      <c r="D87" s="35">
        <v>2408717</v>
      </c>
      <c r="E87" s="16">
        <v>2</v>
      </c>
      <c r="F87" s="35">
        <v>11009500</v>
      </c>
      <c r="G87" s="64">
        <v>0.1094</v>
      </c>
    </row>
    <row r="88" spans="1:7">
      <c r="A88" s="16">
        <v>2</v>
      </c>
      <c r="B88" s="35" t="s">
        <v>299</v>
      </c>
      <c r="D88" s="35">
        <v>-547566</v>
      </c>
      <c r="G88" s="64"/>
    </row>
    <row r="89" spans="1:7">
      <c r="A89" s="16">
        <v>3</v>
      </c>
      <c r="B89" s="35" t="s">
        <v>208</v>
      </c>
      <c r="C89" s="35"/>
      <c r="D89" s="35">
        <v>3085</v>
      </c>
      <c r="F89" s="35"/>
      <c r="G89" s="64"/>
    </row>
    <row r="90" spans="1:7">
      <c r="A90" s="16">
        <v>4</v>
      </c>
      <c r="B90" s="35" t="s">
        <v>312</v>
      </c>
      <c r="D90" s="35">
        <v>2631</v>
      </c>
      <c r="G90" s="64"/>
    </row>
    <row r="91" spans="1:7">
      <c r="A91" s="16">
        <v>5</v>
      </c>
      <c r="B91" s="35" t="s">
        <v>300</v>
      </c>
      <c r="C91" s="35"/>
      <c r="D91" s="16">
        <v>-547</v>
      </c>
      <c r="G91" s="64"/>
    </row>
    <row r="92" spans="1:7">
      <c r="A92" s="16">
        <v>6</v>
      </c>
      <c r="B92" s="35" t="s">
        <v>301</v>
      </c>
      <c r="C92" s="35">
        <v>2189</v>
      </c>
      <c r="G92" s="64"/>
    </row>
    <row r="93" spans="1:7">
      <c r="A93" s="16">
        <v>7</v>
      </c>
      <c r="B93" s="35" t="s">
        <v>270</v>
      </c>
      <c r="C93" s="35"/>
      <c r="D93" s="35">
        <v>-2251</v>
      </c>
      <c r="E93" s="35"/>
      <c r="G93" s="64"/>
    </row>
    <row r="94" spans="1:7" hidden="1">
      <c r="G94" s="64"/>
    </row>
    <row r="95" spans="1:7" hidden="1">
      <c r="C95" s="35"/>
      <c r="D95" s="35"/>
      <c r="F95" s="35"/>
      <c r="G95" s="64"/>
    </row>
    <row r="96" spans="1:7" hidden="1">
      <c r="C96" s="35"/>
      <c r="D96" s="35"/>
      <c r="F96" s="35"/>
      <c r="G96" s="64"/>
    </row>
    <row r="97" spans="1:7" hidden="1">
      <c r="C97" s="35"/>
      <c r="D97" s="35"/>
      <c r="F97" s="35"/>
      <c r="G97" s="64"/>
    </row>
    <row r="98" spans="1:7" hidden="1">
      <c r="C98" s="35"/>
      <c r="D98" s="35"/>
      <c r="F98" s="35"/>
      <c r="G98" s="64"/>
    </row>
    <row r="99" spans="1:7" hidden="1">
      <c r="C99" s="35"/>
      <c r="D99" s="35"/>
      <c r="F99" s="35"/>
      <c r="G99" s="64"/>
    </row>
    <row r="100" spans="1:7" hidden="1">
      <c r="C100" s="35"/>
      <c r="D100" s="35"/>
      <c r="F100" s="35"/>
      <c r="G100" s="64"/>
    </row>
    <row r="101" spans="1:7" hidden="1">
      <c r="C101" s="35"/>
      <c r="D101" s="35"/>
      <c r="F101" s="35"/>
      <c r="G101" s="64"/>
    </row>
    <row r="102" spans="1:7" hidden="1">
      <c r="C102" s="35"/>
      <c r="D102" s="35"/>
      <c r="F102" s="35"/>
      <c r="G102" s="64"/>
    </row>
    <row r="103" spans="1:7">
      <c r="A103" s="16">
        <v>8</v>
      </c>
      <c r="B103" s="35" t="s">
        <v>271</v>
      </c>
      <c r="C103" s="35">
        <v>2776</v>
      </c>
      <c r="D103" s="35">
        <v>297000</v>
      </c>
      <c r="G103" s="64">
        <v>0.107</v>
      </c>
    </row>
    <row r="104" spans="1:7" ht="15">
      <c r="A104" s="53" t="s">
        <v>196</v>
      </c>
      <c r="C104" s="60">
        <f>SUM(C71:C102)</f>
        <v>1053842</v>
      </c>
      <c r="D104" s="60">
        <f t="shared" ref="D104:E104" si="2">SUM(D71:D102)</f>
        <v>47486183</v>
      </c>
      <c r="E104" s="60">
        <f t="shared" si="2"/>
        <v>785</v>
      </c>
      <c r="F104" s="60">
        <f>C104/E104*1000</f>
        <v>1342473.8853503184</v>
      </c>
      <c r="G104" s="65">
        <f>D104/(E104*F104)</f>
        <v>4.5060059287824937E-2</v>
      </c>
    </row>
    <row r="105" spans="1:7">
      <c r="C105" s="35"/>
      <c r="D105" s="35"/>
      <c r="F105" s="35"/>
      <c r="G105" s="64"/>
    </row>
    <row r="106" spans="1:7" ht="15">
      <c r="A106" s="53" t="s">
        <v>197</v>
      </c>
      <c r="G106" s="64"/>
    </row>
    <row r="107" spans="1:7">
      <c r="A107" s="16">
        <v>22</v>
      </c>
      <c r="B107" s="16" t="s">
        <v>219</v>
      </c>
      <c r="C107" s="35">
        <v>156367</v>
      </c>
      <c r="D107" s="35">
        <v>9087523</v>
      </c>
      <c r="E107" s="35">
        <v>4715</v>
      </c>
      <c r="F107" s="35">
        <v>33164</v>
      </c>
      <c r="G107" s="64">
        <v>5.8099999999999999E-2</v>
      </c>
    </row>
    <row r="108" spans="1:7">
      <c r="A108" s="16">
        <v>23</v>
      </c>
      <c r="B108" s="16" t="s">
        <v>219</v>
      </c>
      <c r="D108" s="35">
        <v>-1759142</v>
      </c>
      <c r="G108" s="64"/>
    </row>
    <row r="109" spans="1:7">
      <c r="A109" s="16">
        <v>24</v>
      </c>
      <c r="B109" s="16" t="s">
        <v>220</v>
      </c>
      <c r="C109" s="35">
        <v>19149</v>
      </c>
      <c r="D109" s="35">
        <v>1105884</v>
      </c>
      <c r="E109" s="16">
        <v>550</v>
      </c>
      <c r="F109" s="35">
        <v>34816</v>
      </c>
      <c r="G109" s="64">
        <v>5.7799999999999997E-2</v>
      </c>
    </row>
    <row r="110" spans="1:7">
      <c r="A110" s="16">
        <v>25</v>
      </c>
      <c r="B110" s="16" t="s">
        <v>313</v>
      </c>
      <c r="C110" s="35"/>
      <c r="D110" s="35">
        <v>72354</v>
      </c>
      <c r="E110" s="35"/>
      <c r="G110" s="64"/>
    </row>
    <row r="111" spans="1:7">
      <c r="A111" s="16">
        <v>26</v>
      </c>
      <c r="B111" s="16" t="s">
        <v>163</v>
      </c>
      <c r="D111" s="16">
        <v>197</v>
      </c>
      <c r="G111" s="64"/>
    </row>
    <row r="112" spans="1:7">
      <c r="A112" s="16">
        <v>27</v>
      </c>
      <c r="B112" s="16" t="s">
        <v>164</v>
      </c>
      <c r="D112" s="35">
        <v>10809</v>
      </c>
      <c r="G112" s="64"/>
    </row>
    <row r="113" spans="1:7">
      <c r="A113" s="16">
        <v>28</v>
      </c>
      <c r="B113" s="16" t="s">
        <v>165</v>
      </c>
      <c r="D113" s="35">
        <v>36</v>
      </c>
      <c r="G113" s="64"/>
    </row>
    <row r="114" spans="1:7">
      <c r="A114" s="16">
        <v>29</v>
      </c>
      <c r="B114" s="16" t="s">
        <v>136</v>
      </c>
      <c r="D114" s="35">
        <v>2447</v>
      </c>
      <c r="G114" s="64"/>
    </row>
    <row r="115" spans="1:7">
      <c r="A115" s="16">
        <v>30</v>
      </c>
      <c r="B115" s="16" t="s">
        <v>166</v>
      </c>
      <c r="D115" s="35">
        <v>72470</v>
      </c>
      <c r="G115" s="64"/>
    </row>
    <row r="116" spans="1:7">
      <c r="A116" s="16">
        <v>31</v>
      </c>
      <c r="B116" s="16" t="s">
        <v>144</v>
      </c>
      <c r="D116" s="35">
        <v>-71642</v>
      </c>
      <c r="G116" s="64"/>
    </row>
    <row r="117" spans="1:7">
      <c r="A117" s="16">
        <v>32</v>
      </c>
      <c r="B117" s="16" t="s">
        <v>145</v>
      </c>
      <c r="C117" s="35"/>
      <c r="D117" s="35">
        <v>-86</v>
      </c>
      <c r="G117" s="64"/>
    </row>
    <row r="118" spans="1:7">
      <c r="A118" s="16">
        <v>33</v>
      </c>
      <c r="B118" s="16" t="s">
        <v>223</v>
      </c>
      <c r="D118" s="35">
        <v>-123360</v>
      </c>
      <c r="G118" s="64"/>
    </row>
    <row r="119" spans="1:7" hidden="1">
      <c r="C119" s="35"/>
      <c r="D119" s="35"/>
      <c r="G119" s="64"/>
    </row>
    <row r="120" spans="1:7" hidden="1">
      <c r="B120" s="16" t="s">
        <v>314</v>
      </c>
      <c r="G120" s="64"/>
    </row>
    <row r="121" spans="1:7">
      <c r="A121" s="16">
        <v>34</v>
      </c>
      <c r="B121" s="16" t="s">
        <v>224</v>
      </c>
      <c r="C121" s="35">
        <v>-216</v>
      </c>
      <c r="D121" s="35">
        <v>-10000</v>
      </c>
      <c r="G121" s="64">
        <v>4.6300000000000001E-2</v>
      </c>
    </row>
    <row r="122" spans="1:7" ht="15">
      <c r="A122" s="53" t="s">
        <v>212</v>
      </c>
      <c r="C122" s="60">
        <f>SUM(C107:C120)</f>
        <v>175516</v>
      </c>
      <c r="D122" s="60">
        <f>SUM(D107:D120)</f>
        <v>8397490</v>
      </c>
      <c r="E122" s="60">
        <f>SUM(E107:E120)</f>
        <v>5265</v>
      </c>
      <c r="F122" s="60">
        <f>C122/E122*1000</f>
        <v>33336.372269705607</v>
      </c>
      <c r="G122" s="65">
        <f>D122/(E122*F122)</f>
        <v>4.7844583969552629E-2</v>
      </c>
    </row>
    <row r="123" spans="1:7">
      <c r="C123" s="35"/>
      <c r="D123" s="35"/>
    </row>
    <row r="126" spans="1:7">
      <c r="C126" s="35"/>
      <c r="D126" s="35"/>
      <c r="E126" s="35"/>
      <c r="F126" s="35"/>
    </row>
    <row r="127" spans="1:7">
      <c r="D127" s="35"/>
    </row>
    <row r="128" spans="1:7">
      <c r="C128" s="35"/>
      <c r="D128" s="35"/>
      <c r="F128" s="35"/>
    </row>
    <row r="129" spans="4:4">
      <c r="D129" s="35"/>
    </row>
    <row r="130" spans="4:4">
      <c r="D130" s="35"/>
    </row>
    <row r="131" spans="4:4">
      <c r="D131" s="35"/>
    </row>
    <row r="133" spans="4:4">
      <c r="D133" s="35"/>
    </row>
    <row r="134" spans="4:4">
      <c r="D134" s="35"/>
    </row>
    <row r="137" spans="4:4">
      <c r="D137" s="35"/>
    </row>
    <row r="138" spans="4:4">
      <c r="D138" s="35"/>
    </row>
  </sheetData>
  <pageMargins left="0.7" right="0.7" top="0.75" bottom="0.75" header="0.3" footer="0.3"/>
  <pageSetup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topLeftCell="A85" workbookViewId="0">
      <selection activeCell="E31" sqref="E31"/>
    </sheetView>
  </sheetViews>
  <sheetFormatPr defaultRowHeight="15"/>
  <cols>
    <col min="1" max="1" width="24.5703125" style="16" customWidth="1"/>
    <col min="2" max="2" width="15.85546875" style="16" bestFit="1" customWidth="1"/>
    <col min="3" max="3" width="17.85546875" style="23" customWidth="1"/>
    <col min="4" max="4" width="18.85546875" style="23" customWidth="1"/>
    <col min="5" max="5" width="17.85546875" style="74" bestFit="1" customWidth="1"/>
    <col min="6" max="6" width="19.42578125" style="16" customWidth="1"/>
    <col min="7" max="16384" width="9.140625" style="16"/>
  </cols>
  <sheetData>
    <row r="1" spans="1:6" ht="23.25">
      <c r="A1" s="134" t="s">
        <v>73</v>
      </c>
      <c r="B1" s="134"/>
      <c r="C1" s="134"/>
      <c r="D1" s="134"/>
      <c r="E1" s="134"/>
    </row>
    <row r="2" spans="1:6" ht="16.5">
      <c r="C2" s="16"/>
      <c r="D2" s="73"/>
    </row>
    <row r="3" spans="1:6" ht="16.5">
      <c r="A3" s="140" t="s">
        <v>333</v>
      </c>
      <c r="B3" s="140"/>
      <c r="C3" s="140"/>
      <c r="D3" s="140"/>
      <c r="E3" s="140"/>
    </row>
    <row r="7" spans="1:6" ht="28.5" customHeight="1">
      <c r="A7" s="59"/>
      <c r="B7" s="59" t="s">
        <v>334</v>
      </c>
      <c r="C7" s="75" t="s">
        <v>335</v>
      </c>
      <c r="D7" s="75" t="s">
        <v>336</v>
      </c>
      <c r="E7" s="76"/>
      <c r="F7" s="59"/>
    </row>
    <row r="8" spans="1:6">
      <c r="A8" s="77">
        <v>34592</v>
      </c>
      <c r="B8" s="35">
        <v>9284419</v>
      </c>
      <c r="C8" s="23">
        <f>B8-D8</f>
        <v>9284419</v>
      </c>
      <c r="E8" s="78">
        <f>YEAR(A8)</f>
        <v>1994</v>
      </c>
      <c r="F8" s="24"/>
    </row>
    <row r="9" spans="1:6">
      <c r="A9" s="77">
        <v>34683</v>
      </c>
      <c r="B9" s="35">
        <v>29041</v>
      </c>
      <c r="C9" s="23">
        <f t="shared" ref="C9:C72" si="0">B9-D9</f>
        <v>29041</v>
      </c>
      <c r="E9" s="78">
        <f t="shared" ref="E9:E72" si="1">YEAR(A9)</f>
        <v>1994</v>
      </c>
      <c r="F9" s="24"/>
    </row>
    <row r="10" spans="1:6">
      <c r="A10" s="77">
        <v>34804</v>
      </c>
      <c r="B10" s="35">
        <v>2294650</v>
      </c>
      <c r="C10" s="23">
        <f t="shared" si="0"/>
        <v>2256396</v>
      </c>
      <c r="D10" s="23">
        <v>38254</v>
      </c>
      <c r="E10" s="78">
        <f t="shared" si="1"/>
        <v>1995</v>
      </c>
      <c r="F10" s="24"/>
    </row>
    <row r="11" spans="1:6">
      <c r="A11" s="77">
        <v>34834</v>
      </c>
      <c r="B11" s="35">
        <v>25252</v>
      </c>
      <c r="C11" s="23">
        <f t="shared" si="0"/>
        <v>24640</v>
      </c>
      <c r="D11" s="23">
        <v>612</v>
      </c>
      <c r="E11" s="78">
        <f t="shared" si="1"/>
        <v>1995</v>
      </c>
      <c r="F11" s="24"/>
    </row>
    <row r="12" spans="1:6">
      <c r="A12" s="77">
        <v>34865</v>
      </c>
      <c r="B12" s="35">
        <v>1086300</v>
      </c>
      <c r="C12" s="23">
        <f t="shared" si="0"/>
        <v>1056125</v>
      </c>
      <c r="D12" s="23">
        <v>30175</v>
      </c>
      <c r="E12" s="78">
        <f t="shared" si="1"/>
        <v>1995</v>
      </c>
      <c r="F12" s="24"/>
    </row>
    <row r="13" spans="1:6">
      <c r="A13" s="77">
        <v>34895</v>
      </c>
      <c r="B13" s="35">
        <v>2746523</v>
      </c>
      <c r="C13" s="23">
        <f t="shared" si="0"/>
        <v>2654892</v>
      </c>
      <c r="D13" s="23">
        <v>91631</v>
      </c>
      <c r="E13" s="78">
        <f t="shared" si="1"/>
        <v>1995</v>
      </c>
      <c r="F13" s="24"/>
    </row>
    <row r="14" spans="1:6">
      <c r="A14" s="77">
        <v>34957</v>
      </c>
      <c r="B14" s="35">
        <v>3674</v>
      </c>
      <c r="C14" s="23">
        <f t="shared" si="0"/>
        <v>3440</v>
      </c>
      <c r="D14" s="23">
        <v>234</v>
      </c>
      <c r="E14" s="78">
        <f t="shared" si="1"/>
        <v>1995</v>
      </c>
      <c r="F14" s="24"/>
    </row>
    <row r="15" spans="1:6">
      <c r="A15" s="77">
        <v>34987</v>
      </c>
      <c r="B15" s="35">
        <v>14096</v>
      </c>
      <c r="C15" s="23">
        <f t="shared" si="0"/>
        <v>13338</v>
      </c>
      <c r="D15" s="23">
        <v>758</v>
      </c>
      <c r="E15" s="78">
        <f t="shared" si="1"/>
        <v>1995</v>
      </c>
      <c r="F15" s="24"/>
    </row>
    <row r="16" spans="1:6">
      <c r="A16" s="77">
        <v>35048</v>
      </c>
      <c r="B16" s="35">
        <v>5374</v>
      </c>
      <c r="C16" s="23">
        <f t="shared" si="0"/>
        <v>5070</v>
      </c>
      <c r="D16" s="23">
        <v>304</v>
      </c>
      <c r="E16" s="78">
        <f t="shared" si="1"/>
        <v>1995</v>
      </c>
      <c r="F16" s="24"/>
    </row>
    <row r="17" spans="1:6">
      <c r="A17" s="77">
        <v>35110</v>
      </c>
      <c r="B17" s="35">
        <v>1315000</v>
      </c>
      <c r="C17" s="23">
        <f t="shared" si="0"/>
        <v>1220102</v>
      </c>
      <c r="D17" s="23">
        <v>94898</v>
      </c>
      <c r="E17" s="78">
        <f t="shared" si="1"/>
        <v>1996</v>
      </c>
      <c r="F17" s="24"/>
    </row>
    <row r="18" spans="1:6">
      <c r="A18" s="77">
        <v>35139</v>
      </c>
      <c r="B18" s="35">
        <v>2096250</v>
      </c>
      <c r="C18" s="23">
        <f t="shared" si="0"/>
        <v>1933236</v>
      </c>
      <c r="D18" s="23">
        <v>163014</v>
      </c>
      <c r="E18" s="78">
        <f t="shared" si="1"/>
        <v>1996</v>
      </c>
      <c r="F18" s="24"/>
    </row>
    <row r="19" spans="1:6">
      <c r="A19" s="77">
        <v>35170</v>
      </c>
      <c r="B19" s="16">
        <v>268000</v>
      </c>
      <c r="C19" s="23">
        <f t="shared" si="0"/>
        <v>245685</v>
      </c>
      <c r="D19" s="23">
        <v>22315</v>
      </c>
      <c r="E19" s="78">
        <f t="shared" si="1"/>
        <v>1996</v>
      </c>
      <c r="F19" s="24"/>
    </row>
    <row r="20" spans="1:6">
      <c r="A20" s="77">
        <v>35231</v>
      </c>
      <c r="B20" s="35">
        <v>150288</v>
      </c>
      <c r="C20" s="23">
        <f t="shared" si="0"/>
        <v>136105</v>
      </c>
      <c r="D20" s="23">
        <v>14183</v>
      </c>
      <c r="E20" s="78">
        <f t="shared" si="1"/>
        <v>1996</v>
      </c>
      <c r="F20" s="24"/>
    </row>
    <row r="21" spans="1:6">
      <c r="A21" s="77">
        <v>35261</v>
      </c>
      <c r="B21" s="35">
        <v>1265449</v>
      </c>
      <c r="C21" s="23">
        <f t="shared" si="0"/>
        <v>1138860</v>
      </c>
      <c r="D21" s="23">
        <v>126589</v>
      </c>
      <c r="E21" s="78">
        <f t="shared" si="1"/>
        <v>1996</v>
      </c>
      <c r="F21" s="24"/>
    </row>
    <row r="22" spans="1:6">
      <c r="A22" s="77">
        <v>35292</v>
      </c>
      <c r="B22" s="35">
        <v>3308</v>
      </c>
      <c r="C22" s="23">
        <f t="shared" si="0"/>
        <v>2898</v>
      </c>
      <c r="D22" s="23">
        <v>410</v>
      </c>
      <c r="E22" s="78">
        <f t="shared" si="1"/>
        <v>1996</v>
      </c>
      <c r="F22" s="24"/>
    </row>
    <row r="23" spans="1:6">
      <c r="A23" s="77">
        <v>35323</v>
      </c>
      <c r="B23" s="35">
        <v>1600000</v>
      </c>
      <c r="C23" s="23">
        <f t="shared" si="0"/>
        <v>1422240</v>
      </c>
      <c r="D23" s="23">
        <v>177760</v>
      </c>
      <c r="E23" s="78">
        <f t="shared" si="1"/>
        <v>1996</v>
      </c>
      <c r="F23" s="24"/>
    </row>
    <row r="24" spans="1:6">
      <c r="A24" s="77">
        <v>35414</v>
      </c>
      <c r="B24" s="35">
        <v>-927450</v>
      </c>
      <c r="C24" s="23">
        <f t="shared" si="0"/>
        <v>-809021</v>
      </c>
      <c r="D24" s="23">
        <v>-118429</v>
      </c>
      <c r="E24" s="78">
        <f t="shared" si="1"/>
        <v>1996</v>
      </c>
      <c r="F24" s="24"/>
    </row>
    <row r="25" spans="1:6">
      <c r="A25" s="77">
        <v>35476</v>
      </c>
      <c r="B25" s="35">
        <v>6083388</v>
      </c>
      <c r="C25" s="23">
        <f t="shared" si="0"/>
        <v>5238535</v>
      </c>
      <c r="D25" s="23">
        <v>844853</v>
      </c>
      <c r="E25" s="78">
        <f t="shared" si="1"/>
        <v>1997</v>
      </c>
      <c r="F25" s="24"/>
    </row>
    <row r="26" spans="1:6">
      <c r="A26" s="77">
        <v>35535</v>
      </c>
      <c r="B26" s="35">
        <v>1588800</v>
      </c>
      <c r="C26" s="23">
        <f t="shared" si="0"/>
        <v>1350531</v>
      </c>
      <c r="D26" s="23">
        <v>238269</v>
      </c>
      <c r="E26" s="78">
        <f t="shared" si="1"/>
        <v>1997</v>
      </c>
      <c r="F26" s="24"/>
    </row>
    <row r="27" spans="1:6">
      <c r="A27" s="77">
        <v>35565</v>
      </c>
      <c r="B27" s="35">
        <v>1100000</v>
      </c>
      <c r="C27" s="23">
        <f t="shared" si="0"/>
        <v>928872</v>
      </c>
      <c r="D27" s="23">
        <v>171128</v>
      </c>
      <c r="E27" s="78">
        <f t="shared" si="1"/>
        <v>1997</v>
      </c>
      <c r="F27" s="24"/>
    </row>
    <row r="28" spans="1:6">
      <c r="A28" s="77">
        <v>35596</v>
      </c>
      <c r="B28" s="35">
        <v>2182250</v>
      </c>
      <c r="C28" s="23">
        <f t="shared" si="0"/>
        <v>1830724</v>
      </c>
      <c r="D28" s="23">
        <v>351526</v>
      </c>
      <c r="E28" s="78">
        <f t="shared" si="1"/>
        <v>1997</v>
      </c>
      <c r="F28" s="24"/>
    </row>
    <row r="29" spans="1:6">
      <c r="A29" s="77">
        <v>35626</v>
      </c>
      <c r="B29" s="35">
        <v>1175500</v>
      </c>
      <c r="C29" s="23">
        <f t="shared" si="0"/>
        <v>979650</v>
      </c>
      <c r="D29" s="23">
        <v>195850</v>
      </c>
      <c r="E29" s="78">
        <f t="shared" si="1"/>
        <v>1997</v>
      </c>
      <c r="F29" s="24"/>
    </row>
    <row r="30" spans="1:6">
      <c r="A30" s="77">
        <v>35688</v>
      </c>
      <c r="B30" s="35">
        <v>2070215</v>
      </c>
      <c r="C30" s="23">
        <f t="shared" si="0"/>
        <v>1702148</v>
      </c>
      <c r="D30" s="23">
        <v>368067</v>
      </c>
      <c r="E30" s="78">
        <f t="shared" si="1"/>
        <v>1997</v>
      </c>
      <c r="F30" s="24"/>
    </row>
    <row r="31" spans="1:6">
      <c r="A31" s="77">
        <v>35718</v>
      </c>
      <c r="B31" s="35">
        <v>-225898</v>
      </c>
      <c r="C31" s="23">
        <f t="shared" si="0"/>
        <v>-184485</v>
      </c>
      <c r="D31" s="23">
        <v>-41413</v>
      </c>
      <c r="E31" s="78">
        <f t="shared" si="1"/>
        <v>1997</v>
      </c>
      <c r="F31" s="24"/>
    </row>
    <row r="32" spans="1:6">
      <c r="A32" s="77">
        <v>35749</v>
      </c>
      <c r="B32" s="35">
        <v>2852500</v>
      </c>
      <c r="C32" s="23">
        <f t="shared" si="0"/>
        <v>2313662</v>
      </c>
      <c r="D32" s="23">
        <v>538838</v>
      </c>
      <c r="E32" s="78">
        <f t="shared" si="1"/>
        <v>1997</v>
      </c>
      <c r="F32" s="24"/>
    </row>
    <row r="33" spans="1:6">
      <c r="A33" s="77">
        <v>35779</v>
      </c>
      <c r="B33" s="35">
        <v>3500000</v>
      </c>
      <c r="C33" s="23">
        <f t="shared" si="0"/>
        <v>2819380</v>
      </c>
      <c r="D33" s="23">
        <v>680620</v>
      </c>
      <c r="E33" s="78">
        <f t="shared" si="1"/>
        <v>1997</v>
      </c>
      <c r="F33" s="24"/>
    </row>
    <row r="34" spans="1:6">
      <c r="A34" s="77">
        <v>35810</v>
      </c>
      <c r="B34" s="35">
        <v>1165289</v>
      </c>
      <c r="C34" s="23">
        <f t="shared" si="0"/>
        <v>932256</v>
      </c>
      <c r="D34" s="23">
        <v>233033</v>
      </c>
      <c r="E34" s="78">
        <f t="shared" si="1"/>
        <v>1998</v>
      </c>
      <c r="F34" s="24"/>
    </row>
    <row r="35" spans="1:6">
      <c r="A35" s="77">
        <v>35841</v>
      </c>
      <c r="B35" s="35">
        <v>945000</v>
      </c>
      <c r="C35" s="23">
        <f t="shared" si="0"/>
        <v>750750</v>
      </c>
      <c r="D35" s="23">
        <v>194250</v>
      </c>
      <c r="E35" s="78">
        <f t="shared" si="1"/>
        <v>1998</v>
      </c>
      <c r="F35" s="24"/>
    </row>
    <row r="36" spans="1:6">
      <c r="A36" s="77">
        <v>35869</v>
      </c>
      <c r="B36" s="35">
        <v>2875000</v>
      </c>
      <c r="C36" s="23">
        <f t="shared" si="0"/>
        <v>2268024</v>
      </c>
      <c r="D36" s="23">
        <v>606976</v>
      </c>
      <c r="E36" s="78">
        <f t="shared" si="1"/>
        <v>1998</v>
      </c>
      <c r="F36" s="24"/>
    </row>
    <row r="37" spans="1:6">
      <c r="A37" s="77">
        <v>35900</v>
      </c>
      <c r="B37" s="35">
        <v>6262308</v>
      </c>
      <c r="C37" s="23">
        <f t="shared" si="0"/>
        <v>4905531</v>
      </c>
      <c r="D37" s="23">
        <v>1356777</v>
      </c>
      <c r="E37" s="78">
        <f t="shared" si="1"/>
        <v>1998</v>
      </c>
      <c r="F37" s="24"/>
    </row>
    <row r="38" spans="1:6">
      <c r="A38" s="77">
        <v>35930</v>
      </c>
      <c r="B38" s="35">
        <v>271483</v>
      </c>
      <c r="C38" s="23">
        <f t="shared" si="0"/>
        <v>211120</v>
      </c>
      <c r="D38" s="23">
        <v>60363</v>
      </c>
      <c r="E38" s="78">
        <f t="shared" si="1"/>
        <v>1998</v>
      </c>
      <c r="F38" s="24"/>
    </row>
    <row r="39" spans="1:6">
      <c r="A39" s="77">
        <v>35991</v>
      </c>
      <c r="B39" s="35">
        <v>5701</v>
      </c>
      <c r="C39" s="23">
        <f t="shared" si="0"/>
        <v>4416</v>
      </c>
      <c r="D39" s="23">
        <v>1285</v>
      </c>
      <c r="E39" s="78">
        <f t="shared" si="1"/>
        <v>1998</v>
      </c>
      <c r="F39" s="24"/>
    </row>
    <row r="40" spans="1:6">
      <c r="A40" s="77">
        <v>36022</v>
      </c>
      <c r="B40" s="35">
        <v>4049</v>
      </c>
      <c r="C40" s="23">
        <f t="shared" si="0"/>
        <v>3014</v>
      </c>
      <c r="D40" s="23">
        <v>1035</v>
      </c>
      <c r="E40" s="78">
        <f t="shared" si="1"/>
        <v>1998</v>
      </c>
      <c r="F40" s="24"/>
    </row>
    <row r="41" spans="1:6">
      <c r="A41" s="77">
        <v>36326</v>
      </c>
      <c r="B41" s="35">
        <v>426713</v>
      </c>
      <c r="C41" s="23">
        <f t="shared" si="0"/>
        <v>301117</v>
      </c>
      <c r="D41" s="23">
        <v>125596</v>
      </c>
      <c r="E41" s="78">
        <f t="shared" si="1"/>
        <v>1999</v>
      </c>
      <c r="F41" s="24"/>
    </row>
    <row r="42" spans="1:6">
      <c r="A42" s="77">
        <v>36356</v>
      </c>
      <c r="B42" s="35">
        <v>7655</v>
      </c>
      <c r="C42" s="23">
        <f t="shared" si="0"/>
        <v>5418</v>
      </c>
      <c r="D42" s="23">
        <v>2237</v>
      </c>
      <c r="E42" s="78">
        <f t="shared" si="1"/>
        <v>1999</v>
      </c>
      <c r="F42" s="24"/>
    </row>
    <row r="43" spans="1:6">
      <c r="A43" s="77">
        <v>36387</v>
      </c>
      <c r="B43" s="35">
        <v>27204</v>
      </c>
      <c r="C43" s="23">
        <f t="shared" si="0"/>
        <v>18875</v>
      </c>
      <c r="D43" s="23">
        <v>8329</v>
      </c>
      <c r="E43" s="78">
        <f t="shared" si="1"/>
        <v>1999</v>
      </c>
      <c r="F43" s="24"/>
    </row>
    <row r="44" spans="1:6">
      <c r="A44" s="77">
        <v>36418</v>
      </c>
      <c r="B44" s="35">
        <v>1743</v>
      </c>
      <c r="C44" s="23">
        <f t="shared" si="0"/>
        <v>1240</v>
      </c>
      <c r="D44" s="23">
        <v>503</v>
      </c>
      <c r="E44" s="78">
        <f t="shared" si="1"/>
        <v>1999</v>
      </c>
      <c r="F44" s="24"/>
    </row>
    <row r="45" spans="1:6">
      <c r="A45" s="77">
        <v>36692</v>
      </c>
      <c r="B45" s="35">
        <v>498302</v>
      </c>
      <c r="C45" s="23">
        <f t="shared" si="0"/>
        <v>318320</v>
      </c>
      <c r="D45" s="23">
        <v>179982</v>
      </c>
      <c r="E45" s="78">
        <f t="shared" si="1"/>
        <v>2000</v>
      </c>
      <c r="F45" s="24"/>
    </row>
    <row r="46" spans="1:6">
      <c r="A46" s="77">
        <v>36753</v>
      </c>
      <c r="B46" s="35">
        <v>2202000</v>
      </c>
      <c r="C46" s="23">
        <f t="shared" si="0"/>
        <v>1382329</v>
      </c>
      <c r="D46" s="23">
        <v>819671</v>
      </c>
      <c r="E46" s="78">
        <f t="shared" si="1"/>
        <v>2000</v>
      </c>
      <c r="F46" s="24"/>
    </row>
    <row r="47" spans="1:6">
      <c r="A47" s="77">
        <v>36784</v>
      </c>
      <c r="B47" s="35">
        <v>2269500</v>
      </c>
      <c r="C47" s="23">
        <f t="shared" si="0"/>
        <v>1412096</v>
      </c>
      <c r="D47" s="23">
        <v>857404</v>
      </c>
      <c r="E47" s="78">
        <f t="shared" si="1"/>
        <v>2000</v>
      </c>
      <c r="F47" s="24"/>
    </row>
    <row r="48" spans="1:6">
      <c r="A48" s="77">
        <v>36814</v>
      </c>
      <c r="B48" s="35">
        <v>2341624</v>
      </c>
      <c r="C48" s="23">
        <f t="shared" si="0"/>
        <v>1443999</v>
      </c>
      <c r="D48" s="23">
        <v>897625</v>
      </c>
      <c r="E48" s="78">
        <f t="shared" si="1"/>
        <v>2000</v>
      </c>
      <c r="F48" s="24"/>
    </row>
    <row r="49" spans="1:6">
      <c r="A49" s="77">
        <v>36845</v>
      </c>
      <c r="B49" s="35">
        <v>2178932</v>
      </c>
      <c r="C49" s="23">
        <f t="shared" si="0"/>
        <v>1331550</v>
      </c>
      <c r="D49" s="23">
        <v>847382</v>
      </c>
      <c r="E49" s="78">
        <f t="shared" si="1"/>
        <v>2000</v>
      </c>
      <c r="F49" s="24"/>
    </row>
    <row r="50" spans="1:6">
      <c r="A50" s="77">
        <v>36875</v>
      </c>
      <c r="B50" s="35">
        <v>1329249</v>
      </c>
      <c r="C50" s="23">
        <f t="shared" si="0"/>
        <v>804965</v>
      </c>
      <c r="D50" s="23">
        <v>524284</v>
      </c>
      <c r="E50" s="78">
        <f t="shared" si="1"/>
        <v>2000</v>
      </c>
      <c r="F50" s="24"/>
    </row>
    <row r="51" spans="1:6">
      <c r="A51" s="77">
        <v>36906</v>
      </c>
      <c r="B51" s="35">
        <v>5065500</v>
      </c>
      <c r="C51" s="23">
        <f t="shared" si="0"/>
        <v>3039336</v>
      </c>
      <c r="D51" s="23">
        <v>2026164</v>
      </c>
      <c r="E51" s="78">
        <f t="shared" si="1"/>
        <v>2001</v>
      </c>
      <c r="F51" s="24"/>
    </row>
    <row r="52" spans="1:6">
      <c r="A52" s="77">
        <v>36965</v>
      </c>
      <c r="B52" s="35">
        <v>2400</v>
      </c>
      <c r="C52" s="23">
        <f t="shared" si="0"/>
        <v>1378</v>
      </c>
      <c r="D52" s="23">
        <v>1022</v>
      </c>
      <c r="E52" s="78">
        <f t="shared" si="1"/>
        <v>2001</v>
      </c>
      <c r="F52" s="24"/>
    </row>
    <row r="53" spans="1:6">
      <c r="A53" s="77">
        <v>37026</v>
      </c>
      <c r="B53" s="35">
        <v>602638</v>
      </c>
      <c r="C53" s="23">
        <f t="shared" si="0"/>
        <v>348192</v>
      </c>
      <c r="D53" s="23">
        <v>254446</v>
      </c>
      <c r="E53" s="78">
        <f t="shared" si="1"/>
        <v>2001</v>
      </c>
      <c r="F53" s="24"/>
    </row>
    <row r="54" spans="1:6">
      <c r="A54" s="77">
        <v>37057</v>
      </c>
      <c r="B54" s="35">
        <v>32161</v>
      </c>
      <c r="C54" s="23">
        <f t="shared" si="0"/>
        <v>18437</v>
      </c>
      <c r="D54" s="23">
        <v>13724</v>
      </c>
      <c r="E54" s="78">
        <f t="shared" si="1"/>
        <v>2001</v>
      </c>
      <c r="F54" s="24"/>
    </row>
    <row r="55" spans="1:6">
      <c r="A55" s="77">
        <v>37087</v>
      </c>
      <c r="B55" s="35">
        <v>43171</v>
      </c>
      <c r="C55" s="23">
        <f t="shared" si="0"/>
        <v>24480</v>
      </c>
      <c r="D55" s="23">
        <v>18691</v>
      </c>
      <c r="E55" s="78">
        <f t="shared" si="1"/>
        <v>2001</v>
      </c>
      <c r="F55" s="24"/>
    </row>
    <row r="56" spans="1:6">
      <c r="A56" s="77">
        <v>37240</v>
      </c>
      <c r="B56" s="35">
        <v>-2111250</v>
      </c>
      <c r="C56" s="23">
        <f t="shared" si="0"/>
        <v>-1137713</v>
      </c>
      <c r="D56" s="23">
        <v>-973537</v>
      </c>
      <c r="E56" s="78">
        <f t="shared" si="1"/>
        <v>2001</v>
      </c>
      <c r="F56" s="24"/>
    </row>
    <row r="57" spans="1:6">
      <c r="A57" s="77">
        <v>37391</v>
      </c>
      <c r="B57" s="35">
        <v>10485</v>
      </c>
      <c r="C57" s="23">
        <f t="shared" si="0"/>
        <v>5336</v>
      </c>
      <c r="D57" s="23">
        <v>5149</v>
      </c>
      <c r="E57" s="78">
        <f t="shared" si="1"/>
        <v>2002</v>
      </c>
      <c r="F57" s="24"/>
    </row>
    <row r="58" spans="1:6">
      <c r="A58" s="77">
        <v>37422</v>
      </c>
      <c r="B58" s="35">
        <v>519013</v>
      </c>
      <c r="C58" s="23">
        <f t="shared" si="0"/>
        <v>262353</v>
      </c>
      <c r="D58" s="23">
        <v>256660</v>
      </c>
      <c r="E58" s="78">
        <f t="shared" si="1"/>
        <v>2002</v>
      </c>
      <c r="F58" s="24"/>
    </row>
    <row r="59" spans="1:6">
      <c r="A59" s="77">
        <v>37452</v>
      </c>
      <c r="B59" s="35">
        <v>28130</v>
      </c>
      <c r="C59" s="23">
        <f t="shared" si="0"/>
        <v>14040</v>
      </c>
      <c r="D59" s="23">
        <v>14090</v>
      </c>
      <c r="E59" s="78">
        <f t="shared" si="1"/>
        <v>2002</v>
      </c>
      <c r="F59" s="24"/>
    </row>
    <row r="60" spans="1:6">
      <c r="A60" s="77">
        <v>37575</v>
      </c>
      <c r="B60" s="35">
        <v>9132</v>
      </c>
      <c r="C60" s="23">
        <f t="shared" si="0"/>
        <v>4386</v>
      </c>
      <c r="D60" s="23">
        <v>4746</v>
      </c>
      <c r="E60" s="78">
        <f t="shared" si="1"/>
        <v>2002</v>
      </c>
      <c r="F60" s="24"/>
    </row>
    <row r="61" spans="1:6">
      <c r="A61" s="77">
        <v>37817</v>
      </c>
      <c r="B61" s="35">
        <v>575605</v>
      </c>
      <c r="C61" s="23">
        <f t="shared" si="0"/>
        <v>249444</v>
      </c>
      <c r="D61" s="23">
        <v>326161</v>
      </c>
      <c r="E61" s="78">
        <f t="shared" si="1"/>
        <v>2003</v>
      </c>
      <c r="F61" s="24"/>
    </row>
    <row r="62" spans="1:6">
      <c r="A62" s="77">
        <v>37909</v>
      </c>
      <c r="B62" s="35">
        <v>9431</v>
      </c>
      <c r="C62" s="23">
        <f t="shared" si="0"/>
        <v>3900</v>
      </c>
      <c r="D62" s="23">
        <v>5531</v>
      </c>
      <c r="E62" s="78">
        <f t="shared" si="1"/>
        <v>2003</v>
      </c>
      <c r="F62" s="24"/>
    </row>
    <row r="63" spans="1:6">
      <c r="A63" s="77">
        <v>38122</v>
      </c>
      <c r="B63" s="35">
        <v>827812</v>
      </c>
      <c r="C63" s="23">
        <f t="shared" si="0"/>
        <v>312732</v>
      </c>
      <c r="D63" s="23">
        <v>515080</v>
      </c>
      <c r="E63" s="78">
        <f t="shared" si="1"/>
        <v>2004</v>
      </c>
      <c r="F63" s="24"/>
    </row>
    <row r="64" spans="1:6">
      <c r="A64" s="77">
        <v>38153</v>
      </c>
      <c r="B64" s="35">
        <v>80369</v>
      </c>
      <c r="C64" s="23">
        <f t="shared" si="0"/>
        <v>29882</v>
      </c>
      <c r="D64" s="23">
        <v>50487</v>
      </c>
      <c r="E64" s="78">
        <f t="shared" si="1"/>
        <v>2004</v>
      </c>
      <c r="F64" s="24"/>
    </row>
    <row r="65" spans="1:6">
      <c r="A65" s="77">
        <v>38487</v>
      </c>
      <c r="B65" s="35">
        <v>2065357</v>
      </c>
      <c r="C65" s="23">
        <f t="shared" si="0"/>
        <v>642544</v>
      </c>
      <c r="D65" s="23">
        <v>1422813</v>
      </c>
      <c r="E65" s="78">
        <f t="shared" si="1"/>
        <v>2005</v>
      </c>
      <c r="F65" s="24"/>
    </row>
    <row r="66" spans="1:6">
      <c r="A66" s="77">
        <v>38518</v>
      </c>
      <c r="B66" s="35">
        <v>200914</v>
      </c>
      <c r="C66" s="23">
        <f t="shared" si="0"/>
        <v>61380</v>
      </c>
      <c r="D66" s="23">
        <v>139534</v>
      </c>
      <c r="E66" s="78">
        <f t="shared" si="1"/>
        <v>2005</v>
      </c>
      <c r="F66" s="24"/>
    </row>
    <row r="67" spans="1:6">
      <c r="A67" s="77">
        <v>38701</v>
      </c>
      <c r="B67" s="35">
        <v>13958500</v>
      </c>
      <c r="C67" s="23">
        <f t="shared" si="0"/>
        <v>3799803</v>
      </c>
      <c r="D67" s="23">
        <v>10158697</v>
      </c>
      <c r="E67" s="78">
        <f t="shared" si="1"/>
        <v>2005</v>
      </c>
      <c r="F67" s="24"/>
    </row>
    <row r="68" spans="1:6">
      <c r="A68" s="77">
        <v>38763</v>
      </c>
      <c r="B68" s="35">
        <v>12995000</v>
      </c>
      <c r="C68" s="23">
        <f t="shared" si="0"/>
        <v>3393118</v>
      </c>
      <c r="D68" s="23">
        <v>9601882</v>
      </c>
      <c r="E68" s="78">
        <f t="shared" si="1"/>
        <v>2006</v>
      </c>
      <c r="F68" s="24"/>
    </row>
    <row r="69" spans="1:6">
      <c r="A69" s="77">
        <v>38852</v>
      </c>
      <c r="B69" s="35">
        <v>2392408</v>
      </c>
      <c r="C69" s="23">
        <f t="shared" si="0"/>
        <v>584804</v>
      </c>
      <c r="D69" s="23">
        <v>1807604</v>
      </c>
      <c r="E69" s="78">
        <f t="shared" si="1"/>
        <v>2006</v>
      </c>
      <c r="F69" s="24"/>
    </row>
    <row r="70" spans="1:6">
      <c r="A70" s="77">
        <v>38883</v>
      </c>
      <c r="B70" s="35">
        <v>232244</v>
      </c>
      <c r="C70" s="23">
        <f t="shared" si="0"/>
        <v>55470</v>
      </c>
      <c r="D70" s="23">
        <v>176774</v>
      </c>
      <c r="E70" s="78">
        <f t="shared" si="1"/>
        <v>2006</v>
      </c>
      <c r="F70" s="24"/>
    </row>
    <row r="71" spans="1:6">
      <c r="A71" s="77">
        <v>39156</v>
      </c>
      <c r="B71" s="35">
        <v>2322500</v>
      </c>
      <c r="C71" s="23">
        <f t="shared" si="0"/>
        <v>438702</v>
      </c>
      <c r="D71" s="23">
        <v>1883798</v>
      </c>
      <c r="E71" s="78">
        <f t="shared" si="1"/>
        <v>2007</v>
      </c>
      <c r="F71" s="24"/>
    </row>
    <row r="72" spans="1:6">
      <c r="A72" s="77">
        <v>39187</v>
      </c>
      <c r="B72" s="35">
        <v>3727548</v>
      </c>
      <c r="C72" s="23">
        <f t="shared" si="0"/>
        <v>683397</v>
      </c>
      <c r="D72" s="23">
        <v>3044151</v>
      </c>
      <c r="E72" s="78">
        <f t="shared" si="1"/>
        <v>2007</v>
      </c>
      <c r="F72" s="24"/>
    </row>
    <row r="73" spans="1:6">
      <c r="A73" s="77">
        <v>39217</v>
      </c>
      <c r="B73" s="35">
        <v>2897500</v>
      </c>
      <c r="C73" s="23">
        <f t="shared" ref="C73:C84" si="2">B73-D73</f>
        <v>515104</v>
      </c>
      <c r="D73" s="23">
        <v>2382396</v>
      </c>
      <c r="E73" s="78">
        <f t="shared" ref="E73:E86" si="3">YEAR(A73)</f>
        <v>2007</v>
      </c>
      <c r="F73" s="24"/>
    </row>
    <row r="74" spans="1:6">
      <c r="A74" s="77">
        <v>39370</v>
      </c>
      <c r="B74" s="35">
        <v>2872500</v>
      </c>
      <c r="C74" s="23">
        <f t="shared" si="2"/>
        <v>430866</v>
      </c>
      <c r="D74" s="23">
        <v>2441634</v>
      </c>
      <c r="E74" s="78">
        <f t="shared" si="3"/>
        <v>2007</v>
      </c>
      <c r="F74" s="24"/>
    </row>
    <row r="75" spans="1:6">
      <c r="A75" s="77">
        <v>39431</v>
      </c>
      <c r="B75" s="35">
        <v>2843450</v>
      </c>
      <c r="C75" s="23">
        <f t="shared" si="2"/>
        <v>394925</v>
      </c>
      <c r="D75" s="23">
        <v>2448525</v>
      </c>
      <c r="E75" s="78">
        <f t="shared" si="3"/>
        <v>2007</v>
      </c>
      <c r="F75" s="24"/>
    </row>
    <row r="76" spans="1:6">
      <c r="A76" s="77">
        <v>39553</v>
      </c>
      <c r="B76" s="35">
        <v>1192027</v>
      </c>
      <c r="C76" s="23">
        <f t="shared" si="2"/>
        <v>139062</v>
      </c>
      <c r="D76" s="23">
        <v>1052965</v>
      </c>
      <c r="E76" s="78">
        <f t="shared" si="3"/>
        <v>2008</v>
      </c>
      <c r="F76" s="24"/>
    </row>
    <row r="77" spans="1:6">
      <c r="A77" s="77">
        <v>39736</v>
      </c>
      <c r="B77" s="35">
        <v>149500</v>
      </c>
      <c r="C77" s="23">
        <f t="shared" si="2"/>
        <v>12465</v>
      </c>
      <c r="D77" s="23">
        <v>137035</v>
      </c>
      <c r="E77" s="78">
        <f t="shared" si="3"/>
        <v>2008</v>
      </c>
      <c r="F77" s="24"/>
    </row>
    <row r="78" spans="1:6">
      <c r="A78" s="77">
        <v>39767</v>
      </c>
      <c r="B78" s="35">
        <v>1393500</v>
      </c>
      <c r="C78" s="23">
        <f t="shared" si="2"/>
        <v>108388</v>
      </c>
      <c r="D78" s="23">
        <v>1285112</v>
      </c>
      <c r="E78" s="78">
        <f t="shared" si="3"/>
        <v>2008</v>
      </c>
      <c r="F78" s="24"/>
    </row>
    <row r="79" spans="1:6">
      <c r="A79" s="77">
        <v>39797</v>
      </c>
      <c r="B79" s="35">
        <v>2154000</v>
      </c>
      <c r="C79" s="23">
        <f t="shared" si="2"/>
        <v>155571</v>
      </c>
      <c r="D79" s="23">
        <v>1998429</v>
      </c>
      <c r="E79" s="78">
        <f t="shared" si="3"/>
        <v>2008</v>
      </c>
      <c r="F79" s="24"/>
    </row>
    <row r="80" spans="1:6">
      <c r="A80" s="77">
        <v>39828</v>
      </c>
      <c r="B80" s="35">
        <v>194500</v>
      </c>
      <c r="C80" s="23">
        <f t="shared" si="2"/>
        <v>12972</v>
      </c>
      <c r="D80" s="23">
        <v>181528</v>
      </c>
      <c r="E80" s="78">
        <f t="shared" si="3"/>
        <v>2009</v>
      </c>
      <c r="F80" s="24"/>
    </row>
    <row r="81" spans="1:6">
      <c r="A81" s="77">
        <v>39918</v>
      </c>
      <c r="B81" s="35">
        <v>173141</v>
      </c>
      <c r="C81" s="23">
        <f t="shared" si="2"/>
        <v>8658</v>
      </c>
      <c r="D81" s="23">
        <v>164483</v>
      </c>
      <c r="E81" s="78">
        <f t="shared" si="3"/>
        <v>2009</v>
      </c>
      <c r="F81" s="24"/>
    </row>
    <row r="82" spans="1:6">
      <c r="A82" s="77">
        <v>39979</v>
      </c>
      <c r="B82" s="35">
        <v>1017500</v>
      </c>
      <c r="C82" s="23">
        <f t="shared" si="2"/>
        <v>39571</v>
      </c>
      <c r="D82" s="23">
        <v>977929</v>
      </c>
      <c r="E82" s="78">
        <f t="shared" si="3"/>
        <v>2009</v>
      </c>
      <c r="F82" s="24"/>
    </row>
    <row r="83" spans="1:6">
      <c r="A83" s="77">
        <v>40040</v>
      </c>
      <c r="B83" s="35">
        <v>1455000</v>
      </c>
      <c r="C83" s="23">
        <f t="shared" si="2"/>
        <v>72747</v>
      </c>
      <c r="D83" s="23">
        <v>1382253</v>
      </c>
      <c r="E83" s="78">
        <f t="shared" si="3"/>
        <v>2009</v>
      </c>
      <c r="F83" s="24"/>
    </row>
    <row r="84" spans="1:6">
      <c r="A84" s="77">
        <v>40071</v>
      </c>
      <c r="B84" s="35">
        <v>950750</v>
      </c>
      <c r="C84" s="23">
        <f t="shared" si="2"/>
        <v>36974</v>
      </c>
      <c r="D84" s="23">
        <v>913776</v>
      </c>
      <c r="E84" s="78">
        <f t="shared" si="3"/>
        <v>2009</v>
      </c>
      <c r="F84" s="24"/>
    </row>
    <row r="85" spans="1:6">
      <c r="A85" s="77"/>
      <c r="B85" s="35"/>
      <c r="E85" s="78"/>
      <c r="F85" s="24"/>
    </row>
    <row r="86" spans="1:6">
      <c r="A86" s="77">
        <v>40224</v>
      </c>
      <c r="B86" s="35">
        <v>402500</v>
      </c>
      <c r="D86" s="79"/>
      <c r="E86" s="78">
        <f t="shared" si="3"/>
        <v>2010</v>
      </c>
      <c r="F86" s="24"/>
    </row>
    <row r="88" spans="1:6">
      <c r="A88" s="16" t="s">
        <v>337</v>
      </c>
      <c r="B88" s="35">
        <f>SUM(B8:B84)</f>
        <v>125281117</v>
      </c>
      <c r="C88" s="35">
        <f>SUM(C8:C84)</f>
        <v>68454207</v>
      </c>
      <c r="D88" s="35">
        <f>SUM(D8:D84)</f>
        <v>56826910</v>
      </c>
      <c r="E88" s="78"/>
      <c r="F88" s="35"/>
    </row>
    <row r="89" spans="1:6">
      <c r="B89" s="35"/>
    </row>
    <row r="92" spans="1:6">
      <c r="A92" s="16">
        <v>1994</v>
      </c>
      <c r="B92" s="23">
        <f>SUMIF($E$8:$E$86,A92,$B$8:$B$88)</f>
        <v>9313460</v>
      </c>
    </row>
    <row r="93" spans="1:6">
      <c r="A93" s="16">
        <f>1+A92</f>
        <v>1995</v>
      </c>
      <c r="B93" s="23">
        <f t="shared" ref="B93:B108" si="4">SUMIF($E$8:$E$86,A93,$B$8:$B$88)</f>
        <v>6175869</v>
      </c>
    </row>
    <row r="94" spans="1:6">
      <c r="A94" s="16">
        <f t="shared" ref="A94:A108" si="5">1+A93</f>
        <v>1996</v>
      </c>
      <c r="B94" s="23">
        <f t="shared" si="4"/>
        <v>5770845</v>
      </c>
    </row>
    <row r="95" spans="1:6">
      <c r="A95" s="16">
        <f t="shared" si="5"/>
        <v>1997</v>
      </c>
      <c r="B95" s="23">
        <f t="shared" si="4"/>
        <v>20326755</v>
      </c>
    </row>
    <row r="96" spans="1:6">
      <c r="A96" s="16">
        <f t="shared" si="5"/>
        <v>1998</v>
      </c>
      <c r="B96" s="23">
        <f t="shared" si="4"/>
        <v>11528830</v>
      </c>
    </row>
    <row r="97" spans="1:2">
      <c r="A97" s="16">
        <f t="shared" si="5"/>
        <v>1999</v>
      </c>
      <c r="B97" s="23">
        <f t="shared" si="4"/>
        <v>463315</v>
      </c>
    </row>
    <row r="98" spans="1:2">
      <c r="A98" s="16">
        <f t="shared" si="5"/>
        <v>2000</v>
      </c>
      <c r="B98" s="23">
        <f t="shared" si="4"/>
        <v>10819607</v>
      </c>
    </row>
    <row r="99" spans="1:2">
      <c r="A99" s="16">
        <f t="shared" si="5"/>
        <v>2001</v>
      </c>
      <c r="B99" s="23">
        <f t="shared" si="4"/>
        <v>3634620</v>
      </c>
    </row>
    <row r="100" spans="1:2">
      <c r="A100" s="16">
        <f t="shared" si="5"/>
        <v>2002</v>
      </c>
      <c r="B100" s="23">
        <f t="shared" si="4"/>
        <v>566760</v>
      </c>
    </row>
    <row r="101" spans="1:2">
      <c r="A101" s="16">
        <f t="shared" si="5"/>
        <v>2003</v>
      </c>
      <c r="B101" s="23">
        <f t="shared" si="4"/>
        <v>585036</v>
      </c>
    </row>
    <row r="102" spans="1:2">
      <c r="A102" s="16">
        <f t="shared" si="5"/>
        <v>2004</v>
      </c>
      <c r="B102" s="23">
        <f t="shared" si="4"/>
        <v>908181</v>
      </c>
    </row>
    <row r="103" spans="1:2">
      <c r="A103" s="16">
        <f>1+A102</f>
        <v>2005</v>
      </c>
      <c r="B103" s="23">
        <f t="shared" si="4"/>
        <v>16224771</v>
      </c>
    </row>
    <row r="104" spans="1:2">
      <c r="A104" s="16">
        <f t="shared" si="5"/>
        <v>2006</v>
      </c>
      <c r="B104" s="23">
        <f t="shared" si="4"/>
        <v>15619652</v>
      </c>
    </row>
    <row r="105" spans="1:2">
      <c r="A105" s="16">
        <f t="shared" si="5"/>
        <v>2007</v>
      </c>
      <c r="B105" s="23">
        <f t="shared" si="4"/>
        <v>14663498</v>
      </c>
    </row>
    <row r="106" spans="1:2">
      <c r="A106" s="16">
        <f t="shared" si="5"/>
        <v>2008</v>
      </c>
      <c r="B106" s="23">
        <f t="shared" si="4"/>
        <v>4889027</v>
      </c>
    </row>
    <row r="107" spans="1:2">
      <c r="A107" s="16">
        <f t="shared" si="5"/>
        <v>2009</v>
      </c>
      <c r="B107" s="23">
        <f t="shared" si="4"/>
        <v>3790891</v>
      </c>
    </row>
    <row r="108" spans="1:2">
      <c r="A108" s="16">
        <f t="shared" si="5"/>
        <v>2010</v>
      </c>
      <c r="B108" s="23">
        <f t="shared" si="4"/>
        <v>402500</v>
      </c>
    </row>
  </sheetData>
  <mergeCells count="2">
    <mergeCell ref="A1:E1"/>
    <mergeCell ref="A3:E3"/>
  </mergeCells>
  <printOptions horizontalCentered="1"/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E57" sqref="E57"/>
    </sheetView>
  </sheetViews>
  <sheetFormatPr defaultRowHeight="14.25"/>
  <cols>
    <col min="1" max="1" width="23.140625" style="16" bestFit="1" customWidth="1"/>
    <col min="2" max="2" width="15.5703125" style="16" customWidth="1"/>
    <col min="3" max="3" width="9.140625" style="16"/>
    <col min="4" max="4" width="18" style="16" customWidth="1"/>
    <col min="5" max="16384" width="9.140625" style="16"/>
  </cols>
  <sheetData>
    <row r="1" spans="1:4" ht="26.25">
      <c r="A1" s="136" t="s">
        <v>95</v>
      </c>
      <c r="B1" s="136"/>
      <c r="C1" s="136"/>
      <c r="D1" s="136"/>
    </row>
    <row r="3" spans="1:4" ht="15">
      <c r="A3" s="130" t="s">
        <v>375</v>
      </c>
      <c r="B3" s="130"/>
      <c r="C3" s="130"/>
      <c r="D3" s="130"/>
    </row>
    <row r="5" spans="1:4" s="59" customFormat="1" ht="42.75">
      <c r="B5" s="29" t="s">
        <v>376</v>
      </c>
      <c r="C5" s="96" t="s">
        <v>377</v>
      </c>
      <c r="D5" s="29" t="s">
        <v>378</v>
      </c>
    </row>
    <row r="6" spans="1:4" ht="15">
      <c r="A6" s="16" t="s">
        <v>379</v>
      </c>
      <c r="B6" s="20">
        <f>'Non-Offcr Wge Incrss From 4.3.3'!B16/COUNTA('Non-Offcr Wge Incrss From 4.3.3'!A4:A14)*12</f>
        <v>37720.36363636364</v>
      </c>
      <c r="C6" s="83">
        <f>B6/D6-1</f>
        <v>2.5000000000000133E-2</v>
      </c>
      <c r="D6" s="20">
        <f>'Non-Offcr Wge Incrss From 4.3.3'!D16/COUNTA('Non-Offcr Wge Incrss From 4.3.3'!A4:A14)*12</f>
        <v>36800.354767184035</v>
      </c>
    </row>
    <row r="7" spans="1:4" ht="15">
      <c r="A7" s="16" t="s">
        <v>380</v>
      </c>
      <c r="B7" s="23">
        <f>'Non-Offcr Wge Incrss From 4.3.3'!B32/COUNTA('Non-Offcr Wge Incrss From 4.3.3'!$A$20:$A$30)*12</f>
        <v>41768.727272727272</v>
      </c>
      <c r="C7" s="83">
        <f>B7/D7-1</f>
        <v>2.5000000000000133E-2</v>
      </c>
      <c r="D7" s="23">
        <f>'Non-Offcr Wge Incrss From 4.3.3'!D32/COUNTA('Non-Offcr Wge Incrss From 4.3.3'!$A$20:$A$30)*12</f>
        <v>40749.977827050992</v>
      </c>
    </row>
    <row r="8" spans="1:4" ht="15">
      <c r="A8" s="16" t="s">
        <v>381</v>
      </c>
      <c r="B8" s="23">
        <f>'Non-Offcr Wge Incrss From 4.3.3'!B41/COUNTA('Non-Offcr Wge Incrss From 4.3.3'!$A$36:$A$39)*12</f>
        <v>2313</v>
      </c>
      <c r="C8" s="83">
        <f t="shared" ref="C8:C15" si="0">B8/D8-1</f>
        <v>1.2499999999999956E-2</v>
      </c>
      <c r="D8" s="23">
        <f>'Non-Offcr Wge Incrss From 4.3.3'!D41/COUNTA('Non-Offcr Wge Incrss From 4.3.3'!$A$36:$A$39)*12</f>
        <v>2284.4444444444443</v>
      </c>
    </row>
    <row r="9" spans="1:4" ht="15">
      <c r="A9" s="16" t="s">
        <v>382</v>
      </c>
      <c r="B9" s="23">
        <f>'Non-Offcr Wge Incrss From 4.3.3'!B52/COUNTA('Non-Offcr Wge Incrss From 4.3.3'!$A$45:$A$50)*12</f>
        <v>798</v>
      </c>
      <c r="C9" s="83">
        <f t="shared" si="0"/>
        <v>1.4999999999999902E-2</v>
      </c>
      <c r="D9" s="23">
        <f>'Non-Offcr Wge Incrss From 4.3.3'!D52/COUNTA('Non-Offcr Wge Incrss From 4.3.3'!$A$45:$A$50)*12</f>
        <v>786.20689655172418</v>
      </c>
    </row>
    <row r="10" spans="1:4" ht="15">
      <c r="A10" s="16" t="s">
        <v>383</v>
      </c>
      <c r="B10" s="23">
        <f>'Non-Offcr Wge Incrss From 4.3.3'!B68/COUNTA('Non-Offcr Wge Incrss From 4.3.3'!$A$56:$A$66)*12</f>
        <v>99877.090909090912</v>
      </c>
      <c r="C10" s="83">
        <f t="shared" si="0"/>
        <v>3.0000000000000027E-2</v>
      </c>
      <c r="D10" s="23">
        <f>'Non-Offcr Wge Incrss From 4.3.3'!D68/COUNTA('Non-Offcr Wge Incrss From 4.3.3'!$A$56:$A$66)*12</f>
        <v>96968.049426301848</v>
      </c>
    </row>
    <row r="11" spans="1:4" ht="15">
      <c r="A11" s="16" t="s">
        <v>384</v>
      </c>
      <c r="B11" s="23">
        <f>'Non-Offcr Wge Incrss From 4.3.3'!B84/COUNTA('Non-Offcr Wge Incrss From 4.3.3'!$A$72:$A$82)*12</f>
        <v>44941.090909090912</v>
      </c>
      <c r="C11" s="83">
        <f t="shared" si="0"/>
        <v>3.0000000000000027E-2</v>
      </c>
      <c r="D11" s="23">
        <f>'Non-Offcr Wge Incrss From 4.3.3'!D84/COUNTA('Non-Offcr Wge Incrss From 4.3.3'!$A$72:$A$82)*12</f>
        <v>43632.127096204764</v>
      </c>
    </row>
    <row r="12" spans="1:4" ht="15">
      <c r="A12" s="16" t="s">
        <v>385</v>
      </c>
      <c r="B12" s="23">
        <f>'Non-Offcr Wge Incrss From 4.3.3'!B96/COUNTA('Non-Offcr Wge Incrss From 4.3.3'!$A$88:$A$94)*12</f>
        <v>11501.142857142857</v>
      </c>
      <c r="C12" s="83">
        <f t="shared" si="0"/>
        <v>3.0000000000000027E-2</v>
      </c>
      <c r="D12" s="23">
        <f>'Non-Offcr Wge Incrss From 4.3.3'!D96/COUNTA('Non-Offcr Wge Incrss From 4.3.3'!$A$88:$A$94)*12</f>
        <v>11166.158113730929</v>
      </c>
    </row>
    <row r="13" spans="1:4" ht="15">
      <c r="A13" s="16" t="s">
        <v>386</v>
      </c>
      <c r="B13" s="23">
        <f>'Non-Offcr Wge Incrss From 4.3.3'!B101</f>
        <v>46257</v>
      </c>
      <c r="C13" s="83">
        <f t="shared" si="0"/>
        <v>0</v>
      </c>
      <c r="D13" s="23">
        <f>'Non-Offcr Wge Incrss From 4.3.3'!D101</f>
        <v>46257</v>
      </c>
    </row>
    <row r="14" spans="1:4" ht="15">
      <c r="A14" s="16" t="s">
        <v>387</v>
      </c>
      <c r="B14" s="23">
        <f>'Non-Offcr Wge Incrss From 4.3.3'!B102</f>
        <v>44793</v>
      </c>
      <c r="C14" s="83">
        <f t="shared" si="0"/>
        <v>0</v>
      </c>
      <c r="D14" s="23">
        <f>'Non-Offcr Wge Incrss From 4.3.3'!D102</f>
        <v>44793</v>
      </c>
    </row>
    <row r="15" spans="1:4" ht="15">
      <c r="A15" s="16" t="s">
        <v>388</v>
      </c>
      <c r="B15" s="23">
        <f>'Non-Offcr Wge Incrss From 4.3.3'!B103</f>
        <v>11473</v>
      </c>
      <c r="C15" s="83">
        <f t="shared" si="0"/>
        <v>3.499999999999992E-2</v>
      </c>
      <c r="D15" s="23">
        <f>'Non-Offcr Wge Incrss From 4.3.3'!D103</f>
        <v>11085.024154589373</v>
      </c>
    </row>
    <row r="16" spans="1:4" ht="15" thickBot="1"/>
    <row r="17" spans="1:4" ht="15.75" thickBot="1">
      <c r="A17" s="16" t="s">
        <v>360</v>
      </c>
      <c r="B17" s="22">
        <f>SUM(B6:B16)</f>
        <v>341442.4155844156</v>
      </c>
      <c r="C17" s="97">
        <f>B17/D17-1</f>
        <v>2.0686429498146808E-2</v>
      </c>
      <c r="D17" s="22">
        <f>SUM(D6:D16)</f>
        <v>334522.34272605809</v>
      </c>
    </row>
    <row r="20" spans="1:4">
      <c r="A20" s="16" t="s">
        <v>92</v>
      </c>
    </row>
    <row r="21" spans="1:4">
      <c r="A21" s="141" t="s">
        <v>389</v>
      </c>
      <c r="B21" s="141"/>
      <c r="C21" s="141"/>
      <c r="D21" s="141"/>
    </row>
    <row r="22" spans="1:4">
      <c r="A22" s="141"/>
      <c r="B22" s="141"/>
      <c r="C22" s="141"/>
      <c r="D22" s="141"/>
    </row>
    <row r="24" spans="1:4">
      <c r="A24" s="16" t="s">
        <v>390</v>
      </c>
    </row>
    <row r="25" spans="1:4">
      <c r="A25" s="141" t="s">
        <v>391</v>
      </c>
      <c r="B25" s="141"/>
      <c r="C25" s="141"/>
      <c r="D25" s="141"/>
    </row>
    <row r="26" spans="1:4">
      <c r="A26" s="141"/>
      <c r="B26" s="141"/>
      <c r="C26" s="141"/>
      <c r="D26" s="141"/>
    </row>
  </sheetData>
  <mergeCells count="4">
    <mergeCell ref="A1:D1"/>
    <mergeCell ref="A3:D3"/>
    <mergeCell ref="A21:D22"/>
    <mergeCell ref="A25:D2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03"/>
  <sheetViews>
    <sheetView topLeftCell="A91" workbookViewId="0">
      <selection activeCell="E57" sqref="E57"/>
    </sheetView>
  </sheetViews>
  <sheetFormatPr defaultRowHeight="15"/>
  <cols>
    <col min="1" max="1" width="21.140625" style="16" bestFit="1" customWidth="1"/>
    <col min="2" max="2" width="20.28515625" style="23" bestFit="1" customWidth="1"/>
    <col min="3" max="3" width="19.28515625" style="83" bestFit="1" customWidth="1"/>
    <col min="4" max="4" width="22.85546875" style="23" bestFit="1" customWidth="1"/>
    <col min="5" max="16384" width="9.140625" style="16"/>
  </cols>
  <sheetData>
    <row r="1" spans="1:4">
      <c r="A1" s="98"/>
    </row>
    <row r="2" spans="1:4" ht="14.25">
      <c r="A2" s="142" t="s">
        <v>379</v>
      </c>
      <c r="B2" s="142"/>
      <c r="C2" s="142"/>
      <c r="D2" s="142"/>
    </row>
    <row r="3" spans="1:4">
      <c r="A3" s="99" t="s">
        <v>392</v>
      </c>
      <c r="B3" s="37" t="s">
        <v>393</v>
      </c>
      <c r="C3" s="100" t="s">
        <v>394</v>
      </c>
      <c r="D3" s="37" t="s">
        <v>395</v>
      </c>
    </row>
    <row r="4" spans="1:4">
      <c r="A4" s="77">
        <v>39845</v>
      </c>
      <c r="B4" s="23">
        <v>2824</v>
      </c>
      <c r="C4" s="83">
        <v>2.5000000000000001E-2</v>
      </c>
      <c r="D4" s="23">
        <f>B4/(1+C4)</f>
        <v>2755.1219512195125</v>
      </c>
    </row>
    <row r="5" spans="1:4">
      <c r="A5" s="77">
        <v>39873</v>
      </c>
      <c r="B5" s="23">
        <v>2916</v>
      </c>
      <c r="C5" s="83">
        <f>C4</f>
        <v>2.5000000000000001E-2</v>
      </c>
      <c r="D5" s="23">
        <f t="shared" ref="D5:D14" si="0">B5/(1+C5)</f>
        <v>2844.8780487804879</v>
      </c>
    </row>
    <row r="6" spans="1:4">
      <c r="A6" s="77">
        <v>39904</v>
      </c>
      <c r="B6" s="23">
        <v>3144</v>
      </c>
      <c r="C6" s="83">
        <f t="shared" ref="C6:C14" si="1">C5</f>
        <v>2.5000000000000001E-2</v>
      </c>
      <c r="D6" s="23">
        <f t="shared" si="0"/>
        <v>3067.3170731707319</v>
      </c>
    </row>
    <row r="7" spans="1:4">
      <c r="A7" s="77">
        <v>39934</v>
      </c>
      <c r="B7" s="23">
        <v>2940</v>
      </c>
      <c r="C7" s="83">
        <f t="shared" si="1"/>
        <v>2.5000000000000001E-2</v>
      </c>
      <c r="D7" s="23">
        <f t="shared" si="0"/>
        <v>2868.2926829268295</v>
      </c>
    </row>
    <row r="8" spans="1:4">
      <c r="A8" s="77">
        <v>39965</v>
      </c>
      <c r="B8" s="23">
        <v>3280</v>
      </c>
      <c r="C8" s="83">
        <f t="shared" si="1"/>
        <v>2.5000000000000001E-2</v>
      </c>
      <c r="D8" s="23">
        <f t="shared" si="0"/>
        <v>3200.0000000000005</v>
      </c>
    </row>
    <row r="9" spans="1:4">
      <c r="A9" s="77">
        <v>39995</v>
      </c>
      <c r="B9" s="23">
        <v>3197</v>
      </c>
      <c r="C9" s="83">
        <f t="shared" si="1"/>
        <v>2.5000000000000001E-2</v>
      </c>
      <c r="D9" s="23">
        <f t="shared" si="0"/>
        <v>3119.0243902439029</v>
      </c>
    </row>
    <row r="10" spans="1:4">
      <c r="A10" s="77">
        <v>40026</v>
      </c>
      <c r="B10" s="23">
        <v>3194</v>
      </c>
      <c r="C10" s="83">
        <f t="shared" si="1"/>
        <v>2.5000000000000001E-2</v>
      </c>
      <c r="D10" s="23">
        <f t="shared" si="0"/>
        <v>3116.0975609756101</v>
      </c>
    </row>
    <row r="11" spans="1:4">
      <c r="A11" s="77">
        <v>40057</v>
      </c>
      <c r="B11" s="23">
        <v>3178</v>
      </c>
      <c r="C11" s="83">
        <f t="shared" si="1"/>
        <v>2.5000000000000001E-2</v>
      </c>
      <c r="D11" s="23">
        <f t="shared" si="0"/>
        <v>3100.4878048780492</v>
      </c>
    </row>
    <row r="12" spans="1:4">
      <c r="A12" s="77">
        <v>40087</v>
      </c>
      <c r="B12" s="23">
        <v>3188</v>
      </c>
      <c r="C12" s="83">
        <f t="shared" si="1"/>
        <v>2.5000000000000001E-2</v>
      </c>
      <c r="D12" s="23">
        <f t="shared" si="0"/>
        <v>3110.2439024390246</v>
      </c>
    </row>
    <row r="13" spans="1:4">
      <c r="A13" s="77">
        <v>40118</v>
      </c>
      <c r="B13" s="23">
        <v>3283</v>
      </c>
      <c r="C13" s="83">
        <f t="shared" si="1"/>
        <v>2.5000000000000001E-2</v>
      </c>
      <c r="D13" s="23">
        <f t="shared" si="0"/>
        <v>3202.9268292682927</v>
      </c>
    </row>
    <row r="14" spans="1:4">
      <c r="A14" s="77">
        <v>40148</v>
      </c>
      <c r="B14" s="23">
        <v>3433</v>
      </c>
      <c r="C14" s="83">
        <f t="shared" si="1"/>
        <v>2.5000000000000001E-2</v>
      </c>
      <c r="D14" s="23">
        <f t="shared" si="0"/>
        <v>3349.268292682927</v>
      </c>
    </row>
    <row r="16" spans="1:4">
      <c r="A16" s="53" t="s">
        <v>360</v>
      </c>
      <c r="B16" s="101">
        <f>SUM(B4:B15)</f>
        <v>34577</v>
      </c>
      <c r="C16" s="102"/>
      <c r="D16" s="101">
        <f>SUM(D4:D15)</f>
        <v>33733.658536585368</v>
      </c>
    </row>
    <row r="18" spans="1:4" ht="14.25">
      <c r="A18" s="142" t="s">
        <v>380</v>
      </c>
      <c r="B18" s="142"/>
      <c r="C18" s="142"/>
      <c r="D18" s="142"/>
    </row>
    <row r="19" spans="1:4">
      <c r="A19" s="99" t="s">
        <v>392</v>
      </c>
      <c r="B19" s="37" t="s">
        <v>393</v>
      </c>
      <c r="C19" s="100" t="s">
        <v>394</v>
      </c>
      <c r="D19" s="37" t="s">
        <v>395</v>
      </c>
    </row>
    <row r="20" spans="1:4">
      <c r="A20" s="77">
        <v>39845</v>
      </c>
      <c r="B20" s="23">
        <v>3420</v>
      </c>
      <c r="C20" s="83">
        <v>2.5000000000000001E-2</v>
      </c>
      <c r="D20" s="23">
        <f t="shared" ref="D20:D30" si="2">B20/(1+C20)</f>
        <v>3336.5853658536589</v>
      </c>
    </row>
    <row r="21" spans="1:4">
      <c r="A21" s="77">
        <v>39873</v>
      </c>
      <c r="B21" s="23">
        <v>3325</v>
      </c>
      <c r="C21" s="83">
        <f>C20</f>
        <v>2.5000000000000001E-2</v>
      </c>
      <c r="D21" s="23">
        <f t="shared" si="2"/>
        <v>3243.9024390243903</v>
      </c>
    </row>
    <row r="22" spans="1:4">
      <c r="A22" s="77">
        <v>39904</v>
      </c>
      <c r="B22" s="23">
        <v>3509</v>
      </c>
      <c r="C22" s="83">
        <f t="shared" ref="C22:C30" si="3">C21</f>
        <v>2.5000000000000001E-2</v>
      </c>
      <c r="D22" s="23">
        <f t="shared" si="2"/>
        <v>3423.4146341463415</v>
      </c>
    </row>
    <row r="23" spans="1:4">
      <c r="A23" s="77">
        <v>39934</v>
      </c>
      <c r="B23" s="23">
        <v>3147</v>
      </c>
      <c r="C23" s="83">
        <f t="shared" si="3"/>
        <v>2.5000000000000001E-2</v>
      </c>
      <c r="D23" s="23">
        <f t="shared" si="2"/>
        <v>3070.2439024390246</v>
      </c>
    </row>
    <row r="24" spans="1:4">
      <c r="A24" s="77">
        <v>39965</v>
      </c>
      <c r="B24" s="23">
        <v>3708</v>
      </c>
      <c r="C24" s="83">
        <f t="shared" si="3"/>
        <v>2.5000000000000001E-2</v>
      </c>
      <c r="D24" s="23">
        <f t="shared" si="2"/>
        <v>3617.5609756097565</v>
      </c>
    </row>
    <row r="25" spans="1:4">
      <c r="A25" s="77">
        <v>39995</v>
      </c>
      <c r="B25" s="23">
        <v>3588</v>
      </c>
      <c r="C25" s="83">
        <f t="shared" si="3"/>
        <v>2.5000000000000001E-2</v>
      </c>
      <c r="D25" s="23">
        <f t="shared" si="2"/>
        <v>3500.4878048780492</v>
      </c>
    </row>
    <row r="26" spans="1:4">
      <c r="A26" s="77">
        <v>40026</v>
      </c>
      <c r="B26" s="23">
        <v>3519</v>
      </c>
      <c r="C26" s="83">
        <f t="shared" si="3"/>
        <v>2.5000000000000001E-2</v>
      </c>
      <c r="D26" s="23">
        <f t="shared" si="2"/>
        <v>3433.1707317073174</v>
      </c>
    </row>
    <row r="27" spans="1:4">
      <c r="A27" s="77">
        <v>40057</v>
      </c>
      <c r="B27" s="23">
        <v>3490</v>
      </c>
      <c r="C27" s="83">
        <f t="shared" si="3"/>
        <v>2.5000000000000001E-2</v>
      </c>
      <c r="D27" s="23">
        <f t="shared" si="2"/>
        <v>3404.8780487804879</v>
      </c>
    </row>
    <row r="28" spans="1:4">
      <c r="A28" s="77">
        <v>40087</v>
      </c>
      <c r="B28" s="23">
        <v>3363</v>
      </c>
      <c r="C28" s="83">
        <f t="shared" si="3"/>
        <v>2.5000000000000001E-2</v>
      </c>
      <c r="D28" s="23">
        <f t="shared" si="2"/>
        <v>3280.975609756098</v>
      </c>
    </row>
    <row r="29" spans="1:4">
      <c r="A29" s="77">
        <v>40118</v>
      </c>
      <c r="B29" s="23">
        <v>3580</v>
      </c>
      <c r="C29" s="83">
        <f t="shared" si="3"/>
        <v>2.5000000000000001E-2</v>
      </c>
      <c r="D29" s="23">
        <f t="shared" si="2"/>
        <v>3492.6829268292686</v>
      </c>
    </row>
    <row r="30" spans="1:4">
      <c r="A30" s="77">
        <v>40148</v>
      </c>
      <c r="B30" s="23">
        <v>3639</v>
      </c>
      <c r="C30" s="83">
        <f t="shared" si="3"/>
        <v>2.5000000000000001E-2</v>
      </c>
      <c r="D30" s="23">
        <f t="shared" si="2"/>
        <v>3550.2439024390246</v>
      </c>
    </row>
    <row r="32" spans="1:4">
      <c r="A32" s="53" t="s">
        <v>360</v>
      </c>
      <c r="B32" s="101">
        <f>SUM(B20:B31)</f>
        <v>38288</v>
      </c>
      <c r="C32" s="102"/>
      <c r="D32" s="101">
        <f>SUM(D20:D31)</f>
        <v>37354.146341463413</v>
      </c>
    </row>
    <row r="34" spans="1:4" ht="14.25">
      <c r="A34" s="142" t="s">
        <v>381</v>
      </c>
      <c r="B34" s="142"/>
      <c r="C34" s="142"/>
      <c r="D34" s="142"/>
    </row>
    <row r="35" spans="1:4">
      <c r="A35" s="99" t="s">
        <v>392</v>
      </c>
      <c r="B35" s="37" t="s">
        <v>393</v>
      </c>
      <c r="C35" s="100" t="s">
        <v>394</v>
      </c>
      <c r="D35" s="37" t="s">
        <v>395</v>
      </c>
    </row>
    <row r="36" spans="1:4">
      <c r="A36" s="77">
        <v>40057</v>
      </c>
      <c r="B36" s="23">
        <v>177</v>
      </c>
      <c r="C36" s="83">
        <v>1.2500000000000001E-2</v>
      </c>
      <c r="D36" s="23">
        <f t="shared" ref="D36:D39" si="4">B36/(1+C36)</f>
        <v>174.81481481481481</v>
      </c>
    </row>
    <row r="37" spans="1:4">
      <c r="A37" s="77">
        <v>40087</v>
      </c>
      <c r="B37" s="23">
        <v>181</v>
      </c>
      <c r="C37" s="83">
        <f>C36</f>
        <v>1.2500000000000001E-2</v>
      </c>
      <c r="D37" s="23">
        <f t="shared" si="4"/>
        <v>178.76543209876544</v>
      </c>
    </row>
    <row r="38" spans="1:4">
      <c r="A38" s="77">
        <v>40118</v>
      </c>
      <c r="B38" s="23">
        <v>184</v>
      </c>
      <c r="C38" s="83">
        <f>C37</f>
        <v>1.2500000000000001E-2</v>
      </c>
      <c r="D38" s="23">
        <f t="shared" si="4"/>
        <v>181.72839506172841</v>
      </c>
    </row>
    <row r="39" spans="1:4">
      <c r="A39" s="77">
        <v>40148</v>
      </c>
      <c r="B39" s="23">
        <v>229</v>
      </c>
      <c r="C39" s="83">
        <f>C38</f>
        <v>1.2500000000000001E-2</v>
      </c>
      <c r="D39" s="23">
        <f t="shared" si="4"/>
        <v>226.17283950617286</v>
      </c>
    </row>
    <row r="41" spans="1:4">
      <c r="A41" s="53" t="s">
        <v>360</v>
      </c>
      <c r="B41" s="101">
        <f>SUM(B36:B40)</f>
        <v>771</v>
      </c>
      <c r="C41" s="102"/>
      <c r="D41" s="101">
        <f>SUM(D36:D40)</f>
        <v>761.48148148148152</v>
      </c>
    </row>
    <row r="43" spans="1:4" ht="14.25">
      <c r="A43" s="142" t="s">
        <v>382</v>
      </c>
      <c r="B43" s="142"/>
      <c r="C43" s="142"/>
      <c r="D43" s="142"/>
    </row>
    <row r="44" spans="1:4">
      <c r="A44" s="99" t="s">
        <v>392</v>
      </c>
      <c r="B44" s="37" t="s">
        <v>393</v>
      </c>
      <c r="C44" s="100" t="s">
        <v>394</v>
      </c>
      <c r="D44" s="37" t="s">
        <v>395</v>
      </c>
    </row>
    <row r="45" spans="1:4">
      <c r="A45" s="77">
        <v>39995</v>
      </c>
      <c r="B45" s="23">
        <v>83</v>
      </c>
      <c r="C45" s="83">
        <v>1.4999999999999999E-2</v>
      </c>
      <c r="D45" s="23">
        <f t="shared" ref="D45:D50" si="5">B45/(1+C45)</f>
        <v>81.773399014778335</v>
      </c>
    </row>
    <row r="46" spans="1:4">
      <c r="A46" s="77">
        <v>40026</v>
      </c>
      <c r="B46" s="23">
        <v>74</v>
      </c>
      <c r="C46" s="83">
        <v>1.4999999999999999E-2</v>
      </c>
      <c r="D46" s="23">
        <f t="shared" si="5"/>
        <v>72.906403940886705</v>
      </c>
    </row>
    <row r="47" spans="1:4">
      <c r="A47" s="77">
        <v>40057</v>
      </c>
      <c r="B47" s="23">
        <v>66</v>
      </c>
      <c r="C47" s="83">
        <v>1.4999999999999999E-2</v>
      </c>
      <c r="D47" s="23">
        <f t="shared" si="5"/>
        <v>65.024630541871929</v>
      </c>
    </row>
    <row r="48" spans="1:4">
      <c r="A48" s="77">
        <v>40087</v>
      </c>
      <c r="B48" s="23">
        <v>62</v>
      </c>
      <c r="C48" s="83">
        <f>C47</f>
        <v>1.4999999999999999E-2</v>
      </c>
      <c r="D48" s="23">
        <f t="shared" si="5"/>
        <v>61.083743842364541</v>
      </c>
    </row>
    <row r="49" spans="1:4">
      <c r="A49" s="77">
        <v>40118</v>
      </c>
      <c r="B49" s="23">
        <v>55</v>
      </c>
      <c r="C49" s="83">
        <f>C48</f>
        <v>1.4999999999999999E-2</v>
      </c>
      <c r="D49" s="23">
        <f t="shared" si="5"/>
        <v>54.187192118226605</v>
      </c>
    </row>
    <row r="50" spans="1:4">
      <c r="A50" s="77">
        <v>40148</v>
      </c>
      <c r="B50" s="23">
        <v>59</v>
      </c>
      <c r="C50" s="83">
        <f>C49</f>
        <v>1.4999999999999999E-2</v>
      </c>
      <c r="D50" s="23">
        <f t="shared" si="5"/>
        <v>58.128078817733993</v>
      </c>
    </row>
    <row r="52" spans="1:4">
      <c r="A52" s="53" t="s">
        <v>360</v>
      </c>
      <c r="B52" s="101">
        <f>SUM(B45:B51)</f>
        <v>399</v>
      </c>
      <c r="C52" s="102"/>
      <c r="D52" s="101">
        <f>SUM(D45:D51)</f>
        <v>393.10344827586209</v>
      </c>
    </row>
    <row r="54" spans="1:4" ht="14.25">
      <c r="A54" s="142" t="s">
        <v>383</v>
      </c>
      <c r="B54" s="142"/>
      <c r="C54" s="142"/>
      <c r="D54" s="142"/>
    </row>
    <row r="55" spans="1:4">
      <c r="A55" s="99" t="s">
        <v>392</v>
      </c>
      <c r="B55" s="37" t="s">
        <v>393</v>
      </c>
      <c r="C55" s="100" t="s">
        <v>394</v>
      </c>
      <c r="D55" s="37" t="s">
        <v>395</v>
      </c>
    </row>
    <row r="56" spans="1:4">
      <c r="A56" s="77">
        <v>39845</v>
      </c>
      <c r="B56" s="23">
        <v>7844</v>
      </c>
      <c r="C56" s="83">
        <v>0.03</v>
      </c>
      <c r="D56" s="23">
        <f t="shared" ref="D56:D66" si="6">B56/(1+C56)</f>
        <v>7615.5339805825242</v>
      </c>
    </row>
    <row r="57" spans="1:4">
      <c r="A57" s="77">
        <v>39873</v>
      </c>
      <c r="B57" s="23">
        <v>7869</v>
      </c>
      <c r="C57" s="83">
        <f>C56</f>
        <v>0.03</v>
      </c>
      <c r="D57" s="23">
        <f t="shared" si="6"/>
        <v>7639.8058252427181</v>
      </c>
    </row>
    <row r="58" spans="1:4">
      <c r="A58" s="77">
        <v>39904</v>
      </c>
      <c r="B58" s="23">
        <v>8554</v>
      </c>
      <c r="C58" s="83">
        <f t="shared" ref="C58:C66" si="7">C57</f>
        <v>0.03</v>
      </c>
      <c r="D58" s="23">
        <f t="shared" si="6"/>
        <v>8304.8543689320395</v>
      </c>
    </row>
    <row r="59" spans="1:4">
      <c r="A59" s="77">
        <v>39934</v>
      </c>
      <c r="B59" s="23">
        <v>7793</v>
      </c>
      <c r="C59" s="83">
        <f t="shared" si="7"/>
        <v>0.03</v>
      </c>
      <c r="D59" s="23">
        <f t="shared" si="6"/>
        <v>7566.019417475728</v>
      </c>
    </row>
    <row r="60" spans="1:4">
      <c r="A60" s="77">
        <v>39965</v>
      </c>
      <c r="B60" s="23">
        <v>8683</v>
      </c>
      <c r="C60" s="83">
        <f t="shared" si="7"/>
        <v>0.03</v>
      </c>
      <c r="D60" s="23">
        <f t="shared" si="6"/>
        <v>8430.0970873786409</v>
      </c>
    </row>
    <row r="61" spans="1:4">
      <c r="A61" s="77">
        <v>39995</v>
      </c>
      <c r="B61" s="23">
        <v>9032</v>
      </c>
      <c r="C61" s="83">
        <f t="shared" si="7"/>
        <v>0.03</v>
      </c>
      <c r="D61" s="23">
        <f t="shared" si="6"/>
        <v>8768.9320388349515</v>
      </c>
    </row>
    <row r="62" spans="1:4">
      <c r="A62" s="77">
        <v>40026</v>
      </c>
      <c r="B62" s="23">
        <v>8435</v>
      </c>
      <c r="C62" s="83">
        <f t="shared" si="7"/>
        <v>0.03</v>
      </c>
      <c r="D62" s="23">
        <f t="shared" si="6"/>
        <v>8189.3203883495144</v>
      </c>
    </row>
    <row r="63" spans="1:4">
      <c r="A63" s="77">
        <v>40057</v>
      </c>
      <c r="B63" s="23">
        <v>8454</v>
      </c>
      <c r="C63" s="83">
        <f t="shared" si="7"/>
        <v>0.03</v>
      </c>
      <c r="D63" s="23">
        <f t="shared" si="6"/>
        <v>8207.7669902912621</v>
      </c>
    </row>
    <row r="64" spans="1:4">
      <c r="A64" s="77">
        <v>40087</v>
      </c>
      <c r="B64" s="23">
        <v>8019</v>
      </c>
      <c r="C64" s="83">
        <f t="shared" si="7"/>
        <v>0.03</v>
      </c>
      <c r="D64" s="23">
        <f t="shared" si="6"/>
        <v>7785.4368932038833</v>
      </c>
    </row>
    <row r="65" spans="1:4">
      <c r="A65" s="77">
        <v>40118</v>
      </c>
      <c r="B65" s="23">
        <v>7952</v>
      </c>
      <c r="C65" s="83">
        <f t="shared" si="7"/>
        <v>0.03</v>
      </c>
      <c r="D65" s="23">
        <f t="shared" si="6"/>
        <v>7720.3883495145628</v>
      </c>
    </row>
    <row r="66" spans="1:4">
      <c r="A66" s="77">
        <v>40148</v>
      </c>
      <c r="B66" s="23">
        <v>8919</v>
      </c>
      <c r="C66" s="83">
        <f t="shared" si="7"/>
        <v>0.03</v>
      </c>
      <c r="D66" s="23">
        <f t="shared" si="6"/>
        <v>8659.2233009708743</v>
      </c>
    </row>
    <row r="68" spans="1:4" s="53" customFormat="1">
      <c r="A68" s="53" t="s">
        <v>360</v>
      </c>
      <c r="B68" s="101">
        <f>SUM(B56:B67)</f>
        <v>91554</v>
      </c>
      <c r="C68" s="102"/>
      <c r="D68" s="101">
        <f>SUM(D56:D67)</f>
        <v>88887.378640776689</v>
      </c>
    </row>
    <row r="70" spans="1:4" ht="14.25">
      <c r="A70" s="142" t="s">
        <v>384</v>
      </c>
      <c r="B70" s="142"/>
      <c r="C70" s="142"/>
      <c r="D70" s="142"/>
    </row>
    <row r="71" spans="1:4">
      <c r="A71" s="99" t="s">
        <v>392</v>
      </c>
      <c r="B71" s="37" t="s">
        <v>393</v>
      </c>
      <c r="C71" s="100" t="s">
        <v>394</v>
      </c>
      <c r="D71" s="37" t="s">
        <v>395</v>
      </c>
    </row>
    <row r="72" spans="1:4">
      <c r="A72" s="77">
        <v>39845</v>
      </c>
      <c r="B72" s="23">
        <v>4050</v>
      </c>
      <c r="C72" s="83">
        <v>0.03</v>
      </c>
      <c r="D72" s="23">
        <f t="shared" ref="D72:D82" si="8">B72/(1+C72)</f>
        <v>3932.038834951456</v>
      </c>
    </row>
    <row r="73" spans="1:4">
      <c r="A73" s="77">
        <v>39873</v>
      </c>
      <c r="B73" s="23">
        <v>3880</v>
      </c>
      <c r="C73" s="83">
        <f>C72</f>
        <v>0.03</v>
      </c>
      <c r="D73" s="23">
        <f t="shared" si="8"/>
        <v>3766.990291262136</v>
      </c>
    </row>
    <row r="74" spans="1:4">
      <c r="A74" s="77">
        <v>39904</v>
      </c>
      <c r="B74" s="23">
        <v>4146</v>
      </c>
      <c r="C74" s="83">
        <f t="shared" ref="C74:C82" si="9">C73</f>
        <v>0.03</v>
      </c>
      <c r="D74" s="23">
        <f t="shared" si="8"/>
        <v>4025.2427184466019</v>
      </c>
    </row>
    <row r="75" spans="1:4">
      <c r="A75" s="77">
        <v>39934</v>
      </c>
      <c r="B75" s="23">
        <v>3443</v>
      </c>
      <c r="C75" s="83">
        <f t="shared" si="9"/>
        <v>0.03</v>
      </c>
      <c r="D75" s="23">
        <f t="shared" si="8"/>
        <v>3342.7184466019417</v>
      </c>
    </row>
    <row r="76" spans="1:4">
      <c r="A76" s="77">
        <v>39965</v>
      </c>
      <c r="B76" s="23">
        <v>3673</v>
      </c>
      <c r="C76" s="83">
        <f t="shared" si="9"/>
        <v>0.03</v>
      </c>
      <c r="D76" s="23">
        <f t="shared" si="8"/>
        <v>3566.019417475728</v>
      </c>
    </row>
    <row r="77" spans="1:4">
      <c r="A77" s="77">
        <v>39995</v>
      </c>
      <c r="B77" s="23">
        <v>3684</v>
      </c>
      <c r="C77" s="83">
        <f t="shared" si="9"/>
        <v>0.03</v>
      </c>
      <c r="D77" s="23">
        <f t="shared" si="8"/>
        <v>3576.6990291262136</v>
      </c>
    </row>
    <row r="78" spans="1:4">
      <c r="A78" s="77">
        <v>40026</v>
      </c>
      <c r="B78" s="23">
        <v>3342</v>
      </c>
      <c r="C78" s="83">
        <f t="shared" si="9"/>
        <v>0.03</v>
      </c>
      <c r="D78" s="23">
        <f t="shared" si="8"/>
        <v>3244.6601941747572</v>
      </c>
    </row>
    <row r="79" spans="1:4">
      <c r="A79" s="77">
        <v>40057</v>
      </c>
      <c r="B79" s="23">
        <v>3671</v>
      </c>
      <c r="C79" s="83">
        <f t="shared" si="9"/>
        <v>0.03</v>
      </c>
      <c r="D79" s="23">
        <f t="shared" si="8"/>
        <v>3564.0776699029125</v>
      </c>
    </row>
    <row r="80" spans="1:4">
      <c r="A80" s="77">
        <v>40087</v>
      </c>
      <c r="B80" s="23">
        <v>3712</v>
      </c>
      <c r="C80" s="83">
        <f t="shared" si="9"/>
        <v>0.03</v>
      </c>
      <c r="D80" s="23">
        <f t="shared" si="8"/>
        <v>3603.8834951456311</v>
      </c>
    </row>
    <row r="81" spans="1:4">
      <c r="A81" s="77">
        <v>40118</v>
      </c>
      <c r="B81" s="23">
        <v>3561</v>
      </c>
      <c r="C81" s="83">
        <f t="shared" si="9"/>
        <v>0.03</v>
      </c>
      <c r="D81" s="23">
        <f t="shared" si="8"/>
        <v>3457.2815533980583</v>
      </c>
    </row>
    <row r="82" spans="1:4">
      <c r="A82" s="77">
        <v>40148</v>
      </c>
      <c r="B82" s="23">
        <v>4034</v>
      </c>
      <c r="C82" s="83">
        <f t="shared" si="9"/>
        <v>0.03</v>
      </c>
      <c r="D82" s="23">
        <f t="shared" si="8"/>
        <v>3916.5048543689318</v>
      </c>
    </row>
    <row r="84" spans="1:4">
      <c r="A84" s="53" t="s">
        <v>360</v>
      </c>
      <c r="B84" s="101">
        <f>SUM(B72:B83)</f>
        <v>41196</v>
      </c>
      <c r="C84" s="102"/>
      <c r="D84" s="101">
        <f>SUM(D72:D83)</f>
        <v>39996.11650485437</v>
      </c>
    </row>
    <row r="86" spans="1:4" ht="14.25">
      <c r="A86" s="142" t="s">
        <v>385</v>
      </c>
      <c r="B86" s="142"/>
      <c r="C86" s="142"/>
      <c r="D86" s="142"/>
    </row>
    <row r="87" spans="1:4">
      <c r="A87" s="99" t="s">
        <v>392</v>
      </c>
      <c r="B87" s="37" t="s">
        <v>393</v>
      </c>
      <c r="C87" s="100" t="s">
        <v>394</v>
      </c>
      <c r="D87" s="37" t="s">
        <v>395</v>
      </c>
    </row>
    <row r="88" spans="1:4">
      <c r="A88" s="77">
        <v>39965</v>
      </c>
      <c r="B88" s="23">
        <v>984</v>
      </c>
      <c r="C88" s="83">
        <v>0.03</v>
      </c>
      <c r="D88" s="23">
        <f t="shared" ref="D88:D94" si="10">B88/(1+C88)</f>
        <v>955.33980582524271</v>
      </c>
    </row>
    <row r="89" spans="1:4">
      <c r="A89" s="77">
        <v>39995</v>
      </c>
      <c r="B89" s="23">
        <v>1054</v>
      </c>
      <c r="C89" s="83">
        <f t="shared" ref="C89:C94" si="11">C88</f>
        <v>0.03</v>
      </c>
      <c r="D89" s="23">
        <f t="shared" si="10"/>
        <v>1023.3009708737864</v>
      </c>
    </row>
    <row r="90" spans="1:4">
      <c r="A90" s="77">
        <v>40026</v>
      </c>
      <c r="B90" s="23">
        <v>922</v>
      </c>
      <c r="C90" s="83">
        <f t="shared" si="11"/>
        <v>0.03</v>
      </c>
      <c r="D90" s="23">
        <f t="shared" si="10"/>
        <v>895.14563106796118</v>
      </c>
    </row>
    <row r="91" spans="1:4">
      <c r="A91" s="77">
        <v>40057</v>
      </c>
      <c r="B91" s="23">
        <v>937</v>
      </c>
      <c r="C91" s="83">
        <f t="shared" si="11"/>
        <v>0.03</v>
      </c>
      <c r="D91" s="23">
        <f t="shared" si="10"/>
        <v>909.70873786407765</v>
      </c>
    </row>
    <row r="92" spans="1:4">
      <c r="A92" s="77">
        <v>40087</v>
      </c>
      <c r="B92" s="23">
        <v>964</v>
      </c>
      <c r="C92" s="83">
        <f t="shared" si="11"/>
        <v>0.03</v>
      </c>
      <c r="D92" s="23">
        <f t="shared" si="10"/>
        <v>935.92233009708741</v>
      </c>
    </row>
    <row r="93" spans="1:4">
      <c r="A93" s="77">
        <v>40118</v>
      </c>
      <c r="B93" s="23">
        <v>866</v>
      </c>
      <c r="C93" s="83">
        <f t="shared" si="11"/>
        <v>0.03</v>
      </c>
      <c r="D93" s="23">
        <f t="shared" si="10"/>
        <v>840.77669902912623</v>
      </c>
    </row>
    <row r="94" spans="1:4">
      <c r="A94" s="77">
        <v>40148</v>
      </c>
      <c r="B94" s="23">
        <v>982</v>
      </c>
      <c r="C94" s="83">
        <f t="shared" si="11"/>
        <v>0.03</v>
      </c>
      <c r="D94" s="23">
        <f t="shared" si="10"/>
        <v>953.39805825242718</v>
      </c>
    </row>
    <row r="96" spans="1:4">
      <c r="A96" s="53" t="s">
        <v>360</v>
      </c>
      <c r="B96" s="101">
        <f>SUM(B88:B95)</f>
        <v>6709</v>
      </c>
      <c r="C96" s="102"/>
      <c r="D96" s="101">
        <f>SUM(D88:D95)</f>
        <v>6513.5922330097092</v>
      </c>
    </row>
    <row r="99" spans="1:4" ht="14.25">
      <c r="A99" s="138" t="s">
        <v>396</v>
      </c>
      <c r="B99" s="138"/>
      <c r="C99" s="138"/>
      <c r="D99" s="138"/>
    </row>
    <row r="100" spans="1:4">
      <c r="B100" s="37" t="s">
        <v>393</v>
      </c>
      <c r="C100" s="100" t="s">
        <v>394</v>
      </c>
      <c r="D100" s="37" t="s">
        <v>395</v>
      </c>
    </row>
    <row r="101" spans="1:4">
      <c r="A101" s="53" t="s">
        <v>386</v>
      </c>
      <c r="B101" s="101">
        <v>46257</v>
      </c>
      <c r="C101" s="102">
        <v>0</v>
      </c>
      <c r="D101" s="101">
        <f>B101</f>
        <v>46257</v>
      </c>
    </row>
    <row r="102" spans="1:4">
      <c r="A102" s="53" t="s">
        <v>387</v>
      </c>
      <c r="B102" s="101">
        <v>44793</v>
      </c>
      <c r="C102" s="102">
        <v>0</v>
      </c>
      <c r="D102" s="101">
        <f>B102</f>
        <v>44793</v>
      </c>
    </row>
    <row r="103" spans="1:4">
      <c r="A103" s="53" t="s">
        <v>388</v>
      </c>
      <c r="B103" s="101">
        <v>11473</v>
      </c>
      <c r="C103" s="102">
        <v>3.5000000000000003E-2</v>
      </c>
      <c r="D103" s="101">
        <f>B103/(1+C103)</f>
        <v>11085.024154589373</v>
      </c>
    </row>
  </sheetData>
  <mergeCells count="8">
    <mergeCell ref="A86:D86"/>
    <mergeCell ref="A99:D99"/>
    <mergeCell ref="A2:D2"/>
    <mergeCell ref="A18:D18"/>
    <mergeCell ref="A34:D34"/>
    <mergeCell ref="A43:D43"/>
    <mergeCell ref="A54:D54"/>
    <mergeCell ref="A70:D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selection activeCell="I29" sqref="I29"/>
    </sheetView>
  </sheetViews>
  <sheetFormatPr defaultRowHeight="14.25"/>
  <cols>
    <col min="1" max="1" width="5.42578125" style="16" bestFit="1" customWidth="1"/>
    <col min="2" max="2" width="4.140625" style="16" customWidth="1"/>
    <col min="3" max="3" width="50" style="16" bestFit="1" customWidth="1"/>
    <col min="4" max="4" width="4.140625" style="16" customWidth="1"/>
    <col min="5" max="5" width="19.28515625" style="16" bestFit="1" customWidth="1"/>
    <col min="6" max="6" width="4.140625" style="16" customWidth="1"/>
    <col min="7" max="7" width="18.85546875" style="16" bestFit="1" customWidth="1"/>
    <col min="8" max="8" width="4.140625" style="16" customWidth="1"/>
    <col min="9" max="9" width="20.85546875" style="16" customWidth="1"/>
    <col min="10" max="16384" width="9.140625" style="16"/>
  </cols>
  <sheetData>
    <row r="1" spans="1:9" ht="25.5">
      <c r="A1" s="129" t="s">
        <v>73</v>
      </c>
      <c r="B1" s="129"/>
      <c r="C1" s="129"/>
      <c r="D1" s="129"/>
      <c r="E1" s="129"/>
      <c r="F1" s="129"/>
      <c r="G1" s="129"/>
      <c r="H1" s="129"/>
      <c r="I1" s="129"/>
    </row>
    <row r="3" spans="1:9" ht="15">
      <c r="A3" s="130" t="s">
        <v>74</v>
      </c>
      <c r="B3" s="130"/>
      <c r="C3" s="130"/>
      <c r="D3" s="130"/>
      <c r="E3" s="130"/>
      <c r="F3" s="130"/>
      <c r="G3" s="130"/>
      <c r="H3" s="130"/>
      <c r="I3" s="130"/>
    </row>
    <row r="5" spans="1:9">
      <c r="I5" s="131" t="s">
        <v>75</v>
      </c>
    </row>
    <row r="6" spans="1:9" ht="14.25" customHeight="1">
      <c r="E6" s="17" t="s">
        <v>76</v>
      </c>
      <c r="G6" s="17" t="s">
        <v>77</v>
      </c>
      <c r="I6" s="131"/>
    </row>
    <row r="7" spans="1:9" s="19" customFormat="1" ht="15">
      <c r="A7" s="18" t="s">
        <v>2</v>
      </c>
      <c r="C7" s="18" t="s">
        <v>78</v>
      </c>
      <c r="E7" s="18" t="s">
        <v>79</v>
      </c>
      <c r="G7" s="18" t="s">
        <v>79</v>
      </c>
      <c r="I7" s="132"/>
    </row>
    <row r="9" spans="1:9" ht="15">
      <c r="A9" s="19">
        <v>1</v>
      </c>
      <c r="C9" s="16" t="s">
        <v>80</v>
      </c>
      <c r="E9" s="20">
        <v>1309555.2424999999</v>
      </c>
      <c r="G9" s="21">
        <v>0</v>
      </c>
      <c r="I9" s="20">
        <f>G9-E9</f>
        <v>-1309555.2424999999</v>
      </c>
    </row>
    <row r="10" spans="1:9">
      <c r="A10" s="19"/>
    </row>
    <row r="11" spans="1:9" ht="15">
      <c r="A11" s="19">
        <v>2</v>
      </c>
      <c r="C11" s="16" t="s">
        <v>81</v>
      </c>
      <c r="E11" s="23">
        <v>1400000</v>
      </c>
      <c r="F11" s="23"/>
      <c r="G11" s="23">
        <v>700000</v>
      </c>
      <c r="H11" s="23"/>
      <c r="I11" s="23">
        <f>G11-E11</f>
        <v>-700000</v>
      </c>
    </row>
    <row r="12" spans="1:9" ht="15">
      <c r="A12" s="19"/>
      <c r="E12" s="23"/>
      <c r="F12" s="23"/>
      <c r="G12" s="23"/>
      <c r="H12" s="23"/>
      <c r="I12" s="23"/>
    </row>
    <row r="13" spans="1:9" ht="15">
      <c r="A13" s="19">
        <v>3</v>
      </c>
      <c r="C13" s="16" t="s">
        <v>82</v>
      </c>
      <c r="E13" s="23">
        <f>'Residental Revenue Adjustment'!N23</f>
        <v>118564883</v>
      </c>
      <c r="F13" s="23"/>
      <c r="G13" s="23">
        <f>'Residental Revenue Adjustment'!N21-'Residental Revenue Adjustment'!N29</f>
        <v>120803627.3313935</v>
      </c>
      <c r="H13" s="23" t="s">
        <v>83</v>
      </c>
      <c r="I13" s="23">
        <f>E13-G13</f>
        <v>-2238744.3313934952</v>
      </c>
    </row>
    <row r="14" spans="1:9" ht="15">
      <c r="A14" s="19"/>
      <c r="E14" s="23"/>
      <c r="F14" s="23"/>
      <c r="G14" s="23"/>
      <c r="H14" s="23"/>
      <c r="I14" s="23"/>
    </row>
    <row r="15" spans="1:9" ht="15">
      <c r="A15" s="19">
        <v>4</v>
      </c>
      <c r="C15" s="16" t="s">
        <v>84</v>
      </c>
      <c r="E15" s="23">
        <f>'Revenue Adjustment'!E29</f>
        <v>537064</v>
      </c>
      <c r="F15" s="23"/>
      <c r="G15" s="23">
        <f>'Revenue Adjustment'!E27</f>
        <v>818514.43653000006</v>
      </c>
      <c r="H15" s="23"/>
      <c r="I15" s="23">
        <f>E15-G15</f>
        <v>-281450.43653000006</v>
      </c>
    </row>
    <row r="16" spans="1:9" ht="15">
      <c r="A16" s="19"/>
      <c r="E16" s="23"/>
      <c r="F16" s="23"/>
      <c r="G16" s="23"/>
      <c r="H16" s="23"/>
      <c r="I16" s="23"/>
    </row>
    <row r="17" spans="1:9" ht="15">
      <c r="A17" s="19">
        <v>5</v>
      </c>
      <c r="C17" s="16" t="s">
        <v>85</v>
      </c>
      <c r="E17" s="23">
        <v>373895</v>
      </c>
      <c r="F17" s="23"/>
      <c r="G17" s="23">
        <v>0</v>
      </c>
      <c r="H17" s="23"/>
      <c r="I17" s="23">
        <f>G17-E17</f>
        <v>-373895</v>
      </c>
    </row>
    <row r="18" spans="1:9" ht="15">
      <c r="A18" s="19"/>
      <c r="E18" s="23"/>
      <c r="F18" s="23"/>
      <c r="G18" s="23"/>
      <c r="H18" s="23"/>
      <c r="I18" s="23"/>
    </row>
    <row r="19" spans="1:9" ht="15">
      <c r="A19" s="19">
        <v>6</v>
      </c>
      <c r="C19" s="16" t="s">
        <v>86</v>
      </c>
      <c r="E19" s="23">
        <v>807438</v>
      </c>
      <c r="F19" s="23"/>
      <c r="G19" s="23">
        <v>758507</v>
      </c>
      <c r="H19" s="23"/>
      <c r="I19" s="23">
        <f>G19-E19</f>
        <v>-48931</v>
      </c>
    </row>
    <row r="20" spans="1:9" ht="15">
      <c r="A20" s="19"/>
      <c r="E20" s="23"/>
      <c r="F20" s="23"/>
      <c r="G20" s="23"/>
      <c r="H20" s="23"/>
      <c r="I20" s="23"/>
    </row>
    <row r="21" spans="1:9" ht="15">
      <c r="A21" s="19">
        <v>7</v>
      </c>
      <c r="C21" s="16" t="s">
        <v>87</v>
      </c>
      <c r="E21" s="23">
        <v>169675</v>
      </c>
      <c r="F21" s="23"/>
      <c r="G21" s="23">
        <v>0</v>
      </c>
      <c r="H21" s="23"/>
      <c r="I21" s="23">
        <f>G21-E21</f>
        <v>-169675</v>
      </c>
    </row>
    <row r="22" spans="1:9" ht="15">
      <c r="A22" s="19"/>
      <c r="E22" s="23"/>
      <c r="F22" s="23"/>
      <c r="G22" s="23"/>
      <c r="H22" s="23"/>
      <c r="I22" s="23"/>
    </row>
    <row r="23" spans="1:9" ht="15">
      <c r="A23" s="19">
        <v>8</v>
      </c>
      <c r="C23" s="16" t="s">
        <v>88</v>
      </c>
      <c r="E23" s="23">
        <v>22112</v>
      </c>
      <c r="F23" s="23"/>
      <c r="G23" s="23">
        <v>0</v>
      </c>
      <c r="H23" s="23"/>
      <c r="I23" s="23">
        <f>G23-E23</f>
        <v>-22112</v>
      </c>
    </row>
    <row r="24" spans="1:9" ht="15">
      <c r="A24" s="19"/>
      <c r="E24" s="23"/>
      <c r="F24" s="23"/>
      <c r="G24" s="23"/>
      <c r="H24" s="23"/>
      <c r="I24" s="23"/>
    </row>
    <row r="25" spans="1:9" ht="15">
      <c r="A25" s="19">
        <v>9</v>
      </c>
      <c r="C25" s="16" t="s">
        <v>89</v>
      </c>
      <c r="E25" s="23">
        <f>'2009 Wage Adjustment Calc'!G52</f>
        <v>34200828.732737169</v>
      </c>
      <c r="F25" s="23"/>
      <c r="G25" s="23">
        <f>'2009 Wage Adjustment Calc'!G56</f>
        <v>34072463.197972201</v>
      </c>
      <c r="H25" s="23"/>
      <c r="I25" s="23">
        <f>G25-E25</f>
        <v>-128365.53476496786</v>
      </c>
    </row>
    <row r="26" spans="1:9" ht="15">
      <c r="A26" s="19"/>
      <c r="E26" s="23"/>
      <c r="F26" s="23"/>
      <c r="G26" s="23"/>
      <c r="H26" s="23"/>
      <c r="I26" s="23"/>
    </row>
    <row r="27" spans="1:9" ht="15">
      <c r="A27" s="19">
        <v>10</v>
      </c>
      <c r="C27" s="70" t="s">
        <v>90</v>
      </c>
      <c r="D27" s="70"/>
      <c r="E27" s="23">
        <v>171180</v>
      </c>
      <c r="F27" s="23"/>
      <c r="G27" s="23">
        <v>0</v>
      </c>
      <c r="H27" s="23"/>
      <c r="I27" s="23">
        <f>G27-E27</f>
        <v>-171180</v>
      </c>
    </row>
    <row r="28" spans="1:9" ht="15">
      <c r="A28" s="19"/>
      <c r="E28" s="23"/>
      <c r="F28" s="23"/>
      <c r="G28" s="23"/>
      <c r="H28" s="23"/>
      <c r="I28" s="23"/>
    </row>
    <row r="29" spans="1:9" ht="15.75" thickBot="1">
      <c r="A29" s="19">
        <v>11</v>
      </c>
      <c r="C29" s="16" t="s">
        <v>91</v>
      </c>
      <c r="E29" s="23"/>
      <c r="F29" s="23"/>
      <c r="G29" s="23"/>
      <c r="H29" s="23"/>
      <c r="I29" s="123">
        <f>SUM(I9:I27)</f>
        <v>-5443908.5451884624</v>
      </c>
    </row>
    <row r="30" spans="1:9" ht="15.75" thickTop="1">
      <c r="E30" s="23"/>
      <c r="F30" s="23"/>
      <c r="G30" s="23"/>
    </row>
    <row r="31" spans="1:9" ht="15">
      <c r="E31" s="23"/>
      <c r="F31" s="23"/>
      <c r="G31" s="23"/>
    </row>
    <row r="32" spans="1:9">
      <c r="C32" s="16" t="s">
        <v>92</v>
      </c>
    </row>
    <row r="33" spans="3:3">
      <c r="C33" s="16" t="s">
        <v>93</v>
      </c>
    </row>
  </sheetData>
  <mergeCells count="3">
    <mergeCell ref="A1:I1"/>
    <mergeCell ref="A3:I3"/>
    <mergeCell ref="I5:I7"/>
  </mergeCells>
  <pageMargins left="0.7" right="0.7" top="0.75" bottom="0.75" header="0.3" footer="0.3"/>
  <pageSetup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5"/>
  <sheetViews>
    <sheetView zoomScale="80" zoomScaleNormal="80" workbookViewId="0">
      <pane xSplit="2" ySplit="8" topLeftCell="C12" activePane="bottomRight" state="frozen"/>
      <selection activeCell="E57" sqref="E57"/>
      <selection pane="topRight" activeCell="E57" sqref="E57"/>
      <selection pane="bottomLeft" activeCell="E57" sqref="E57"/>
      <selection pane="bottomRight" activeCell="E57" sqref="E57"/>
    </sheetView>
  </sheetViews>
  <sheetFormatPr defaultRowHeight="12.75"/>
  <cols>
    <col min="1" max="1" width="16.85546875" style="104" customWidth="1"/>
    <col min="2" max="2" width="33.5703125" style="104" bestFit="1" customWidth="1"/>
    <col min="3" max="5" width="12.7109375" style="104" customWidth="1"/>
    <col min="6" max="16384" width="9.140625" style="104"/>
  </cols>
  <sheetData>
    <row r="1" spans="1:5">
      <c r="A1" s="103" t="s">
        <v>397</v>
      </c>
      <c r="B1" s="103"/>
      <c r="C1" s="103"/>
      <c r="D1" s="103"/>
      <c r="E1" s="103"/>
    </row>
    <row r="2" spans="1:5">
      <c r="A2" s="105" t="s">
        <v>398</v>
      </c>
      <c r="B2" s="106"/>
      <c r="C2" s="106"/>
      <c r="D2" s="106"/>
      <c r="E2" s="106"/>
    </row>
    <row r="3" spans="1:5">
      <c r="A3" s="107" t="s">
        <v>399</v>
      </c>
      <c r="B3" s="106"/>
      <c r="C3" s="106"/>
      <c r="D3" s="106"/>
      <c r="E3" s="106"/>
    </row>
    <row r="4" spans="1:5">
      <c r="A4" s="105" t="s">
        <v>400</v>
      </c>
      <c r="B4" s="106"/>
      <c r="C4" s="106"/>
      <c r="D4" s="106"/>
      <c r="E4" s="106"/>
    </row>
    <row r="5" spans="1:5">
      <c r="A5" s="105"/>
      <c r="B5" s="106"/>
      <c r="C5" s="106"/>
      <c r="D5" s="106"/>
      <c r="E5" s="106"/>
    </row>
    <row r="6" spans="1:5" ht="15.75">
      <c r="A6" s="108" t="s">
        <v>401</v>
      </c>
      <c r="B6" s="108"/>
      <c r="C6" s="109" t="s">
        <v>402</v>
      </c>
      <c r="D6" s="109"/>
      <c r="E6" s="109"/>
    </row>
    <row r="7" spans="1:5">
      <c r="A7" s="110"/>
      <c r="B7" s="110"/>
      <c r="C7" s="111" t="s">
        <v>403</v>
      </c>
      <c r="D7" s="111"/>
      <c r="E7" s="111"/>
    </row>
    <row r="8" spans="1:5" ht="25.5">
      <c r="A8" s="112" t="s">
        <v>404</v>
      </c>
      <c r="B8" s="112" t="s">
        <v>405</v>
      </c>
      <c r="C8" s="113" t="s">
        <v>406</v>
      </c>
      <c r="D8" s="113" t="s">
        <v>407</v>
      </c>
      <c r="E8" s="113" t="s">
        <v>360</v>
      </c>
    </row>
    <row r="9" spans="1:5">
      <c r="A9" s="114">
        <v>500</v>
      </c>
      <c r="B9" s="114" t="s">
        <v>408</v>
      </c>
      <c r="C9" s="115">
        <v>3236021.8925978267</v>
      </c>
      <c r="D9" s="115">
        <v>0</v>
      </c>
      <c r="E9" s="115">
        <v>3236021.8925978267</v>
      </c>
    </row>
    <row r="10" spans="1:5">
      <c r="A10" s="114">
        <v>501</v>
      </c>
      <c r="B10" s="114" t="s">
        <v>409</v>
      </c>
      <c r="C10" s="115">
        <v>-331083.71997140965</v>
      </c>
      <c r="D10" s="115">
        <v>0</v>
      </c>
      <c r="E10" s="115">
        <v>-331083.71997140965</v>
      </c>
    </row>
    <row r="11" spans="1:5">
      <c r="A11" s="114">
        <v>502</v>
      </c>
      <c r="B11" s="114" t="s">
        <v>410</v>
      </c>
      <c r="C11" s="115">
        <v>685675.201321056</v>
      </c>
      <c r="D11" s="115">
        <v>0</v>
      </c>
      <c r="E11" s="115">
        <v>685675.201321056</v>
      </c>
    </row>
    <row r="12" spans="1:5">
      <c r="A12" s="114">
        <v>503</v>
      </c>
      <c r="B12" s="114" t="s">
        <v>411</v>
      </c>
      <c r="C12" s="115">
        <v>0</v>
      </c>
      <c r="D12" s="115">
        <v>0</v>
      </c>
      <c r="E12" s="115">
        <v>0</v>
      </c>
    </row>
    <row r="13" spans="1:5">
      <c r="A13" s="114">
        <v>505</v>
      </c>
      <c r="B13" s="114" t="s">
        <v>412</v>
      </c>
      <c r="C13" s="115">
        <v>1165.5391951997649</v>
      </c>
      <c r="D13" s="115">
        <v>0</v>
      </c>
      <c r="E13" s="115">
        <v>1165.5391951997649</v>
      </c>
    </row>
    <row r="14" spans="1:5">
      <c r="A14" s="114">
        <v>506</v>
      </c>
      <c r="B14" s="114" t="s">
        <v>413</v>
      </c>
      <c r="C14" s="115">
        <v>-2067000.2642908294</v>
      </c>
      <c r="D14" s="115">
        <v>0</v>
      </c>
      <c r="E14" s="115">
        <v>-2067000.2642908294</v>
      </c>
    </row>
    <row r="15" spans="1:5">
      <c r="A15" s="114">
        <v>507</v>
      </c>
      <c r="B15" s="114" t="s">
        <v>414</v>
      </c>
      <c r="C15" s="115">
        <v>0</v>
      </c>
      <c r="D15" s="115">
        <v>0</v>
      </c>
      <c r="E15" s="115">
        <v>0</v>
      </c>
    </row>
    <row r="16" spans="1:5">
      <c r="A16" s="114">
        <v>510</v>
      </c>
      <c r="B16" s="114" t="s">
        <v>415</v>
      </c>
      <c r="C16" s="115">
        <v>100027.21452438257</v>
      </c>
      <c r="D16" s="115">
        <v>0</v>
      </c>
      <c r="E16" s="115">
        <v>100027.21452438257</v>
      </c>
    </row>
    <row r="17" spans="1:5">
      <c r="A17" s="114">
        <v>511</v>
      </c>
      <c r="B17" s="114" t="s">
        <v>416</v>
      </c>
      <c r="C17" s="115">
        <v>667946.79946703895</v>
      </c>
      <c r="D17" s="115">
        <v>0</v>
      </c>
      <c r="E17" s="115">
        <v>667946.79946703895</v>
      </c>
    </row>
    <row r="18" spans="1:5">
      <c r="A18" s="114">
        <v>512</v>
      </c>
      <c r="B18" s="114" t="s">
        <v>417</v>
      </c>
      <c r="C18" s="115">
        <v>2189652.0977861756</v>
      </c>
      <c r="D18" s="115">
        <v>0</v>
      </c>
      <c r="E18" s="115">
        <v>2189652.0977861756</v>
      </c>
    </row>
    <row r="19" spans="1:5">
      <c r="A19" s="114">
        <v>513</v>
      </c>
      <c r="B19" s="114" t="s">
        <v>418</v>
      </c>
      <c r="C19" s="115">
        <v>751139.97642050614</v>
      </c>
      <c r="D19" s="115">
        <v>0</v>
      </c>
      <c r="E19" s="115">
        <v>751139.97642050614</v>
      </c>
    </row>
    <row r="20" spans="1:5">
      <c r="A20" s="114">
        <v>514</v>
      </c>
      <c r="B20" s="114" t="s">
        <v>419</v>
      </c>
      <c r="C20" s="115">
        <v>163727.49855006425</v>
      </c>
      <c r="D20" s="115">
        <v>0</v>
      </c>
      <c r="E20" s="115">
        <v>163727.49855006425</v>
      </c>
    </row>
    <row r="21" spans="1:5">
      <c r="A21" s="114">
        <v>517</v>
      </c>
      <c r="B21" s="114" t="s">
        <v>420</v>
      </c>
      <c r="C21" s="115">
        <v>0</v>
      </c>
      <c r="D21" s="115">
        <v>0</v>
      </c>
      <c r="E21" s="115">
        <v>0</v>
      </c>
    </row>
    <row r="22" spans="1:5">
      <c r="A22" s="114">
        <v>518</v>
      </c>
      <c r="B22" s="114" t="s">
        <v>421</v>
      </c>
      <c r="C22" s="115">
        <v>0</v>
      </c>
      <c r="D22" s="115">
        <v>0</v>
      </c>
      <c r="E22" s="115">
        <v>0</v>
      </c>
    </row>
    <row r="23" spans="1:5">
      <c r="A23" s="114">
        <v>519</v>
      </c>
      <c r="B23" s="114" t="s">
        <v>422</v>
      </c>
      <c r="C23" s="115">
        <v>0</v>
      </c>
      <c r="D23" s="115">
        <v>0</v>
      </c>
      <c r="E23" s="115">
        <v>0</v>
      </c>
    </row>
    <row r="24" spans="1:5">
      <c r="A24" s="114">
        <v>520</v>
      </c>
      <c r="B24" s="114" t="s">
        <v>410</v>
      </c>
      <c r="C24" s="115">
        <v>0</v>
      </c>
      <c r="D24" s="115">
        <v>0</v>
      </c>
      <c r="E24" s="115">
        <v>0</v>
      </c>
    </row>
    <row r="25" spans="1:5">
      <c r="A25" s="114">
        <v>523</v>
      </c>
      <c r="B25" s="114" t="s">
        <v>412</v>
      </c>
      <c r="C25" s="115">
        <v>0</v>
      </c>
      <c r="D25" s="115">
        <v>0</v>
      </c>
      <c r="E25" s="115">
        <v>0</v>
      </c>
    </row>
    <row r="26" spans="1:5">
      <c r="A26" s="114">
        <v>524</v>
      </c>
      <c r="B26" s="114" t="s">
        <v>423</v>
      </c>
      <c r="C26" s="115">
        <v>0</v>
      </c>
      <c r="D26" s="115">
        <v>0</v>
      </c>
      <c r="E26" s="115">
        <v>0</v>
      </c>
    </row>
    <row r="27" spans="1:5">
      <c r="A27" s="114">
        <v>528</v>
      </c>
      <c r="B27" s="114" t="s">
        <v>424</v>
      </c>
      <c r="C27" s="115">
        <v>0</v>
      </c>
      <c r="D27" s="115">
        <v>0</v>
      </c>
      <c r="E27" s="115">
        <v>0</v>
      </c>
    </row>
    <row r="28" spans="1:5">
      <c r="A28" s="114">
        <v>529</v>
      </c>
      <c r="B28" s="114" t="s">
        <v>416</v>
      </c>
      <c r="C28" s="115">
        <v>0</v>
      </c>
      <c r="D28" s="115">
        <v>0</v>
      </c>
      <c r="E28" s="115">
        <v>0</v>
      </c>
    </row>
    <row r="29" spans="1:5">
      <c r="A29" s="114">
        <v>530</v>
      </c>
      <c r="B29" s="114" t="s">
        <v>425</v>
      </c>
      <c r="C29" s="115">
        <v>0</v>
      </c>
      <c r="D29" s="115">
        <v>0</v>
      </c>
      <c r="E29" s="115">
        <v>0</v>
      </c>
    </row>
    <row r="30" spans="1:5">
      <c r="A30" s="114">
        <v>531</v>
      </c>
      <c r="B30" s="114" t="s">
        <v>418</v>
      </c>
      <c r="C30" s="115">
        <v>0</v>
      </c>
      <c r="D30" s="115">
        <v>0</v>
      </c>
      <c r="E30" s="115">
        <v>0</v>
      </c>
    </row>
    <row r="31" spans="1:5">
      <c r="A31" s="114">
        <v>532</v>
      </c>
      <c r="B31" s="114" t="s">
        <v>426</v>
      </c>
      <c r="C31" s="115">
        <v>0</v>
      </c>
      <c r="D31" s="115">
        <v>0</v>
      </c>
      <c r="E31" s="115">
        <v>0</v>
      </c>
    </row>
    <row r="32" spans="1:5">
      <c r="A32" s="114">
        <v>535</v>
      </c>
      <c r="B32" s="114" t="s">
        <v>420</v>
      </c>
      <c r="C32" s="115">
        <v>953198.6868278149</v>
      </c>
      <c r="D32" s="115">
        <v>0</v>
      </c>
      <c r="E32" s="115">
        <v>953198.6868278149</v>
      </c>
    </row>
    <row r="33" spans="1:5">
      <c r="A33" s="114">
        <v>536</v>
      </c>
      <c r="B33" s="114" t="s">
        <v>427</v>
      </c>
      <c r="C33" s="115">
        <v>17287.36517509129</v>
      </c>
      <c r="D33" s="115">
        <v>0</v>
      </c>
      <c r="E33" s="115">
        <v>17287.36517509129</v>
      </c>
    </row>
    <row r="34" spans="1:5">
      <c r="A34" s="114">
        <v>537</v>
      </c>
      <c r="B34" s="114" t="s">
        <v>428</v>
      </c>
      <c r="C34" s="115">
        <v>121884.85348258744</v>
      </c>
      <c r="D34" s="115">
        <v>0</v>
      </c>
      <c r="E34" s="115">
        <v>121884.85348258744</v>
      </c>
    </row>
    <row r="35" spans="1:5">
      <c r="A35" s="114">
        <v>538</v>
      </c>
      <c r="B35" s="114" t="s">
        <v>412</v>
      </c>
      <c r="C35" s="115">
        <v>0</v>
      </c>
      <c r="D35" s="115">
        <v>0</v>
      </c>
      <c r="E35" s="115">
        <v>0</v>
      </c>
    </row>
    <row r="36" spans="1:5">
      <c r="A36" s="114">
        <v>539</v>
      </c>
      <c r="B36" s="114" t="s">
        <v>429</v>
      </c>
      <c r="C36" s="115">
        <v>904414.62192827219</v>
      </c>
      <c r="D36" s="115">
        <v>0</v>
      </c>
      <c r="E36" s="115">
        <v>904414.62192827219</v>
      </c>
    </row>
    <row r="37" spans="1:5">
      <c r="A37" s="114">
        <v>540</v>
      </c>
      <c r="B37" s="114" t="s">
        <v>430</v>
      </c>
      <c r="C37" s="115">
        <v>-2892.4140211912354</v>
      </c>
      <c r="D37" s="115">
        <v>0</v>
      </c>
      <c r="E37" s="115">
        <v>-2892.4140211912354</v>
      </c>
    </row>
    <row r="38" spans="1:5">
      <c r="A38" s="114">
        <v>541</v>
      </c>
      <c r="B38" s="114" t="s">
        <v>415</v>
      </c>
      <c r="C38" s="115">
        <v>224.3525145772484</v>
      </c>
      <c r="D38" s="115">
        <v>0</v>
      </c>
      <c r="E38" s="115">
        <v>224.3525145772484</v>
      </c>
    </row>
    <row r="39" spans="1:5">
      <c r="A39" s="114">
        <v>542</v>
      </c>
      <c r="B39" s="114" t="s">
        <v>416</v>
      </c>
      <c r="C39" s="115">
        <v>57427.864474554473</v>
      </c>
      <c r="D39" s="115">
        <v>0</v>
      </c>
      <c r="E39" s="115">
        <v>57427.864474554473</v>
      </c>
    </row>
    <row r="40" spans="1:5">
      <c r="A40" s="114">
        <v>543</v>
      </c>
      <c r="B40" s="114" t="s">
        <v>431</v>
      </c>
      <c r="C40" s="115">
        <v>58756.54426952012</v>
      </c>
      <c r="D40" s="115">
        <v>0</v>
      </c>
      <c r="E40" s="115">
        <v>58756.54426952012</v>
      </c>
    </row>
    <row r="41" spans="1:5">
      <c r="A41" s="114">
        <v>544</v>
      </c>
      <c r="B41" s="114" t="s">
        <v>418</v>
      </c>
      <c r="C41" s="115">
        <v>105227.56462670075</v>
      </c>
      <c r="D41" s="115">
        <v>0</v>
      </c>
      <c r="E41" s="115">
        <v>105227.56462670075</v>
      </c>
    </row>
    <row r="42" spans="1:5">
      <c r="A42" s="114">
        <v>545</v>
      </c>
      <c r="B42" s="114" t="s">
        <v>432</v>
      </c>
      <c r="C42" s="115">
        <v>105834.68546316195</v>
      </c>
      <c r="D42" s="115">
        <v>0</v>
      </c>
      <c r="E42" s="115">
        <v>105834.68546316195</v>
      </c>
    </row>
    <row r="43" spans="1:5">
      <c r="A43" s="114">
        <v>546</v>
      </c>
      <c r="B43" s="114" t="s">
        <v>420</v>
      </c>
      <c r="C43" s="115">
        <v>0</v>
      </c>
      <c r="D43" s="115">
        <v>0</v>
      </c>
      <c r="E43" s="115">
        <v>0</v>
      </c>
    </row>
    <row r="44" spans="1:5">
      <c r="A44" s="114">
        <v>547</v>
      </c>
      <c r="B44" s="114" t="s">
        <v>433</v>
      </c>
      <c r="C44" s="115">
        <v>0</v>
      </c>
      <c r="D44" s="115">
        <v>0</v>
      </c>
      <c r="E44" s="115">
        <v>0</v>
      </c>
    </row>
    <row r="45" spans="1:5">
      <c r="A45" s="114">
        <v>548</v>
      </c>
      <c r="B45" s="114" t="s">
        <v>434</v>
      </c>
      <c r="C45" s="115">
        <v>249040.34793292521</v>
      </c>
      <c r="D45" s="115">
        <v>0</v>
      </c>
      <c r="E45" s="115">
        <v>249040.34793292521</v>
      </c>
    </row>
    <row r="46" spans="1:5">
      <c r="A46" s="114">
        <v>549</v>
      </c>
      <c r="B46" s="114" t="s">
        <v>435</v>
      </c>
      <c r="C46" s="115">
        <v>249347.47788930187</v>
      </c>
      <c r="D46" s="115">
        <v>0</v>
      </c>
      <c r="E46" s="115">
        <v>249347.47788930187</v>
      </c>
    </row>
    <row r="47" spans="1:5">
      <c r="A47" s="114">
        <v>550</v>
      </c>
      <c r="B47" s="114" t="s">
        <v>415</v>
      </c>
      <c r="C47" s="115">
        <v>0</v>
      </c>
      <c r="D47" s="115">
        <v>0</v>
      </c>
      <c r="E47" s="115">
        <v>0</v>
      </c>
    </row>
    <row r="48" spans="1:5">
      <c r="A48" s="114">
        <v>551</v>
      </c>
      <c r="B48" s="114" t="s">
        <v>415</v>
      </c>
      <c r="C48" s="115">
        <v>0</v>
      </c>
      <c r="D48" s="115">
        <v>0</v>
      </c>
      <c r="E48" s="115">
        <v>0</v>
      </c>
    </row>
    <row r="49" spans="1:5">
      <c r="A49" s="114">
        <v>552</v>
      </c>
      <c r="B49" s="114" t="s">
        <v>416</v>
      </c>
      <c r="C49" s="115">
        <v>0</v>
      </c>
      <c r="D49" s="115">
        <v>0</v>
      </c>
      <c r="E49" s="115">
        <v>0</v>
      </c>
    </row>
    <row r="50" spans="1:5">
      <c r="A50" s="114">
        <v>553</v>
      </c>
      <c r="B50" s="114" t="s">
        <v>436</v>
      </c>
      <c r="C50" s="115">
        <v>127840.79571780705</v>
      </c>
      <c r="D50" s="115">
        <v>0</v>
      </c>
      <c r="E50" s="115">
        <v>127840.79571780705</v>
      </c>
    </row>
    <row r="51" spans="1:5">
      <c r="A51" s="114">
        <v>554</v>
      </c>
      <c r="B51" s="114" t="s">
        <v>437</v>
      </c>
      <c r="C51" s="115">
        <v>360.34147782985485</v>
      </c>
      <c r="D51" s="115">
        <v>0</v>
      </c>
      <c r="E51" s="115">
        <v>360.34147782985485</v>
      </c>
    </row>
    <row r="52" spans="1:5">
      <c r="A52" s="114">
        <v>555</v>
      </c>
      <c r="B52" s="114" t="s">
        <v>438</v>
      </c>
      <c r="C52" s="115">
        <v>0</v>
      </c>
      <c r="D52" s="115">
        <v>0</v>
      </c>
      <c r="E52" s="115">
        <v>0</v>
      </c>
    </row>
    <row r="53" spans="1:5">
      <c r="A53" s="114">
        <v>556</v>
      </c>
      <c r="B53" s="114" t="s">
        <v>439</v>
      </c>
      <c r="C53" s="115">
        <v>54199.368096228092</v>
      </c>
      <c r="D53" s="115">
        <v>0</v>
      </c>
      <c r="E53" s="115">
        <v>54199.368096228092</v>
      </c>
    </row>
    <row r="54" spans="1:5">
      <c r="A54" s="114">
        <v>557</v>
      </c>
      <c r="B54" s="114" t="s">
        <v>440</v>
      </c>
      <c r="C54" s="115">
        <v>2147802.3395030545</v>
      </c>
      <c r="D54" s="115">
        <v>0</v>
      </c>
      <c r="E54" s="115">
        <v>2147802.3395030545</v>
      </c>
    </row>
    <row r="55" spans="1:5">
      <c r="A55" s="114">
        <v>560</v>
      </c>
      <c r="B55" s="114" t="s">
        <v>408</v>
      </c>
      <c r="C55" s="115">
        <v>401840.42358271783</v>
      </c>
      <c r="D55" s="115">
        <v>0</v>
      </c>
      <c r="E55" s="115">
        <v>401840.42358271783</v>
      </c>
    </row>
    <row r="56" spans="1:5">
      <c r="A56" s="114">
        <v>561</v>
      </c>
      <c r="B56" s="114" t="s">
        <v>441</v>
      </c>
      <c r="C56" s="115">
        <v>660741.21598930052</v>
      </c>
      <c r="D56" s="115">
        <v>0</v>
      </c>
      <c r="E56" s="115">
        <v>660741.21598930052</v>
      </c>
    </row>
    <row r="57" spans="1:5">
      <c r="A57" s="114">
        <v>562</v>
      </c>
      <c r="B57" s="114" t="s">
        <v>442</v>
      </c>
      <c r="C57" s="115">
        <v>36425.413210578037</v>
      </c>
      <c r="D57" s="115">
        <v>0</v>
      </c>
      <c r="E57" s="115">
        <v>36425.413210578037</v>
      </c>
    </row>
    <row r="58" spans="1:5">
      <c r="A58" s="114">
        <v>563</v>
      </c>
      <c r="B58" s="114" t="s">
        <v>443</v>
      </c>
      <c r="C58" s="115">
        <v>2189.5953930527116</v>
      </c>
      <c r="D58" s="115">
        <v>0</v>
      </c>
      <c r="E58" s="115">
        <v>2189.5953930527116</v>
      </c>
    </row>
    <row r="59" spans="1:5">
      <c r="A59" s="114">
        <v>564</v>
      </c>
      <c r="B59" s="114" t="s">
        <v>444</v>
      </c>
      <c r="C59" s="115">
        <v>0</v>
      </c>
      <c r="D59" s="115">
        <v>0</v>
      </c>
      <c r="E59" s="115">
        <v>0</v>
      </c>
    </row>
    <row r="60" spans="1:5">
      <c r="A60" s="114">
        <v>565</v>
      </c>
      <c r="B60" s="114" t="s">
        <v>445</v>
      </c>
      <c r="C60" s="115">
        <v>0</v>
      </c>
      <c r="D60" s="115">
        <v>0</v>
      </c>
      <c r="E60" s="115">
        <v>0</v>
      </c>
    </row>
    <row r="61" spans="1:5">
      <c r="A61" s="114">
        <v>566</v>
      </c>
      <c r="B61" s="114" t="s">
        <v>446</v>
      </c>
      <c r="C61" s="115">
        <v>23826.260789290289</v>
      </c>
      <c r="D61" s="115">
        <v>0</v>
      </c>
      <c r="E61" s="115">
        <v>23826.260789290289</v>
      </c>
    </row>
    <row r="62" spans="1:5">
      <c r="A62" s="114">
        <v>567</v>
      </c>
      <c r="B62" s="114" t="s">
        <v>447</v>
      </c>
      <c r="C62" s="115">
        <v>29497.211917651901</v>
      </c>
      <c r="D62" s="115">
        <v>0</v>
      </c>
      <c r="E62" s="115">
        <v>29497.211917651901</v>
      </c>
    </row>
    <row r="63" spans="1:5">
      <c r="A63" s="114">
        <v>568</v>
      </c>
      <c r="B63" s="114" t="s">
        <v>415</v>
      </c>
      <c r="C63" s="115">
        <v>1384.3385965563834</v>
      </c>
      <c r="D63" s="115">
        <v>0</v>
      </c>
      <c r="E63" s="115">
        <v>1384.3385965563834</v>
      </c>
    </row>
    <row r="64" spans="1:5">
      <c r="A64" s="114">
        <v>569</v>
      </c>
      <c r="B64" s="114" t="s">
        <v>416</v>
      </c>
      <c r="C64" s="115">
        <v>193831.96164790785</v>
      </c>
      <c r="D64" s="115">
        <v>0</v>
      </c>
      <c r="E64" s="115">
        <v>193831.96164790785</v>
      </c>
    </row>
    <row r="65" spans="1:5">
      <c r="A65" s="114">
        <v>570</v>
      </c>
      <c r="B65" s="114" t="s">
        <v>448</v>
      </c>
      <c r="C65" s="115">
        <v>418007.64288234105</v>
      </c>
      <c r="D65" s="115">
        <v>0</v>
      </c>
      <c r="E65" s="115">
        <v>418007.64288234105</v>
      </c>
    </row>
    <row r="66" spans="1:5">
      <c r="A66" s="114">
        <v>571</v>
      </c>
      <c r="B66" s="114" t="s">
        <v>449</v>
      </c>
      <c r="C66" s="115">
        <v>230433.01561208614</v>
      </c>
      <c r="D66" s="115">
        <v>0</v>
      </c>
      <c r="E66" s="115">
        <v>230433.01561208614</v>
      </c>
    </row>
    <row r="67" spans="1:5">
      <c r="A67" s="114">
        <v>572</v>
      </c>
      <c r="B67" s="114" t="s">
        <v>450</v>
      </c>
      <c r="C67" s="115">
        <v>7939.0722209529085</v>
      </c>
      <c r="D67" s="115">
        <v>0</v>
      </c>
      <c r="E67" s="115">
        <v>7939.0722209529085</v>
      </c>
    </row>
    <row r="68" spans="1:5">
      <c r="A68" s="114">
        <v>573</v>
      </c>
      <c r="B68" s="114" t="s">
        <v>451</v>
      </c>
      <c r="C68" s="115">
        <v>1077.1628686444601</v>
      </c>
      <c r="D68" s="115">
        <v>0</v>
      </c>
      <c r="E68" s="115">
        <v>1077.1628686444601</v>
      </c>
    </row>
    <row r="69" spans="1:5">
      <c r="A69" s="114">
        <v>580</v>
      </c>
      <c r="B69" s="114" t="s">
        <v>408</v>
      </c>
      <c r="C69" s="115">
        <v>1200610.4255243798</v>
      </c>
      <c r="D69" s="115">
        <v>20236.397197234874</v>
      </c>
      <c r="E69" s="115">
        <v>1220846.8227216147</v>
      </c>
    </row>
    <row r="70" spans="1:5">
      <c r="A70" s="114">
        <v>581</v>
      </c>
      <c r="B70" s="114" t="s">
        <v>441</v>
      </c>
      <c r="C70" s="115">
        <v>875378.35725802148</v>
      </c>
      <c r="D70" s="115">
        <v>0</v>
      </c>
      <c r="E70" s="115">
        <v>875378.35725802148</v>
      </c>
    </row>
    <row r="71" spans="1:5">
      <c r="A71" s="114">
        <v>582</v>
      </c>
      <c r="B71" s="114" t="s">
        <v>442</v>
      </c>
      <c r="C71" s="115">
        <v>1550.0248814750892</v>
      </c>
      <c r="D71" s="115">
        <v>233657.37741122025</v>
      </c>
      <c r="E71" s="115">
        <v>235207.40229269533</v>
      </c>
    </row>
    <row r="72" spans="1:5">
      <c r="A72" s="114">
        <v>583</v>
      </c>
      <c r="B72" s="114" t="s">
        <v>452</v>
      </c>
      <c r="C72" s="115">
        <v>1004.0018143208831</v>
      </c>
      <c r="D72" s="115">
        <v>373713.99709766661</v>
      </c>
      <c r="E72" s="115">
        <v>374717.99891198747</v>
      </c>
    </row>
    <row r="73" spans="1:5">
      <c r="A73" s="114">
        <v>584</v>
      </c>
      <c r="B73" s="114" t="s">
        <v>444</v>
      </c>
      <c r="C73" s="115">
        <v>0</v>
      </c>
      <c r="D73" s="115">
        <v>0</v>
      </c>
      <c r="E73" s="115">
        <v>0</v>
      </c>
    </row>
    <row r="74" spans="1:5">
      <c r="A74" s="114">
        <v>585</v>
      </c>
      <c r="B74" s="114" t="s">
        <v>453</v>
      </c>
      <c r="C74" s="115">
        <v>13698.90226231112</v>
      </c>
      <c r="D74" s="115">
        <v>0</v>
      </c>
      <c r="E74" s="115">
        <v>13698.90226231112</v>
      </c>
    </row>
    <row r="75" spans="1:5">
      <c r="A75" s="114">
        <v>586</v>
      </c>
      <c r="B75" s="114" t="s">
        <v>454</v>
      </c>
      <c r="C75" s="115">
        <v>60100.859622427699</v>
      </c>
      <c r="D75" s="115">
        <v>401146.09510448069</v>
      </c>
      <c r="E75" s="115">
        <v>461246.95472690836</v>
      </c>
    </row>
    <row r="76" spans="1:5">
      <c r="A76" s="114">
        <v>587</v>
      </c>
      <c r="B76" s="114" t="s">
        <v>455</v>
      </c>
      <c r="C76" s="115">
        <v>28.573879386087992</v>
      </c>
      <c r="D76" s="115">
        <v>773010.37255573296</v>
      </c>
      <c r="E76" s="115">
        <v>773038.94643511903</v>
      </c>
    </row>
    <row r="77" spans="1:5">
      <c r="A77" s="114">
        <v>588</v>
      </c>
      <c r="B77" s="114" t="s">
        <v>456</v>
      </c>
      <c r="C77" s="115">
        <v>-1577.8111805791646</v>
      </c>
      <c r="D77" s="115">
        <v>-67259.061189460161</v>
      </c>
      <c r="E77" s="115">
        <v>-68836.872370039331</v>
      </c>
    </row>
    <row r="78" spans="1:5">
      <c r="A78" s="114">
        <v>589</v>
      </c>
      <c r="B78" s="114" t="s">
        <v>414</v>
      </c>
      <c r="C78" s="115">
        <v>6.458609696245035</v>
      </c>
      <c r="D78" s="115">
        <v>-17810.022742263711</v>
      </c>
      <c r="E78" s="115">
        <v>-17803.564132567466</v>
      </c>
    </row>
    <row r="79" spans="1:5">
      <c r="A79" s="114">
        <v>590</v>
      </c>
      <c r="B79" s="114" t="s">
        <v>415</v>
      </c>
      <c r="C79" s="115">
        <v>354886.72554872656</v>
      </c>
      <c r="D79" s="115">
        <v>10388.806136078943</v>
      </c>
      <c r="E79" s="115">
        <v>365275.53168480552</v>
      </c>
    </row>
    <row r="80" spans="1:5">
      <c r="A80" s="114">
        <v>591</v>
      </c>
      <c r="B80" s="114" t="s">
        <v>416</v>
      </c>
      <c r="C80" s="115">
        <v>0</v>
      </c>
      <c r="D80" s="115">
        <v>0</v>
      </c>
      <c r="E80" s="115">
        <v>0</v>
      </c>
    </row>
    <row r="81" spans="1:5">
      <c r="A81" s="114">
        <v>592</v>
      </c>
      <c r="B81" s="114" t="s">
        <v>448</v>
      </c>
      <c r="C81" s="115">
        <v>115293.6259992636</v>
      </c>
      <c r="D81" s="115">
        <v>547440.9079768036</v>
      </c>
      <c r="E81" s="115">
        <v>662734.53397606721</v>
      </c>
    </row>
    <row r="82" spans="1:5">
      <c r="A82" s="114">
        <v>593</v>
      </c>
      <c r="B82" s="114" t="s">
        <v>449</v>
      </c>
      <c r="C82" s="115">
        <v>40932.914522115272</v>
      </c>
      <c r="D82" s="115">
        <v>1814855.3301462557</v>
      </c>
      <c r="E82" s="115">
        <v>1855788.244668371</v>
      </c>
    </row>
    <row r="83" spans="1:5">
      <c r="A83" s="114">
        <v>594</v>
      </c>
      <c r="B83" s="114" t="s">
        <v>450</v>
      </c>
      <c r="C83" s="115">
        <v>377.8436337055665</v>
      </c>
      <c r="D83" s="115">
        <v>922387.530644377</v>
      </c>
      <c r="E83" s="115">
        <v>922765.37427808251</v>
      </c>
    </row>
    <row r="84" spans="1:5">
      <c r="A84" s="114">
        <v>595</v>
      </c>
      <c r="B84" s="114" t="s">
        <v>457</v>
      </c>
      <c r="C84" s="115">
        <v>57808.871743938835</v>
      </c>
      <c r="D84" s="115">
        <v>0</v>
      </c>
      <c r="E84" s="115">
        <v>57808.871743938835</v>
      </c>
    </row>
    <row r="85" spans="1:5">
      <c r="A85" s="114">
        <v>596</v>
      </c>
      <c r="B85" s="114" t="s">
        <v>458</v>
      </c>
      <c r="C85" s="115">
        <v>0</v>
      </c>
      <c r="D85" s="115">
        <v>155173.00384634305</v>
      </c>
      <c r="E85" s="115">
        <v>155173.00384634305</v>
      </c>
    </row>
    <row r="86" spans="1:5">
      <c r="A86" s="114">
        <v>597</v>
      </c>
      <c r="B86" s="114" t="s">
        <v>459</v>
      </c>
      <c r="C86" s="115">
        <v>56567.701240764065</v>
      </c>
      <c r="D86" s="115">
        <v>285123.13438935729</v>
      </c>
      <c r="E86" s="115">
        <v>341690.83563012135</v>
      </c>
    </row>
    <row r="87" spans="1:5">
      <c r="A87" s="114">
        <v>598</v>
      </c>
      <c r="B87" s="114" t="s">
        <v>460</v>
      </c>
      <c r="C87" s="115">
        <v>100234.19083035373</v>
      </c>
      <c r="D87" s="115">
        <v>34125.305253356652</v>
      </c>
      <c r="E87" s="115">
        <v>134359.4960837104</v>
      </c>
    </row>
    <row r="88" spans="1:5">
      <c r="A88" s="114">
        <v>901</v>
      </c>
      <c r="B88" s="114" t="s">
        <v>461</v>
      </c>
      <c r="C88" s="115">
        <v>172737.10198080487</v>
      </c>
      <c r="D88" s="115">
        <v>4005.2635</v>
      </c>
      <c r="E88" s="115">
        <v>176742.36548080487</v>
      </c>
    </row>
    <row r="89" spans="1:5">
      <c r="A89" s="114">
        <v>902</v>
      </c>
      <c r="B89" s="114" t="s">
        <v>462</v>
      </c>
      <c r="C89" s="115">
        <v>98129.897481850712</v>
      </c>
      <c r="D89" s="115">
        <v>2014346.5412892881</v>
      </c>
      <c r="E89" s="115">
        <v>2112476.4387711389</v>
      </c>
    </row>
    <row r="90" spans="1:5">
      <c r="A90" s="114">
        <v>903</v>
      </c>
      <c r="B90" s="114" t="s">
        <v>463</v>
      </c>
      <c r="C90" s="115">
        <v>2572423.1087944447</v>
      </c>
      <c r="D90" s="115">
        <v>401827.5183956587</v>
      </c>
      <c r="E90" s="115">
        <v>2974250.6271901033</v>
      </c>
    </row>
    <row r="91" spans="1:5">
      <c r="A91" s="114">
        <v>904</v>
      </c>
      <c r="B91" s="114" t="s">
        <v>464</v>
      </c>
      <c r="C91" s="115">
        <v>0</v>
      </c>
      <c r="D91" s="115">
        <v>0</v>
      </c>
      <c r="E91" s="115">
        <v>0</v>
      </c>
    </row>
    <row r="92" spans="1:5">
      <c r="A92" s="114">
        <v>905</v>
      </c>
      <c r="B92" s="114" t="s">
        <v>465</v>
      </c>
      <c r="C92" s="115">
        <v>13042.046246034874</v>
      </c>
      <c r="D92" s="115">
        <v>0</v>
      </c>
      <c r="E92" s="115">
        <v>13042.046246034874</v>
      </c>
    </row>
    <row r="93" spans="1:5">
      <c r="A93" s="114">
        <v>907</v>
      </c>
      <c r="B93" s="114" t="s">
        <v>461</v>
      </c>
      <c r="C93" s="115">
        <v>17107.118543542172</v>
      </c>
      <c r="D93" s="115">
        <v>0</v>
      </c>
      <c r="E93" s="115">
        <v>17107.118543542172</v>
      </c>
    </row>
    <row r="94" spans="1:5">
      <c r="A94" s="114">
        <v>908</v>
      </c>
      <c r="B94" s="114" t="s">
        <v>466</v>
      </c>
      <c r="C94" s="115">
        <v>194011.72433752354</v>
      </c>
      <c r="D94" s="115">
        <v>0</v>
      </c>
      <c r="E94" s="115">
        <v>194011.72433752354</v>
      </c>
    </row>
    <row r="95" spans="1:5">
      <c r="A95" s="114">
        <v>909</v>
      </c>
      <c r="B95" s="114" t="s">
        <v>467</v>
      </c>
      <c r="C95" s="115">
        <v>33424.052274163172</v>
      </c>
      <c r="D95" s="115">
        <v>0</v>
      </c>
      <c r="E95" s="115">
        <v>33424.052274163172</v>
      </c>
    </row>
    <row r="96" spans="1:5">
      <c r="A96" s="114">
        <v>910</v>
      </c>
      <c r="B96" s="114" t="s">
        <v>468</v>
      </c>
      <c r="C96" s="115">
        <v>329.57338715646239</v>
      </c>
      <c r="D96" s="115">
        <v>0</v>
      </c>
      <c r="E96" s="115">
        <v>329.57338715646239</v>
      </c>
    </row>
    <row r="97" spans="1:5">
      <c r="A97" s="114">
        <v>911</v>
      </c>
      <c r="B97" s="114" t="s">
        <v>461</v>
      </c>
      <c r="C97" s="115">
        <v>0</v>
      </c>
      <c r="D97" s="115">
        <v>0</v>
      </c>
      <c r="E97" s="115">
        <v>0</v>
      </c>
    </row>
    <row r="98" spans="1:5">
      <c r="A98" s="114">
        <v>913</v>
      </c>
      <c r="B98" s="114" t="s">
        <v>469</v>
      </c>
      <c r="C98" s="115">
        <v>0</v>
      </c>
      <c r="D98" s="115">
        <v>0</v>
      </c>
      <c r="E98" s="115">
        <v>0</v>
      </c>
    </row>
    <row r="99" spans="1:5">
      <c r="A99" s="114">
        <v>916</v>
      </c>
      <c r="B99" s="114" t="s">
        <v>470</v>
      </c>
      <c r="C99" s="115">
        <v>0</v>
      </c>
      <c r="D99" s="115">
        <v>0</v>
      </c>
      <c r="E99" s="115">
        <v>0</v>
      </c>
    </row>
    <row r="100" spans="1:5">
      <c r="A100" s="114">
        <v>920</v>
      </c>
      <c r="B100" s="114" t="s">
        <v>471</v>
      </c>
      <c r="C100" s="115">
        <v>5960307.7966893781</v>
      </c>
      <c r="D100" s="115">
        <v>650.04884605921654</v>
      </c>
      <c r="E100" s="115">
        <v>5960957.8455354376</v>
      </c>
    </row>
    <row r="101" spans="1:5">
      <c r="A101" s="114">
        <v>921</v>
      </c>
      <c r="B101" s="114" t="s">
        <v>472</v>
      </c>
      <c r="C101" s="115">
        <v>3582.8765996078855</v>
      </c>
      <c r="D101" s="115">
        <v>0</v>
      </c>
      <c r="E101" s="115">
        <v>3582.8765996078855</v>
      </c>
    </row>
    <row r="102" spans="1:5">
      <c r="A102" s="114">
        <v>922</v>
      </c>
      <c r="B102" s="114" t="s">
        <v>473</v>
      </c>
      <c r="C102" s="115">
        <v>2240418.521198336</v>
      </c>
      <c r="D102" s="115">
        <v>0</v>
      </c>
      <c r="E102" s="115">
        <v>2240418.521198336</v>
      </c>
    </row>
    <row r="103" spans="1:5">
      <c r="A103" s="114">
        <v>923</v>
      </c>
      <c r="B103" s="114" t="s">
        <v>474</v>
      </c>
      <c r="C103" s="115">
        <v>-843613.63267015968</v>
      </c>
      <c r="D103" s="115">
        <v>0</v>
      </c>
      <c r="E103" s="115">
        <v>-843613.63267015968</v>
      </c>
    </row>
    <row r="104" spans="1:5">
      <c r="A104" s="114">
        <v>924</v>
      </c>
      <c r="B104" s="114" t="s">
        <v>475</v>
      </c>
      <c r="C104" s="115">
        <v>0</v>
      </c>
      <c r="D104" s="115">
        <v>0</v>
      </c>
      <c r="E104" s="115">
        <v>0</v>
      </c>
    </row>
    <row r="105" spans="1:5">
      <c r="A105" s="114">
        <v>925</v>
      </c>
      <c r="B105" s="114" t="s">
        <v>476</v>
      </c>
      <c r="C105" s="115">
        <v>0</v>
      </c>
      <c r="D105" s="115">
        <v>0</v>
      </c>
      <c r="E105" s="115">
        <v>0</v>
      </c>
    </row>
    <row r="106" spans="1:5">
      <c r="A106" s="114">
        <v>926</v>
      </c>
      <c r="B106" s="114" t="s">
        <v>477</v>
      </c>
      <c r="C106" s="115">
        <v>0</v>
      </c>
      <c r="D106" s="115">
        <v>0</v>
      </c>
      <c r="E106" s="115">
        <v>0</v>
      </c>
    </row>
    <row r="107" spans="1:5">
      <c r="A107" s="114">
        <v>927</v>
      </c>
      <c r="B107" s="114" t="s">
        <v>478</v>
      </c>
      <c r="C107" s="115">
        <v>0</v>
      </c>
      <c r="D107" s="115">
        <v>0</v>
      </c>
      <c r="E107" s="115">
        <v>0</v>
      </c>
    </row>
    <row r="108" spans="1:5">
      <c r="A108" s="114">
        <v>928</v>
      </c>
      <c r="B108" s="114" t="s">
        <v>479</v>
      </c>
      <c r="C108" s="115">
        <v>2527.4000172542237</v>
      </c>
      <c r="D108" s="115">
        <v>52997.756948507267</v>
      </c>
      <c r="E108" s="115">
        <v>55525.156965761489</v>
      </c>
    </row>
    <row r="109" spans="1:5">
      <c r="A109" s="114">
        <v>929</v>
      </c>
      <c r="B109" s="114" t="s">
        <v>480</v>
      </c>
      <c r="C109" s="115">
        <v>-7995.645918684223</v>
      </c>
      <c r="D109" s="115">
        <v>0</v>
      </c>
      <c r="E109" s="115">
        <v>-7995.645918684223</v>
      </c>
    </row>
    <row r="110" spans="1:5">
      <c r="A110" s="114">
        <v>930</v>
      </c>
      <c r="B110" s="114" t="s">
        <v>481</v>
      </c>
      <c r="C110" s="115">
        <v>0</v>
      </c>
      <c r="D110" s="115">
        <v>0</v>
      </c>
      <c r="E110" s="115">
        <v>0</v>
      </c>
    </row>
    <row r="111" spans="1:5">
      <c r="A111" s="114">
        <v>931</v>
      </c>
      <c r="B111" s="114" t="s">
        <v>414</v>
      </c>
      <c r="C111" s="115">
        <v>0</v>
      </c>
      <c r="D111" s="115">
        <v>0</v>
      </c>
      <c r="E111" s="115">
        <v>0</v>
      </c>
    </row>
    <row r="112" spans="1:5">
      <c r="A112" s="114">
        <v>935</v>
      </c>
      <c r="B112" s="114" t="s">
        <v>482</v>
      </c>
      <c r="C112" s="115">
        <v>322637.30559043057</v>
      </c>
      <c r="D112" s="115">
        <v>1497.1735191524535</v>
      </c>
      <c r="E112" s="115">
        <v>324134.47910958302</v>
      </c>
    </row>
    <row r="113" spans="1:5">
      <c r="A113" s="116" t="s">
        <v>401</v>
      </c>
      <c r="B113" s="116"/>
      <c r="C113" s="117" t="s">
        <v>401</v>
      </c>
      <c r="D113" s="117" t="s">
        <v>401</v>
      </c>
      <c r="E113" s="117" t="s">
        <v>401</v>
      </c>
    </row>
    <row r="114" spans="1:5">
      <c r="A114" s="118" t="s">
        <v>483</v>
      </c>
      <c r="B114" s="118"/>
      <c r="C114" s="119">
        <v>26210391.256411318</v>
      </c>
      <c r="D114" s="119">
        <v>7961513.47632585</v>
      </c>
      <c r="E114" s="119">
        <v>34171904.732737169</v>
      </c>
    </row>
    <row r="115" spans="1:5">
      <c r="A115" s="118"/>
      <c r="B115" s="118"/>
      <c r="C115" s="119"/>
      <c r="D115" s="119"/>
      <c r="E115" s="119"/>
    </row>
  </sheetData>
  <pageMargins left="1" right="0.7" top="0.75" bottom="0.75" header="0.3" footer="0.3"/>
  <pageSetup scale="82" fitToHeight="2" orientation="portrait" r:id="rId1"/>
  <headerFooter scaleWithDoc="0" alignWithMargins="0">
    <oddHeader>&amp;LWA UE-100749
ICNU 11.3&amp;R&amp;"Arial,Bold"Attachment ICNU 11.3</oddHeader>
    <oddFooter>&amp;L&amp;F&amp;CPage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9"/>
  <sheetViews>
    <sheetView topLeftCell="A10" zoomScaleNormal="100" workbookViewId="0">
      <selection activeCell="N31" sqref="N31"/>
    </sheetView>
  </sheetViews>
  <sheetFormatPr defaultRowHeight="14.25"/>
  <cols>
    <col min="1" max="1" width="4" style="26" customWidth="1"/>
    <col min="2" max="2" width="41" style="27" customWidth="1"/>
    <col min="3" max="3" width="3" style="16" customWidth="1"/>
    <col min="4" max="4" width="10.140625" style="16" bestFit="1" customWidth="1"/>
    <col min="5" max="5" width="1.28515625" style="16" customWidth="1"/>
    <col min="6" max="6" width="10.140625" style="16" bestFit="1" customWidth="1"/>
    <col min="7" max="7" width="1.28515625" style="16" customWidth="1"/>
    <col min="8" max="8" width="10.140625" style="16" bestFit="1" customWidth="1"/>
    <col min="9" max="9" width="1.28515625" style="16" customWidth="1"/>
    <col min="10" max="10" width="10.140625" style="16" bestFit="1" customWidth="1"/>
    <col min="11" max="11" width="1.28515625" style="16" customWidth="1"/>
    <col min="12" max="12" width="10.140625" style="16" bestFit="1" customWidth="1"/>
    <col min="13" max="13" width="1.28515625" style="16" customWidth="1"/>
    <col min="14" max="14" width="17" style="16" customWidth="1"/>
    <col min="15" max="15" width="12.42578125" style="16" bestFit="1" customWidth="1"/>
    <col min="16" max="16384" width="9.140625" style="16"/>
  </cols>
  <sheetData>
    <row r="2" spans="1:14" ht="27.75">
      <c r="A2" s="133" t="s">
        <v>95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4" ht="15">
      <c r="A4" s="130" t="s">
        <v>96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</row>
    <row r="5" spans="1:14"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30.75">
      <c r="D6" s="28">
        <v>2005</v>
      </c>
      <c r="E6" s="28"/>
      <c r="F6" s="28">
        <v>2006</v>
      </c>
      <c r="G6" s="28"/>
      <c r="H6" s="28">
        <v>2007</v>
      </c>
      <c r="I6" s="28"/>
      <c r="J6" s="28">
        <v>2008</v>
      </c>
      <c r="K6" s="28"/>
      <c r="L6" s="28">
        <v>2009</v>
      </c>
      <c r="M6" s="28"/>
      <c r="N6" s="29" t="s">
        <v>97</v>
      </c>
    </row>
    <row r="7" spans="1:14" s="30" customFormat="1" ht="13.5" customHeight="1">
      <c r="D7" s="31">
        <v>1</v>
      </c>
      <c r="E7" s="32"/>
      <c r="F7" s="31">
        <f>D7+1</f>
        <v>2</v>
      </c>
      <c r="H7" s="31">
        <f>F7+1</f>
        <v>3</v>
      </c>
      <c r="J7" s="31">
        <f>H7+1</f>
        <v>4</v>
      </c>
      <c r="L7" s="31">
        <f>J7+1</f>
        <v>5</v>
      </c>
      <c r="N7" s="31">
        <f>L7+1</f>
        <v>6</v>
      </c>
    </row>
    <row r="9" spans="1:14" ht="16.5">
      <c r="A9" s="33">
        <v>1</v>
      </c>
      <c r="B9" s="27" t="s">
        <v>98</v>
      </c>
      <c r="C9" s="34">
        <v>-1</v>
      </c>
      <c r="D9" s="35">
        <f>'MWh Sold'!C5</f>
        <v>1559276</v>
      </c>
      <c r="F9" s="35">
        <f>'MWh Sold'!D5</f>
        <v>1601392</v>
      </c>
      <c r="H9" s="35">
        <f>'MWh Sold'!E5</f>
        <v>1629811</v>
      </c>
      <c r="J9" s="35">
        <f>'MWh Sold'!F5</f>
        <v>1626596</v>
      </c>
      <c r="L9" s="35">
        <f>'MWh Sold'!G5</f>
        <v>1703421</v>
      </c>
      <c r="N9" s="35">
        <f>1584590296/1000</f>
        <v>1584590.2960000001</v>
      </c>
    </row>
    <row r="10" spans="1:14">
      <c r="A10" s="33"/>
    </row>
    <row r="11" spans="1:14" ht="16.5">
      <c r="A11" s="33">
        <f>A9+1</f>
        <v>2</v>
      </c>
      <c r="B11" s="27" t="s">
        <v>99</v>
      </c>
      <c r="C11" s="34">
        <v>-1</v>
      </c>
      <c r="D11" s="35">
        <f>'Average Number of Customers'!C5</f>
        <v>102632</v>
      </c>
      <c r="F11" s="35">
        <f>'Average Number of Customers'!D5</f>
        <v>103368</v>
      </c>
      <c r="H11" s="35">
        <f>'Average Number of Customers'!E5</f>
        <v>103169</v>
      </c>
      <c r="J11" s="35">
        <f>'Average Number of Customers'!F5</f>
        <v>104187</v>
      </c>
      <c r="L11" s="35">
        <f>'Average Number of Customers'!G5</f>
        <v>104754</v>
      </c>
      <c r="N11" s="35">
        <v>104746</v>
      </c>
    </row>
    <row r="12" spans="1:14">
      <c r="A12" s="33"/>
    </row>
    <row r="13" spans="1:14" ht="15">
      <c r="A13" s="33">
        <f>A11+1</f>
        <v>3</v>
      </c>
      <c r="B13" s="27" t="s">
        <v>100</v>
      </c>
      <c r="D13" s="23">
        <f>D9/D11*1000</f>
        <v>15192.883311247953</v>
      </c>
      <c r="F13" s="23">
        <f>F9/F11*1000</f>
        <v>15492.144570853648</v>
      </c>
      <c r="H13" s="23">
        <f>H9/H11*1000</f>
        <v>15797.487617404453</v>
      </c>
      <c r="J13" s="23">
        <f>J9/J11*1000</f>
        <v>15612.274084098784</v>
      </c>
      <c r="L13" s="23">
        <f>L9/L11*1000</f>
        <v>16261.154705309582</v>
      </c>
      <c r="N13" s="23">
        <f>N9/N11*1000</f>
        <v>15127.931338666871</v>
      </c>
    </row>
    <row r="14" spans="1:14">
      <c r="A14" s="33"/>
    </row>
    <row r="15" spans="1:14">
      <c r="A15" s="33">
        <f>A13+1</f>
        <v>4</v>
      </c>
      <c r="B15" s="27" t="s">
        <v>101</v>
      </c>
      <c r="L15" s="24">
        <f>AVERAGE(D13,F13,H13,J13,L13)</f>
        <v>15671.188857782885</v>
      </c>
    </row>
    <row r="16" spans="1:14">
      <c r="A16" s="33"/>
    </row>
    <row r="17" spans="1:14" ht="15">
      <c r="A17" s="33">
        <f>A15+1</f>
        <v>5</v>
      </c>
      <c r="B17" s="27" t="s">
        <v>102</v>
      </c>
      <c r="C17" s="36"/>
      <c r="D17" s="19"/>
      <c r="E17" s="19"/>
      <c r="F17" s="19"/>
      <c r="G17" s="19"/>
      <c r="H17" s="19"/>
      <c r="J17" s="27"/>
      <c r="N17" s="37">
        <f>ROUND(L15*N11,0)</f>
        <v>1641494348</v>
      </c>
    </row>
    <row r="18" spans="1:14" ht="15">
      <c r="A18" s="33"/>
      <c r="C18" s="36"/>
      <c r="D18" s="19"/>
      <c r="E18" s="19"/>
      <c r="F18" s="19"/>
      <c r="G18" s="19"/>
      <c r="H18" s="19"/>
      <c r="J18" s="27"/>
      <c r="K18" s="37"/>
      <c r="N18" s="38"/>
    </row>
    <row r="19" spans="1:14" ht="17.25">
      <c r="A19" s="33">
        <f>A17+1</f>
        <v>6</v>
      </c>
      <c r="B19" s="27" t="s">
        <v>103</v>
      </c>
      <c r="C19" s="34">
        <v>-3</v>
      </c>
      <c r="D19" s="19"/>
      <c r="E19" s="19"/>
      <c r="F19" s="19"/>
      <c r="G19" s="19"/>
      <c r="H19" s="19"/>
      <c r="I19" s="19"/>
      <c r="J19" s="19"/>
      <c r="K19" s="39"/>
      <c r="N19" s="40">
        <f>N23/(N9*1000)</f>
        <v>7.4823683635634228E-2</v>
      </c>
    </row>
    <row r="20" spans="1:14">
      <c r="A20" s="33"/>
      <c r="C20" s="36"/>
      <c r="D20" s="19"/>
      <c r="E20" s="19"/>
      <c r="F20" s="19"/>
      <c r="G20" s="19"/>
      <c r="H20" s="19"/>
      <c r="I20" s="19"/>
      <c r="J20" s="19"/>
      <c r="K20" s="36"/>
      <c r="N20" s="36"/>
    </row>
    <row r="21" spans="1:14" ht="15">
      <c r="A21" s="33">
        <f>A19+1</f>
        <v>7</v>
      </c>
      <c r="B21" s="27" t="s">
        <v>104</v>
      </c>
      <c r="D21" s="19"/>
      <c r="E21" s="19"/>
      <c r="F21" s="19"/>
      <c r="G21" s="19"/>
      <c r="H21" s="19"/>
      <c r="I21" s="19"/>
      <c r="J21" s="19"/>
      <c r="K21" s="41"/>
      <c r="L21" s="27"/>
      <c r="N21" s="41">
        <f>N17*N19</f>
        <v>122822653.78443368</v>
      </c>
    </row>
    <row r="22" spans="1:14">
      <c r="A22" s="33"/>
      <c r="C22" s="36"/>
      <c r="D22" s="19"/>
      <c r="E22" s="19"/>
      <c r="F22" s="19"/>
      <c r="G22" s="19"/>
      <c r="H22" s="19"/>
      <c r="I22" s="19"/>
      <c r="J22" s="19"/>
      <c r="K22" s="42"/>
      <c r="N22" s="42"/>
    </row>
    <row r="23" spans="1:14" ht="18.75">
      <c r="A23" s="33">
        <f>A21+1</f>
        <v>8</v>
      </c>
      <c r="B23" s="27" t="s">
        <v>105</v>
      </c>
      <c r="C23" s="34">
        <v>-2</v>
      </c>
      <c r="D23" s="19"/>
      <c r="E23" s="19"/>
      <c r="F23" s="19"/>
      <c r="G23" s="19"/>
      <c r="H23" s="19"/>
      <c r="I23" s="19"/>
      <c r="J23" s="19"/>
      <c r="K23" s="43"/>
      <c r="N23" s="44">
        <v>118564883</v>
      </c>
    </row>
    <row r="24" spans="1:14" ht="16.5">
      <c r="A24" s="33"/>
      <c r="B24" s="45"/>
      <c r="C24" s="36"/>
      <c r="D24" s="19"/>
      <c r="E24" s="19"/>
      <c r="F24" s="19"/>
      <c r="G24" s="19"/>
      <c r="H24" s="19"/>
      <c r="I24" s="19"/>
      <c r="J24" s="19"/>
      <c r="K24" s="43"/>
      <c r="N24" s="44"/>
    </row>
    <row r="25" spans="1:14" ht="15">
      <c r="A25" s="33">
        <f>A23+1</f>
        <v>9</v>
      </c>
      <c r="B25" s="46" t="s">
        <v>106</v>
      </c>
      <c r="C25" s="36"/>
      <c r="D25" s="19"/>
      <c r="E25" s="19"/>
      <c r="F25" s="19"/>
      <c r="G25" s="19"/>
      <c r="H25" s="19"/>
      <c r="I25" s="19"/>
      <c r="J25" s="19"/>
      <c r="K25" s="47"/>
      <c r="N25" s="47">
        <f>N21-N23</f>
        <v>4257770.7844336778</v>
      </c>
    </row>
    <row r="26" spans="1:14" ht="15">
      <c r="A26" s="33"/>
      <c r="B26" s="46"/>
      <c r="C26" s="36"/>
      <c r="D26" s="19"/>
      <c r="E26" s="19"/>
      <c r="F26" s="19"/>
      <c r="G26" s="19"/>
      <c r="H26" s="19"/>
      <c r="I26" s="19"/>
      <c r="J26" s="19"/>
      <c r="K26" s="47"/>
      <c r="N26" s="47"/>
    </row>
    <row r="27" spans="1:14" ht="17.25">
      <c r="A27" s="33">
        <v>10</v>
      </c>
      <c r="B27" s="46" t="s">
        <v>107</v>
      </c>
      <c r="C27" s="34"/>
      <c r="D27" s="19"/>
      <c r="E27" s="19"/>
      <c r="F27" s="19"/>
      <c r="G27" s="19"/>
      <c r="H27" s="19"/>
      <c r="I27" s="19"/>
      <c r="J27" s="19"/>
      <c r="K27" s="47"/>
      <c r="N27" s="48">
        <f>128870625/271765425</f>
        <v>0.47419801470330525</v>
      </c>
    </row>
    <row r="28" spans="1:14" ht="15">
      <c r="A28" s="33"/>
      <c r="B28" s="46"/>
      <c r="C28" s="36"/>
      <c r="D28" s="19"/>
      <c r="E28" s="19"/>
      <c r="F28" s="19"/>
      <c r="G28" s="19"/>
      <c r="H28" s="19"/>
      <c r="I28" s="19"/>
      <c r="J28" s="19"/>
      <c r="K28" s="47"/>
      <c r="N28" s="47"/>
    </row>
    <row r="29" spans="1:14" ht="18.75">
      <c r="A29" s="33">
        <v>11</v>
      </c>
      <c r="B29" s="46" t="s">
        <v>108</v>
      </c>
      <c r="C29" s="34"/>
      <c r="D29" s="19"/>
      <c r="E29" s="19"/>
      <c r="F29" s="19"/>
      <c r="G29" s="19"/>
      <c r="H29" s="19"/>
      <c r="I29" s="19"/>
      <c r="J29" s="19"/>
      <c r="K29" s="47"/>
      <c r="N29" s="49">
        <f>N25*N27</f>
        <v>2019026.4530401847</v>
      </c>
    </row>
    <row r="30" spans="1:14" ht="15">
      <c r="A30" s="33"/>
      <c r="B30" s="46"/>
      <c r="C30" s="36"/>
      <c r="D30" s="19"/>
      <c r="E30" s="19"/>
      <c r="F30" s="19"/>
      <c r="G30" s="19"/>
      <c r="H30" s="19"/>
      <c r="I30" s="19"/>
      <c r="J30" s="19"/>
      <c r="K30" s="47"/>
      <c r="N30" s="47"/>
    </row>
    <row r="31" spans="1:14" ht="17.25">
      <c r="A31" s="33">
        <v>12</v>
      </c>
      <c r="B31" s="46" t="s">
        <v>109</v>
      </c>
      <c r="C31" s="36"/>
      <c r="D31" s="19"/>
      <c r="E31" s="19"/>
      <c r="F31" s="19"/>
      <c r="G31" s="19"/>
      <c r="H31" s="19"/>
      <c r="I31" s="19"/>
      <c r="J31" s="19"/>
      <c r="K31" s="47"/>
      <c r="N31" s="50">
        <f>N25-N29</f>
        <v>2238744.3313934933</v>
      </c>
    </row>
    <row r="32" spans="1:14" ht="15">
      <c r="A32" s="33"/>
      <c r="B32" s="46"/>
      <c r="C32" s="36"/>
      <c r="D32" s="19"/>
      <c r="E32" s="19"/>
      <c r="F32" s="19"/>
      <c r="G32" s="19"/>
      <c r="H32" s="19"/>
      <c r="I32" s="19"/>
      <c r="J32" s="19"/>
      <c r="K32" s="47"/>
      <c r="N32" s="47"/>
    </row>
    <row r="33" spans="1:2">
      <c r="A33" s="33"/>
    </row>
    <row r="34" spans="1:2">
      <c r="A34" s="33"/>
      <c r="B34" s="51" t="s">
        <v>110</v>
      </c>
    </row>
    <row r="35" spans="1:2">
      <c r="B35" s="52" t="s">
        <v>111</v>
      </c>
    </row>
    <row r="36" spans="1:2">
      <c r="B36" s="46" t="s">
        <v>112</v>
      </c>
    </row>
    <row r="37" spans="1:2">
      <c r="B37" s="46" t="s">
        <v>113</v>
      </c>
    </row>
    <row r="38" spans="1:2">
      <c r="B38" s="46" t="s">
        <v>114</v>
      </c>
    </row>
    <row r="39" spans="1:2">
      <c r="B39" s="46" t="s">
        <v>115</v>
      </c>
    </row>
  </sheetData>
  <mergeCells count="2">
    <mergeCell ref="A2:N2"/>
    <mergeCell ref="A4:N4"/>
  </mergeCells>
  <printOptions horizontalCentered="1"/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topLeftCell="A13" workbookViewId="0">
      <selection activeCell="E18" sqref="E18"/>
    </sheetView>
  </sheetViews>
  <sheetFormatPr defaultRowHeight="14.25"/>
  <cols>
    <col min="1" max="1" width="5.42578125" style="16" bestFit="1" customWidth="1"/>
    <col min="2" max="2" width="4.140625" style="46" customWidth="1"/>
    <col min="3" max="3" width="67.5703125" style="16" customWidth="1"/>
    <col min="4" max="4" width="4.140625" style="16" customWidth="1"/>
    <col min="5" max="5" width="16.85546875" style="16" bestFit="1" customWidth="1"/>
    <col min="6" max="16384" width="9.140625" style="16"/>
  </cols>
  <sheetData>
    <row r="1" spans="1:5" ht="23.25">
      <c r="A1" s="134" t="s">
        <v>95</v>
      </c>
      <c r="B1" s="134"/>
      <c r="C1" s="134"/>
      <c r="D1" s="134"/>
      <c r="E1" s="134"/>
    </row>
    <row r="4" spans="1:5" ht="16.5">
      <c r="A4" s="130" t="s">
        <v>316</v>
      </c>
      <c r="B4" s="130"/>
      <c r="C4" s="130"/>
      <c r="D4" s="130"/>
      <c r="E4" s="130"/>
    </row>
    <row r="7" spans="1:5" s="66" customFormat="1" ht="15">
      <c r="A7" s="66" t="s">
        <v>2</v>
      </c>
      <c r="C7" s="66" t="s">
        <v>3</v>
      </c>
      <c r="E7" s="66" t="s">
        <v>317</v>
      </c>
    </row>
    <row r="9" spans="1:5" ht="17.25">
      <c r="A9" s="19">
        <v>1</v>
      </c>
      <c r="C9" s="16" t="s">
        <v>318</v>
      </c>
      <c r="E9" s="20">
        <f>'Amortization Workpaper'!D88-SUM('Amortization Workpaper'!D80:D84)</f>
        <v>53206941</v>
      </c>
    </row>
    <row r="10" spans="1:5">
      <c r="A10" s="19"/>
    </row>
    <row r="11" spans="1:5" ht="15">
      <c r="A11" s="19">
        <f>1+A9</f>
        <v>2</v>
      </c>
      <c r="C11" s="16" t="s">
        <v>319</v>
      </c>
      <c r="D11" s="23"/>
      <c r="E11" s="23">
        <f>E9/5</f>
        <v>10641388.199999999</v>
      </c>
    </row>
    <row r="12" spans="1:5" ht="15">
      <c r="A12" s="19"/>
      <c r="D12" s="23"/>
      <c r="E12" s="23"/>
    </row>
    <row r="13" spans="1:5" ht="17.25">
      <c r="A13" s="19">
        <f t="shared" ref="A13" si="0">1+A11</f>
        <v>3</v>
      </c>
      <c r="C13" s="67" t="s">
        <v>320</v>
      </c>
      <c r="D13" s="23"/>
      <c r="E13" s="68">
        <v>7.1550000000000002E-2</v>
      </c>
    </row>
    <row r="14" spans="1:5" ht="15">
      <c r="A14" s="19"/>
      <c r="D14" s="23"/>
      <c r="E14" s="23"/>
    </row>
    <row r="15" spans="1:5" ht="15">
      <c r="A15" s="19">
        <f t="shared" ref="A15" si="1">1+A13</f>
        <v>4</v>
      </c>
      <c r="C15" s="16" t="s">
        <v>321</v>
      </c>
      <c r="D15" s="23"/>
      <c r="E15" s="69">
        <f>E11*E13</f>
        <v>761391.32571</v>
      </c>
    </row>
    <row r="16" spans="1:5" ht="15">
      <c r="A16" s="19"/>
      <c r="D16" s="23"/>
      <c r="E16" s="23"/>
    </row>
    <row r="17" spans="1:5" ht="15">
      <c r="A17" s="19"/>
      <c r="D17" s="23"/>
      <c r="E17" s="23"/>
    </row>
    <row r="18" spans="1:5" ht="17.25">
      <c r="A18" s="19">
        <f>1+A15</f>
        <v>5</v>
      </c>
      <c r="C18" s="16" t="s">
        <v>322</v>
      </c>
      <c r="D18" s="23"/>
      <c r="E18" s="20">
        <f>SUM('Amortization Workpaper'!D80:D84)</f>
        <v>3619969</v>
      </c>
    </row>
    <row r="19" spans="1:5" ht="15">
      <c r="A19" s="19"/>
      <c r="D19" s="23"/>
      <c r="E19" s="23"/>
    </row>
    <row r="20" spans="1:5" ht="15">
      <c r="A20" s="19">
        <f>A18+1</f>
        <v>6</v>
      </c>
      <c r="C20" s="67" t="s">
        <v>319</v>
      </c>
      <c r="D20" s="23"/>
      <c r="E20" s="23">
        <f>E18/5</f>
        <v>723993.8</v>
      </c>
    </row>
    <row r="21" spans="1:5" ht="15">
      <c r="A21" s="19"/>
      <c r="D21" s="23"/>
      <c r="E21" s="23"/>
    </row>
    <row r="22" spans="1:5" ht="17.25">
      <c r="A22" s="19">
        <f>1+A20</f>
        <v>7</v>
      </c>
      <c r="C22" s="16" t="s">
        <v>323</v>
      </c>
      <c r="D22" s="23"/>
      <c r="E22" s="68">
        <v>7.8899999999999998E-2</v>
      </c>
    </row>
    <row r="23" spans="1:5" ht="15">
      <c r="A23" s="19"/>
      <c r="D23" s="23"/>
      <c r="E23" s="23"/>
    </row>
    <row r="24" spans="1:5" ht="15">
      <c r="A24" s="19">
        <f>1+A22</f>
        <v>8</v>
      </c>
      <c r="C24" s="16" t="s">
        <v>324</v>
      </c>
      <c r="D24" s="23"/>
      <c r="E24" s="69">
        <f>E20*E22</f>
        <v>57123.110820000002</v>
      </c>
    </row>
    <row r="25" spans="1:5" ht="15">
      <c r="A25" s="19"/>
      <c r="D25" s="23"/>
      <c r="E25" s="23"/>
    </row>
    <row r="26" spans="1:5" ht="15">
      <c r="A26" s="19"/>
      <c r="D26" s="23"/>
      <c r="E26" s="23"/>
    </row>
    <row r="27" spans="1:5" ht="15">
      <c r="A27" s="19">
        <f>1+A24</f>
        <v>9</v>
      </c>
      <c r="C27" s="16" t="s">
        <v>325</v>
      </c>
      <c r="D27" s="23"/>
      <c r="E27" s="20">
        <f>E15+E24</f>
        <v>818514.43653000006</v>
      </c>
    </row>
    <row r="28" spans="1:5" ht="15">
      <c r="A28" s="19"/>
      <c r="D28" s="23"/>
      <c r="E28" s="23"/>
    </row>
    <row r="29" spans="1:5" ht="17.25">
      <c r="A29" s="19">
        <f>1+A27</f>
        <v>10</v>
      </c>
      <c r="C29" s="16" t="s">
        <v>326</v>
      </c>
      <c r="D29" s="23"/>
      <c r="E29" s="23">
        <v>537064</v>
      </c>
    </row>
    <row r="30" spans="1:5" ht="15">
      <c r="A30" s="19"/>
      <c r="D30" s="23"/>
      <c r="E30" s="23"/>
    </row>
    <row r="31" spans="1:5" ht="15.75" thickBot="1">
      <c r="A31" s="19">
        <f>1+A29</f>
        <v>11</v>
      </c>
      <c r="C31" s="70" t="s">
        <v>327</v>
      </c>
      <c r="D31" s="71"/>
      <c r="E31" s="72">
        <f>E27-E29</f>
        <v>281450.43653000006</v>
      </c>
    </row>
    <row r="32" spans="1:5" ht="15" thickTop="1"/>
    <row r="34" spans="2:2">
      <c r="B34" s="45" t="s">
        <v>328</v>
      </c>
    </row>
    <row r="35" spans="2:2">
      <c r="B35" s="46" t="s">
        <v>329</v>
      </c>
    </row>
    <row r="36" spans="2:2" ht="17.25">
      <c r="B36" s="46" t="s">
        <v>330</v>
      </c>
    </row>
    <row r="37" spans="2:2" ht="17.25">
      <c r="B37" s="46" t="s">
        <v>331</v>
      </c>
    </row>
    <row r="38" spans="2:2" ht="17.25">
      <c r="B38" s="46" t="s">
        <v>332</v>
      </c>
    </row>
  </sheetData>
  <mergeCells count="2">
    <mergeCell ref="A1:E1"/>
    <mergeCell ref="A4:E4"/>
  </mergeCells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6"/>
  <sheetViews>
    <sheetView topLeftCell="A35" workbookViewId="0">
      <selection activeCell="E58" sqref="E58"/>
    </sheetView>
  </sheetViews>
  <sheetFormatPr defaultRowHeight="14.25"/>
  <cols>
    <col min="1" max="1" width="5.42578125" style="19" bestFit="1" customWidth="1"/>
    <col min="2" max="2" width="4.140625" style="16" customWidth="1"/>
    <col min="3" max="3" width="40.42578125" style="16" customWidth="1"/>
    <col min="4" max="4" width="13.85546875" style="16" bestFit="1" customWidth="1"/>
    <col min="5" max="5" width="9.140625" style="16"/>
    <col min="6" max="6" width="2.7109375" style="16" bestFit="1" customWidth="1"/>
    <col min="7" max="7" width="16.85546875" style="16" bestFit="1" customWidth="1"/>
    <col min="8" max="8" width="14.28515625" style="16" customWidth="1"/>
    <col min="9" max="9" width="12.7109375" style="16" bestFit="1" customWidth="1"/>
    <col min="10" max="16384" width="9.140625" style="16"/>
  </cols>
  <sheetData>
    <row r="1" spans="1:7" ht="26.25">
      <c r="A1" s="136" t="s">
        <v>95</v>
      </c>
      <c r="B1" s="136"/>
      <c r="C1" s="136"/>
      <c r="D1" s="136"/>
      <c r="E1" s="136"/>
      <c r="F1" s="136"/>
      <c r="G1" s="136"/>
    </row>
    <row r="4" spans="1:7" ht="15">
      <c r="A4" s="130" t="s">
        <v>340</v>
      </c>
      <c r="B4" s="130"/>
      <c r="C4" s="130"/>
      <c r="D4" s="130"/>
      <c r="E4" s="130"/>
      <c r="F4" s="130"/>
      <c r="G4" s="130"/>
    </row>
    <row r="5" spans="1:7">
      <c r="A5" s="137" t="s">
        <v>341</v>
      </c>
      <c r="B5" s="138"/>
      <c r="C5" s="138"/>
      <c r="D5" s="138"/>
      <c r="E5" s="138"/>
      <c r="F5" s="138"/>
      <c r="G5" s="138"/>
    </row>
    <row r="8" spans="1:7" s="66" customFormat="1" ht="15">
      <c r="A8" s="66" t="s">
        <v>2</v>
      </c>
      <c r="C8" s="66" t="s">
        <v>3</v>
      </c>
      <c r="D8" s="66" t="s">
        <v>317</v>
      </c>
    </row>
    <row r="10" spans="1:7" ht="17.25">
      <c r="A10" s="19">
        <v>1</v>
      </c>
      <c r="C10" s="16" t="s">
        <v>342</v>
      </c>
      <c r="D10" s="20">
        <v>180514</v>
      </c>
      <c r="E10" s="73">
        <v>1</v>
      </c>
      <c r="F10" s="73"/>
    </row>
    <row r="11" spans="1:7" ht="17.25">
      <c r="A11" s="19">
        <v>2</v>
      </c>
      <c r="C11" s="16" t="s">
        <v>343</v>
      </c>
      <c r="D11" s="83">
        <v>3.5000000000000003E-2</v>
      </c>
      <c r="E11" s="73">
        <v>1</v>
      </c>
      <c r="F11" s="73"/>
    </row>
    <row r="12" spans="1:7" ht="17.25">
      <c r="A12" s="19">
        <v>3</v>
      </c>
      <c r="C12" s="16" t="s">
        <v>344</v>
      </c>
      <c r="D12" s="84">
        <f>D10/(1+D11)</f>
        <v>174409.66183574882</v>
      </c>
      <c r="E12" s="73"/>
      <c r="F12" s="73"/>
    </row>
    <row r="13" spans="1:7" ht="17.25">
      <c r="A13" s="19">
        <v>4</v>
      </c>
      <c r="C13" s="16" t="s">
        <v>345</v>
      </c>
      <c r="D13" s="83">
        <f>'Annualized Wage Increases'!C17</f>
        <v>2.0686429498146808E-2</v>
      </c>
      <c r="E13" s="73">
        <v>2</v>
      </c>
      <c r="F13" s="73"/>
    </row>
    <row r="14" spans="1:7" ht="17.25">
      <c r="A14" s="19">
        <v>5</v>
      </c>
      <c r="C14" s="16" t="s">
        <v>346</v>
      </c>
      <c r="D14" s="69">
        <f>D12*(1+D13)</f>
        <v>178017.57500910966</v>
      </c>
      <c r="E14" s="73"/>
      <c r="F14" s="73"/>
    </row>
    <row r="15" spans="1:7" ht="16.5">
      <c r="E15" s="73"/>
      <c r="F15" s="73"/>
    </row>
    <row r="16" spans="1:7" ht="16.5">
      <c r="A16" s="19">
        <v>6</v>
      </c>
      <c r="C16" s="16" t="s">
        <v>347</v>
      </c>
      <c r="D16" s="85">
        <f>D14-D10</f>
        <v>-2496.4249908903439</v>
      </c>
      <c r="E16" s="73"/>
      <c r="F16" s="73"/>
    </row>
    <row r="17" spans="1:6" ht="17.25">
      <c r="A17" s="19">
        <v>7</v>
      </c>
      <c r="C17" s="16" t="s">
        <v>348</v>
      </c>
      <c r="D17" s="83">
        <f>502576857/704553724</f>
        <v>0.71332652128597651</v>
      </c>
      <c r="E17" s="73">
        <v>3</v>
      </c>
      <c r="F17" s="73"/>
    </row>
    <row r="18" spans="1:6" ht="16.5">
      <c r="E18" s="73"/>
      <c r="F18" s="73"/>
    </row>
    <row r="19" spans="1:6" ht="16.5">
      <c r="A19" s="19">
        <v>8</v>
      </c>
      <c r="C19" s="16" t="s">
        <v>349</v>
      </c>
      <c r="D19" s="22">
        <f>D16*D17</f>
        <v>-1780.7661544031846</v>
      </c>
      <c r="E19" s="73"/>
      <c r="F19" s="73"/>
    </row>
    <row r="20" spans="1:6" ht="16.5">
      <c r="E20" s="73"/>
      <c r="F20" s="73"/>
    </row>
    <row r="21" spans="1:6" ht="16.5">
      <c r="E21" s="73"/>
      <c r="F21" s="73"/>
    </row>
    <row r="22" spans="1:6" ht="16.5">
      <c r="A22" s="19">
        <v>9</v>
      </c>
      <c r="C22" s="16" t="s">
        <v>350</v>
      </c>
      <c r="D22" s="22">
        <f>D19</f>
        <v>-1780.7661544031846</v>
      </c>
      <c r="E22" s="73"/>
      <c r="F22" s="73"/>
    </row>
    <row r="23" spans="1:6" ht="16.5">
      <c r="A23" s="19">
        <v>10</v>
      </c>
      <c r="C23" s="16" t="s">
        <v>351</v>
      </c>
      <c r="D23" s="86">
        <v>1.4500000000000001E-2</v>
      </c>
      <c r="E23" s="73"/>
      <c r="F23" s="73"/>
    </row>
    <row r="24" spans="1:6" ht="16.5">
      <c r="A24" s="19">
        <v>11</v>
      </c>
      <c r="D24" s="22">
        <f>D22*D23</f>
        <v>-25.821109238846176</v>
      </c>
      <c r="E24" s="73"/>
      <c r="F24" s="73"/>
    </row>
    <row r="25" spans="1:6" ht="16.5">
      <c r="E25" s="73"/>
      <c r="F25" s="73"/>
    </row>
    <row r="26" spans="1:6" ht="16.5">
      <c r="A26" s="19">
        <v>12</v>
      </c>
      <c r="C26" s="16" t="s">
        <v>352</v>
      </c>
      <c r="D26" s="86">
        <v>6.2E-2</v>
      </c>
      <c r="E26" s="73"/>
      <c r="F26" s="73"/>
    </row>
    <row r="27" spans="1:6" ht="16.5">
      <c r="A27" s="19">
        <v>13</v>
      </c>
      <c r="D27" s="22">
        <f>D22*D26</f>
        <v>-110.40750157299745</v>
      </c>
      <c r="E27" s="73"/>
      <c r="F27" s="73"/>
    </row>
    <row r="28" spans="1:6" ht="16.5">
      <c r="A28" s="19">
        <v>14</v>
      </c>
      <c r="C28" s="16" t="s">
        <v>353</v>
      </c>
      <c r="D28" s="16">
        <v>0.92549999999999999</v>
      </c>
      <c r="E28" s="73">
        <v>4</v>
      </c>
      <c r="F28" s="73"/>
    </row>
    <row r="29" spans="1:6" ht="16.5">
      <c r="A29" s="19">
        <v>15</v>
      </c>
      <c r="D29" s="22">
        <f>D27*D28</f>
        <v>-102.18214270580914</v>
      </c>
      <c r="E29" s="73"/>
      <c r="F29" s="73"/>
    </row>
    <row r="30" spans="1:6" ht="16.5">
      <c r="E30" s="73"/>
      <c r="F30" s="73"/>
    </row>
    <row r="31" spans="1:6" ht="17.25" thickBot="1">
      <c r="A31" s="19">
        <v>16</v>
      </c>
      <c r="C31" s="16" t="s">
        <v>354</v>
      </c>
      <c r="D31" s="25">
        <f>D24+D29</f>
        <v>-128.00325194465532</v>
      </c>
      <c r="E31" s="73"/>
      <c r="F31" s="73"/>
    </row>
    <row r="32" spans="1:6" ht="15" thickTop="1"/>
    <row r="33" spans="1:10" ht="15">
      <c r="E33" s="83"/>
    </row>
    <row r="35" spans="1:10" ht="15">
      <c r="D35" s="66" t="s">
        <v>355</v>
      </c>
      <c r="E35" s="87" t="s">
        <v>356</v>
      </c>
      <c r="F35" s="87"/>
      <c r="G35" s="66" t="s">
        <v>357</v>
      </c>
    </row>
    <row r="36" spans="1:10" ht="17.25">
      <c r="A36" s="19">
        <v>17</v>
      </c>
      <c r="C36" s="16" t="s">
        <v>358</v>
      </c>
      <c r="D36" s="22">
        <f>D19</f>
        <v>-1780.7661544031846</v>
      </c>
      <c r="E36" s="83">
        <f>28924/430094</f>
        <v>6.7250415025552554E-2</v>
      </c>
      <c r="F36" s="88">
        <v>5</v>
      </c>
      <c r="G36" s="22">
        <f>D36*E36</f>
        <v>-119.75726294707137</v>
      </c>
      <c r="I36" s="22"/>
      <c r="J36" s="22"/>
    </row>
    <row r="38" spans="1:10" ht="17.25">
      <c r="A38" s="19">
        <v>18</v>
      </c>
      <c r="C38" s="16" t="s">
        <v>359</v>
      </c>
      <c r="D38" s="22">
        <f>D31</f>
        <v>-128.00325194465532</v>
      </c>
      <c r="E38" s="83">
        <f>E36</f>
        <v>6.7250415025552554E-2</v>
      </c>
      <c r="F38" s="88">
        <v>5</v>
      </c>
      <c r="G38" s="22">
        <f>D38*E38</f>
        <v>-8.6082718178984372</v>
      </c>
    </row>
    <row r="40" spans="1:10" ht="15" thickBot="1">
      <c r="A40" s="19">
        <v>19</v>
      </c>
      <c r="C40" s="16" t="s">
        <v>360</v>
      </c>
      <c r="D40" s="89">
        <f>SUM(D36:D38)</f>
        <v>-1908.76940634784</v>
      </c>
      <c r="E40" s="90">
        <f>G40/D40</f>
        <v>6.725041502555254E-2</v>
      </c>
      <c r="F40" s="90"/>
      <c r="G40" s="25">
        <f>SUM(G36:G38)</f>
        <v>-128.36553476496979</v>
      </c>
    </row>
    <row r="41" spans="1:10" ht="15" thickTop="1"/>
    <row r="44" spans="1:10" ht="15">
      <c r="A44" s="130" t="s">
        <v>361</v>
      </c>
      <c r="B44" s="130"/>
      <c r="C44" s="130"/>
      <c r="D44" s="130"/>
      <c r="E44" s="130"/>
      <c r="F44" s="130"/>
      <c r="G44" s="130"/>
    </row>
    <row r="45" spans="1:10">
      <c r="A45" s="139" t="s">
        <v>362</v>
      </c>
      <c r="B45" s="139"/>
      <c r="C45" s="139"/>
      <c r="D45" s="139"/>
      <c r="E45" s="139"/>
      <c r="F45" s="139"/>
      <c r="G45" s="139"/>
    </row>
    <row r="46" spans="1:10" ht="15">
      <c r="A46" s="66"/>
      <c r="B46" s="66"/>
      <c r="C46" s="66"/>
      <c r="D46" s="66"/>
      <c r="E46" s="66"/>
      <c r="F46" s="66"/>
      <c r="G46" s="66"/>
    </row>
    <row r="47" spans="1:10">
      <c r="G47" s="28"/>
      <c r="H47" s="28"/>
    </row>
    <row r="48" spans="1:10" ht="15">
      <c r="A48" s="19">
        <v>20</v>
      </c>
      <c r="C48" s="16" t="s">
        <v>363</v>
      </c>
      <c r="G48" s="20">
        <f>'Attach ICNU 11.3'!$E$114</f>
        <v>34171904.732737169</v>
      </c>
      <c r="H48" s="20"/>
    </row>
    <row r="50" spans="1:8" ht="17.25">
      <c r="A50" s="19">
        <v>21</v>
      </c>
      <c r="C50" s="16" t="s">
        <v>364</v>
      </c>
      <c r="G50" s="91">
        <f>28924</f>
        <v>28924</v>
      </c>
      <c r="H50" s="20"/>
    </row>
    <row r="52" spans="1:8">
      <c r="A52" s="19">
        <v>22</v>
      </c>
      <c r="C52" s="16" t="s">
        <v>365</v>
      </c>
      <c r="G52" s="22">
        <f>G48+G50</f>
        <v>34200828.732737169</v>
      </c>
    </row>
    <row r="54" spans="1:8">
      <c r="A54" s="19">
        <v>23</v>
      </c>
      <c r="C54" s="16" t="s">
        <v>366</v>
      </c>
      <c r="G54" s="92">
        <f>G40*1000</f>
        <v>-128365.53476496979</v>
      </c>
    </row>
    <row r="56" spans="1:8" ht="15" thickBot="1">
      <c r="A56" s="19">
        <v>24</v>
      </c>
      <c r="C56" s="16" t="s">
        <v>367</v>
      </c>
      <c r="G56" s="93">
        <f>G52+G54</f>
        <v>34072463.197972201</v>
      </c>
    </row>
    <row r="57" spans="1:8" ht="15" thickTop="1">
      <c r="H57" s="22"/>
    </row>
    <row r="59" spans="1:8">
      <c r="B59" s="94" t="s">
        <v>368</v>
      </c>
    </row>
    <row r="60" spans="1:8">
      <c r="B60" s="16" t="s">
        <v>110</v>
      </c>
    </row>
    <row r="61" spans="1:8" ht="17.25">
      <c r="B61" s="95" t="s">
        <v>369</v>
      </c>
      <c r="C61" s="95"/>
      <c r="D61" s="95"/>
      <c r="E61" s="95"/>
      <c r="F61" s="95"/>
      <c r="G61" s="95"/>
    </row>
    <row r="62" spans="1:8" ht="17.25">
      <c r="B62" s="95" t="s">
        <v>370</v>
      </c>
      <c r="C62" s="95"/>
      <c r="D62" s="95"/>
      <c r="E62" s="95"/>
      <c r="F62" s="95"/>
      <c r="G62" s="95"/>
    </row>
    <row r="63" spans="1:8" ht="17.25">
      <c r="B63" s="95" t="s">
        <v>371</v>
      </c>
      <c r="C63" s="95"/>
      <c r="D63" s="95"/>
      <c r="E63" s="95"/>
      <c r="F63" s="95"/>
      <c r="G63" s="95"/>
    </row>
    <row r="64" spans="1:8" ht="17.25">
      <c r="B64" s="95" t="s">
        <v>372</v>
      </c>
      <c r="C64" s="95"/>
      <c r="D64" s="95"/>
      <c r="E64" s="95"/>
      <c r="F64" s="95"/>
      <c r="G64" s="95"/>
    </row>
    <row r="65" spans="2:7">
      <c r="B65" s="135" t="s">
        <v>373</v>
      </c>
      <c r="C65" s="135"/>
      <c r="D65" s="135"/>
      <c r="E65" s="135"/>
      <c r="F65" s="135"/>
      <c r="G65" s="135"/>
    </row>
    <row r="66" spans="2:7">
      <c r="B66" s="135"/>
      <c r="C66" s="135"/>
      <c r="D66" s="135"/>
      <c r="E66" s="135"/>
      <c r="F66" s="135"/>
      <c r="G66" s="135"/>
    </row>
    <row r="67" spans="2:7" ht="17.25">
      <c r="B67" s="95" t="s">
        <v>374</v>
      </c>
      <c r="C67" s="95"/>
      <c r="D67" s="95"/>
      <c r="E67" s="95"/>
      <c r="F67" s="95"/>
      <c r="G67" s="95"/>
    </row>
    <row r="73" spans="2:7">
      <c r="D73" s="16" t="s">
        <v>484</v>
      </c>
      <c r="G73" s="16" t="s">
        <v>485</v>
      </c>
    </row>
    <row r="74" spans="2:7" ht="15">
      <c r="C74" t="s">
        <v>14</v>
      </c>
      <c r="D74" s="120">
        <v>4568</v>
      </c>
      <c r="G74" s="120">
        <f>D74/$D$85*$G$85</f>
        <v>-20273.614867281471</v>
      </c>
    </row>
    <row r="75" spans="2:7" ht="15">
      <c r="C75" t="s">
        <v>15</v>
      </c>
      <c r="D75" s="120">
        <v>0</v>
      </c>
      <c r="G75" s="120">
        <f t="shared" ref="G75:G83" si="0">D75/$D$85*$G$85</f>
        <v>0</v>
      </c>
    </row>
    <row r="76" spans="2:7" ht="15">
      <c r="C76" t="s">
        <v>16</v>
      </c>
      <c r="D76" s="120">
        <v>1965</v>
      </c>
      <c r="G76" s="120">
        <f t="shared" si="0"/>
        <v>-8721.0274111663948</v>
      </c>
    </row>
    <row r="77" spans="2:7" ht="15">
      <c r="C77" t="s">
        <v>17</v>
      </c>
      <c r="D77" s="120">
        <v>2394</v>
      </c>
      <c r="G77" s="120">
        <f t="shared" si="0"/>
        <v>-10625.007441390509</v>
      </c>
    </row>
    <row r="78" spans="2:7" ht="15">
      <c r="C78" t="s">
        <v>18</v>
      </c>
      <c r="D78" s="120">
        <v>1699</v>
      </c>
      <c r="G78" s="120">
        <f t="shared" si="0"/>
        <v>-7540.4710287896723</v>
      </c>
    </row>
    <row r="79" spans="2:7" ht="15">
      <c r="C79" t="s">
        <v>19</v>
      </c>
      <c r="D79" s="120">
        <v>7079</v>
      </c>
      <c r="G79" s="120">
        <f t="shared" si="0"/>
        <v>-31417.889589642196</v>
      </c>
    </row>
    <row r="80" spans="2:7" ht="15">
      <c r="C80" t="s">
        <v>20</v>
      </c>
      <c r="D80" s="120">
        <v>4466</v>
      </c>
      <c r="G80" s="120">
        <f t="shared" si="0"/>
        <v>-19820.920314640774</v>
      </c>
    </row>
    <row r="81" spans="3:7" ht="15">
      <c r="C81" t="s">
        <v>21</v>
      </c>
      <c r="D81" s="120">
        <v>207</v>
      </c>
      <c r="G81" s="120">
        <f t="shared" si="0"/>
        <v>-918.70365094729959</v>
      </c>
    </row>
    <row r="82" spans="3:7" ht="15">
      <c r="C82" t="s">
        <v>22</v>
      </c>
      <c r="D82" s="120">
        <v>0</v>
      </c>
      <c r="G82" s="120">
        <f t="shared" si="0"/>
        <v>0</v>
      </c>
    </row>
    <row r="83" spans="3:7" ht="15">
      <c r="C83" t="s">
        <v>23</v>
      </c>
      <c r="D83" s="120">
        <v>6545</v>
      </c>
      <c r="G83" s="120">
        <f t="shared" si="0"/>
        <v>-29047.900461111476</v>
      </c>
    </row>
    <row r="84" spans="3:7">
      <c r="D84" s="120"/>
      <c r="G84" s="120"/>
    </row>
    <row r="85" spans="3:7" ht="15" thickBot="1">
      <c r="D85" s="121">
        <f>SUM(D74:D84)</f>
        <v>28923</v>
      </c>
      <c r="G85" s="121">
        <f>G54</f>
        <v>-128365.53476496979</v>
      </c>
    </row>
    <row r="86" spans="3:7" ht="15" thickTop="1"/>
  </sheetData>
  <mergeCells count="6">
    <mergeCell ref="B65:G66"/>
    <mergeCell ref="A1:G1"/>
    <mergeCell ref="A4:G4"/>
    <mergeCell ref="A5:G5"/>
    <mergeCell ref="A44:G44"/>
    <mergeCell ref="A45:G45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22"/>
  <sheetViews>
    <sheetView workbookViewId="0">
      <selection activeCell="A6" sqref="A6"/>
    </sheetView>
  </sheetViews>
  <sheetFormatPr defaultRowHeight="14.25"/>
  <cols>
    <col min="1" max="1" width="3.7109375" style="16" customWidth="1"/>
    <col min="2" max="7" width="14.42578125" style="16" customWidth="1"/>
    <col min="8" max="8" width="19.85546875" style="16" bestFit="1" customWidth="1"/>
    <col min="9" max="16384" width="9.140625" style="16"/>
  </cols>
  <sheetData>
    <row r="1" spans="2:10" ht="15">
      <c r="B1" s="53" t="s">
        <v>116</v>
      </c>
    </row>
    <row r="2" spans="2:10" ht="15">
      <c r="B2" s="53" t="s">
        <v>117</v>
      </c>
    </row>
    <row r="4" spans="2:10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10" ht="15">
      <c r="B5" s="16" t="s">
        <v>118</v>
      </c>
      <c r="C5" s="35">
        <f>'2005'!C25</f>
        <v>1559276</v>
      </c>
      <c r="D5" s="35">
        <f>'2006'!C25</f>
        <v>1601392</v>
      </c>
      <c r="E5" s="35">
        <f>'2007'!C25</f>
        <v>1629811</v>
      </c>
      <c r="F5" s="35">
        <f>'2008'!C25</f>
        <v>1626596</v>
      </c>
      <c r="G5" s="35">
        <f>'2009'!C25</f>
        <v>1703421</v>
      </c>
      <c r="H5" s="23"/>
      <c r="I5" s="35"/>
      <c r="J5" s="35"/>
    </row>
    <row r="6" spans="2:10" ht="15">
      <c r="B6" s="16" t="s">
        <v>119</v>
      </c>
      <c r="C6" s="35">
        <f>'2005'!C68</f>
        <v>1406620</v>
      </c>
      <c r="D6" s="35">
        <f>'2006'!C68</f>
        <v>1407750</v>
      </c>
      <c r="E6" s="35">
        <f>'2007'!C68</f>
        <v>1425289</v>
      </c>
      <c r="F6" s="35">
        <f>'2008'!C68</f>
        <v>1409220</v>
      </c>
      <c r="G6" s="35">
        <f>'2009'!C68</f>
        <v>1331977</v>
      </c>
      <c r="H6" s="23"/>
      <c r="I6" s="35"/>
      <c r="J6" s="35"/>
    </row>
    <row r="7" spans="2:10" ht="15">
      <c r="B7" s="16" t="s">
        <v>120</v>
      </c>
      <c r="C7" s="35">
        <f>'2005'!C104</f>
        <v>1053842</v>
      </c>
      <c r="D7" s="35">
        <f>'2006'!C104</f>
        <v>978610</v>
      </c>
      <c r="E7" s="35">
        <f>'2007'!C104</f>
        <v>864061</v>
      </c>
      <c r="F7" s="35">
        <f>'2008'!C104</f>
        <v>875784</v>
      </c>
      <c r="G7" s="35">
        <f>'2009'!C104</f>
        <v>831810</v>
      </c>
      <c r="H7" s="23"/>
      <c r="I7" s="35"/>
      <c r="J7" s="35"/>
    </row>
    <row r="8" spans="2:10" ht="15">
      <c r="B8" s="16" t="s">
        <v>121</v>
      </c>
      <c r="C8" s="35">
        <f>'2005'!C122</f>
        <v>175516</v>
      </c>
      <c r="D8" s="35">
        <f>'2006'!C122</f>
        <v>154315</v>
      </c>
      <c r="E8" s="35">
        <f>'2007'!C122</f>
        <v>164183</v>
      </c>
      <c r="F8" s="35">
        <f>'2008'!C122</f>
        <v>166575</v>
      </c>
      <c r="G8" s="35">
        <f>'2009'!C122</f>
        <v>168859</v>
      </c>
      <c r="H8" s="23"/>
      <c r="I8" s="35"/>
      <c r="J8" s="35"/>
    </row>
    <row r="9" spans="2:10">
      <c r="D9" s="35"/>
    </row>
    <row r="11" spans="2:10">
      <c r="D11" s="35"/>
    </row>
    <row r="13" spans="2:10">
      <c r="D13" s="35"/>
    </row>
    <row r="14" spans="2:10">
      <c r="B14" s="16" t="s">
        <v>122</v>
      </c>
      <c r="C14" s="35"/>
      <c r="D14" s="35"/>
      <c r="E14" s="35"/>
      <c r="F14" s="35"/>
      <c r="G14" s="35"/>
    </row>
    <row r="15" spans="2:10">
      <c r="B15" s="16" t="s">
        <v>118</v>
      </c>
      <c r="C15" s="35">
        <f>'2005'!C24</f>
        <v>27746</v>
      </c>
      <c r="D15" s="35">
        <f>'2006'!C24</f>
        <v>-5050</v>
      </c>
      <c r="E15" s="35">
        <f>'2007'!C24</f>
        <v>-3085</v>
      </c>
      <c r="F15" s="35">
        <f>'2008'!C24</f>
        <v>-675</v>
      </c>
      <c r="G15" s="35">
        <f>'2009'!C24</f>
        <v>-28567</v>
      </c>
    </row>
    <row r="16" spans="2:10">
      <c r="B16" s="16" t="s">
        <v>119</v>
      </c>
      <c r="C16" s="35">
        <f>'2005'!C67</f>
        <v>10100</v>
      </c>
      <c r="D16" s="35">
        <f>'2006'!C67</f>
        <v>7357</v>
      </c>
      <c r="E16" s="35">
        <f>'2007'!C67</f>
        <v>-6503</v>
      </c>
      <c r="F16" s="35">
        <f>'2008'!C67</f>
        <v>-5093</v>
      </c>
      <c r="G16" s="35">
        <f>'2009'!C67</f>
        <v>25266</v>
      </c>
    </row>
    <row r="17" spans="2:7">
      <c r="B17" s="16" t="s">
        <v>120</v>
      </c>
      <c r="C17" s="35">
        <f>'2005'!C103</f>
        <v>2776</v>
      </c>
      <c r="D17" s="35">
        <f>'2006'!C103</f>
        <v>11567</v>
      </c>
      <c r="E17" s="35">
        <f>'2007'!C103</f>
        <v>-5046</v>
      </c>
      <c r="F17" s="35">
        <f>'2008'!C103</f>
        <v>-2122</v>
      </c>
      <c r="G17" s="35">
        <f>'2009'!C103</f>
        <v>16578</v>
      </c>
    </row>
    <row r="18" spans="2:7">
      <c r="B18" s="16" t="s">
        <v>121</v>
      </c>
      <c r="C18" s="35">
        <f>'2005'!C121</f>
        <v>-216</v>
      </c>
      <c r="D18" s="35">
        <f>'2006'!C121</f>
        <v>187</v>
      </c>
      <c r="E18" s="35">
        <f>'2007'!C121</f>
        <v>-209</v>
      </c>
      <c r="F18" s="35">
        <f>'2008'!C121</f>
        <v>3</v>
      </c>
      <c r="G18" s="35">
        <f>'2009'!C121</f>
        <v>57</v>
      </c>
    </row>
    <row r="22" spans="2:7">
      <c r="B22" s="16" t="s">
        <v>123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22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124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'2005'!D25</f>
        <v>79692027</v>
      </c>
      <c r="D5" s="35">
        <f>'2006'!D25</f>
        <v>82683973</v>
      </c>
      <c r="E5" s="35">
        <f>'2007'!D25</f>
        <v>100494334</v>
      </c>
      <c r="F5" s="35">
        <f>'2008'!D25</f>
        <v>107584388</v>
      </c>
      <c r="G5" s="35">
        <f>'2009'!D25</f>
        <v>124473093</v>
      </c>
    </row>
    <row r="6" spans="2:7">
      <c r="B6" s="16" t="s">
        <v>119</v>
      </c>
      <c r="C6" s="35">
        <f>'2005'!D68</f>
        <v>76201477</v>
      </c>
      <c r="D6" s="35">
        <f>'2006'!D68</f>
        <v>77641294</v>
      </c>
      <c r="E6" s="35">
        <f>'2007'!D68</f>
        <v>81247617</v>
      </c>
      <c r="F6" s="35">
        <f>'2008'!D68</f>
        <v>83761821</v>
      </c>
      <c r="G6" s="35">
        <f>'2009'!D68</f>
        <v>99121059</v>
      </c>
    </row>
    <row r="7" spans="2:7">
      <c r="B7" s="16" t="s">
        <v>120</v>
      </c>
      <c r="C7" s="35">
        <f>'2005'!D104</f>
        <v>47486183</v>
      </c>
      <c r="D7" s="35">
        <f>'2006'!D104</f>
        <v>44499489</v>
      </c>
      <c r="E7" s="35">
        <f>'2007'!D104</f>
        <v>40149391</v>
      </c>
      <c r="F7" s="35">
        <f>'2008'!D104</f>
        <v>42248916</v>
      </c>
      <c r="G7" s="35">
        <f>'2009'!D104</f>
        <v>46194330</v>
      </c>
    </row>
    <row r="8" spans="2:7">
      <c r="B8" s="16" t="s">
        <v>121</v>
      </c>
      <c r="C8" s="35">
        <f>'2005'!D122</f>
        <v>8397490</v>
      </c>
      <c r="D8" s="35">
        <f>'2006'!D122</f>
        <v>7673325</v>
      </c>
      <c r="E8" s="35">
        <f>'2007'!D122</f>
        <v>9903642</v>
      </c>
      <c r="F8" s="35">
        <f>'2008'!D122</f>
        <v>10392535</v>
      </c>
      <c r="G8" s="35">
        <f>'2009'!D122</f>
        <v>11670811</v>
      </c>
    </row>
    <row r="11" spans="2:7">
      <c r="B11" s="16" t="s">
        <v>125</v>
      </c>
    </row>
    <row r="12" spans="2:7">
      <c r="B12" s="16" t="s">
        <v>118</v>
      </c>
      <c r="C12" s="35">
        <f>'2005'!D23</f>
        <v>-17000</v>
      </c>
      <c r="D12" s="35">
        <f>'2006'!D23</f>
        <v>0</v>
      </c>
      <c r="E12" s="35">
        <f>'2007'!D23</f>
        <v>3000</v>
      </c>
      <c r="F12" s="35">
        <f>'2008'!D23</f>
        <v>1000</v>
      </c>
      <c r="G12" s="35">
        <f>'2009'!D23</f>
        <v>-15000</v>
      </c>
    </row>
    <row r="13" spans="2:7">
      <c r="C13" s="35"/>
      <c r="D13" s="35"/>
      <c r="E13" s="35"/>
      <c r="F13" s="35"/>
      <c r="G13" s="35"/>
    </row>
    <row r="14" spans="2:7">
      <c r="B14" s="16" t="s">
        <v>122</v>
      </c>
      <c r="C14" s="35"/>
      <c r="D14" s="35"/>
      <c r="E14" s="35"/>
      <c r="F14" s="35"/>
      <c r="G14" s="35"/>
    </row>
    <row r="15" spans="2:7">
      <c r="B15" s="16" t="s">
        <v>118</v>
      </c>
      <c r="C15" s="35">
        <f>'2005'!D24</f>
        <v>2200000</v>
      </c>
      <c r="D15" s="35">
        <f>'2006'!D24</f>
        <v>-435000</v>
      </c>
      <c r="E15" s="35">
        <f>'2007'!D24</f>
        <v>305000</v>
      </c>
      <c r="F15" s="35">
        <f>'2008'!D24</f>
        <v>271000</v>
      </c>
      <c r="G15" s="35">
        <f>'2009'!D24</f>
        <v>-1556000</v>
      </c>
    </row>
    <row r="16" spans="2:7">
      <c r="B16" s="16" t="s">
        <v>119</v>
      </c>
      <c r="C16" s="35">
        <f>'2005'!D67</f>
        <v>681000</v>
      </c>
      <c r="D16" s="35">
        <f>'2006'!D67</f>
        <v>468000</v>
      </c>
      <c r="E16" s="35">
        <f>'2007'!D67</f>
        <v>-99000</v>
      </c>
      <c r="F16" s="35">
        <f>'2008'!D67</f>
        <v>120000</v>
      </c>
      <c r="G16" s="35">
        <f>'2009'!D67</f>
        <v>1683000</v>
      </c>
    </row>
    <row r="17" spans="2:7">
      <c r="B17" s="16" t="s">
        <v>120</v>
      </c>
      <c r="C17" s="35">
        <f>'2005'!D103</f>
        <v>297000</v>
      </c>
      <c r="D17" s="35">
        <f>'2006'!D103</f>
        <v>484000</v>
      </c>
      <c r="E17" s="35">
        <f>'2007'!D103</f>
        <v>-132000</v>
      </c>
      <c r="F17" s="35">
        <f>'2008'!D103</f>
        <v>-84000</v>
      </c>
      <c r="G17" s="35">
        <f>'2009'!D103</f>
        <v>1224000</v>
      </c>
    </row>
    <row r="18" spans="2:7">
      <c r="B18" s="16" t="s">
        <v>121</v>
      </c>
      <c r="C18" s="35">
        <f>'2005'!D121</f>
        <v>-10000</v>
      </c>
      <c r="D18" s="35">
        <f>'2006'!D121</f>
        <v>42000</v>
      </c>
      <c r="E18" s="35">
        <f>'2007'!D121</f>
        <v>-59000</v>
      </c>
      <c r="F18" s="35">
        <f>'2008'!D121</f>
        <v>0</v>
      </c>
      <c r="G18" s="35">
        <f>'2009'!D121</f>
        <v>3000</v>
      </c>
    </row>
    <row r="22" spans="2:7">
      <c r="B22" s="16" t="s">
        <v>123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3"/>
  <sheetViews>
    <sheetView workbookViewId="0">
      <selection activeCell="A6" sqref="A6"/>
    </sheetView>
  </sheetViews>
  <sheetFormatPr defaultRowHeight="14.25"/>
  <cols>
    <col min="1" max="1" width="9.140625" style="16"/>
    <col min="2" max="7" width="14.42578125" style="16" customWidth="1"/>
    <col min="8" max="16384" width="9.140625" style="16"/>
  </cols>
  <sheetData>
    <row r="1" spans="2:7" ht="15">
      <c r="B1" s="53" t="s">
        <v>116</v>
      </c>
    </row>
    <row r="2" spans="2:7" ht="15">
      <c r="B2" s="53" t="s">
        <v>126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'2005'!E25</f>
        <v>102632</v>
      </c>
      <c r="D5" s="35">
        <f>'2006'!E25</f>
        <v>103368</v>
      </c>
      <c r="E5" s="35">
        <f>'2007'!E25</f>
        <v>103169</v>
      </c>
      <c r="F5" s="35">
        <f>'2008'!E25</f>
        <v>104187</v>
      </c>
      <c r="G5" s="35">
        <f>'2009'!E25</f>
        <v>104754</v>
      </c>
    </row>
    <row r="6" spans="2:7">
      <c r="B6" s="16" t="s">
        <v>119</v>
      </c>
      <c r="C6" s="35">
        <f>'2005'!E68</f>
        <v>19018</v>
      </c>
      <c r="D6" s="35">
        <f>'2006'!E68</f>
        <v>23230</v>
      </c>
      <c r="E6" s="35">
        <f>'2007'!E68</f>
        <v>19357</v>
      </c>
      <c r="F6" s="35">
        <f>'2008'!E68</f>
        <v>19641</v>
      </c>
      <c r="G6" s="35">
        <f>'2009'!E68</f>
        <v>19931</v>
      </c>
    </row>
    <row r="7" spans="2:7">
      <c r="B7" s="16" t="s">
        <v>120</v>
      </c>
      <c r="C7" s="35">
        <f>'2005'!E104</f>
        <v>785</v>
      </c>
      <c r="D7" s="35">
        <f>'2006'!E104</f>
        <v>929</v>
      </c>
      <c r="E7" s="35">
        <f>'2007'!E104</f>
        <v>740</v>
      </c>
      <c r="F7" s="35">
        <f>'2008'!E104</f>
        <v>727</v>
      </c>
      <c r="G7" s="35">
        <f>'2009'!E104</f>
        <v>719</v>
      </c>
    </row>
    <row r="8" spans="2:7">
      <c r="B8" s="16" t="s">
        <v>121</v>
      </c>
      <c r="C8" s="35">
        <f>'2005'!E122</f>
        <v>5265</v>
      </c>
      <c r="D8" s="35">
        <f>'2006'!E122</f>
        <v>5238</v>
      </c>
      <c r="E8" s="35">
        <f>'2007'!E122</f>
        <v>5250</v>
      </c>
      <c r="F8" s="35">
        <f>'2008'!E122</f>
        <v>5280</v>
      </c>
      <c r="G8" s="35">
        <f>'2009'!E122</f>
        <v>5313</v>
      </c>
    </row>
    <row r="13" spans="2:7">
      <c r="B13" s="16" t="s">
        <v>123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24"/>
  <sheetViews>
    <sheetView topLeftCell="A7" workbookViewId="0">
      <selection activeCell="A6" sqref="A6"/>
    </sheetView>
  </sheetViews>
  <sheetFormatPr defaultRowHeight="14.25"/>
  <cols>
    <col min="1" max="1" width="9.140625" style="16"/>
    <col min="2" max="5" width="14.42578125" style="16" customWidth="1"/>
    <col min="6" max="6" width="15.7109375" style="16" bestFit="1" customWidth="1"/>
    <col min="7" max="7" width="14.42578125" style="16" customWidth="1"/>
    <col min="8" max="8" width="12.42578125" style="16" bestFit="1" customWidth="1"/>
    <col min="9" max="16384" width="9.140625" style="16"/>
  </cols>
  <sheetData>
    <row r="1" spans="2:7" ht="15">
      <c r="B1" s="53" t="s">
        <v>116</v>
      </c>
    </row>
    <row r="2" spans="2:7" ht="15">
      <c r="B2" s="53" t="s">
        <v>127</v>
      </c>
    </row>
    <row r="4" spans="2:7" ht="15">
      <c r="C4" s="53">
        <v>2005</v>
      </c>
      <c r="D4" s="53">
        <v>2006</v>
      </c>
      <c r="E4" s="53">
        <v>2007</v>
      </c>
      <c r="F4" s="53">
        <v>2008</v>
      </c>
      <c r="G4" s="53">
        <v>2009</v>
      </c>
    </row>
    <row r="5" spans="2:7">
      <c r="B5" s="16" t="s">
        <v>118</v>
      </c>
      <c r="C5" s="35">
        <f>'2005'!F25</f>
        <v>15192.883311247953</v>
      </c>
      <c r="D5" s="35">
        <f>'2006'!F25</f>
        <v>15492.144570853648</v>
      </c>
      <c r="E5" s="35">
        <f>'2007'!F25</f>
        <v>15797.487617404453</v>
      </c>
      <c r="F5" s="35">
        <f>'2008'!F25</f>
        <v>15612.274084098784</v>
      </c>
      <c r="G5" s="35">
        <f>'2009'!F25</f>
        <v>16261.154705309582</v>
      </c>
    </row>
    <row r="6" spans="2:7">
      <c r="B6" s="16" t="s">
        <v>119</v>
      </c>
      <c r="C6" s="35">
        <f>'2005'!F68</f>
        <v>73962.561783573459</v>
      </c>
      <c r="D6" s="35">
        <f>'2006'!F68</f>
        <v>60600.516573396468</v>
      </c>
      <c r="E6" s="35">
        <f>'2007'!F68</f>
        <v>73631.709459110396</v>
      </c>
      <c r="F6" s="35">
        <f>'2008'!F68</f>
        <v>71748.892622575222</v>
      </c>
      <c r="G6" s="35">
        <f>'2009'!F68</f>
        <v>66829.411469570012</v>
      </c>
    </row>
    <row r="7" spans="2:7">
      <c r="B7" s="16" t="s">
        <v>120</v>
      </c>
      <c r="C7" s="35">
        <f>'2005'!F104</f>
        <v>1342473.8853503184</v>
      </c>
      <c r="D7" s="35">
        <f>'2006'!F104</f>
        <v>1053401.5069967706</v>
      </c>
      <c r="E7" s="35">
        <f>'2007'!F104</f>
        <v>1167650</v>
      </c>
      <c r="F7" s="35">
        <f>'2008'!F104</f>
        <v>1204654.7455295736</v>
      </c>
      <c r="G7" s="35">
        <f>'2009'!F104</f>
        <v>1156898.4700973574</v>
      </c>
    </row>
    <row r="8" spans="2:7">
      <c r="B8" s="16" t="s">
        <v>121</v>
      </c>
      <c r="C8" s="35">
        <f>'2005'!F122</f>
        <v>33336.372269705607</v>
      </c>
      <c r="D8" s="35">
        <f>'2006'!F122</f>
        <v>29460.672012218402</v>
      </c>
      <c r="E8" s="35">
        <f>'2007'!F122</f>
        <v>31272.952380952382</v>
      </c>
      <c r="F8" s="35">
        <f>'2008'!F122</f>
        <v>31548.295454545452</v>
      </c>
      <c r="G8" s="35">
        <f>'2009'!F122</f>
        <v>31782.232260493132</v>
      </c>
    </row>
    <row r="13" spans="2:7">
      <c r="B13" s="16" t="s">
        <v>123</v>
      </c>
    </row>
    <row r="16" spans="2:7" ht="15">
      <c r="E16" s="53"/>
      <c r="F16" s="54"/>
      <c r="G16" s="54"/>
    </row>
    <row r="17" spans="2:14" ht="15">
      <c r="E17" s="55"/>
      <c r="F17" s="55"/>
      <c r="G17" s="55"/>
    </row>
    <row r="18" spans="2:14" ht="15">
      <c r="B18" s="46"/>
      <c r="E18" s="23"/>
      <c r="F18" s="23"/>
      <c r="G18" s="24"/>
    </row>
    <row r="19" spans="2:14" ht="15">
      <c r="B19" s="46"/>
      <c r="E19" s="23"/>
      <c r="F19" s="23"/>
      <c r="G19" s="24"/>
    </row>
    <row r="20" spans="2:14" ht="15">
      <c r="B20" s="46"/>
      <c r="E20" s="23"/>
      <c r="F20" s="23"/>
      <c r="G20" s="24"/>
    </row>
    <row r="21" spans="2:14" ht="15">
      <c r="B21" s="46"/>
      <c r="E21" s="23"/>
      <c r="F21" s="23"/>
      <c r="G21" s="24"/>
      <c r="N21" s="16">
        <f>ROUND(L19*N9,0)</f>
        <v>0</v>
      </c>
    </row>
    <row r="23" spans="2:14">
      <c r="N23" s="16">
        <f>118564883/1584590296</f>
        <v>7.4823683635634228E-2</v>
      </c>
    </row>
    <row r="24" spans="2:14">
      <c r="B24" s="46"/>
    </row>
  </sheetData>
  <pageMargins left="0.7" right="0.7" top="0.75" bottom="0.75" header="0.3" footer="0.3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90FF8-0F24-4DB6-86C5-39A14CEAAEDB}"/>
</file>

<file path=customXml/itemProps2.xml><?xml version="1.0" encoding="utf-8"?>
<ds:datastoreItem xmlns:ds="http://schemas.openxmlformats.org/officeDocument/2006/customXml" ds:itemID="{9256B2AE-5734-44F4-872A-D7C791B1EB77}"/>
</file>

<file path=customXml/itemProps3.xml><?xml version="1.0" encoding="utf-8"?>
<ds:datastoreItem xmlns:ds="http://schemas.openxmlformats.org/officeDocument/2006/customXml" ds:itemID="{2C1D37C2-1A9D-4FCB-8874-E426012EBED0}"/>
</file>

<file path=customXml/itemProps4.xml><?xml version="1.0" encoding="utf-8"?>
<ds:datastoreItem xmlns:ds="http://schemas.openxmlformats.org/officeDocument/2006/customXml" ds:itemID="{2ABD4C2D-37E9-4FE5-9F1E-91C2FE872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</vt:i4>
      </vt:variant>
    </vt:vector>
  </HeadingPairs>
  <TitlesOfParts>
    <vt:vector size="22" baseType="lpstr">
      <vt:lpstr>Summary</vt:lpstr>
      <vt:lpstr>Summary of Adjustments Table</vt:lpstr>
      <vt:lpstr>Residental Revenue Adjustment</vt:lpstr>
      <vt:lpstr>Revenue Adjustment</vt:lpstr>
      <vt:lpstr>2009 Wage Adjustment Calc</vt:lpstr>
      <vt:lpstr>MWh Sold</vt:lpstr>
      <vt:lpstr>Revenue</vt:lpstr>
      <vt:lpstr>Average Number of Customers</vt:lpstr>
      <vt:lpstr>KWh of Sales Per Customer</vt:lpstr>
      <vt:lpstr>Usage from case</vt:lpstr>
      <vt:lpstr>Revenue Per KWh Sold</vt:lpstr>
      <vt:lpstr>2009</vt:lpstr>
      <vt:lpstr>2008</vt:lpstr>
      <vt:lpstr>2007</vt:lpstr>
      <vt:lpstr>2006</vt:lpstr>
      <vt:lpstr>2005</vt:lpstr>
      <vt:lpstr>Amortization Workpaper</vt:lpstr>
      <vt:lpstr>Annualized Wage Increases</vt:lpstr>
      <vt:lpstr>Non-Offcr Wge Incrss From 4.3.3</vt:lpstr>
      <vt:lpstr>Attach ICNU 11.3</vt:lpstr>
      <vt:lpstr>'Amortization Workpaper'!Print_Area</vt:lpstr>
      <vt:lpstr>'Attach ICNU 11.3'!Print_Titles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2010-11-08T16:38:50Z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