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Compliance Filing/2_Compliance_Yr2_101422/WPs/"/>
    </mc:Choice>
  </mc:AlternateContent>
  <xr:revisionPtr revIDLastSave="0" documentId="13_ncr:1_{8E03F4FD-9788-4B4B-AF54-4448E2512DF2}" xr6:coauthVersionLast="47" xr6:coauthVersionMax="47" xr10:uidLastSave="{00000000-0000-0000-0000-000000000000}"/>
  <bookViews>
    <workbookView xWindow="-110" yWindow="-110" windowWidth="19420" windowHeight="10420" tabRatio="704" firstSheet="12" activeTab="18" xr2:uid="{7E27C5C0-82BD-41EC-9274-0D40FB672F56}"/>
  </bookViews>
  <sheets>
    <sheet name="Index" sheetId="24" r:id="rId1"/>
    <sheet name="WA Volumes &amp; Revenues" sheetId="1" r:id="rId2"/>
    <sheet name="Rate Spread SETTLEMENT" sheetId="2" r:id="rId3"/>
    <sheet name="Allocation = ¢ per Therm" sheetId="3" state="hidden" r:id="rId4"/>
    <sheet name="Allocation = % of Margin" sheetId="4" r:id="rId5"/>
    <sheet name="Allocation = % of Revenue" sheetId="5" state="hidden" r:id="rId6"/>
    <sheet name="Rev Req Proof Yr1" sheetId="6" state="hidden" r:id="rId7"/>
    <sheet name="Rev Req Proof Yr2" sheetId="18" state="hidden" r:id="rId8"/>
    <sheet name="Temps Proof" sheetId="7" state="hidden" r:id="rId9"/>
    <sheet name="Combined Items Proof Yr1" sheetId="9" r:id="rId10"/>
    <sheet name="Combined Items Proof Yr2" sheetId="19" r:id="rId11"/>
    <sheet name="Rates in summary" sheetId="11" r:id="rId12"/>
    <sheet name="Rates in Detail" sheetId="10" r:id="rId13"/>
    <sheet name="Avg Bill by RS" sheetId="12" r:id="rId14"/>
    <sheet name="Rate Impacts - Rev Req ONLY" sheetId="13" state="hidden" r:id="rId15"/>
    <sheet name="Proposed Rates - COMBINED" sheetId="17" r:id="rId16"/>
    <sheet name="Rate Impacts - COMBINED" sheetId="14" r:id="rId17"/>
    <sheet name="Exh A Pg 1" sheetId="28" r:id="rId18"/>
    <sheet name="Exh A Pg 2" sheetId="29" r:id="rId19"/>
    <sheet name="Exh. RJW-3 RR" sheetId="20" state="hidden" r:id="rId20"/>
    <sheet name="Exh. RJW-3 Combined" sheetId="21" state="hidden" r:id="rId21"/>
    <sheet name="Exh. RJW-3 Mitigation Only" sheetId="25" state="hidden" r:id="rId22"/>
    <sheet name="Exh. RJW-4 RR" sheetId="22" state="hidden" r:id="rId23"/>
    <sheet name="Exh. RJW-4 Combined" sheetId="23"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0" localSheetId="10">#REF!</definedName>
    <definedName name="\0" localSheetId="20">#REF!</definedName>
    <definedName name="\0" localSheetId="21">#REF!</definedName>
    <definedName name="\0" localSheetId="19">#REF!</definedName>
    <definedName name="\0" localSheetId="23">#REF!</definedName>
    <definedName name="\0" localSheetId="22">#REF!</definedName>
    <definedName name="\0" localSheetId="7">#REF!</definedName>
    <definedName name="\0">#REF!</definedName>
    <definedName name="_000000" localSheetId="10">#REF!</definedName>
    <definedName name="_000000" localSheetId="20">#REF!</definedName>
    <definedName name="_000000" localSheetId="21">#REF!</definedName>
    <definedName name="_000000" localSheetId="19">#REF!</definedName>
    <definedName name="_000000" localSheetId="23">#REF!</definedName>
    <definedName name="_000000" localSheetId="22">#REF!</definedName>
    <definedName name="_000000" localSheetId="7">#REF!</definedName>
    <definedName name="_000000">#REF!</definedName>
    <definedName name="_AtRisk_FitDataRange_FIT_B5E8B_D24B5" localSheetId="4" hidden="1">#REF!</definedName>
    <definedName name="_AtRisk_FitDataRange_FIT_B5E8B_D24B5" localSheetId="9" hidden="1">#REF!</definedName>
    <definedName name="_AtRisk_FitDataRange_FIT_B5E8B_D24B5" localSheetId="10" hidden="1">#REF!</definedName>
    <definedName name="_AtRisk_FitDataRange_FIT_B5E8B_D24B5" localSheetId="20" hidden="1">#REF!</definedName>
    <definedName name="_AtRisk_FitDataRange_FIT_B5E8B_D24B5" localSheetId="21" hidden="1">#REF!</definedName>
    <definedName name="_AtRisk_FitDataRange_FIT_B5E8B_D24B5" localSheetId="19" hidden="1">#REF!</definedName>
    <definedName name="_AtRisk_FitDataRange_FIT_B5E8B_D24B5" localSheetId="23" hidden="1">#REF!</definedName>
    <definedName name="_AtRisk_FitDataRange_FIT_B5E8B_D24B5" localSheetId="22" hidden="1">#REF!</definedName>
    <definedName name="_AtRisk_FitDataRange_FIT_B5E8B_D24B5" localSheetId="16" hidden="1">#REF!</definedName>
    <definedName name="_AtRisk_FitDataRange_FIT_B5E8B_D24B5" localSheetId="14" hidden="1">#REF!</definedName>
    <definedName name="_AtRisk_FitDataRange_FIT_B5E8B_D24B5" localSheetId="7" hidden="1">#REF!</definedName>
    <definedName name="_AtRisk_FitDataRange_FIT_B5E8B_D24B5" localSheetId="8"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4" hidden="1">#REF!</definedName>
    <definedName name="_Fill" localSheetId="9" hidden="1">#REF!</definedName>
    <definedName name="_Fill" localSheetId="10" hidden="1">#REF!</definedName>
    <definedName name="_Fill" localSheetId="20" hidden="1">#REF!</definedName>
    <definedName name="_Fill" localSheetId="21" hidden="1">#REF!</definedName>
    <definedName name="_Fill" localSheetId="19" hidden="1">#REF!</definedName>
    <definedName name="_Fill" localSheetId="23" hidden="1">#REF!</definedName>
    <definedName name="_Fill" localSheetId="22" hidden="1">#REF!</definedName>
    <definedName name="_Fill" localSheetId="16" hidden="1">#REF!</definedName>
    <definedName name="_Fill" localSheetId="14" hidden="1">#REF!</definedName>
    <definedName name="_Fill" localSheetId="7" hidden="1">#REF!</definedName>
    <definedName name="_Fill" localSheetId="8" hidden="1">#REF!</definedName>
    <definedName name="_Fill" hidden="1">#REF!</definedName>
    <definedName name="_Order1" hidden="1">255</definedName>
    <definedName name="_Order2" hidden="1">255</definedName>
    <definedName name="_PG3">#N/A</definedName>
    <definedName name="A" localSheetId="10">[1]DEPR!#REF!</definedName>
    <definedName name="A" localSheetId="20">[1]DEPR!#REF!</definedName>
    <definedName name="A" localSheetId="21">[1]DEPR!#REF!</definedName>
    <definedName name="A" localSheetId="19">[1]DEPR!#REF!</definedName>
    <definedName name="A" localSheetId="23">[1]DEPR!#REF!</definedName>
    <definedName name="A" localSheetId="22">[1]DEPR!#REF!</definedName>
    <definedName name="A" localSheetId="7">[1]DEPR!#REF!</definedName>
    <definedName name="A">[1]DEPR!#REF!</definedName>
    <definedName name="AcctData" localSheetId="10">#REF!</definedName>
    <definedName name="AcctData" localSheetId="20">#REF!</definedName>
    <definedName name="AcctData" localSheetId="21">#REF!</definedName>
    <definedName name="AcctData" localSheetId="19">#REF!</definedName>
    <definedName name="AcctData" localSheetId="23">#REF!</definedName>
    <definedName name="AcctData" localSheetId="22">#REF!</definedName>
    <definedName name="AcctData" localSheetId="7">#REF!</definedName>
    <definedName name="AcctData">#REF!</definedName>
    <definedName name="Alloc0" localSheetId="10">[2]Allocators!#REF!</definedName>
    <definedName name="Alloc0" localSheetId="20">[2]Allocators!#REF!</definedName>
    <definedName name="Alloc0" localSheetId="21">[2]Allocators!#REF!</definedName>
    <definedName name="Alloc0" localSheetId="19">[2]Allocators!#REF!</definedName>
    <definedName name="Alloc0" localSheetId="23">[2]Allocators!#REF!</definedName>
    <definedName name="Alloc0" localSheetId="22">[2]Allocators!#REF!</definedName>
    <definedName name="Alloc0" localSheetId="7">[2]Allocators!#REF!</definedName>
    <definedName name="Alloc0">[2]Allocators!#REF!</definedName>
    <definedName name="ALLOCATION" localSheetId="10">#REF!</definedName>
    <definedName name="ALLOCATION" localSheetId="20">#REF!</definedName>
    <definedName name="ALLOCATION" localSheetId="21">#REF!</definedName>
    <definedName name="ALLOCATION" localSheetId="19">#REF!</definedName>
    <definedName name="ALLOCATION" localSheetId="23">#REF!</definedName>
    <definedName name="ALLOCATION" localSheetId="22">#REF!</definedName>
    <definedName name="ALLOCATION" localSheetId="7">#REF!</definedName>
    <definedName name="ALLOCATION">#REF!</definedName>
    <definedName name="AllocPct" localSheetId="10">[2]Allocators!#REF!</definedName>
    <definedName name="AllocPct" localSheetId="20">[2]Allocators!#REF!</definedName>
    <definedName name="AllocPct" localSheetId="21">[2]Allocators!#REF!</definedName>
    <definedName name="AllocPct" localSheetId="19">[2]Allocators!#REF!</definedName>
    <definedName name="AllocPct" localSheetId="23">[2]Allocators!#REF!</definedName>
    <definedName name="AllocPct" localSheetId="22">[2]Allocators!#REF!</definedName>
    <definedName name="AllocPct" localSheetId="7">[2]Allocators!#REF!</definedName>
    <definedName name="AllocPct">[2]Allocators!#REF!</definedName>
    <definedName name="AllocRevReq" localSheetId="10">#REF!</definedName>
    <definedName name="AllocRevReq" localSheetId="20">#REF!</definedName>
    <definedName name="AllocRevReq" localSheetId="21">#REF!</definedName>
    <definedName name="AllocRevReq" localSheetId="19">#REF!</definedName>
    <definedName name="AllocRevReq" localSheetId="23">#REF!</definedName>
    <definedName name="AllocRevReq" localSheetId="22">#REF!</definedName>
    <definedName name="AllocRevReq" localSheetId="7">#REF!</definedName>
    <definedName name="AllocRevReq">#REF!</definedName>
    <definedName name="AT" localSheetId="10">#REF!</definedName>
    <definedName name="AT" localSheetId="20">#REF!</definedName>
    <definedName name="AT" localSheetId="21">#REF!</definedName>
    <definedName name="AT" localSheetId="19">#REF!</definedName>
    <definedName name="AT" localSheetId="23">#REF!</definedName>
    <definedName name="AT" localSheetId="22">#REF!</definedName>
    <definedName name="AT" localSheetId="7">#REF!</definedName>
    <definedName name="AT">#REF!</definedName>
    <definedName name="Bank" localSheetId="10">[3]Input!#REF!</definedName>
    <definedName name="Bank" localSheetId="20">[3]Input!#REF!</definedName>
    <definedName name="Bank" localSheetId="21">[3]Input!#REF!</definedName>
    <definedName name="Bank" localSheetId="19">[3]Input!#REF!</definedName>
    <definedName name="Bank" localSheetId="23">[3]Input!#REF!</definedName>
    <definedName name="Bank" localSheetId="22">[3]Input!#REF!</definedName>
    <definedName name="Bank" localSheetId="7">[3]Input!#REF!</definedName>
    <definedName name="Bank">[3]Input!#REF!</definedName>
    <definedName name="BillROR" localSheetId="10">'[4]Unit Cost'!#REF!</definedName>
    <definedName name="BillROR" localSheetId="20">'[4]Unit Cost'!#REF!</definedName>
    <definedName name="BillROR" localSheetId="21">'[4]Unit Cost'!#REF!</definedName>
    <definedName name="BillROR" localSheetId="19">'[4]Unit Cost'!#REF!</definedName>
    <definedName name="BillROR" localSheetId="23">'[4]Unit Cost'!#REF!</definedName>
    <definedName name="BillROR" localSheetId="22">'[4]Unit Cost'!#REF!</definedName>
    <definedName name="BillROR" localSheetId="7">'[4]Unit Cost'!#REF!</definedName>
    <definedName name="BillROR">'[4]Unit Cost'!#REF!</definedName>
    <definedName name="BKLIFE" localSheetId="10">#REF!</definedName>
    <definedName name="BKLIFE" localSheetId="20">#REF!</definedName>
    <definedName name="BKLIFE" localSheetId="21">#REF!</definedName>
    <definedName name="BKLIFE" localSheetId="19">#REF!</definedName>
    <definedName name="BKLIFE" localSheetId="23">#REF!</definedName>
    <definedName name="BKLIFE" localSheetId="22">#REF!</definedName>
    <definedName name="BKLIFE" localSheetId="7">#REF!</definedName>
    <definedName name="BKLIFE">#REF!</definedName>
    <definedName name="BOOK" localSheetId="10">#REF!</definedName>
    <definedName name="BOOK" localSheetId="20">#REF!</definedName>
    <definedName name="BOOK" localSheetId="21">#REF!</definedName>
    <definedName name="BOOK" localSheetId="19">#REF!</definedName>
    <definedName name="BOOK" localSheetId="23">#REF!</definedName>
    <definedName name="BOOK" localSheetId="22">#REF!</definedName>
    <definedName name="BOOK" localSheetId="7">#REF!</definedName>
    <definedName name="BOOK">#REF!</definedName>
    <definedName name="calcsheet1">#N/A</definedName>
    <definedName name="calcsheet2">#N/A</definedName>
    <definedName name="calcsheet3">#N/A</definedName>
    <definedName name="Case" localSheetId="10">[5]Input!#REF!</definedName>
    <definedName name="Case" localSheetId="20">[5]Input!#REF!</definedName>
    <definedName name="Case" localSheetId="21">[5]Input!#REF!</definedName>
    <definedName name="Case" localSheetId="19">[5]Input!#REF!</definedName>
    <definedName name="Case" localSheetId="23">[5]Input!#REF!</definedName>
    <definedName name="Case" localSheetId="22">[5]Input!#REF!</definedName>
    <definedName name="Case" localSheetId="7">[5]Input!#REF!</definedName>
    <definedName name="Case">[5]Input!#REF!</definedName>
    <definedName name="casepg1">#N/A</definedName>
    <definedName name="ccc" localSheetId="10">#REF!</definedName>
    <definedName name="ccc" localSheetId="20">#REF!</definedName>
    <definedName name="ccc" localSheetId="21">#REF!</definedName>
    <definedName name="ccc" localSheetId="19">#REF!</definedName>
    <definedName name="ccc" localSheetId="23">#REF!</definedName>
    <definedName name="ccc" localSheetId="22">#REF!</definedName>
    <definedName name="ccc" localSheetId="7">#REF!</definedName>
    <definedName name="ccc">#REF!</definedName>
    <definedName name="CEX_21110_ACT_DATA" localSheetId="10">#REF!</definedName>
    <definedName name="CEX_21110_ACT_DATA" localSheetId="20">#REF!</definedName>
    <definedName name="CEX_21110_ACT_DATA" localSheetId="21">#REF!</definedName>
    <definedName name="CEX_21110_ACT_DATA" localSheetId="19">#REF!</definedName>
    <definedName name="CEX_21110_ACT_DATA" localSheetId="23">#REF!</definedName>
    <definedName name="CEX_21110_ACT_DATA" localSheetId="22">#REF!</definedName>
    <definedName name="CEX_21110_ACT_DATA" localSheetId="7">#REF!</definedName>
    <definedName name="CEX_21110_ACT_DATA">#REF!</definedName>
    <definedName name="CEX_21110_ACT_GRP" localSheetId="10">#REF!</definedName>
    <definedName name="CEX_21110_ACT_GRP" localSheetId="20">#REF!</definedName>
    <definedName name="CEX_21110_ACT_GRP" localSheetId="21">#REF!</definedName>
    <definedName name="CEX_21110_ACT_GRP" localSheetId="19">#REF!</definedName>
    <definedName name="CEX_21110_ACT_GRP" localSheetId="23">#REF!</definedName>
    <definedName name="CEX_21110_ACT_GRP" localSheetId="22">#REF!</definedName>
    <definedName name="CEX_21110_ACT_GRP" localSheetId="7">#REF!</definedName>
    <definedName name="CEX_21110_ACT_GRP">#REF!</definedName>
    <definedName name="CEX_21110_EST_DATA" localSheetId="10">#REF!</definedName>
    <definedName name="CEX_21110_EST_DATA" localSheetId="20">#REF!</definedName>
    <definedName name="CEX_21110_EST_DATA" localSheetId="21">#REF!</definedName>
    <definedName name="CEX_21110_EST_DATA" localSheetId="19">#REF!</definedName>
    <definedName name="CEX_21110_EST_DATA" localSheetId="23">#REF!</definedName>
    <definedName name="CEX_21110_EST_DATA" localSheetId="22">#REF!</definedName>
    <definedName name="CEX_21110_EST_DATA" localSheetId="7">#REF!</definedName>
    <definedName name="CEX_21110_EST_DATA">#REF!</definedName>
    <definedName name="CEX_21110_EST_GRP" localSheetId="10">#REF!</definedName>
    <definedName name="CEX_21110_EST_GRP" localSheetId="20">#REF!</definedName>
    <definedName name="CEX_21110_EST_GRP" localSheetId="21">#REF!</definedName>
    <definedName name="CEX_21110_EST_GRP" localSheetId="19">#REF!</definedName>
    <definedName name="CEX_21110_EST_GRP" localSheetId="23">#REF!</definedName>
    <definedName name="CEX_21110_EST_GRP" localSheetId="22">#REF!</definedName>
    <definedName name="CEX_21110_EST_GRP" localSheetId="7">#REF!</definedName>
    <definedName name="CEX_21110_EST_GRP">#REF!</definedName>
    <definedName name="Classes" localSheetId="10">#REF!</definedName>
    <definedName name="Classes" localSheetId="20">#REF!</definedName>
    <definedName name="Classes" localSheetId="21">#REF!</definedName>
    <definedName name="Classes" localSheetId="19">#REF!</definedName>
    <definedName name="Classes" localSheetId="23">#REF!</definedName>
    <definedName name="Classes" localSheetId="22">#REF!</definedName>
    <definedName name="Classes" localSheetId="7">#REF!</definedName>
    <definedName name="Classes">#REF!</definedName>
    <definedName name="Classes1" localSheetId="10">#REF!</definedName>
    <definedName name="Classes1" localSheetId="20">#REF!</definedName>
    <definedName name="Classes1" localSheetId="21">#REF!</definedName>
    <definedName name="Classes1" localSheetId="19">#REF!</definedName>
    <definedName name="Classes1" localSheetId="23">#REF!</definedName>
    <definedName name="Classes1" localSheetId="22">#REF!</definedName>
    <definedName name="Classes1" localSheetId="7">#REF!</definedName>
    <definedName name="Classes1">#REF!</definedName>
    <definedName name="ClassSum" localSheetId="10">#REF!</definedName>
    <definedName name="ClassSum" localSheetId="20">#REF!</definedName>
    <definedName name="ClassSum" localSheetId="21">#REF!</definedName>
    <definedName name="ClassSum" localSheetId="19">#REF!</definedName>
    <definedName name="ClassSum" localSheetId="23">#REF!</definedName>
    <definedName name="ClassSum" localSheetId="22">#REF!</definedName>
    <definedName name="ClassSum" localSheetId="7">#REF!</definedName>
    <definedName name="ClassSum">#REF!</definedName>
    <definedName name="CMonth" localSheetId="10">#REF!</definedName>
    <definedName name="CMonth" localSheetId="20">#REF!</definedName>
    <definedName name="CMonth" localSheetId="21">#REF!</definedName>
    <definedName name="CMonth" localSheetId="19">#REF!</definedName>
    <definedName name="CMonth" localSheetId="23">#REF!</definedName>
    <definedName name="CMonth" localSheetId="22">#REF!</definedName>
    <definedName name="CMonth" localSheetId="7">#REF!</definedName>
    <definedName name="CMonth">#REF!</definedName>
    <definedName name="Company">[6]Registry!$E$94</definedName>
    <definedName name="coname">[3]A!$A$1</definedName>
    <definedName name="ContractInflator" localSheetId="10">'[7]Meter-Service'!#REF!</definedName>
    <definedName name="ContractInflator" localSheetId="20">'[7]Meter-Service'!#REF!</definedName>
    <definedName name="ContractInflator" localSheetId="21">'[7]Meter-Service'!#REF!</definedName>
    <definedName name="ContractInflator" localSheetId="19">'[7]Meter-Service'!#REF!</definedName>
    <definedName name="ContractInflator" localSheetId="23">'[7]Meter-Service'!#REF!</definedName>
    <definedName name="ContractInflator" localSheetId="22">'[7]Meter-Service'!#REF!</definedName>
    <definedName name="ContractInflator" localSheetId="7">'[7]Meter-Service'!#REF!</definedName>
    <definedName name="ContractInflator">'[7]Meter-Service'!#REF!</definedName>
    <definedName name="Corp_Serv_Print_CEX" localSheetId="10">#REF!</definedName>
    <definedName name="Corp_Serv_Print_CEX" localSheetId="20">#REF!</definedName>
    <definedName name="Corp_Serv_Print_CEX" localSheetId="21">#REF!</definedName>
    <definedName name="Corp_Serv_Print_CEX" localSheetId="19">#REF!</definedName>
    <definedName name="Corp_Serv_Print_CEX" localSheetId="23">#REF!</definedName>
    <definedName name="Corp_Serv_Print_CEX" localSheetId="22">#REF!</definedName>
    <definedName name="Corp_Serv_Print_CEX" localSheetId="7">#REF!</definedName>
    <definedName name="Corp_Serv_Print_CEX">#REF!</definedName>
    <definedName name="CustBills" localSheetId="10">#REF!</definedName>
    <definedName name="CustBills" localSheetId="20">#REF!</definedName>
    <definedName name="CustBills" localSheetId="21">#REF!</definedName>
    <definedName name="CustBills" localSheetId="19">#REF!</definedName>
    <definedName name="CustBills" localSheetId="23">#REF!</definedName>
    <definedName name="CustBills" localSheetId="22">#REF!</definedName>
    <definedName name="CustBills" localSheetId="7">#REF!</definedName>
    <definedName name="CustBills">#REF!</definedName>
    <definedName name="CYTD" localSheetId="10">#REF!</definedName>
    <definedName name="CYTD" localSheetId="20">#REF!</definedName>
    <definedName name="CYTD" localSheetId="21">#REF!</definedName>
    <definedName name="CYTD" localSheetId="19">#REF!</definedName>
    <definedName name="CYTD" localSheetId="23">#REF!</definedName>
    <definedName name="CYTD" localSheetId="22">#REF!</definedName>
    <definedName name="CYTD" localSheetId="7">#REF!</definedName>
    <definedName name="CYTD">#REF!</definedName>
    <definedName name="DATA11" localSheetId="10">[8]data!#REF!</definedName>
    <definedName name="DATA11" localSheetId="20">[8]data!#REF!</definedName>
    <definedName name="DATA11" localSheetId="21">[8]data!#REF!</definedName>
    <definedName name="DATA11" localSheetId="19">[8]data!#REF!</definedName>
    <definedName name="DATA11" localSheetId="23">[8]data!#REF!</definedName>
    <definedName name="DATA11" localSheetId="22">[8]data!#REF!</definedName>
    <definedName name="DATA11" localSheetId="7">[8]data!#REF!</definedName>
    <definedName name="DATA11">[8]data!#REF!</definedName>
    <definedName name="DATA5" localSheetId="10">[8]data!#REF!</definedName>
    <definedName name="DATA5" localSheetId="20">[8]data!#REF!</definedName>
    <definedName name="DATA5" localSheetId="21">[8]data!#REF!</definedName>
    <definedName name="DATA5" localSheetId="19">[8]data!#REF!</definedName>
    <definedName name="DATA5" localSheetId="23">[8]data!#REF!</definedName>
    <definedName name="DATA5" localSheetId="22">[8]data!#REF!</definedName>
    <definedName name="DATA5" localSheetId="7">[8]data!#REF!</definedName>
    <definedName name="DATA5">[8]data!#REF!</definedName>
    <definedName name="DATA8" localSheetId="10">[8]data!#REF!</definedName>
    <definedName name="DATA8" localSheetId="20">[8]data!#REF!</definedName>
    <definedName name="DATA8" localSheetId="21">[8]data!#REF!</definedName>
    <definedName name="DATA8" localSheetId="19">[8]data!#REF!</definedName>
    <definedName name="DATA8" localSheetId="23">[8]data!#REF!</definedName>
    <definedName name="DATA8" localSheetId="22">[8]data!#REF!</definedName>
    <definedName name="DATA8" localSheetId="7">[8]data!#REF!</definedName>
    <definedName name="DATA8">[8]data!#REF!</definedName>
    <definedName name="DATA9" localSheetId="10">[8]data!#REF!</definedName>
    <definedName name="DATA9" localSheetId="20">[8]data!#REF!</definedName>
    <definedName name="DATA9" localSheetId="21">[8]data!#REF!</definedName>
    <definedName name="DATA9" localSheetId="19">[8]data!#REF!</definedName>
    <definedName name="DATA9" localSheetId="23">[8]data!#REF!</definedName>
    <definedName name="DATA9" localSheetId="22">[8]data!#REF!</definedName>
    <definedName name="DATA9" localSheetId="7">[8]data!#REF!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10">#REF!</definedName>
    <definedName name="dbYear200" localSheetId="20">#REF!</definedName>
    <definedName name="dbYear200" localSheetId="21">#REF!</definedName>
    <definedName name="dbYear200" localSheetId="19">#REF!</definedName>
    <definedName name="dbYear200" localSheetId="23">#REF!</definedName>
    <definedName name="dbYear200" localSheetId="22">#REF!</definedName>
    <definedName name="dbYear200" localSheetId="7">#REF!</definedName>
    <definedName name="dbYear200">#REF!</definedName>
    <definedName name="Desc">[10]Sheet1!$J$1:$K$298</definedName>
    <definedName name="DEX_21110_ACT_DATA" localSheetId="10">#REF!</definedName>
    <definedName name="DEX_21110_ACT_DATA" localSheetId="20">#REF!</definedName>
    <definedName name="DEX_21110_ACT_DATA" localSheetId="21">#REF!</definedName>
    <definedName name="DEX_21110_ACT_DATA" localSheetId="19">#REF!</definedName>
    <definedName name="DEX_21110_ACT_DATA" localSheetId="23">#REF!</definedName>
    <definedName name="DEX_21110_ACT_DATA" localSheetId="22">#REF!</definedName>
    <definedName name="DEX_21110_ACT_DATA" localSheetId="7">#REF!</definedName>
    <definedName name="DEX_21110_ACT_DATA">#REF!</definedName>
    <definedName name="DEX_21110_ACT_GRP" localSheetId="10">#REF!</definedName>
    <definedName name="DEX_21110_ACT_GRP" localSheetId="20">#REF!</definedName>
    <definedName name="DEX_21110_ACT_GRP" localSheetId="21">#REF!</definedName>
    <definedName name="DEX_21110_ACT_GRP" localSheetId="19">#REF!</definedName>
    <definedName name="DEX_21110_ACT_GRP" localSheetId="23">#REF!</definedName>
    <definedName name="DEX_21110_ACT_GRP" localSheetId="22">#REF!</definedName>
    <definedName name="DEX_21110_ACT_GRP" localSheetId="7">#REF!</definedName>
    <definedName name="DEX_21110_ACT_GRP">#REF!</definedName>
    <definedName name="DEX_21110_EST_DATA" localSheetId="10">#REF!</definedName>
    <definedName name="DEX_21110_EST_DATA" localSheetId="20">#REF!</definedName>
    <definedName name="DEX_21110_EST_DATA" localSheetId="21">#REF!</definedName>
    <definedName name="DEX_21110_EST_DATA" localSheetId="19">#REF!</definedName>
    <definedName name="DEX_21110_EST_DATA" localSheetId="23">#REF!</definedName>
    <definedName name="DEX_21110_EST_DATA" localSheetId="22">#REF!</definedName>
    <definedName name="DEX_21110_EST_DATA" localSheetId="7">#REF!</definedName>
    <definedName name="DEX_21110_EST_DATA">#REF!</definedName>
    <definedName name="DEX_21110_EST_GRP" localSheetId="10">#REF!</definedName>
    <definedName name="DEX_21110_EST_GRP" localSheetId="20">#REF!</definedName>
    <definedName name="DEX_21110_EST_GRP" localSheetId="21">#REF!</definedName>
    <definedName name="DEX_21110_EST_GRP" localSheetId="19">#REF!</definedName>
    <definedName name="DEX_21110_EST_GRP" localSheetId="23">#REF!</definedName>
    <definedName name="DEX_21110_EST_GRP" localSheetId="22">#REF!</definedName>
    <definedName name="DEX_21110_EST_GRP" localSheetId="7">#REF!</definedName>
    <definedName name="DEX_21110_EST_GRP">#REF!</definedName>
    <definedName name="DFRDFIT?" localSheetId="10">#REF!</definedName>
    <definedName name="DFRDFIT?" localSheetId="20">#REF!</definedName>
    <definedName name="DFRDFIT?" localSheetId="21">#REF!</definedName>
    <definedName name="DFRDFIT?" localSheetId="19">#REF!</definedName>
    <definedName name="DFRDFIT?" localSheetId="23">#REF!</definedName>
    <definedName name="DFRDFIT?" localSheetId="22">#REF!</definedName>
    <definedName name="DFRDFIT?" localSheetId="7">#REF!</definedName>
    <definedName name="DFRDFIT?">#REF!</definedName>
    <definedName name="Differences" localSheetId="10">#REF!</definedName>
    <definedName name="Differences" localSheetId="20">#REF!</definedName>
    <definedName name="Differences" localSheetId="21">#REF!</definedName>
    <definedName name="Differences" localSheetId="19">#REF!</definedName>
    <definedName name="Differences" localSheetId="23">#REF!</definedName>
    <definedName name="Differences" localSheetId="22">#REF!</definedName>
    <definedName name="Differences" localSheetId="7">#REF!</definedName>
    <definedName name="Differences">#REF!</definedName>
    <definedName name="DISP?" localSheetId="10">#REF!</definedName>
    <definedName name="DISP?" localSheetId="20">#REF!</definedName>
    <definedName name="DISP?" localSheetId="21">#REF!</definedName>
    <definedName name="DISP?" localSheetId="19">#REF!</definedName>
    <definedName name="DISP?" localSheetId="23">#REF!</definedName>
    <definedName name="DISP?" localSheetId="22">#REF!</definedName>
    <definedName name="DISP?" localSheetId="7">#REF!</definedName>
    <definedName name="DISP?">#REF!</definedName>
    <definedName name="Distrib_Print_CEX" localSheetId="10">#REF!</definedName>
    <definedName name="Distrib_Print_CEX" localSheetId="20">#REF!</definedName>
    <definedName name="Distrib_Print_CEX" localSheetId="21">#REF!</definedName>
    <definedName name="Distrib_Print_CEX" localSheetId="19">#REF!</definedName>
    <definedName name="Distrib_Print_CEX" localSheetId="23">#REF!</definedName>
    <definedName name="Distrib_Print_CEX" localSheetId="22">#REF!</definedName>
    <definedName name="Distrib_Print_CEX" localSheetId="7">#REF!</definedName>
    <definedName name="Distrib_Print_CEX">#REF!</definedName>
    <definedName name="DivM" localSheetId="10">#REF!</definedName>
    <definedName name="DivM" localSheetId="20">#REF!</definedName>
    <definedName name="DivM" localSheetId="21">#REF!</definedName>
    <definedName name="DivM" localSheetId="19">#REF!</definedName>
    <definedName name="DivM" localSheetId="23">#REF!</definedName>
    <definedName name="DivM" localSheetId="22">#REF!</definedName>
    <definedName name="DivM" localSheetId="7">#REF!</definedName>
    <definedName name="DivM">#REF!</definedName>
    <definedName name="DivY" localSheetId="10">#REF!</definedName>
    <definedName name="DivY" localSheetId="20">#REF!</definedName>
    <definedName name="DivY" localSheetId="21">#REF!</definedName>
    <definedName name="DivY" localSheetId="19">#REF!</definedName>
    <definedName name="DivY" localSheetId="23">#REF!</definedName>
    <definedName name="DivY" localSheetId="22">#REF!</definedName>
    <definedName name="DivY" localSheetId="7">#REF!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10">[13]Data!$G$4:$G$4,[13]Data!#REF!</definedName>
    <definedName name="EMonth" localSheetId="20">[13]Data!$G$4:$G$4,[13]Data!#REF!</definedName>
    <definedName name="EMonth" localSheetId="21">[13]Data!$G$4:$G$4,[13]Data!#REF!</definedName>
    <definedName name="EMonth" localSheetId="19">[13]Data!$G$4:$G$4,[13]Data!#REF!</definedName>
    <definedName name="EMonth" localSheetId="23">[13]Data!$G$4:$G$4,[13]Data!#REF!</definedName>
    <definedName name="EMonth" localSheetId="22">[13]Data!$G$4:$G$4,[13]Data!#REF!</definedName>
    <definedName name="EMonth" localSheetId="7">[13]Data!$G$4:$G$4,[13]Data!#REF!</definedName>
    <definedName name="EMonth">[13]Data!$G$4:$G$4,[13]Data!#REF!</definedName>
    <definedName name="EnerROR" localSheetId="10">'[4]Unit Cost'!#REF!</definedName>
    <definedName name="EnerROR" localSheetId="20">'[4]Unit Cost'!#REF!</definedName>
    <definedName name="EnerROR" localSheetId="21">'[4]Unit Cost'!#REF!</definedName>
    <definedName name="EnerROR" localSheetId="19">'[4]Unit Cost'!#REF!</definedName>
    <definedName name="EnerROR" localSheetId="23">'[4]Unit Cost'!#REF!</definedName>
    <definedName name="EnerROR" localSheetId="22">'[4]Unit Cost'!#REF!</definedName>
    <definedName name="EnerROR" localSheetId="7">'[4]Unit Cost'!#REF!</definedName>
    <definedName name="EnerROR">'[4]Unit Cost'!#REF!</definedName>
    <definedName name="EssbaseMonth">[14]Essbase!$D$6</definedName>
    <definedName name="EssLatest">"Beg Bal"</definedName>
    <definedName name="EssOptions">"A3100000000111000000011100010_01000"</definedName>
    <definedName name="EXHIBIT__" localSheetId="10">#REF!</definedName>
    <definedName name="EXHIBIT__" localSheetId="20">#REF!</definedName>
    <definedName name="EXHIBIT__" localSheetId="21">#REF!</definedName>
    <definedName name="EXHIBIT__" localSheetId="19">#REF!</definedName>
    <definedName name="EXHIBIT__" localSheetId="23">#REF!</definedName>
    <definedName name="EXHIBIT__" localSheetId="22">#REF!</definedName>
    <definedName name="EXHIBIT__" localSheetId="7">#REF!</definedName>
    <definedName name="EXHIBIT__">#REF!</definedName>
    <definedName name="ExpM" localSheetId="10">#REF!</definedName>
    <definedName name="ExpM" localSheetId="20">#REF!</definedName>
    <definedName name="ExpM" localSheetId="21">#REF!</definedName>
    <definedName name="ExpM" localSheetId="19">#REF!</definedName>
    <definedName name="ExpM" localSheetId="23">#REF!</definedName>
    <definedName name="ExpM" localSheetId="22">#REF!</definedName>
    <definedName name="ExpM" localSheetId="7">#REF!</definedName>
    <definedName name="ExpM">#REF!</definedName>
    <definedName name="ExpY" localSheetId="10">#REF!</definedName>
    <definedName name="ExpY" localSheetId="20">#REF!</definedName>
    <definedName name="ExpY" localSheetId="21">#REF!</definedName>
    <definedName name="ExpY" localSheetId="19">#REF!</definedName>
    <definedName name="ExpY" localSheetId="23">#REF!</definedName>
    <definedName name="ExpY" localSheetId="22">#REF!</definedName>
    <definedName name="ExpY" localSheetId="7">#REF!</definedName>
    <definedName name="ExpY">#REF!</definedName>
    <definedName name="EYTD" localSheetId="10">[13]Data!#REF!,[13]Data!#REF!</definedName>
    <definedName name="EYTD" localSheetId="20">[13]Data!#REF!,[13]Data!#REF!</definedName>
    <definedName name="EYTD" localSheetId="21">[13]Data!#REF!,[13]Data!#REF!</definedName>
    <definedName name="EYTD" localSheetId="19">[13]Data!#REF!,[13]Data!#REF!</definedName>
    <definedName name="EYTD" localSheetId="23">[13]Data!#REF!,[13]Data!#REF!</definedName>
    <definedName name="EYTD" localSheetId="22">[13]Data!#REF!,[13]Data!#REF!</definedName>
    <definedName name="EYTD" localSheetId="7">[13]Data!#REF!,[13]Data!#REF!</definedName>
    <definedName name="EYTD">[13]Data!#REF!,[13]Data!#REF!</definedName>
    <definedName name="FERC_1" localSheetId="10">#REF!</definedName>
    <definedName name="FERC_1" localSheetId="20">#REF!</definedName>
    <definedName name="FERC_1" localSheetId="21">#REF!</definedName>
    <definedName name="FERC_1" localSheetId="19">#REF!</definedName>
    <definedName name="FERC_1" localSheetId="23">#REF!</definedName>
    <definedName name="FERC_1" localSheetId="22">#REF!</definedName>
    <definedName name="FERC_1" localSheetId="7">#REF!</definedName>
    <definedName name="FERC_1">#REF!</definedName>
    <definedName name="ffff" localSheetId="10">'[15]HEO-Sch5'!#REF!</definedName>
    <definedName name="ffff" localSheetId="20">'[15]HEO-Sch5'!#REF!</definedName>
    <definedName name="ffff" localSheetId="21">'[15]HEO-Sch5'!#REF!</definedName>
    <definedName name="ffff" localSheetId="19">'[15]HEO-Sch5'!#REF!</definedName>
    <definedName name="ffff" localSheetId="23">'[15]HEO-Sch5'!#REF!</definedName>
    <definedName name="ffff" localSheetId="22">'[15]HEO-Sch5'!#REF!</definedName>
    <definedName name="ffff" localSheetId="7">'[15]HEO-Sch5'!#REF!</definedName>
    <definedName name="ffff">'[15]HEO-Sch5'!#REF!</definedName>
    <definedName name="firmcom" localSheetId="10">[3]Input!#REF!</definedName>
    <definedName name="firmcom" localSheetId="20">[3]Input!#REF!</definedName>
    <definedName name="firmcom" localSheetId="21">[3]Input!#REF!</definedName>
    <definedName name="firmcom" localSheetId="19">[3]Input!#REF!</definedName>
    <definedName name="firmcom" localSheetId="23">[3]Input!#REF!</definedName>
    <definedName name="firmcom" localSheetId="22">[3]Input!#REF!</definedName>
    <definedName name="firmcom" localSheetId="7">[3]Input!#REF!</definedName>
    <definedName name="firmcom">[3]Input!#REF!</definedName>
    <definedName name="firmdem" localSheetId="10">[3]Input!#REF!</definedName>
    <definedName name="firmdem" localSheetId="20">[3]Input!#REF!</definedName>
    <definedName name="firmdem" localSheetId="21">[3]Input!#REF!</definedName>
    <definedName name="firmdem" localSheetId="19">[3]Input!#REF!</definedName>
    <definedName name="firmdem" localSheetId="23">[3]Input!#REF!</definedName>
    <definedName name="firmdem" localSheetId="22">[3]Input!#REF!</definedName>
    <definedName name="firmdem" localSheetId="7">[3]Input!#REF!</definedName>
    <definedName name="firmdem">[3]Input!#REF!</definedName>
    <definedName name="FIT" localSheetId="10">#REF!</definedName>
    <definedName name="FIT" localSheetId="20">#REF!</definedName>
    <definedName name="FIT" localSheetId="21">#REF!</definedName>
    <definedName name="FIT" localSheetId="19">#REF!</definedName>
    <definedName name="FIT" localSheetId="23">#REF!</definedName>
    <definedName name="FIT" localSheetId="22">#REF!</definedName>
    <definedName name="FIT" localSheetId="7">#REF!</definedName>
    <definedName name="FIT">#REF!</definedName>
    <definedName name="Flex">[16]Index!$A$2:$C$693</definedName>
    <definedName name="FORMULA" localSheetId="10">#REF!</definedName>
    <definedName name="FORMULA" localSheetId="20">#REF!</definedName>
    <definedName name="FORMULA" localSheetId="21">#REF!</definedName>
    <definedName name="FORMULA" localSheetId="19">#REF!</definedName>
    <definedName name="FORMULA" localSheetId="23">#REF!</definedName>
    <definedName name="FORMULA" localSheetId="22">#REF!</definedName>
    <definedName name="FORMULA" localSheetId="7">#REF!</definedName>
    <definedName name="FORMULA">#REF!</definedName>
    <definedName name="Freight" localSheetId="10">'[7]Meter-Service'!#REF!</definedName>
    <definedName name="Freight" localSheetId="20">'[7]Meter-Service'!#REF!</definedName>
    <definedName name="Freight" localSheetId="21">'[7]Meter-Service'!#REF!</definedName>
    <definedName name="Freight" localSheetId="19">'[7]Meter-Service'!#REF!</definedName>
    <definedName name="Freight" localSheetId="23">'[7]Meter-Service'!#REF!</definedName>
    <definedName name="Freight" localSheetId="22">'[7]Meter-Service'!#REF!</definedName>
    <definedName name="Freight" localSheetId="7">'[7]Meter-Service'!#REF!</definedName>
    <definedName name="Freight">'[7]Meter-Service'!#REF!</definedName>
    <definedName name="FreqTable" localSheetId="10">#REF!</definedName>
    <definedName name="FreqTable" localSheetId="20">#REF!</definedName>
    <definedName name="FreqTable" localSheetId="21">#REF!</definedName>
    <definedName name="FreqTable" localSheetId="19">#REF!</definedName>
    <definedName name="FreqTable" localSheetId="23">#REF!</definedName>
    <definedName name="FreqTable" localSheetId="22">#REF!</definedName>
    <definedName name="FreqTable" localSheetId="7">#REF!</definedName>
    <definedName name="FreqTable">#REF!</definedName>
    <definedName name="Function3" localSheetId="10">[4]Functions!#REF!</definedName>
    <definedName name="Function3" localSheetId="20">[4]Functions!#REF!</definedName>
    <definedName name="Function3" localSheetId="21">[4]Functions!#REF!</definedName>
    <definedName name="Function3" localSheetId="19">[4]Functions!#REF!</definedName>
    <definedName name="Function3" localSheetId="23">[4]Functions!#REF!</definedName>
    <definedName name="Function3" localSheetId="22">[4]Functions!#REF!</definedName>
    <definedName name="Function3" localSheetId="7">[4]Functions!#REF!</definedName>
    <definedName name="Function3">[4]Functions!#REF!</definedName>
    <definedName name="Function5" localSheetId="10">[4]Functions!#REF!</definedName>
    <definedName name="Function5" localSheetId="20">[4]Functions!#REF!</definedName>
    <definedName name="Function5" localSheetId="21">[4]Functions!#REF!</definedName>
    <definedName name="Function5" localSheetId="19">[4]Functions!#REF!</definedName>
    <definedName name="Function5" localSheetId="23">[4]Functions!#REF!</definedName>
    <definedName name="Function5" localSheetId="22">[4]Functions!#REF!</definedName>
    <definedName name="Function5" localSheetId="7">[4]Functions!#REF!</definedName>
    <definedName name="Function5">[4]Functions!#REF!</definedName>
    <definedName name="Function6" localSheetId="10">[4]Functions!#REF!</definedName>
    <definedName name="Function6" localSheetId="20">[4]Functions!#REF!</definedName>
    <definedName name="Function6" localSheetId="21">[4]Functions!#REF!</definedName>
    <definedName name="Function6" localSheetId="19">[4]Functions!#REF!</definedName>
    <definedName name="Function6" localSheetId="23">[4]Functions!#REF!</definedName>
    <definedName name="Function6" localSheetId="22">[4]Functions!#REF!</definedName>
    <definedName name="Function6" localSheetId="7">[4]Functions!#REF!</definedName>
    <definedName name="Function6">[4]Functions!#REF!</definedName>
    <definedName name="Gas" localSheetId="10">#REF!</definedName>
    <definedName name="Gas" localSheetId="20">#REF!</definedName>
    <definedName name="Gas" localSheetId="21">#REF!</definedName>
    <definedName name="Gas" localSheetId="19">#REF!</definedName>
    <definedName name="Gas" localSheetId="23">#REF!</definedName>
    <definedName name="Gas" localSheetId="22">#REF!</definedName>
    <definedName name="Gas" localSheetId="7">#REF!</definedName>
    <definedName name="Gas">#REF!</definedName>
    <definedName name="GRT" localSheetId="10">#REF!</definedName>
    <definedName name="GRT" localSheetId="20">#REF!</definedName>
    <definedName name="GRT" localSheetId="21">#REF!</definedName>
    <definedName name="GRT" localSheetId="19">#REF!</definedName>
    <definedName name="GRT" localSheetId="23">#REF!</definedName>
    <definedName name="GRT" localSheetId="22">#REF!</definedName>
    <definedName name="GRT" localSheetId="7">#REF!</definedName>
    <definedName name="GRT">#REF!</definedName>
    <definedName name="GRTFACT" localSheetId="10">#REF!</definedName>
    <definedName name="GRTFACT" localSheetId="20">#REF!</definedName>
    <definedName name="GRTFACT" localSheetId="21">#REF!</definedName>
    <definedName name="GRTFACT" localSheetId="19">#REF!</definedName>
    <definedName name="GRTFACT" localSheetId="23">#REF!</definedName>
    <definedName name="GRTFACT" localSheetId="22">#REF!</definedName>
    <definedName name="GRTFACT" localSheetId="7">#REF!</definedName>
    <definedName name="GRTFACT">#REF!</definedName>
    <definedName name="HousingAuth_Volumes_SumByMonth" localSheetId="10">#REF!</definedName>
    <definedName name="HousingAuth_Volumes_SumByMonth" localSheetId="20">#REF!</definedName>
    <definedName name="HousingAuth_Volumes_SumByMonth" localSheetId="21">#REF!</definedName>
    <definedName name="HousingAuth_Volumes_SumByMonth" localSheetId="19">#REF!</definedName>
    <definedName name="HousingAuth_Volumes_SumByMonth" localSheetId="23">#REF!</definedName>
    <definedName name="HousingAuth_Volumes_SumByMonth" localSheetId="22">#REF!</definedName>
    <definedName name="HousingAuth_Volumes_SumByMonth" localSheetId="7">#REF!</definedName>
    <definedName name="HousingAuth_Volumes_SumByMonth">#REF!</definedName>
    <definedName name="HR_Print" localSheetId="10">#REF!</definedName>
    <definedName name="HR_Print" localSheetId="20">#REF!</definedName>
    <definedName name="HR_Print" localSheetId="21">#REF!</definedName>
    <definedName name="HR_Print" localSheetId="19">#REF!</definedName>
    <definedName name="HR_Print" localSheetId="23">#REF!</definedName>
    <definedName name="HR_Print" localSheetId="22">#REF!</definedName>
    <definedName name="HR_Print" localSheetId="7">#REF!</definedName>
    <definedName name="HR_Print">#REF!</definedName>
    <definedName name="HR_Print_CEX" localSheetId="10">#REF!</definedName>
    <definedName name="HR_Print_CEX" localSheetId="20">#REF!</definedName>
    <definedName name="HR_Print_CEX" localSheetId="21">#REF!</definedName>
    <definedName name="HR_Print_CEX" localSheetId="19">#REF!</definedName>
    <definedName name="HR_Print_CEX" localSheetId="23">#REF!</definedName>
    <definedName name="HR_Print_CEX" localSheetId="22">#REF!</definedName>
    <definedName name="HR_Print_CEX" localSheetId="7">#REF!</definedName>
    <definedName name="HR_Print_CEX">#REF!</definedName>
    <definedName name="I">"a1..m50"</definedName>
    <definedName name="InfillSplitRatio" localSheetId="10">'[7]Meter-Service'!#REF!</definedName>
    <definedName name="InfillSplitRatio" localSheetId="20">'[7]Meter-Service'!#REF!</definedName>
    <definedName name="InfillSplitRatio" localSheetId="21">'[7]Meter-Service'!#REF!</definedName>
    <definedName name="InfillSplitRatio" localSheetId="19">'[7]Meter-Service'!#REF!</definedName>
    <definedName name="InfillSplitRatio" localSheetId="23">'[7]Meter-Service'!#REF!</definedName>
    <definedName name="InfillSplitRatio" localSheetId="22">'[7]Meter-Service'!#REF!</definedName>
    <definedName name="InfillSplitRatio" localSheetId="7">'[7]Meter-Service'!#REF!</definedName>
    <definedName name="InfillSplitRatio">'[7]Meter-Service'!#REF!</definedName>
    <definedName name="kind" localSheetId="10">#REF!</definedName>
    <definedName name="kind" localSheetId="20">#REF!</definedName>
    <definedName name="kind" localSheetId="21">#REF!</definedName>
    <definedName name="kind" localSheetId="19">#REF!</definedName>
    <definedName name="kind" localSheetId="23">#REF!</definedName>
    <definedName name="kind" localSheetId="22">#REF!</definedName>
    <definedName name="kind" localSheetId="7">#REF!</definedName>
    <definedName name="kind">#REF!</definedName>
    <definedName name="LABELS" localSheetId="10">#REF!</definedName>
    <definedName name="LABELS" localSheetId="20">#REF!</definedName>
    <definedName name="LABELS" localSheetId="21">#REF!</definedName>
    <definedName name="LABELS" localSheetId="19">#REF!</definedName>
    <definedName name="LABELS" localSheetId="23">#REF!</definedName>
    <definedName name="LABELS" localSheetId="22">#REF!</definedName>
    <definedName name="LABELS" localSheetId="7">#REF!</definedName>
    <definedName name="LABELS">#REF!</definedName>
    <definedName name="LaborAcct" localSheetId="10">#REF!</definedName>
    <definedName name="LaborAcct" localSheetId="20">#REF!</definedName>
    <definedName name="LaborAcct" localSheetId="21">#REF!</definedName>
    <definedName name="LaborAcct" localSheetId="19">#REF!</definedName>
    <definedName name="LaborAcct" localSheetId="23">#REF!</definedName>
    <definedName name="LaborAcct" localSheetId="22">#REF!</definedName>
    <definedName name="LaborAcct" localSheetId="7">#REF!</definedName>
    <definedName name="LaborAcct">#REF!</definedName>
    <definedName name="LaborOR" localSheetId="10">#REF!</definedName>
    <definedName name="LaborOR" localSheetId="20">#REF!</definedName>
    <definedName name="LaborOR" localSheetId="21">#REF!</definedName>
    <definedName name="LaborOR" localSheetId="19">#REF!</definedName>
    <definedName name="LaborOR" localSheetId="23">#REF!</definedName>
    <definedName name="LaborOR" localSheetId="22">#REF!</definedName>
    <definedName name="LaborOR" localSheetId="7">#REF!</definedName>
    <definedName name="LaborOR">#REF!</definedName>
    <definedName name="LaborP">[5]LaborPercentage!$A$3:$H$123</definedName>
    <definedName name="LIFE" localSheetId="10">#REF!</definedName>
    <definedName name="LIFE" localSheetId="20">#REF!</definedName>
    <definedName name="LIFE" localSheetId="21">#REF!</definedName>
    <definedName name="LIFE" localSheetId="19">#REF!</definedName>
    <definedName name="LIFE" localSheetId="23">#REF!</definedName>
    <definedName name="LIFE" localSheetId="22">#REF!</definedName>
    <definedName name="LIFE" localSheetId="7">#REF!</definedName>
    <definedName name="LIFE">#REF!</definedName>
    <definedName name="Line_Loss">'[17]General Inputs - Others'!$F$10</definedName>
    <definedName name="List" localSheetId="10">#REF!</definedName>
    <definedName name="List" localSheetId="20">#REF!</definedName>
    <definedName name="List" localSheetId="21">#REF!</definedName>
    <definedName name="List" localSheetId="19">#REF!</definedName>
    <definedName name="List" localSheetId="23">#REF!</definedName>
    <definedName name="List" localSheetId="22">#REF!</definedName>
    <definedName name="List" localSheetId="7">#REF!</definedName>
    <definedName name="List">#REF!</definedName>
    <definedName name="LKACCT" localSheetId="10">#REF!</definedName>
    <definedName name="LKACCT" localSheetId="20">#REF!</definedName>
    <definedName name="LKACCT" localSheetId="21">#REF!</definedName>
    <definedName name="LKACCT" localSheetId="19">#REF!</definedName>
    <definedName name="LKACCT" localSheetId="23">#REF!</definedName>
    <definedName name="LKACCT" localSheetId="22">#REF!</definedName>
    <definedName name="LKACCT" localSheetId="7">#REF!</definedName>
    <definedName name="LKACCT">#REF!</definedName>
    <definedName name="MACRO" localSheetId="10">#REF!</definedName>
    <definedName name="MACRO" localSheetId="20">#REF!</definedName>
    <definedName name="MACRO" localSheetId="21">#REF!</definedName>
    <definedName name="MACRO" localSheetId="19">#REF!</definedName>
    <definedName name="MACRO" localSheetId="23">#REF!</definedName>
    <definedName name="MACRO" localSheetId="22">#REF!</definedName>
    <definedName name="MACRO" localSheetId="7">#REF!</definedName>
    <definedName name="MACRO">#REF!</definedName>
    <definedName name="MeterHandling" localSheetId="10">'[7]Meter-Service'!#REF!</definedName>
    <definedName name="MeterHandling" localSheetId="20">'[7]Meter-Service'!#REF!</definedName>
    <definedName name="MeterHandling" localSheetId="21">'[7]Meter-Service'!#REF!</definedName>
    <definedName name="MeterHandling" localSheetId="19">'[7]Meter-Service'!#REF!</definedName>
    <definedName name="MeterHandling" localSheetId="23">'[7]Meter-Service'!#REF!</definedName>
    <definedName name="MeterHandling" localSheetId="22">'[7]Meter-Service'!#REF!</definedName>
    <definedName name="MeterHandling" localSheetId="7">'[7]Meter-Service'!#REF!</definedName>
    <definedName name="MeterHandling">'[7]Meter-Service'!#REF!</definedName>
    <definedName name="MISC_TAX" localSheetId="10">#REF!</definedName>
    <definedName name="MISC_TAX" localSheetId="20">#REF!</definedName>
    <definedName name="MISC_TAX" localSheetId="21">#REF!</definedName>
    <definedName name="MISC_TAX" localSheetId="19">#REF!</definedName>
    <definedName name="MISC_TAX" localSheetId="23">#REF!</definedName>
    <definedName name="MISC_TAX" localSheetId="22">#REF!</definedName>
    <definedName name="MISC_TAX" localSheetId="7">#REF!</definedName>
    <definedName name="MISC_TAX">#REF!</definedName>
    <definedName name="MOAfee">[18]Inputs!$A$43</definedName>
    <definedName name="MOAfees" localSheetId="10">'[7]Meter-Service'!#REF!</definedName>
    <definedName name="MOAfees" localSheetId="20">'[7]Meter-Service'!#REF!</definedName>
    <definedName name="MOAfees" localSheetId="21">'[7]Meter-Service'!#REF!</definedName>
    <definedName name="MOAfees" localSheetId="19">'[7]Meter-Service'!#REF!</definedName>
    <definedName name="MOAfees" localSheetId="23">'[7]Meter-Service'!#REF!</definedName>
    <definedName name="MOAfees" localSheetId="22">'[7]Meter-Service'!#REF!</definedName>
    <definedName name="MOAfees" localSheetId="7">'[7]Meter-Service'!#REF!</definedName>
    <definedName name="MOAfees">'[7]Meter-Service'!#REF!</definedName>
    <definedName name="MOApercent" localSheetId="10">'[7]Meter-Service'!#REF!</definedName>
    <definedName name="MOApercent" localSheetId="20">'[7]Meter-Service'!#REF!</definedName>
    <definedName name="MOApercent" localSheetId="21">'[7]Meter-Service'!#REF!</definedName>
    <definedName name="MOApercent" localSheetId="19">'[7]Meter-Service'!#REF!</definedName>
    <definedName name="MOApercent" localSheetId="23">'[7]Meter-Service'!#REF!</definedName>
    <definedName name="MOApercent" localSheetId="22">'[7]Meter-Service'!#REF!</definedName>
    <definedName name="MOApercent" localSheetId="7">'[7]Meter-Service'!#REF!</definedName>
    <definedName name="MOApercent">'[7]Meter-Service'!#REF!</definedName>
    <definedName name="Month" localSheetId="10">#REF!</definedName>
    <definedName name="Month" localSheetId="20">#REF!</definedName>
    <definedName name="Month" localSheetId="21">#REF!</definedName>
    <definedName name="Month" localSheetId="19">#REF!</definedName>
    <definedName name="Month" localSheetId="23">#REF!</definedName>
    <definedName name="Month" localSheetId="22">#REF!</definedName>
    <definedName name="Month" localSheetId="7">#REF!</definedName>
    <definedName name="Month">#REF!</definedName>
    <definedName name="MonthPrev" localSheetId="10">[19]Report!#REF!</definedName>
    <definedName name="MonthPrev" localSheetId="20">[19]Report!#REF!</definedName>
    <definedName name="MonthPrev" localSheetId="21">[19]Report!#REF!</definedName>
    <definedName name="MonthPrev" localSheetId="19">[19]Report!#REF!</definedName>
    <definedName name="MonthPrev" localSheetId="23">[19]Report!#REF!</definedName>
    <definedName name="MonthPrev" localSheetId="22">[19]Report!#REF!</definedName>
    <definedName name="MonthPrev" localSheetId="7">[19]Report!#REF!</definedName>
    <definedName name="MonthPrev">[19]Report!#REF!</definedName>
    <definedName name="Months" localSheetId="10">#REF!</definedName>
    <definedName name="Months" localSheetId="20">#REF!</definedName>
    <definedName name="Months" localSheetId="21">#REF!</definedName>
    <definedName name="Months" localSheetId="19">#REF!</definedName>
    <definedName name="Months" localSheetId="23">#REF!</definedName>
    <definedName name="Months" localSheetId="22">#REF!</definedName>
    <definedName name="Months" localSheetId="7">#REF!</definedName>
    <definedName name="Months">#REF!</definedName>
    <definedName name="NAME" localSheetId="10">#REF!</definedName>
    <definedName name="NAME" localSheetId="20">#REF!</definedName>
    <definedName name="NAME" localSheetId="21">#REF!</definedName>
    <definedName name="NAME" localSheetId="19">#REF!</definedName>
    <definedName name="NAME" localSheetId="23">#REF!</definedName>
    <definedName name="NAME" localSheetId="22">#REF!</definedName>
    <definedName name="NAME" localSheetId="7">#REF!</definedName>
    <definedName name="NAME">#REF!</definedName>
    <definedName name="NAME1" localSheetId="10">#REF!</definedName>
    <definedName name="NAME1" localSheetId="20">#REF!</definedName>
    <definedName name="NAME1" localSheetId="21">#REF!</definedName>
    <definedName name="NAME1" localSheetId="19">#REF!</definedName>
    <definedName name="NAME1" localSheetId="23">#REF!</definedName>
    <definedName name="NAME1" localSheetId="22">#REF!</definedName>
    <definedName name="NAME1" localSheetId="7">#REF!</definedName>
    <definedName name="NAME1">#REF!</definedName>
    <definedName name="NCOMRatio" localSheetId="10">'[7]Meter-Service'!#REF!</definedName>
    <definedName name="NCOMRatio" localSheetId="20">'[7]Meter-Service'!#REF!</definedName>
    <definedName name="NCOMRatio" localSheetId="21">'[7]Meter-Service'!#REF!</definedName>
    <definedName name="NCOMRatio" localSheetId="19">'[7]Meter-Service'!#REF!</definedName>
    <definedName name="NCOMRatio" localSheetId="23">'[7]Meter-Service'!#REF!</definedName>
    <definedName name="NCOMRatio" localSheetId="22">'[7]Meter-Service'!#REF!</definedName>
    <definedName name="NCOMRatio" localSheetId="7">'[7]Meter-Service'!#REF!</definedName>
    <definedName name="NCOMRatio">'[7]Meter-Service'!#REF!</definedName>
    <definedName name="NoProposed" localSheetId="10">#REF!,#REF!</definedName>
    <definedName name="NoProposed" localSheetId="20">#REF!,#REF!</definedName>
    <definedName name="NoProposed" localSheetId="21">#REF!,#REF!</definedName>
    <definedName name="NoProposed" localSheetId="19">#REF!,#REF!</definedName>
    <definedName name="NoProposed" localSheetId="23">#REF!,#REF!</definedName>
    <definedName name="NoProposed" localSheetId="22">#REF!,#REF!</definedName>
    <definedName name="NoProposed" localSheetId="7">#REF!,#REF!</definedName>
    <definedName name="NoProposed">#REF!,#REF!</definedName>
    <definedName name="NoProposed1" localSheetId="10">#REF!</definedName>
    <definedName name="NoProposed1" localSheetId="20">#REF!</definedName>
    <definedName name="NoProposed1" localSheetId="21">#REF!</definedName>
    <definedName name="NoProposed1" localSheetId="19">#REF!</definedName>
    <definedName name="NoProposed1" localSheetId="23">#REF!</definedName>
    <definedName name="NoProposed1" localSheetId="22">#REF!</definedName>
    <definedName name="NoProposed1" localSheetId="7">#REF!</definedName>
    <definedName name="NoProposed1">#REF!</definedName>
    <definedName name="NoProposed2" localSheetId="10">#REF!</definedName>
    <definedName name="NoProposed2" localSheetId="20">#REF!</definedName>
    <definedName name="NoProposed2" localSheetId="21">#REF!</definedName>
    <definedName name="NoProposed2" localSheetId="19">#REF!</definedName>
    <definedName name="NoProposed2" localSheetId="23">#REF!</definedName>
    <definedName name="NoProposed2" localSheetId="22">#REF!</definedName>
    <definedName name="NoProposed2" localSheetId="7">#REF!</definedName>
    <definedName name="NoProposed2">#REF!</definedName>
    <definedName name="NORMALIZE" localSheetId="10">#REF!</definedName>
    <definedName name="NORMALIZE" localSheetId="20">#REF!</definedName>
    <definedName name="NORMALIZE" localSheetId="21">#REF!</definedName>
    <definedName name="NORMALIZE" localSheetId="19">#REF!</definedName>
    <definedName name="NORMALIZE" localSheetId="23">#REF!</definedName>
    <definedName name="NORMALIZE" localSheetId="22">#REF!</definedName>
    <definedName name="NORMALIZE" localSheetId="7">#REF!</definedName>
    <definedName name="NORMALIZE">#REF!</definedName>
    <definedName name="Note__This_schedule_does_not_include_costs_or_revenues_identified_from_the_annual_ancillary_program_study." localSheetId="10">#REF!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21">#REF!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23">#REF!</definedName>
    <definedName name="Note__This_schedule_does_not_include_costs_or_revenues_identified_from_the_annual_ancillary_program_study." localSheetId="22">#REF!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#REF!</definedName>
    <definedName name="OH_HOME" localSheetId="10">[1]DEPR!#REF!</definedName>
    <definedName name="OH_HOME" localSheetId="20">[1]DEPR!#REF!</definedName>
    <definedName name="OH_HOME" localSheetId="21">[1]DEPR!#REF!</definedName>
    <definedName name="OH_HOME" localSheetId="19">[1]DEPR!#REF!</definedName>
    <definedName name="OH_HOME" localSheetId="23">[1]DEPR!#REF!</definedName>
    <definedName name="OH_HOME" localSheetId="22">[1]DEPR!#REF!</definedName>
    <definedName name="OH_HOME" localSheetId="7">[1]DEPR!#REF!</definedName>
    <definedName name="OH_HOME">[1]DEPR!#REF!</definedName>
    <definedName name="ONCOR_ELECTRIC_DELIVERY_COMPANY" localSheetId="10">#REF!</definedName>
    <definedName name="ONCOR_ELECTRIC_DELIVERY_COMPANY" localSheetId="20">#REF!</definedName>
    <definedName name="ONCOR_ELECTRIC_DELIVERY_COMPANY" localSheetId="21">#REF!</definedName>
    <definedName name="ONCOR_ELECTRIC_DELIVERY_COMPANY" localSheetId="19">#REF!</definedName>
    <definedName name="ONCOR_ELECTRIC_DELIVERY_COMPANY" localSheetId="23">#REF!</definedName>
    <definedName name="ONCOR_ELECTRIC_DELIVERY_COMPANY" localSheetId="22">#REF!</definedName>
    <definedName name="ONCOR_ELECTRIC_DELIVERY_COMPANY" localSheetId="7">#REF!</definedName>
    <definedName name="ONCOR_ELECTRIC_DELIVERY_COMPANY">#REF!</definedName>
    <definedName name="OperRev" localSheetId="10">#REF!</definedName>
    <definedName name="OperRev" localSheetId="20">#REF!</definedName>
    <definedName name="OperRev" localSheetId="21">#REF!</definedName>
    <definedName name="OperRev" localSheetId="19">#REF!</definedName>
    <definedName name="OperRev" localSheetId="23">#REF!</definedName>
    <definedName name="OperRev" localSheetId="22">#REF!</definedName>
    <definedName name="OperRev" localSheetId="7">#REF!</definedName>
    <definedName name="OperRev">#REF!</definedName>
    <definedName name="Over60_1" localSheetId="10">#REF!</definedName>
    <definedName name="Over60_1" localSheetId="20">#REF!</definedName>
    <definedName name="Over60_1" localSheetId="21">#REF!</definedName>
    <definedName name="Over60_1" localSheetId="19">#REF!</definedName>
    <definedName name="Over60_1" localSheetId="23">#REF!</definedName>
    <definedName name="Over60_1" localSheetId="22">#REF!</definedName>
    <definedName name="Over60_1" localSheetId="7">#REF!</definedName>
    <definedName name="Over60_1">#REF!</definedName>
    <definedName name="page1">#N/A</definedName>
    <definedName name="page2">#N/A</definedName>
    <definedName name="page3">#N/A</definedName>
    <definedName name="Pal_Workbook_GUID" localSheetId="3"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10">'[7]Meter-Service'!#REF!</definedName>
    <definedName name="Planning" localSheetId="20">'[7]Meter-Service'!#REF!</definedName>
    <definedName name="Planning" localSheetId="21">'[7]Meter-Service'!#REF!</definedName>
    <definedName name="Planning" localSheetId="19">'[7]Meter-Service'!#REF!</definedName>
    <definedName name="Planning" localSheetId="23">'[7]Meter-Service'!#REF!</definedName>
    <definedName name="Planning" localSheetId="22">'[7]Meter-Service'!#REF!</definedName>
    <definedName name="Planning" localSheetId="7">'[7]Meter-Service'!#REF!</definedName>
    <definedName name="Planning">'[7]Meter-Service'!#REF!</definedName>
    <definedName name="PRINT" localSheetId="10">#REF!</definedName>
    <definedName name="PRINT" localSheetId="20">#REF!</definedName>
    <definedName name="PRINT" localSheetId="21">#REF!</definedName>
    <definedName name="PRINT" localSheetId="19">#REF!</definedName>
    <definedName name="PRINT" localSheetId="23">#REF!</definedName>
    <definedName name="PRINT" localSheetId="22">#REF!</definedName>
    <definedName name="PRINT" localSheetId="7">#REF!</definedName>
    <definedName name="PRINT">#REF!</definedName>
    <definedName name="_xlnm.Print_Area" localSheetId="10">#REF!</definedName>
    <definedName name="_xlnm.Print_Area" localSheetId="17">'Exh A Pg 1'!$A$1:$R$99</definedName>
    <definedName name="_xlnm.Print_Area" localSheetId="18">'Exh A Pg 2'!$B$1:$BE$79</definedName>
    <definedName name="_xlnm.Print_Area" localSheetId="20">'Exh. RJW-3 Combined'!$A$1:$AA$53</definedName>
    <definedName name="_xlnm.Print_Area" localSheetId="21">'Exh. RJW-3 Mitigation Only'!$A$1:$AA$53</definedName>
    <definedName name="_xlnm.Print_Area" localSheetId="19">'Exh. RJW-3 RR'!$A$1:$L$49</definedName>
    <definedName name="_xlnm.Print_Area" localSheetId="23">#REF!</definedName>
    <definedName name="_xlnm.Print_Area" localSheetId="22">#REF!</definedName>
    <definedName name="_xlnm.Print_Area" localSheetId="16">'Rate Impacts - COMBINED'!$A$2:$Z$52</definedName>
    <definedName name="_xlnm.Print_Area" localSheetId="14">'Rate Impacts - Rev Req ONLY'!$A$1:$M$49</definedName>
    <definedName name="_xlnm.Print_Area" localSheetId="7">#REF!</definedName>
    <definedName name="_xlnm.Print_Area">#REF!</definedName>
    <definedName name="_xlnm.Print_Titles" localSheetId="10">#REF!,#REF!</definedName>
    <definedName name="_xlnm.Print_Titles" localSheetId="20">#REF!,#REF!</definedName>
    <definedName name="_xlnm.Print_Titles" localSheetId="21">#REF!,#REF!</definedName>
    <definedName name="_xlnm.Print_Titles" localSheetId="19">#REF!,#REF!</definedName>
    <definedName name="_xlnm.Print_Titles" localSheetId="23">#REF!,#REF!</definedName>
    <definedName name="_xlnm.Print_Titles" localSheetId="22">#REF!,#REF!</definedName>
    <definedName name="_xlnm.Print_Titles" localSheetId="7">#REF!,#REF!</definedName>
    <definedName name="_xlnm.Print_Titles">#REF!,#REF!</definedName>
    <definedName name="print55" localSheetId="10">#REF!</definedName>
    <definedName name="print55" localSheetId="20">#REF!</definedName>
    <definedName name="print55" localSheetId="21">#REF!</definedName>
    <definedName name="print55" localSheetId="19">#REF!</definedName>
    <definedName name="print55" localSheetId="23">#REF!</definedName>
    <definedName name="print55" localSheetId="22">#REF!</definedName>
    <definedName name="print55" localSheetId="7">#REF!</definedName>
    <definedName name="print55">#REF!</definedName>
    <definedName name="PrintClassMerDel" localSheetId="10">[4]Classify!#REF!</definedName>
    <definedName name="PrintClassMerDel" localSheetId="20">[4]Classify!#REF!</definedName>
    <definedName name="PrintClassMerDel" localSheetId="21">[4]Classify!#REF!</definedName>
    <definedName name="PrintClassMerDel" localSheetId="19">[4]Classify!#REF!</definedName>
    <definedName name="PrintClassMerDel" localSheetId="23">[4]Classify!#REF!</definedName>
    <definedName name="PrintClassMerDel" localSheetId="22">[4]Classify!#REF!</definedName>
    <definedName name="PrintClassMerDel" localSheetId="7">[4]Classify!#REF!</definedName>
    <definedName name="PrintClassMerDel">[4]Classify!#REF!</definedName>
    <definedName name="PrintFunctMerDel" localSheetId="10">[4]Functions!#REF!</definedName>
    <definedName name="PrintFunctMerDel" localSheetId="20">[4]Functions!#REF!</definedName>
    <definedName name="PrintFunctMerDel" localSheetId="21">[4]Functions!#REF!</definedName>
    <definedName name="PrintFunctMerDel" localSheetId="19">[4]Functions!#REF!</definedName>
    <definedName name="PrintFunctMerDel" localSheetId="23">[4]Functions!#REF!</definedName>
    <definedName name="PrintFunctMerDel" localSheetId="22">[4]Functions!#REF!</definedName>
    <definedName name="PrintFunctMerDel" localSheetId="7">[4]Functions!#REF!</definedName>
    <definedName name="PrintFunctMerDel">[4]Functions!#REF!</definedName>
    <definedName name="PrintMainRB" localSheetId="10">#REF!</definedName>
    <definedName name="PrintMainRB" localSheetId="20">#REF!</definedName>
    <definedName name="PrintMainRB" localSheetId="21">#REF!</definedName>
    <definedName name="PrintMainRB" localSheetId="19">#REF!</definedName>
    <definedName name="PrintMainRB" localSheetId="23">#REF!</definedName>
    <definedName name="PrintMainRB" localSheetId="22">#REF!</definedName>
    <definedName name="PrintMainRB" localSheetId="7">#REF!</definedName>
    <definedName name="PrintMainRB">#REF!</definedName>
    <definedName name="PrintMerDelMain" localSheetId="10">[4]Total!#REF!</definedName>
    <definedName name="PrintMerDelMain" localSheetId="20">[4]Total!#REF!</definedName>
    <definedName name="PrintMerDelMain" localSheetId="21">[4]Total!#REF!</definedName>
    <definedName name="PrintMerDelMain" localSheetId="19">[4]Total!#REF!</definedName>
    <definedName name="PrintMerDelMain" localSheetId="23">[4]Total!#REF!</definedName>
    <definedName name="PrintMerDelMain" localSheetId="22">[4]Total!#REF!</definedName>
    <definedName name="PrintMerDelMain" localSheetId="7">[4]Total!#REF!</definedName>
    <definedName name="PrintMerDelMain">[4]Total!#REF!</definedName>
    <definedName name="PrintMSSDet" localSheetId="10">#REF!</definedName>
    <definedName name="PrintMSSDet" localSheetId="20">#REF!</definedName>
    <definedName name="PrintMSSDet" localSheetId="21">#REF!</definedName>
    <definedName name="PrintMSSDet" localSheetId="19">#REF!</definedName>
    <definedName name="PrintMSSDet" localSheetId="23">#REF!</definedName>
    <definedName name="PrintMSSDet" localSheetId="22">#REF!</definedName>
    <definedName name="PrintMSSDet" localSheetId="7">#REF!</definedName>
    <definedName name="PrintMSSDet">#REF!</definedName>
    <definedName name="PrintMSSSum" localSheetId="10">#REF!</definedName>
    <definedName name="PrintMSSSum" localSheetId="20">#REF!</definedName>
    <definedName name="PrintMSSSum" localSheetId="21">#REF!</definedName>
    <definedName name="PrintMSSSum" localSheetId="19">#REF!</definedName>
    <definedName name="PrintMSSSum" localSheetId="23">#REF!</definedName>
    <definedName name="PrintMSSSum" localSheetId="22">#REF!</definedName>
    <definedName name="PrintMSSSum" localSheetId="7">#REF!</definedName>
    <definedName name="PrintMSSSum">#REF!</definedName>
    <definedName name="PrintSpecDet" localSheetId="10">#REF!</definedName>
    <definedName name="PrintSpecDet" localSheetId="20">#REF!</definedName>
    <definedName name="PrintSpecDet" localSheetId="21">#REF!</definedName>
    <definedName name="PrintSpecDet" localSheetId="19">#REF!</definedName>
    <definedName name="PrintSpecDet" localSheetId="23">#REF!</definedName>
    <definedName name="PrintSpecDet" localSheetId="22">#REF!</definedName>
    <definedName name="PrintSpecDet" localSheetId="7">#REF!</definedName>
    <definedName name="PrintSpecDet">#REF!</definedName>
    <definedName name="PrintSpecSum" localSheetId="10">#REF!</definedName>
    <definedName name="PrintSpecSum" localSheetId="20">#REF!</definedName>
    <definedName name="PrintSpecSum" localSheetId="21">#REF!</definedName>
    <definedName name="PrintSpecSum" localSheetId="19">#REF!</definedName>
    <definedName name="PrintSpecSum" localSheetId="23">#REF!</definedName>
    <definedName name="PrintSpecSum" localSheetId="22">#REF!</definedName>
    <definedName name="PrintSpecSum" localSheetId="7">#REF!</definedName>
    <definedName name="PrintSpecSum">#REF!</definedName>
    <definedName name="PrintUnitMerDel" localSheetId="10">'[4]Unit Cost'!#REF!</definedName>
    <definedName name="PrintUnitMerDel" localSheetId="20">'[4]Unit Cost'!#REF!</definedName>
    <definedName name="PrintUnitMerDel" localSheetId="21">'[4]Unit Cost'!#REF!</definedName>
    <definedName name="PrintUnitMerDel" localSheetId="19">'[4]Unit Cost'!#REF!</definedName>
    <definedName name="PrintUnitMerDel" localSheetId="23">'[4]Unit Cost'!#REF!</definedName>
    <definedName name="PrintUnitMerDel" localSheetId="22">'[4]Unit Cost'!#REF!</definedName>
    <definedName name="PrintUnitMerDel" localSheetId="7">'[4]Unit Cost'!#REF!</definedName>
    <definedName name="PrintUnitMerDel">'[4]Unit Cost'!#REF!</definedName>
    <definedName name="PROP_TAX" localSheetId="10">#REF!</definedName>
    <definedName name="PROP_TAX" localSheetId="20">#REF!</definedName>
    <definedName name="PROP_TAX" localSheetId="21">#REF!</definedName>
    <definedName name="PROP_TAX" localSheetId="19">#REF!</definedName>
    <definedName name="PROP_TAX" localSheetId="23">#REF!</definedName>
    <definedName name="PROP_TAX" localSheetId="22">#REF!</definedName>
    <definedName name="PROP_TAX" localSheetId="7">#REF!</definedName>
    <definedName name="PROP_TAX">#REF!</definedName>
    <definedName name="Q" localSheetId="10">[4]Factors!#REF!</definedName>
    <definedName name="Q" localSheetId="20">[4]Factors!#REF!</definedName>
    <definedName name="Q" localSheetId="21">[4]Factors!#REF!</definedName>
    <definedName name="Q" localSheetId="19">[4]Factors!#REF!</definedName>
    <definedName name="Q" localSheetId="23">[4]Factors!#REF!</definedName>
    <definedName name="Q" localSheetId="22">[4]Factors!#REF!</definedName>
    <definedName name="Q" localSheetId="7">[4]Factors!#REF!</definedName>
    <definedName name="Q">[4]Factors!#REF!</definedName>
    <definedName name="rAdmin" localSheetId="10">#REF!</definedName>
    <definedName name="rAdmin" localSheetId="20">#REF!</definedName>
    <definedName name="rAdmin" localSheetId="21">#REF!</definedName>
    <definedName name="rAdmin" localSheetId="19">#REF!</definedName>
    <definedName name="rAdmin" localSheetId="23">#REF!</definedName>
    <definedName name="rAdmin" localSheetId="22">#REF!</definedName>
    <definedName name="rAdmin" localSheetId="7">#REF!</definedName>
    <definedName name="rAdmin">#REF!</definedName>
    <definedName name="rAlloList" localSheetId="10">[4]Registry!#REF!</definedName>
    <definedName name="rAlloList" localSheetId="20">[4]Registry!#REF!</definedName>
    <definedName name="rAlloList" localSheetId="21">[4]Registry!#REF!</definedName>
    <definedName name="rAlloList" localSheetId="19">[4]Registry!#REF!</definedName>
    <definedName name="rAlloList" localSheetId="23">[4]Registry!#REF!</definedName>
    <definedName name="rAlloList" localSheetId="22">[4]Registry!#REF!</definedName>
    <definedName name="rAlloList" localSheetId="7">[4]Registry!#REF!</definedName>
    <definedName name="rAlloList">[4]Registry!#REF!</definedName>
    <definedName name="rEGC" localSheetId="10">#REF!</definedName>
    <definedName name="rEGC" localSheetId="20">#REF!</definedName>
    <definedName name="rEGC" localSheetId="21">#REF!</definedName>
    <definedName name="rEGC" localSheetId="19">#REF!</definedName>
    <definedName name="rEGC" localSheetId="23">#REF!</definedName>
    <definedName name="rEGC" localSheetId="22">#REF!</definedName>
    <definedName name="rEGC" localSheetId="7">#REF!</definedName>
    <definedName name="rEGC">#REF!</definedName>
    <definedName name="RESERVE_REPORT" localSheetId="10">[20]UTILPLNT!#REF!</definedName>
    <definedName name="RESERVE_REPORT" localSheetId="20">[20]UTILPLNT!#REF!</definedName>
    <definedName name="RESERVE_REPORT" localSheetId="21">[20]UTILPLNT!#REF!</definedName>
    <definedName name="RESERVE_REPORT" localSheetId="19">[20]UTILPLNT!#REF!</definedName>
    <definedName name="RESERVE_REPORT" localSheetId="23">[20]UTILPLNT!#REF!</definedName>
    <definedName name="RESERVE_REPORT" localSheetId="22">[20]UTILPLNT!#REF!</definedName>
    <definedName name="RESERVE_REPORT" localSheetId="7">[20]UTILPLNT!#REF!</definedName>
    <definedName name="RESERVE_REPORT">[20]UTILPLNT!#REF!</definedName>
    <definedName name="RevM" localSheetId="10">#REF!</definedName>
    <definedName name="RevM" localSheetId="20">#REF!</definedName>
    <definedName name="RevM" localSheetId="21">#REF!</definedName>
    <definedName name="RevM" localSheetId="19">#REF!</definedName>
    <definedName name="RevM" localSheetId="23">#REF!</definedName>
    <definedName name="RevM" localSheetId="22">#REF!</definedName>
    <definedName name="RevM" localSheetId="7">#REF!</definedName>
    <definedName name="RevM">#REF!</definedName>
    <definedName name="revsens" localSheetId="3">[21]Inputs!$B$30</definedName>
    <definedName name="revsens" localSheetId="10">#REF!</definedName>
    <definedName name="revsens" localSheetId="20">#REF!</definedName>
    <definedName name="revsens" localSheetId="21">#REF!</definedName>
    <definedName name="revsens" localSheetId="19">#REF!</definedName>
    <definedName name="revsens" localSheetId="23">#REF!</definedName>
    <definedName name="revsens" localSheetId="22">#REF!</definedName>
    <definedName name="revsens" localSheetId="7">#REF!</definedName>
    <definedName name="revsens">#REF!</definedName>
    <definedName name="RevY" localSheetId="10">#REF!</definedName>
    <definedName name="RevY" localSheetId="20">#REF!</definedName>
    <definedName name="RevY" localSheetId="21">#REF!</definedName>
    <definedName name="RevY" localSheetId="19">#REF!</definedName>
    <definedName name="RevY" localSheetId="23">#REF!</definedName>
    <definedName name="RevY" localSheetId="22">#REF!</definedName>
    <definedName name="RevY" localSheetId="7">#REF!</definedName>
    <definedName name="RevY">#REF!</definedName>
    <definedName name="rGRT" localSheetId="10">#REF!</definedName>
    <definedName name="rGRT" localSheetId="20">#REF!</definedName>
    <definedName name="rGRT" localSheetId="21">#REF!</definedName>
    <definedName name="rGRT" localSheetId="19">#REF!</definedName>
    <definedName name="rGRT" localSheetId="23">#REF!</definedName>
    <definedName name="rGRT" localSheetId="22">#REF!</definedName>
    <definedName name="rGRT" localSheetId="7">#REF!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3"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3" hidden="1">100</definedName>
    <definedName name="RiskNumIterations" hidden="1">1000</definedName>
    <definedName name="RiskNumSimulations" localSheetId="3"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10">#REF!</definedName>
    <definedName name="rPIP" localSheetId="20">#REF!</definedName>
    <definedName name="rPIP" localSheetId="21">#REF!</definedName>
    <definedName name="rPIP" localSheetId="19">#REF!</definedName>
    <definedName name="rPIP" localSheetId="23">#REF!</definedName>
    <definedName name="rPIP" localSheetId="22">#REF!</definedName>
    <definedName name="rPIP" localSheetId="7">#REF!</definedName>
    <definedName name="rPIP">#REF!</definedName>
    <definedName name="RptDate" localSheetId="10">#REF!</definedName>
    <definedName name="RptDate" localSheetId="20">#REF!</definedName>
    <definedName name="RptDate" localSheetId="21">#REF!</definedName>
    <definedName name="RptDate" localSheetId="19">#REF!</definedName>
    <definedName name="RptDate" localSheetId="23">#REF!</definedName>
    <definedName name="RptDate" localSheetId="22">#REF!</definedName>
    <definedName name="RptDate" localSheetId="7">#REF!</definedName>
    <definedName name="RptDate">#REF!</definedName>
    <definedName name="rSB" localSheetId="10">#REF!</definedName>
    <definedName name="rSB" localSheetId="20">#REF!</definedName>
    <definedName name="rSB" localSheetId="21">#REF!</definedName>
    <definedName name="rSB" localSheetId="19">#REF!</definedName>
    <definedName name="rSB" localSheetId="23">#REF!</definedName>
    <definedName name="rSB" localSheetId="22">#REF!</definedName>
    <definedName name="rSB" localSheetId="7">#REF!</definedName>
    <definedName name="rSB">#REF!</definedName>
    <definedName name="rShare" localSheetId="10">#REF!</definedName>
    <definedName name="rShare" localSheetId="20">#REF!</definedName>
    <definedName name="rShare" localSheetId="21">#REF!</definedName>
    <definedName name="rShare" localSheetId="19">#REF!</definedName>
    <definedName name="rShare" localSheetId="23">#REF!</definedName>
    <definedName name="rShare" localSheetId="22">#REF!</definedName>
    <definedName name="rShare" localSheetId="7">#REF!</definedName>
    <definedName name="rShare">#REF!</definedName>
    <definedName name="rTemp" localSheetId="10">#REF!</definedName>
    <definedName name="rTemp" localSheetId="20">#REF!</definedName>
    <definedName name="rTemp" localSheetId="21">#REF!</definedName>
    <definedName name="rTemp" localSheetId="19">#REF!</definedName>
    <definedName name="rTemp" localSheetId="23">#REF!</definedName>
    <definedName name="rTemp" localSheetId="22">#REF!</definedName>
    <definedName name="rTemp" localSheetId="7">#REF!</definedName>
    <definedName name="rTemp">#REF!</definedName>
    <definedName name="rUnc" localSheetId="10">#REF!</definedName>
    <definedName name="rUnc" localSheetId="20">#REF!</definedName>
    <definedName name="rUnc" localSheetId="21">#REF!</definedName>
    <definedName name="rUnc" localSheetId="19">#REF!</definedName>
    <definedName name="rUnc" localSheetId="23">#REF!</definedName>
    <definedName name="rUnc" localSheetId="22">#REF!</definedName>
    <definedName name="rUnc" localSheetId="7">#REF!</definedName>
    <definedName name="rUnc">#REF!</definedName>
    <definedName name="Sales_Print_CEX" localSheetId="10">#REF!</definedName>
    <definedName name="Sales_Print_CEX" localSheetId="20">#REF!</definedName>
    <definedName name="Sales_Print_CEX" localSheetId="21">#REF!</definedName>
    <definedName name="Sales_Print_CEX" localSheetId="19">#REF!</definedName>
    <definedName name="Sales_Print_CEX" localSheetId="23">#REF!</definedName>
    <definedName name="Sales_Print_CEX" localSheetId="22">#REF!</definedName>
    <definedName name="Sales_Print_CEX" localSheetId="7">#REF!</definedName>
    <definedName name="Sales_Print_CEX">#REF!</definedName>
    <definedName name="SALV" localSheetId="10">#REF!</definedName>
    <definedName name="SALV" localSheetId="20">#REF!</definedName>
    <definedName name="SALV" localSheetId="21">#REF!</definedName>
    <definedName name="SALV" localSheetId="19">#REF!</definedName>
    <definedName name="SALV" localSheetId="23">#REF!</definedName>
    <definedName name="SALV" localSheetId="22">#REF!</definedName>
    <definedName name="SALV" localSheetId="7">#REF!</definedName>
    <definedName name="SALV">#REF!</definedName>
    <definedName name="SAS_GasCost" localSheetId="10">[3]Input!#REF!</definedName>
    <definedName name="SAS_GasCost" localSheetId="20">[3]Input!#REF!</definedName>
    <definedName name="SAS_GasCost" localSheetId="21">[3]Input!#REF!</definedName>
    <definedName name="SAS_GasCost" localSheetId="19">[3]Input!#REF!</definedName>
    <definedName name="SAS_GasCost" localSheetId="23">[3]Input!#REF!</definedName>
    <definedName name="SAS_GasCost" localSheetId="22">[3]Input!#REF!</definedName>
    <definedName name="SAS_GasCost" localSheetId="7">[3]Input!#REF!</definedName>
    <definedName name="SAS_GasCost">[3]Input!#REF!</definedName>
    <definedName name="sch10print" localSheetId="10">#REF!</definedName>
    <definedName name="sch10print" localSheetId="20">#REF!</definedName>
    <definedName name="sch10print" localSheetId="21">#REF!</definedName>
    <definedName name="sch10print" localSheetId="19">#REF!</definedName>
    <definedName name="sch10print" localSheetId="23">#REF!</definedName>
    <definedName name="sch10print" localSheetId="22">#REF!</definedName>
    <definedName name="sch10print" localSheetId="7">#REF!</definedName>
    <definedName name="sch10print">#REF!</definedName>
    <definedName name="sch3data" localSheetId="10">#REF!</definedName>
    <definedName name="sch3data" localSheetId="20">#REF!</definedName>
    <definedName name="sch3data" localSheetId="21">#REF!</definedName>
    <definedName name="sch3data" localSheetId="19">#REF!</definedName>
    <definedName name="sch3data" localSheetId="23">#REF!</definedName>
    <definedName name="sch3data" localSheetId="22">#REF!</definedName>
    <definedName name="sch3data" localSheetId="7">#REF!</definedName>
    <definedName name="sch3data">#REF!</definedName>
    <definedName name="sch3data_grp" localSheetId="10">#REF!</definedName>
    <definedName name="sch3data_grp" localSheetId="20">#REF!</definedName>
    <definedName name="sch3data_grp" localSheetId="21">#REF!</definedName>
    <definedName name="sch3data_grp" localSheetId="19">#REF!</definedName>
    <definedName name="sch3data_grp" localSheetId="23">#REF!</definedName>
    <definedName name="sch3data_grp" localSheetId="22">#REF!</definedName>
    <definedName name="sch3data_grp" localSheetId="7">#REF!</definedName>
    <definedName name="sch3data_grp">#REF!</definedName>
    <definedName name="sch3print" localSheetId="10">#REF!</definedName>
    <definedName name="sch3print" localSheetId="20">#REF!</definedName>
    <definedName name="sch3print" localSheetId="21">#REF!</definedName>
    <definedName name="sch3print" localSheetId="19">#REF!</definedName>
    <definedName name="sch3print" localSheetId="23">#REF!</definedName>
    <definedName name="sch3print" localSheetId="22">#REF!</definedName>
    <definedName name="sch3print" localSheetId="7">#REF!</definedName>
    <definedName name="sch3print">#REF!</definedName>
    <definedName name="sch4_2data" localSheetId="10">#REF!</definedName>
    <definedName name="sch4_2data" localSheetId="20">#REF!</definedName>
    <definedName name="sch4_2data" localSheetId="21">#REF!</definedName>
    <definedName name="sch4_2data" localSheetId="19">#REF!</definedName>
    <definedName name="sch4_2data" localSheetId="23">#REF!</definedName>
    <definedName name="sch4_2data" localSheetId="22">#REF!</definedName>
    <definedName name="sch4_2data" localSheetId="7">#REF!</definedName>
    <definedName name="sch4_2data">#REF!</definedName>
    <definedName name="sch4_2data_grp" localSheetId="10">#REF!</definedName>
    <definedName name="sch4_2data_grp" localSheetId="20">#REF!</definedName>
    <definedName name="sch4_2data_grp" localSheetId="21">#REF!</definedName>
    <definedName name="sch4_2data_grp" localSheetId="19">#REF!</definedName>
    <definedName name="sch4_2data_grp" localSheetId="23">#REF!</definedName>
    <definedName name="sch4_2data_grp" localSheetId="22">#REF!</definedName>
    <definedName name="sch4_2data_grp" localSheetId="7">#REF!</definedName>
    <definedName name="sch4_2data_grp">#REF!</definedName>
    <definedName name="sch4_2data1" localSheetId="10">#REF!</definedName>
    <definedName name="sch4_2data1" localSheetId="20">#REF!</definedName>
    <definedName name="sch4_2data1" localSheetId="21">#REF!</definedName>
    <definedName name="sch4_2data1" localSheetId="19">#REF!</definedName>
    <definedName name="sch4_2data1" localSheetId="23">#REF!</definedName>
    <definedName name="sch4_2data1" localSheetId="22">#REF!</definedName>
    <definedName name="sch4_2data1" localSheetId="7">#REF!</definedName>
    <definedName name="sch4_2data1">#REF!</definedName>
    <definedName name="sch4_2data1_grp" localSheetId="10">#REF!</definedName>
    <definedName name="sch4_2data1_grp" localSheetId="20">#REF!</definedName>
    <definedName name="sch4_2data1_grp" localSheetId="21">#REF!</definedName>
    <definedName name="sch4_2data1_grp" localSheetId="19">#REF!</definedName>
    <definedName name="sch4_2data1_grp" localSheetId="23">#REF!</definedName>
    <definedName name="sch4_2data1_grp" localSheetId="22">#REF!</definedName>
    <definedName name="sch4_2data1_grp" localSheetId="7">#REF!</definedName>
    <definedName name="sch4_2data1_grp">#REF!</definedName>
    <definedName name="sch4_2print" localSheetId="10">#REF!</definedName>
    <definedName name="sch4_2print" localSheetId="20">#REF!</definedName>
    <definedName name="sch4_2print" localSheetId="21">#REF!</definedName>
    <definedName name="sch4_2print" localSheetId="19">#REF!</definedName>
    <definedName name="sch4_2print" localSheetId="23">#REF!</definedName>
    <definedName name="sch4_2print" localSheetId="22">#REF!</definedName>
    <definedName name="sch4_2print" localSheetId="7">#REF!</definedName>
    <definedName name="sch4_2print">#REF!</definedName>
    <definedName name="sch4_3print" localSheetId="10">#REF!</definedName>
    <definedName name="sch4_3print" localSheetId="20">#REF!</definedName>
    <definedName name="sch4_3print" localSheetId="21">#REF!</definedName>
    <definedName name="sch4_3print" localSheetId="19">#REF!</definedName>
    <definedName name="sch4_3print" localSheetId="23">#REF!</definedName>
    <definedName name="sch4_3print" localSheetId="22">#REF!</definedName>
    <definedName name="sch4_3print" localSheetId="7">#REF!</definedName>
    <definedName name="sch4_3print">#REF!</definedName>
    <definedName name="sch4print" localSheetId="10">#REF!</definedName>
    <definedName name="sch4print" localSheetId="20">#REF!</definedName>
    <definedName name="sch4print" localSheetId="21">#REF!</definedName>
    <definedName name="sch4print" localSheetId="19">#REF!</definedName>
    <definedName name="sch4print" localSheetId="23">#REF!</definedName>
    <definedName name="sch4print" localSheetId="22">#REF!</definedName>
    <definedName name="sch4print" localSheetId="7">#REF!</definedName>
    <definedName name="sch4print">#REF!</definedName>
    <definedName name="sch5_1print" localSheetId="10">#REF!</definedName>
    <definedName name="sch5_1print" localSheetId="20">#REF!</definedName>
    <definedName name="sch5_1print" localSheetId="21">#REF!</definedName>
    <definedName name="sch5_1print" localSheetId="19">#REF!</definedName>
    <definedName name="sch5_1print" localSheetId="23">#REF!</definedName>
    <definedName name="sch5_1print" localSheetId="22">#REF!</definedName>
    <definedName name="sch5_1print" localSheetId="7">#REF!</definedName>
    <definedName name="sch5_1print">#REF!</definedName>
    <definedName name="sch5_2print" localSheetId="10">#REF!</definedName>
    <definedName name="sch5_2print" localSheetId="20">#REF!</definedName>
    <definedName name="sch5_2print" localSheetId="21">#REF!</definedName>
    <definedName name="sch5_2print" localSheetId="19">#REF!</definedName>
    <definedName name="sch5_2print" localSheetId="23">#REF!</definedName>
    <definedName name="sch5_2print" localSheetId="22">#REF!</definedName>
    <definedName name="sch5_2print" localSheetId="7">#REF!</definedName>
    <definedName name="sch5_2print">#REF!</definedName>
    <definedName name="sch5_3print" localSheetId="10">#REF!</definedName>
    <definedName name="sch5_3print" localSheetId="20">#REF!</definedName>
    <definedName name="sch5_3print" localSheetId="21">#REF!</definedName>
    <definedName name="sch5_3print" localSheetId="19">#REF!</definedName>
    <definedName name="sch5_3print" localSheetId="23">#REF!</definedName>
    <definedName name="sch5_3print" localSheetId="22">#REF!</definedName>
    <definedName name="sch5_3print" localSheetId="7">#REF!</definedName>
    <definedName name="sch5_3print">#REF!</definedName>
    <definedName name="sch5_4print" localSheetId="10">#REF!</definedName>
    <definedName name="sch5_4print" localSheetId="20">#REF!</definedName>
    <definedName name="sch5_4print" localSheetId="21">#REF!</definedName>
    <definedName name="sch5_4print" localSheetId="19">#REF!</definedName>
    <definedName name="sch5_4print" localSheetId="23">#REF!</definedName>
    <definedName name="sch5_4print" localSheetId="22">#REF!</definedName>
    <definedName name="sch5_4print" localSheetId="7">#REF!</definedName>
    <definedName name="sch5_4print">#REF!</definedName>
    <definedName name="sch5_5print" localSheetId="10">#REF!</definedName>
    <definedName name="sch5_5print" localSheetId="20">#REF!</definedName>
    <definedName name="sch5_5print" localSheetId="21">#REF!</definedName>
    <definedName name="sch5_5print" localSheetId="19">#REF!</definedName>
    <definedName name="sch5_5print" localSheetId="23">#REF!</definedName>
    <definedName name="sch5_5print" localSheetId="22">#REF!</definedName>
    <definedName name="sch5_5print" localSheetId="7">#REF!</definedName>
    <definedName name="sch5_5print">#REF!</definedName>
    <definedName name="sch5print" localSheetId="10">#REF!</definedName>
    <definedName name="sch5print" localSheetId="20">#REF!</definedName>
    <definedName name="sch5print" localSheetId="21">#REF!</definedName>
    <definedName name="sch5print" localSheetId="19">#REF!</definedName>
    <definedName name="sch5print" localSheetId="23">#REF!</definedName>
    <definedName name="sch5print" localSheetId="22">#REF!</definedName>
    <definedName name="sch5print" localSheetId="7">#REF!</definedName>
    <definedName name="sch5print">#REF!</definedName>
    <definedName name="sch6print" localSheetId="10">#REF!</definedName>
    <definedName name="sch6print" localSheetId="20">#REF!</definedName>
    <definedName name="sch6print" localSheetId="21">#REF!</definedName>
    <definedName name="sch6print" localSheetId="19">#REF!</definedName>
    <definedName name="sch6print" localSheetId="23">#REF!</definedName>
    <definedName name="sch6print" localSheetId="22">#REF!</definedName>
    <definedName name="sch6print" localSheetId="7">#REF!</definedName>
    <definedName name="sch6print">#REF!</definedName>
    <definedName name="sch7_1_1print" localSheetId="10">#REF!</definedName>
    <definedName name="sch7_1_1print" localSheetId="20">#REF!</definedName>
    <definedName name="sch7_1_1print" localSheetId="21">#REF!</definedName>
    <definedName name="sch7_1_1print" localSheetId="19">#REF!</definedName>
    <definedName name="sch7_1_1print" localSheetId="23">#REF!</definedName>
    <definedName name="sch7_1_1print" localSheetId="22">#REF!</definedName>
    <definedName name="sch7_1_1print" localSheetId="7">#REF!</definedName>
    <definedName name="sch7_1_1print">#REF!</definedName>
    <definedName name="sch7_1_2print" localSheetId="10">#REF!</definedName>
    <definedName name="sch7_1_2print" localSheetId="20">#REF!</definedName>
    <definedName name="sch7_1_2print" localSheetId="21">#REF!</definedName>
    <definedName name="sch7_1_2print" localSheetId="19">#REF!</definedName>
    <definedName name="sch7_1_2print" localSheetId="23">#REF!</definedName>
    <definedName name="sch7_1_2print" localSheetId="22">#REF!</definedName>
    <definedName name="sch7_1_2print" localSheetId="7">#REF!</definedName>
    <definedName name="sch7_1_2print">#REF!</definedName>
    <definedName name="sch7_1_3print" localSheetId="10">#REF!</definedName>
    <definedName name="sch7_1_3print" localSheetId="20">#REF!</definedName>
    <definedName name="sch7_1_3print" localSheetId="21">#REF!</definedName>
    <definedName name="sch7_1_3print" localSheetId="19">#REF!</definedName>
    <definedName name="sch7_1_3print" localSheetId="23">#REF!</definedName>
    <definedName name="sch7_1_3print" localSheetId="22">#REF!</definedName>
    <definedName name="sch7_1_3print" localSheetId="7">#REF!</definedName>
    <definedName name="sch7_1_3print">#REF!</definedName>
    <definedName name="sch7_1_4print" localSheetId="10">#REF!</definedName>
    <definedName name="sch7_1_4print" localSheetId="20">#REF!</definedName>
    <definedName name="sch7_1_4print" localSheetId="21">#REF!</definedName>
    <definedName name="sch7_1_4print" localSheetId="19">#REF!</definedName>
    <definedName name="sch7_1_4print" localSheetId="23">#REF!</definedName>
    <definedName name="sch7_1_4print" localSheetId="22">#REF!</definedName>
    <definedName name="sch7_1_4print" localSheetId="7">#REF!</definedName>
    <definedName name="sch7_1_4print">#REF!</definedName>
    <definedName name="sch7_1_5print" localSheetId="10">#REF!</definedName>
    <definedName name="sch7_1_5print" localSheetId="20">#REF!</definedName>
    <definedName name="sch7_1_5print" localSheetId="21">#REF!</definedName>
    <definedName name="sch7_1_5print" localSheetId="19">#REF!</definedName>
    <definedName name="sch7_1_5print" localSheetId="23">#REF!</definedName>
    <definedName name="sch7_1_5print" localSheetId="22">#REF!</definedName>
    <definedName name="sch7_1_5print" localSheetId="7">#REF!</definedName>
    <definedName name="sch7_1_5print">#REF!</definedName>
    <definedName name="sch7_1_6print" localSheetId="10">#REF!</definedName>
    <definedName name="sch7_1_6print" localSheetId="20">#REF!</definedName>
    <definedName name="sch7_1_6print" localSheetId="21">#REF!</definedName>
    <definedName name="sch7_1_6print" localSheetId="19">#REF!</definedName>
    <definedName name="sch7_1_6print" localSheetId="23">#REF!</definedName>
    <definedName name="sch7_1_6print" localSheetId="22">#REF!</definedName>
    <definedName name="sch7_1_6print" localSheetId="7">#REF!</definedName>
    <definedName name="sch7_1_6print">#REF!</definedName>
    <definedName name="sch7_1_7print" localSheetId="10">#REF!</definedName>
    <definedName name="sch7_1_7print" localSheetId="20">#REF!</definedName>
    <definedName name="sch7_1_7print" localSheetId="21">#REF!</definedName>
    <definedName name="sch7_1_7print" localSheetId="19">#REF!</definedName>
    <definedName name="sch7_1_7print" localSheetId="23">#REF!</definedName>
    <definedName name="sch7_1_7print" localSheetId="22">#REF!</definedName>
    <definedName name="sch7_1_7print" localSheetId="7">#REF!</definedName>
    <definedName name="sch7_1_7print">#REF!</definedName>
    <definedName name="sch7_1print" localSheetId="10">#REF!</definedName>
    <definedName name="sch7_1print" localSheetId="20">#REF!</definedName>
    <definedName name="sch7_1print" localSheetId="21">#REF!</definedName>
    <definedName name="sch7_1print" localSheetId="19">#REF!</definedName>
    <definedName name="sch7_1print" localSheetId="23">#REF!</definedName>
    <definedName name="sch7_1print" localSheetId="22">#REF!</definedName>
    <definedName name="sch7_1print" localSheetId="7">#REF!</definedName>
    <definedName name="sch7_1print">#REF!</definedName>
    <definedName name="Sch7_2data">[22]sch7_2data!$A$1:$F$14</definedName>
    <definedName name="Sch7_2data_grp">[22]sch7_2data!$A$1:$A$65536</definedName>
    <definedName name="sch7_2print" localSheetId="10">#REF!</definedName>
    <definedName name="sch7_2print" localSheetId="20">#REF!</definedName>
    <definedName name="sch7_2print" localSheetId="21">#REF!</definedName>
    <definedName name="sch7_2print" localSheetId="19">#REF!</definedName>
    <definedName name="sch7_2print" localSheetId="23">#REF!</definedName>
    <definedName name="sch7_2print" localSheetId="22">#REF!</definedName>
    <definedName name="sch7_2print" localSheetId="7">#REF!</definedName>
    <definedName name="sch7_2print">#REF!</definedName>
    <definedName name="sch7_3print" localSheetId="10">#REF!</definedName>
    <definedName name="sch7_3print" localSheetId="20">#REF!</definedName>
    <definedName name="sch7_3print" localSheetId="21">#REF!</definedName>
    <definedName name="sch7_3print" localSheetId="19">#REF!</definedName>
    <definedName name="sch7_3print" localSheetId="23">#REF!</definedName>
    <definedName name="sch7_3print" localSheetId="22">#REF!</definedName>
    <definedName name="sch7_3print" localSheetId="7">#REF!</definedName>
    <definedName name="sch7_3print">#REF!</definedName>
    <definedName name="sch7_4print" localSheetId="10">#REF!</definedName>
    <definedName name="sch7_4print" localSheetId="20">#REF!</definedName>
    <definedName name="sch7_4print" localSheetId="21">#REF!</definedName>
    <definedName name="sch7_4print" localSheetId="19">#REF!</definedName>
    <definedName name="sch7_4print" localSheetId="23">#REF!</definedName>
    <definedName name="sch7_4print" localSheetId="22">#REF!</definedName>
    <definedName name="sch7_4print" localSheetId="7">#REF!</definedName>
    <definedName name="sch7_4print">#REF!</definedName>
    <definedName name="sch7_5print" localSheetId="10">#REF!</definedName>
    <definedName name="sch7_5print" localSheetId="20">#REF!</definedName>
    <definedName name="sch7_5print" localSheetId="21">#REF!</definedName>
    <definedName name="sch7_5print" localSheetId="19">#REF!</definedName>
    <definedName name="sch7_5print" localSheetId="23">#REF!</definedName>
    <definedName name="sch7_5print" localSheetId="22">#REF!</definedName>
    <definedName name="sch7_5print" localSheetId="7">#REF!</definedName>
    <definedName name="sch7_5print">#REF!</definedName>
    <definedName name="sch7_6print" localSheetId="10">#REF!</definedName>
    <definedName name="sch7_6print" localSheetId="20">#REF!</definedName>
    <definedName name="sch7_6print" localSheetId="21">#REF!</definedName>
    <definedName name="sch7_6print" localSheetId="19">#REF!</definedName>
    <definedName name="sch7_6print" localSheetId="23">#REF!</definedName>
    <definedName name="sch7_6print" localSheetId="22">#REF!</definedName>
    <definedName name="sch7_6print" localSheetId="7">#REF!</definedName>
    <definedName name="sch7_6print">#REF!</definedName>
    <definedName name="sch7print" localSheetId="10">#REF!</definedName>
    <definedName name="sch7print" localSheetId="20">#REF!</definedName>
    <definedName name="sch7print" localSheetId="21">#REF!</definedName>
    <definedName name="sch7print" localSheetId="19">#REF!</definedName>
    <definedName name="sch7print" localSheetId="23">#REF!</definedName>
    <definedName name="sch7print" localSheetId="22">#REF!</definedName>
    <definedName name="sch7print" localSheetId="7">#REF!</definedName>
    <definedName name="sch7print">#REF!</definedName>
    <definedName name="sch8print" localSheetId="10">#REF!</definedName>
    <definedName name="sch8print" localSheetId="20">#REF!</definedName>
    <definedName name="sch8print" localSheetId="21">#REF!</definedName>
    <definedName name="sch8print" localSheetId="19">#REF!</definedName>
    <definedName name="sch8print" localSheetId="23">#REF!</definedName>
    <definedName name="sch8print" localSheetId="22">#REF!</definedName>
    <definedName name="sch8print" localSheetId="7">#REF!</definedName>
    <definedName name="sch8print">#REF!</definedName>
    <definedName name="sch9print" localSheetId="10">#REF!</definedName>
    <definedName name="sch9print" localSheetId="20">#REF!</definedName>
    <definedName name="sch9print" localSheetId="21">#REF!</definedName>
    <definedName name="sch9print" localSheetId="19">#REF!</definedName>
    <definedName name="sch9print" localSheetId="23">#REF!</definedName>
    <definedName name="sch9print" localSheetId="22">#REF!</definedName>
    <definedName name="sch9print" localSheetId="7">#REF!</definedName>
    <definedName name="sch9print">#REF!</definedName>
    <definedName name="SewerConflictCost" localSheetId="10">'[7]Meter-Service'!#REF!</definedName>
    <definedName name="SewerConflictCost" localSheetId="20">'[7]Meter-Service'!#REF!</definedName>
    <definedName name="SewerConflictCost" localSheetId="21">'[7]Meter-Service'!#REF!</definedName>
    <definedName name="SewerConflictCost" localSheetId="19">'[7]Meter-Service'!#REF!</definedName>
    <definedName name="SewerConflictCost" localSheetId="23">'[7]Meter-Service'!#REF!</definedName>
    <definedName name="SewerConflictCost" localSheetId="22">'[7]Meter-Service'!#REF!</definedName>
    <definedName name="SewerConflictCost" localSheetId="7">'[7]Meter-Service'!#REF!</definedName>
    <definedName name="SewerConflictCost">'[7]Meter-Service'!#REF!</definedName>
    <definedName name="size" localSheetId="10">#REF!</definedName>
    <definedName name="size" localSheetId="20">#REF!</definedName>
    <definedName name="size" localSheetId="21">#REF!</definedName>
    <definedName name="size" localSheetId="19">#REF!</definedName>
    <definedName name="size" localSheetId="23">#REF!</definedName>
    <definedName name="size" localSheetId="22">#REF!</definedName>
    <definedName name="size" localSheetId="7">#REF!</definedName>
    <definedName name="size">#REF!</definedName>
    <definedName name="START" localSheetId="10">#REF!</definedName>
    <definedName name="START" localSheetId="20">#REF!</definedName>
    <definedName name="START" localSheetId="21">#REF!</definedName>
    <definedName name="START" localSheetId="19">#REF!</definedName>
    <definedName name="START" localSheetId="23">#REF!</definedName>
    <definedName name="START" localSheetId="22">#REF!</definedName>
    <definedName name="START" localSheetId="7">#REF!</definedName>
    <definedName name="START">#REF!</definedName>
    <definedName name="sue">#N/A</definedName>
    <definedName name="SumMerchantDel" localSheetId="10">[4]Total!#REF!</definedName>
    <definedName name="SumMerchantDel" localSheetId="20">[4]Total!#REF!</definedName>
    <definedName name="SumMerchantDel" localSheetId="21">[4]Total!#REF!</definedName>
    <definedName name="SumMerchantDel" localSheetId="19">[4]Total!#REF!</definedName>
    <definedName name="SumMerchantDel" localSheetId="23">[4]Total!#REF!</definedName>
    <definedName name="SumMerchantDel" localSheetId="22">[4]Total!#REF!</definedName>
    <definedName name="SumMerchantDel" localSheetId="7">[4]Total!#REF!</definedName>
    <definedName name="SumMerchantDel">[4]Total!#REF!</definedName>
    <definedName name="sumunitmerchdelivery" localSheetId="10">'[4]Unit Cost'!#REF!</definedName>
    <definedName name="sumunitmerchdelivery" localSheetId="20">'[4]Unit Cost'!#REF!</definedName>
    <definedName name="sumunitmerchdelivery" localSheetId="21">'[4]Unit Cost'!#REF!</definedName>
    <definedName name="sumunitmerchdelivery" localSheetId="19">'[4]Unit Cost'!#REF!</definedName>
    <definedName name="sumunitmerchdelivery" localSheetId="23">'[4]Unit Cost'!#REF!</definedName>
    <definedName name="sumunitmerchdelivery" localSheetId="22">'[4]Unit Cost'!#REF!</definedName>
    <definedName name="sumunitmerchdelivery" localSheetId="7">'[4]Unit Cost'!#REF!</definedName>
    <definedName name="sumunitmerchdelivery">'[4]Unit Cost'!#REF!</definedName>
    <definedName name="t">'[23]Sched7-1'!$D$1:$K$19</definedName>
    <definedName name="tabCustChg" localSheetId="10">#REF!</definedName>
    <definedName name="tabCustChg" localSheetId="20">#REF!</definedName>
    <definedName name="tabCustChg" localSheetId="21">#REF!</definedName>
    <definedName name="tabCustChg" localSheetId="19">#REF!</definedName>
    <definedName name="tabCustChg" localSheetId="23">#REF!</definedName>
    <definedName name="tabCustChg" localSheetId="22">#REF!</definedName>
    <definedName name="tabCustChg" localSheetId="7">#REF!</definedName>
    <definedName name="tabCustChg">#REF!</definedName>
    <definedName name="tabDelChg" localSheetId="10">#REF!</definedName>
    <definedName name="tabDelChg" localSheetId="20">#REF!</definedName>
    <definedName name="tabDelChg" localSheetId="21">#REF!</definedName>
    <definedName name="tabDelChg" localSheetId="19">#REF!</definedName>
    <definedName name="tabDelChg" localSheetId="23">#REF!</definedName>
    <definedName name="tabDelChg" localSheetId="22">#REF!</definedName>
    <definedName name="tabDelChg" localSheetId="7">#REF!</definedName>
    <definedName name="tabDelChg">#REF!</definedName>
    <definedName name="TAXBASE" localSheetId="10">#REF!</definedName>
    <definedName name="TAXBASE" localSheetId="20">#REF!</definedName>
    <definedName name="TAXBASE" localSheetId="21">#REF!</definedName>
    <definedName name="TAXBASE" localSheetId="19">#REF!</definedName>
    <definedName name="TAXBASE" localSheetId="23">#REF!</definedName>
    <definedName name="TAXBASE" localSheetId="22">#REF!</definedName>
    <definedName name="TAXBASE" localSheetId="7">#REF!</definedName>
    <definedName name="TAXBASE">#REF!</definedName>
    <definedName name="TDRATE" localSheetId="10">#REF!</definedName>
    <definedName name="TDRATE" localSheetId="20">#REF!</definedName>
    <definedName name="TDRATE" localSheetId="21">#REF!</definedName>
    <definedName name="TDRATE" localSheetId="19">#REF!</definedName>
    <definedName name="TDRATE" localSheetId="23">#REF!</definedName>
    <definedName name="TDRATE" localSheetId="22">#REF!</definedName>
    <definedName name="TDRATE" localSheetId="7">#REF!</definedName>
    <definedName name="TDRATE">#REF!</definedName>
    <definedName name="TEMP" localSheetId="10">#REF!</definedName>
    <definedName name="TEMP" localSheetId="20">#REF!</definedName>
    <definedName name="TEMP" localSheetId="21">#REF!</definedName>
    <definedName name="TEMP" localSheetId="19">#REF!</definedName>
    <definedName name="TEMP" localSheetId="23">#REF!</definedName>
    <definedName name="TEMP" localSheetId="22">#REF!</definedName>
    <definedName name="TEMP" localSheetId="7">#REF!</definedName>
    <definedName name="TEMP">#REF!</definedName>
    <definedName name="Title">[6]Registry!$E$95</definedName>
    <definedName name="TranROR" localSheetId="10">'[4]Unit Cost'!#REF!</definedName>
    <definedName name="TranROR" localSheetId="20">'[4]Unit Cost'!#REF!</definedName>
    <definedName name="TranROR" localSheetId="21">'[4]Unit Cost'!#REF!</definedName>
    <definedName name="TranROR" localSheetId="19">'[4]Unit Cost'!#REF!</definedName>
    <definedName name="TranROR" localSheetId="23">'[4]Unit Cost'!#REF!</definedName>
    <definedName name="TranROR" localSheetId="22">'[4]Unit Cost'!#REF!</definedName>
    <definedName name="TranROR" localSheetId="7">'[4]Unit Cost'!#REF!</definedName>
    <definedName name="TranROR">'[4]Unit Cost'!#REF!</definedName>
    <definedName name="TXADJST1" localSheetId="10">#REF!</definedName>
    <definedName name="TXADJST1" localSheetId="20">#REF!</definedName>
    <definedName name="TXADJST1" localSheetId="21">#REF!</definedName>
    <definedName name="TXADJST1" localSheetId="19">#REF!</definedName>
    <definedName name="TXADJST1" localSheetId="23">#REF!</definedName>
    <definedName name="TXADJST1" localSheetId="22">#REF!</definedName>
    <definedName name="TXADJST1" localSheetId="7">#REF!</definedName>
    <definedName name="TXADJST1">#REF!</definedName>
    <definedName name="TXLIFE" localSheetId="10">#REF!</definedName>
    <definedName name="TXLIFE" localSheetId="20">#REF!</definedName>
    <definedName name="TXLIFE" localSheetId="21">#REF!</definedName>
    <definedName name="TXLIFE" localSheetId="19">#REF!</definedName>
    <definedName name="TXLIFE" localSheetId="23">#REF!</definedName>
    <definedName name="TXLIFE" localSheetId="22">#REF!</definedName>
    <definedName name="TXLIFE" localSheetId="7">#REF!</definedName>
    <definedName name="TXLIFE">#REF!</definedName>
    <definedName name="TYDESC">[3]A!$A$3</definedName>
    <definedName name="Types" localSheetId="10">#REF!</definedName>
    <definedName name="Types" localSheetId="20">#REF!</definedName>
    <definedName name="Types" localSheetId="21">#REF!</definedName>
    <definedName name="Types" localSheetId="19">#REF!</definedName>
    <definedName name="Types" localSheetId="23">#REF!</definedName>
    <definedName name="Types" localSheetId="22">#REF!</definedName>
    <definedName name="Types" localSheetId="7">#REF!</definedName>
    <definedName name="Types">#REF!</definedName>
    <definedName name="UNITCOST" localSheetId="10">#REF!</definedName>
    <definedName name="UNITCOST" localSheetId="20">#REF!</definedName>
    <definedName name="UNITCOST" localSheetId="21">#REF!</definedName>
    <definedName name="UNITCOST" localSheetId="19">#REF!</definedName>
    <definedName name="UNITCOST" localSheetId="23">#REF!</definedName>
    <definedName name="UNITCOST" localSheetId="22">#REF!</definedName>
    <definedName name="UNITCOST" localSheetId="7">#REF!</definedName>
    <definedName name="UNITCOST">#REF!</definedName>
    <definedName name="UNITRATE_EXP" localSheetId="10">'[4]Unit Cost'!#REF!</definedName>
    <definedName name="UNITRATE_EXP" localSheetId="20">'[4]Unit Cost'!#REF!</definedName>
    <definedName name="UNITRATE_EXP" localSheetId="21">'[4]Unit Cost'!#REF!</definedName>
    <definedName name="UNITRATE_EXP" localSheetId="19">'[4]Unit Cost'!#REF!</definedName>
    <definedName name="UNITRATE_EXP" localSheetId="23">'[4]Unit Cost'!#REF!</definedName>
    <definedName name="UNITRATE_EXP" localSheetId="22">'[4]Unit Cost'!#REF!</definedName>
    <definedName name="UNITRATE_EXP" localSheetId="7">'[4]Unit Cost'!#REF!</definedName>
    <definedName name="UNITRATE_EXP">'[4]Unit Cost'!#REF!</definedName>
    <definedName name="Version" localSheetId="10">#REF!</definedName>
    <definedName name="Version" localSheetId="20">#REF!</definedName>
    <definedName name="Version" localSheetId="21">#REF!</definedName>
    <definedName name="Version" localSheetId="19">#REF!</definedName>
    <definedName name="Version" localSheetId="23">#REF!</definedName>
    <definedName name="Version" localSheetId="22">#REF!</definedName>
    <definedName name="Version" localSheetId="7">#REF!</definedName>
    <definedName name="Version">#REF!</definedName>
    <definedName name="Winter" localSheetId="10">'[7]Meter-Service'!#REF!</definedName>
    <definedName name="Winter" localSheetId="20">'[7]Meter-Service'!#REF!</definedName>
    <definedName name="Winter" localSheetId="21">'[7]Meter-Service'!#REF!</definedName>
    <definedName name="Winter" localSheetId="19">'[7]Meter-Service'!#REF!</definedName>
    <definedName name="Winter" localSheetId="23">'[7]Meter-Service'!#REF!</definedName>
    <definedName name="Winter" localSheetId="22">'[7]Meter-Service'!#REF!</definedName>
    <definedName name="Winter" localSheetId="7">'[7]Meter-Service'!#REF!</definedName>
    <definedName name="Winter">'[7]Meter-Service'!#REF!</definedName>
    <definedName name="Witness">[3]Input!$B$14</definedName>
    <definedName name="WS3A2">#N/A</definedName>
    <definedName name="WTD_COST_PCT" localSheetId="10">#REF!</definedName>
    <definedName name="WTD_COST_PCT" localSheetId="20">#REF!</definedName>
    <definedName name="WTD_COST_PCT" localSheetId="21">#REF!</definedName>
    <definedName name="WTD_COST_PCT" localSheetId="19">#REF!</definedName>
    <definedName name="WTD_COST_PCT" localSheetId="23">#REF!</definedName>
    <definedName name="WTD_COST_PCT" localSheetId="22">#REF!</definedName>
    <definedName name="WTD_COST_PCT" localSheetId="7">#REF!</definedName>
    <definedName name="WTD_COST_PCT">#REF!</definedName>
    <definedName name="Z_37B35166_7378_4B00_BB4E_9E442A0D870E_.wvu.Cols" localSheetId="13" hidden="1">'Avg Bill by RS'!$Q:$S</definedName>
    <definedName name="Z_37B35166_7378_4B00_BB4E_9E442A0D870E_.wvu.Cols" localSheetId="9" hidden="1">'Combined Items Proof Yr1'!$AO:$AP</definedName>
    <definedName name="Z_37B35166_7378_4B00_BB4E_9E442A0D870E_.wvu.Cols" localSheetId="10" hidden="1">'Combined Items Proof Yr2'!$AN:$AO</definedName>
    <definedName name="Z_37B35166_7378_4B00_BB4E_9E442A0D870E_.wvu.Cols" localSheetId="17" hidden="1">'Exh A Pg 1'!#REF!</definedName>
    <definedName name="Z_37B35166_7378_4B00_BB4E_9E442A0D870E_.wvu.Cols" localSheetId="6" hidden="1">'Rev Req Proof Yr1'!$AJ:$AK</definedName>
    <definedName name="Z_37B35166_7378_4B00_BB4E_9E442A0D870E_.wvu.Cols" localSheetId="7" hidden="1">'Rev Req Proof Yr2'!$AJ:$AK</definedName>
    <definedName name="Z_37B35166_7378_4B00_BB4E_9E442A0D870E_.wvu.Cols" localSheetId="1" hidden="1">'WA Volumes &amp; Revenues'!$D:$D,'WA Volumes &amp; Revenues'!#REF!</definedName>
    <definedName name="Z_37B35166_7378_4B00_BB4E_9E442A0D870E_.wvu.PrintArea" localSheetId="20" hidden="1">'Exh. RJW-3 Combined'!$A$1:$AE$53</definedName>
    <definedName name="Z_37B35166_7378_4B00_BB4E_9E442A0D870E_.wvu.PrintArea" localSheetId="21" hidden="1">'Exh. RJW-3 Mitigation Only'!$A$1:$AI$53</definedName>
    <definedName name="Z_37B35166_7378_4B00_BB4E_9E442A0D870E_.wvu.PrintArea" localSheetId="19" hidden="1">'Exh. RJW-3 RR'!$A$1:$L$49</definedName>
    <definedName name="Z_37B35166_7378_4B00_BB4E_9E442A0D870E_.wvu.PrintArea" localSheetId="16" hidden="1">'Rate Impacts - COMBINED'!$A$2:$AA$52</definedName>
    <definedName name="Z_37B35166_7378_4B00_BB4E_9E442A0D870E_.wvu.PrintArea" localSheetId="14" hidden="1">'Rate Impacts - Rev Req ONLY'!$A$1:$M$49</definedName>
    <definedName name="Z_80646397_1CEF_4A79_B348_594AB32B8020_.wvu.Cols" localSheetId="13" hidden="1">'Avg Bill by RS'!$Q:$S</definedName>
    <definedName name="Z_80646397_1CEF_4A79_B348_594AB32B8020_.wvu.Cols" localSheetId="9" hidden="1">'Combined Items Proof Yr1'!$AO:$AP</definedName>
    <definedName name="Z_80646397_1CEF_4A79_B348_594AB32B8020_.wvu.Cols" localSheetId="10" hidden="1">'Combined Items Proof Yr2'!$AN:$AO</definedName>
    <definedName name="Z_80646397_1CEF_4A79_B348_594AB32B8020_.wvu.Cols" localSheetId="17" hidden="1">'Exh A Pg 1'!#REF!</definedName>
    <definedName name="Z_80646397_1CEF_4A79_B348_594AB32B8020_.wvu.Cols" localSheetId="6" hidden="1">'Rev Req Proof Yr1'!$AJ:$AK</definedName>
    <definedName name="Z_80646397_1CEF_4A79_B348_594AB32B8020_.wvu.Cols" localSheetId="7" hidden="1">'Rev Req Proof Yr2'!$AJ:$AK</definedName>
    <definedName name="Z_80646397_1CEF_4A79_B348_594AB32B8020_.wvu.Cols" localSheetId="1" hidden="1">'WA Volumes &amp; Revenues'!$D:$D,'WA Volumes &amp; Revenues'!#REF!</definedName>
    <definedName name="Z_80646397_1CEF_4A79_B348_594AB32B8020_.wvu.PrintArea" localSheetId="20" hidden="1">'Exh. RJW-3 Combined'!$A$1:$AE$53</definedName>
    <definedName name="Z_80646397_1CEF_4A79_B348_594AB32B8020_.wvu.PrintArea" localSheetId="21" hidden="1">'Exh. RJW-3 Mitigation Only'!$A$1:$AI$53</definedName>
    <definedName name="Z_80646397_1CEF_4A79_B348_594AB32B8020_.wvu.PrintArea" localSheetId="19" hidden="1">'Exh. RJW-3 RR'!$A$1:$L$49</definedName>
    <definedName name="Z_80646397_1CEF_4A79_B348_594AB32B8020_.wvu.PrintArea" localSheetId="16" hidden="1">'Rate Impacts - COMBINED'!$A$2:$AA$52</definedName>
    <definedName name="Z_80646397_1CEF_4A79_B348_594AB32B8020_.wvu.PrintArea" localSheetId="14"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10" i="29" l="1"/>
  <c r="AZ10" i="29"/>
  <c r="BA10" i="29"/>
  <c r="BB10" i="29"/>
  <c r="BC10" i="29"/>
  <c r="AY11" i="29"/>
  <c r="AZ11" i="29"/>
  <c r="BA11" i="29"/>
  <c r="BB11" i="29"/>
  <c r="BC11" i="29"/>
  <c r="AY12" i="29"/>
  <c r="AZ12" i="29"/>
  <c r="BA12" i="29"/>
  <c r="BB12" i="29"/>
  <c r="BC12" i="29"/>
  <c r="AY13" i="29"/>
  <c r="AZ13" i="29"/>
  <c r="BA13" i="29"/>
  <c r="BB13" i="29"/>
  <c r="BC13" i="29"/>
  <c r="AY14" i="29"/>
  <c r="AZ14" i="29"/>
  <c r="BA14" i="29"/>
  <c r="BB14" i="29"/>
  <c r="BC14" i="29"/>
  <c r="AY15" i="29"/>
  <c r="AZ15" i="29"/>
  <c r="BA15" i="29"/>
  <c r="BB15" i="29"/>
  <c r="BC15" i="29"/>
  <c r="AY16" i="29"/>
  <c r="AZ16" i="29"/>
  <c r="BA16" i="29"/>
  <c r="BB16" i="29"/>
  <c r="BC16" i="29"/>
  <c r="AY17" i="29"/>
  <c r="AZ17" i="29"/>
  <c r="BA17" i="29"/>
  <c r="BB17" i="29"/>
  <c r="BC17" i="29"/>
  <c r="AY18" i="29"/>
  <c r="AZ18" i="29"/>
  <c r="BA18" i="29"/>
  <c r="BB18" i="29"/>
  <c r="BC18" i="29"/>
  <c r="AY19" i="29"/>
  <c r="AZ19" i="29"/>
  <c r="BA19" i="29"/>
  <c r="BB19" i="29"/>
  <c r="BC19" i="29"/>
  <c r="AY20" i="29"/>
  <c r="AZ20" i="29"/>
  <c r="BA20" i="29"/>
  <c r="BB20" i="29"/>
  <c r="BC20" i="29"/>
  <c r="AY21" i="29"/>
  <c r="AZ21" i="29"/>
  <c r="BA21" i="29"/>
  <c r="BB21" i="29"/>
  <c r="BC21" i="29"/>
  <c r="AY22" i="29"/>
  <c r="AZ22" i="29"/>
  <c r="BA22" i="29"/>
  <c r="BB22" i="29"/>
  <c r="BC22" i="29"/>
  <c r="AY23" i="29"/>
  <c r="AZ23" i="29"/>
  <c r="BA23" i="29"/>
  <c r="BB23" i="29"/>
  <c r="BC23" i="29"/>
  <c r="AY24" i="29"/>
  <c r="AZ24" i="29"/>
  <c r="BA24" i="29"/>
  <c r="BB24" i="29"/>
  <c r="BC24" i="29"/>
  <c r="AY25" i="29"/>
  <c r="AZ25" i="29"/>
  <c r="BA25" i="29"/>
  <c r="BB25" i="29"/>
  <c r="BC25" i="29"/>
  <c r="AY26" i="29"/>
  <c r="AZ26" i="29"/>
  <c r="BA26" i="29"/>
  <c r="BB26" i="29"/>
  <c r="BC26" i="29"/>
  <c r="AY27" i="29"/>
  <c r="AZ27" i="29"/>
  <c r="BA27" i="29"/>
  <c r="BB27" i="29"/>
  <c r="BC27" i="29"/>
  <c r="AY28" i="29"/>
  <c r="AZ28" i="29"/>
  <c r="BA28" i="29"/>
  <c r="BB28" i="29"/>
  <c r="BC28" i="29"/>
  <c r="AY29" i="29"/>
  <c r="AZ29" i="29"/>
  <c r="BA29" i="29"/>
  <c r="BB29" i="29"/>
  <c r="BC29" i="29"/>
  <c r="AY30" i="29"/>
  <c r="AZ30" i="29"/>
  <c r="BA30" i="29"/>
  <c r="BB30" i="29"/>
  <c r="BC30" i="29"/>
  <c r="AY31" i="29"/>
  <c r="AZ31" i="29"/>
  <c r="BA31" i="29"/>
  <c r="BB31" i="29"/>
  <c r="BC31" i="29"/>
  <c r="AY32" i="29"/>
  <c r="AZ32" i="29"/>
  <c r="BA32" i="29"/>
  <c r="BB32" i="29"/>
  <c r="BC32" i="29"/>
  <c r="AY33" i="29"/>
  <c r="AZ33" i="29"/>
  <c r="BA33" i="29"/>
  <c r="BB33" i="29"/>
  <c r="BC33" i="29"/>
  <c r="AY34" i="29"/>
  <c r="AZ34" i="29"/>
  <c r="BA34" i="29"/>
  <c r="BB34" i="29"/>
  <c r="BC34" i="29"/>
  <c r="AY35" i="29"/>
  <c r="AZ35" i="29"/>
  <c r="BA35" i="29"/>
  <c r="BB35" i="29"/>
  <c r="BC35" i="29"/>
  <c r="AY36" i="29"/>
  <c r="AZ36" i="29"/>
  <c r="BA36" i="29"/>
  <c r="BB36" i="29"/>
  <c r="BC36" i="29"/>
  <c r="AY37" i="29"/>
  <c r="AZ37" i="29"/>
  <c r="BA37" i="29"/>
  <c r="BB37" i="29"/>
  <c r="BC37" i="29"/>
  <c r="AY38" i="29"/>
  <c r="AZ38" i="29"/>
  <c r="BA38" i="29"/>
  <c r="BB38" i="29"/>
  <c r="BC38" i="29"/>
  <c r="AY39" i="29"/>
  <c r="AZ39" i="29"/>
  <c r="BA39" i="29"/>
  <c r="BB39" i="29"/>
  <c r="BC39" i="29"/>
  <c r="AY40" i="29"/>
  <c r="AZ40" i="29"/>
  <c r="BA40" i="29"/>
  <c r="BB40" i="29"/>
  <c r="BC40" i="29"/>
  <c r="AY41" i="29"/>
  <c r="AZ41" i="29"/>
  <c r="BA41" i="29"/>
  <c r="BB41" i="29"/>
  <c r="BC41" i="29"/>
  <c r="AY42" i="29"/>
  <c r="AZ42" i="29"/>
  <c r="BA42" i="29"/>
  <c r="BB42" i="29"/>
  <c r="BC42" i="29"/>
  <c r="AY43" i="29"/>
  <c r="AZ43" i="29"/>
  <c r="BA43" i="29"/>
  <c r="BB43" i="29"/>
  <c r="BC43" i="29"/>
  <c r="AY44" i="29"/>
  <c r="AZ44" i="29"/>
  <c r="BA44" i="29"/>
  <c r="BB44" i="29"/>
  <c r="BC44" i="29"/>
  <c r="AY45" i="29"/>
  <c r="AZ45" i="29"/>
  <c r="BA45" i="29"/>
  <c r="BB45" i="29"/>
  <c r="BC45" i="29"/>
  <c r="AY46" i="29"/>
  <c r="AZ46" i="29"/>
  <c r="BA46" i="29"/>
  <c r="BB46" i="29"/>
  <c r="BC46" i="29"/>
  <c r="AY47" i="29"/>
  <c r="AZ47" i="29"/>
  <c r="BA47" i="29"/>
  <c r="BB47" i="29"/>
  <c r="BC47" i="29"/>
  <c r="AY48" i="29"/>
  <c r="AZ48" i="29"/>
  <c r="BA48" i="29"/>
  <c r="BB48" i="29"/>
  <c r="BC48" i="29"/>
  <c r="AY49" i="29"/>
  <c r="AZ49" i="29"/>
  <c r="BA49" i="29"/>
  <c r="BB49" i="29"/>
  <c r="BC49" i="29"/>
  <c r="AY50" i="29"/>
  <c r="AZ50" i="29"/>
  <c r="BA50" i="29"/>
  <c r="BB50" i="29"/>
  <c r="BC50" i="29"/>
  <c r="AY51" i="29"/>
  <c r="AZ51" i="29"/>
  <c r="BA51" i="29"/>
  <c r="BB51" i="29"/>
  <c r="BC51" i="29"/>
  <c r="AY52" i="29"/>
  <c r="AZ52" i="29"/>
  <c r="BA52" i="29"/>
  <c r="BB52" i="29"/>
  <c r="BC52" i="29"/>
  <c r="AY53" i="29"/>
  <c r="AZ53" i="29"/>
  <c r="BA53" i="29"/>
  <c r="BB53" i="29"/>
  <c r="BC53" i="29"/>
  <c r="AY54" i="29"/>
  <c r="AZ54" i="29"/>
  <c r="BA54" i="29"/>
  <c r="BB54" i="29"/>
  <c r="BC54" i="29"/>
  <c r="AY55" i="29"/>
  <c r="AZ55" i="29"/>
  <c r="BA55" i="29"/>
  <c r="BB55" i="29"/>
  <c r="BC55" i="29"/>
  <c r="AY56" i="29"/>
  <c r="AZ56" i="29"/>
  <c r="BA56" i="29"/>
  <c r="BB56" i="29"/>
  <c r="BC56" i="29"/>
  <c r="AY57" i="29"/>
  <c r="AZ57" i="29"/>
  <c r="BA57" i="29"/>
  <c r="BB57" i="29"/>
  <c r="BC57" i="29"/>
  <c r="AY58" i="29"/>
  <c r="AZ58" i="29"/>
  <c r="BA58" i="29"/>
  <c r="BB58" i="29"/>
  <c r="BC58" i="29"/>
  <c r="AY59" i="29"/>
  <c r="AZ59" i="29"/>
  <c r="BA59" i="29"/>
  <c r="BB59" i="29"/>
  <c r="BC59" i="29"/>
  <c r="AY60" i="29"/>
  <c r="AZ60" i="29"/>
  <c r="BA60" i="29"/>
  <c r="BB60" i="29"/>
  <c r="BC60" i="29"/>
  <c r="AY61" i="29"/>
  <c r="AZ61" i="29"/>
  <c r="BA61" i="29"/>
  <c r="BB61" i="29"/>
  <c r="BC61" i="29"/>
  <c r="AY62" i="29"/>
  <c r="AZ62" i="29"/>
  <c r="BA62" i="29"/>
  <c r="BB62" i="29"/>
  <c r="BC62" i="29"/>
  <c r="AY63" i="29"/>
  <c r="AZ63" i="29"/>
  <c r="BA63" i="29"/>
  <c r="BB63" i="29"/>
  <c r="BC63" i="29"/>
  <c r="AY64" i="29"/>
  <c r="AZ64" i="29"/>
  <c r="BA64" i="29"/>
  <c r="BB64" i="29"/>
  <c r="BC64" i="29"/>
  <c r="AY65" i="29"/>
  <c r="AZ65" i="29"/>
  <c r="BA65" i="29"/>
  <c r="BB65" i="29"/>
  <c r="BC65" i="29"/>
  <c r="AY66" i="29"/>
  <c r="AZ66" i="29"/>
  <c r="BA66" i="29"/>
  <c r="BB66" i="29"/>
  <c r="BC66" i="29"/>
  <c r="AY67" i="29"/>
  <c r="AZ67" i="29"/>
  <c r="BA67" i="29"/>
  <c r="BB67" i="29"/>
  <c r="BC67" i="29"/>
  <c r="AY68" i="29"/>
  <c r="AZ68" i="29"/>
  <c r="BA68" i="29"/>
  <c r="BB68" i="29"/>
  <c r="BC68" i="29"/>
  <c r="AY69" i="29"/>
  <c r="AZ69" i="29"/>
  <c r="BA69" i="29"/>
  <c r="BB69" i="29"/>
  <c r="BC69" i="29"/>
  <c r="AY70" i="29"/>
  <c r="AZ70" i="29"/>
  <c r="BA70" i="29"/>
  <c r="BB70" i="29"/>
  <c r="BC70" i="29"/>
  <c r="AY71" i="29"/>
  <c r="AZ71" i="29"/>
  <c r="BA71" i="29"/>
  <c r="BB71" i="29"/>
  <c r="BC71" i="29"/>
  <c r="AY72" i="29"/>
  <c r="AZ72" i="29"/>
  <c r="BA72" i="29"/>
  <c r="BB72" i="29"/>
  <c r="BC72" i="29"/>
  <c r="AY73" i="29"/>
  <c r="AZ73" i="29"/>
  <c r="BA73" i="29"/>
  <c r="BB73" i="29"/>
  <c r="BC73" i="29"/>
  <c r="AY74" i="29"/>
  <c r="AZ74" i="29"/>
  <c r="BA74" i="29"/>
  <c r="BB74" i="29"/>
  <c r="BC74" i="29"/>
  <c r="AY75" i="29"/>
  <c r="AZ75" i="29"/>
  <c r="BA75" i="29"/>
  <c r="BB75" i="29"/>
  <c r="BC75" i="29"/>
  <c r="AY76" i="29"/>
  <c r="AZ76" i="29"/>
  <c r="BA76" i="29"/>
  <c r="BB76" i="29"/>
  <c r="BC76" i="29"/>
  <c r="BC9" i="29"/>
  <c r="BB9" i="29"/>
  <c r="BA9" i="29"/>
  <c r="AY9" i="29"/>
  <c r="AV11" i="29"/>
  <c r="AR10" i="29"/>
  <c r="AS10" i="29"/>
  <c r="AT10" i="29"/>
  <c r="AU10" i="29"/>
  <c r="AV10" i="29"/>
  <c r="AR11" i="29"/>
  <c r="AS11" i="29"/>
  <c r="AT11" i="29"/>
  <c r="AU11" i="29"/>
  <c r="AR12" i="29"/>
  <c r="AS12" i="29"/>
  <c r="AT12" i="29"/>
  <c r="AU12" i="29"/>
  <c r="AV12" i="29"/>
  <c r="AR13" i="29"/>
  <c r="AS13" i="29"/>
  <c r="AT13" i="29"/>
  <c r="AU13" i="29"/>
  <c r="AV13" i="29"/>
  <c r="AR14" i="29"/>
  <c r="AS14" i="29"/>
  <c r="AT14" i="29"/>
  <c r="AU14" i="29"/>
  <c r="AV14" i="29"/>
  <c r="AR15" i="29"/>
  <c r="AS15" i="29"/>
  <c r="AT15" i="29"/>
  <c r="AU15" i="29"/>
  <c r="AV15" i="29"/>
  <c r="AR16" i="29"/>
  <c r="AS16" i="29"/>
  <c r="AT16" i="29"/>
  <c r="AU16" i="29"/>
  <c r="AV16" i="29"/>
  <c r="AR17" i="29"/>
  <c r="AS17" i="29"/>
  <c r="AT17" i="29"/>
  <c r="AU17" i="29"/>
  <c r="AV17" i="29"/>
  <c r="AR18" i="29"/>
  <c r="AS18" i="29"/>
  <c r="AT18" i="29"/>
  <c r="AU18" i="29"/>
  <c r="AV18" i="29"/>
  <c r="AR19" i="29"/>
  <c r="AS19" i="29"/>
  <c r="AT19" i="29"/>
  <c r="AU19" i="29"/>
  <c r="AV19" i="29"/>
  <c r="AR20" i="29"/>
  <c r="AS20" i="29"/>
  <c r="AT20" i="29"/>
  <c r="AU20" i="29"/>
  <c r="AV20" i="29"/>
  <c r="AR21" i="29"/>
  <c r="AS21" i="29"/>
  <c r="AT21" i="29"/>
  <c r="AU21" i="29"/>
  <c r="AV21" i="29"/>
  <c r="AR22" i="29"/>
  <c r="AS22" i="29"/>
  <c r="AT22" i="29"/>
  <c r="AU22" i="29"/>
  <c r="AV22" i="29"/>
  <c r="AR23" i="29"/>
  <c r="AS23" i="29"/>
  <c r="AT23" i="29"/>
  <c r="AU23" i="29"/>
  <c r="AV23" i="29"/>
  <c r="AR24" i="29"/>
  <c r="AS24" i="29"/>
  <c r="AT24" i="29"/>
  <c r="AU24" i="29"/>
  <c r="AV24" i="29"/>
  <c r="AR25" i="29"/>
  <c r="AS25" i="29"/>
  <c r="AT25" i="29"/>
  <c r="AU25" i="29"/>
  <c r="AV25" i="29"/>
  <c r="AR26" i="29"/>
  <c r="AS26" i="29"/>
  <c r="AT26" i="29"/>
  <c r="AU26" i="29"/>
  <c r="AV26" i="29"/>
  <c r="AR27" i="29"/>
  <c r="AS27" i="29"/>
  <c r="AT27" i="29"/>
  <c r="AU27" i="29"/>
  <c r="AV27" i="29"/>
  <c r="AR28" i="29"/>
  <c r="AS28" i="29"/>
  <c r="AT28" i="29"/>
  <c r="AU28" i="29"/>
  <c r="AV28" i="29"/>
  <c r="AR29" i="29"/>
  <c r="AS29" i="29"/>
  <c r="AT29" i="29"/>
  <c r="AU29" i="29"/>
  <c r="AV29" i="29"/>
  <c r="AR30" i="29"/>
  <c r="AS30" i="29"/>
  <c r="AT30" i="29"/>
  <c r="AU30" i="29"/>
  <c r="AV30" i="29"/>
  <c r="AR31" i="29"/>
  <c r="AS31" i="29"/>
  <c r="AT31" i="29"/>
  <c r="AU31" i="29"/>
  <c r="AV31" i="29"/>
  <c r="AR32" i="29"/>
  <c r="AS32" i="29"/>
  <c r="AT32" i="29"/>
  <c r="AU32" i="29"/>
  <c r="AV32" i="29"/>
  <c r="AR33" i="29"/>
  <c r="AS33" i="29"/>
  <c r="AT33" i="29"/>
  <c r="AU33" i="29"/>
  <c r="AV33" i="29"/>
  <c r="AR34" i="29"/>
  <c r="AS34" i="29"/>
  <c r="AT34" i="29"/>
  <c r="AU34" i="29"/>
  <c r="AV34" i="29"/>
  <c r="AR35" i="29"/>
  <c r="AS35" i="29"/>
  <c r="AT35" i="29"/>
  <c r="AU35" i="29"/>
  <c r="AV35" i="29"/>
  <c r="AR36" i="29"/>
  <c r="AS36" i="29"/>
  <c r="AT36" i="29"/>
  <c r="AU36" i="29"/>
  <c r="AV36" i="29"/>
  <c r="AR37" i="29"/>
  <c r="AS37" i="29"/>
  <c r="AT37" i="29"/>
  <c r="AU37" i="29"/>
  <c r="AV37" i="29"/>
  <c r="AR38" i="29"/>
  <c r="AS38" i="29"/>
  <c r="AT38" i="29"/>
  <c r="AU38" i="29"/>
  <c r="AV38" i="29"/>
  <c r="AR39" i="29"/>
  <c r="AS39" i="29"/>
  <c r="AT39" i="29"/>
  <c r="AU39" i="29"/>
  <c r="AV39" i="29"/>
  <c r="AR40" i="29"/>
  <c r="AS40" i="29"/>
  <c r="AT40" i="29"/>
  <c r="AU40" i="29"/>
  <c r="AV40" i="29"/>
  <c r="AR41" i="29"/>
  <c r="AS41" i="29"/>
  <c r="AT41" i="29"/>
  <c r="AU41" i="29"/>
  <c r="AV41" i="29"/>
  <c r="AR42" i="29"/>
  <c r="AS42" i="29"/>
  <c r="AT42" i="29"/>
  <c r="AU42" i="29"/>
  <c r="AV42" i="29"/>
  <c r="AR43" i="29"/>
  <c r="AS43" i="29"/>
  <c r="AT43" i="29"/>
  <c r="AU43" i="29"/>
  <c r="AV43" i="29"/>
  <c r="AR44" i="29"/>
  <c r="AS44" i="29"/>
  <c r="AT44" i="29"/>
  <c r="AU44" i="29"/>
  <c r="AV44" i="29"/>
  <c r="AR45" i="29"/>
  <c r="AS45" i="29"/>
  <c r="AT45" i="29"/>
  <c r="AU45" i="29"/>
  <c r="AV45" i="29"/>
  <c r="AR46" i="29"/>
  <c r="AS46" i="29"/>
  <c r="AT46" i="29"/>
  <c r="AU46" i="29"/>
  <c r="AV46" i="29"/>
  <c r="AR47" i="29"/>
  <c r="AS47" i="29"/>
  <c r="AT47" i="29"/>
  <c r="AU47" i="29"/>
  <c r="AV47" i="29"/>
  <c r="AR48" i="29"/>
  <c r="AS48" i="29"/>
  <c r="AT48" i="29"/>
  <c r="AU48" i="29"/>
  <c r="AV48" i="29"/>
  <c r="AR49" i="29"/>
  <c r="AS49" i="29"/>
  <c r="AT49" i="29"/>
  <c r="AU49" i="29"/>
  <c r="AV49" i="29"/>
  <c r="AR50" i="29"/>
  <c r="AS50" i="29"/>
  <c r="AT50" i="29"/>
  <c r="AU50" i="29"/>
  <c r="AV50" i="29"/>
  <c r="AR51" i="29"/>
  <c r="AS51" i="29"/>
  <c r="AT51" i="29"/>
  <c r="AU51" i="29"/>
  <c r="AV51" i="29"/>
  <c r="AR52" i="29"/>
  <c r="AS52" i="29"/>
  <c r="AT52" i="29"/>
  <c r="AU52" i="29"/>
  <c r="AV52" i="29"/>
  <c r="AR53" i="29"/>
  <c r="AS53" i="29"/>
  <c r="AT53" i="29"/>
  <c r="AU53" i="29"/>
  <c r="AV53" i="29"/>
  <c r="AR54" i="29"/>
  <c r="AS54" i="29"/>
  <c r="AT54" i="29"/>
  <c r="AU54" i="29"/>
  <c r="AV54" i="29"/>
  <c r="AR55" i="29"/>
  <c r="AS55" i="29"/>
  <c r="AT55" i="29"/>
  <c r="AU55" i="29"/>
  <c r="AV55" i="29"/>
  <c r="AR56" i="29"/>
  <c r="AS56" i="29"/>
  <c r="AT56" i="29"/>
  <c r="AU56" i="29"/>
  <c r="AV56" i="29"/>
  <c r="AR57" i="29"/>
  <c r="AS57" i="29"/>
  <c r="AT57" i="29"/>
  <c r="AU57" i="29"/>
  <c r="AV57" i="29"/>
  <c r="AR58" i="29"/>
  <c r="AS58" i="29"/>
  <c r="AT58" i="29"/>
  <c r="AU58" i="29"/>
  <c r="AV58" i="29"/>
  <c r="AR59" i="29"/>
  <c r="AS59" i="29"/>
  <c r="AT59" i="29"/>
  <c r="AU59" i="29"/>
  <c r="AV59" i="29"/>
  <c r="AR60" i="29"/>
  <c r="AS60" i="29"/>
  <c r="AT60" i="29"/>
  <c r="AU60" i="29"/>
  <c r="AV60" i="29"/>
  <c r="AR61" i="29"/>
  <c r="AS61" i="29"/>
  <c r="AT61" i="29"/>
  <c r="AU61" i="29"/>
  <c r="AV61" i="29"/>
  <c r="AR62" i="29"/>
  <c r="AS62" i="29"/>
  <c r="AT62" i="29"/>
  <c r="AU62" i="29"/>
  <c r="AV62" i="29"/>
  <c r="AR63" i="29"/>
  <c r="AS63" i="29"/>
  <c r="AT63" i="29"/>
  <c r="AU63" i="29"/>
  <c r="AV63" i="29"/>
  <c r="AR64" i="29"/>
  <c r="AS64" i="29"/>
  <c r="AT64" i="29"/>
  <c r="AU64" i="29"/>
  <c r="AV64" i="29"/>
  <c r="AR65" i="29"/>
  <c r="AS65" i="29"/>
  <c r="AT65" i="29"/>
  <c r="AU65" i="29"/>
  <c r="AV65" i="29"/>
  <c r="AR66" i="29"/>
  <c r="AS66" i="29"/>
  <c r="AT66" i="29"/>
  <c r="AU66" i="29"/>
  <c r="AV66" i="29"/>
  <c r="AR67" i="29"/>
  <c r="AS67" i="29"/>
  <c r="AT67" i="29"/>
  <c r="AU67" i="29"/>
  <c r="AV67" i="29"/>
  <c r="AR68" i="29"/>
  <c r="AS68" i="29"/>
  <c r="AT68" i="29"/>
  <c r="AU68" i="29"/>
  <c r="AV68" i="29"/>
  <c r="AR69" i="29"/>
  <c r="AS69" i="29"/>
  <c r="AT69" i="29"/>
  <c r="AU69" i="29"/>
  <c r="AV69" i="29"/>
  <c r="AR70" i="29"/>
  <c r="AS70" i="29"/>
  <c r="AT70" i="29"/>
  <c r="AU70" i="29"/>
  <c r="AV70" i="29"/>
  <c r="AR71" i="29"/>
  <c r="AS71" i="29"/>
  <c r="AT71" i="29"/>
  <c r="AU71" i="29"/>
  <c r="AV71" i="29"/>
  <c r="AR72" i="29"/>
  <c r="AS72" i="29"/>
  <c r="AT72" i="29"/>
  <c r="AU72" i="29"/>
  <c r="AV72" i="29"/>
  <c r="AR73" i="29"/>
  <c r="AS73" i="29"/>
  <c r="AT73" i="29"/>
  <c r="AU73" i="29"/>
  <c r="AV73" i="29"/>
  <c r="AR74" i="29"/>
  <c r="AS74" i="29"/>
  <c r="AT74" i="29"/>
  <c r="AU74" i="29"/>
  <c r="AV74" i="29"/>
  <c r="AR75" i="29"/>
  <c r="AS75" i="29"/>
  <c r="AT75" i="29"/>
  <c r="AU75" i="29"/>
  <c r="AV75" i="29"/>
  <c r="AR76" i="29"/>
  <c r="AS76" i="29"/>
  <c r="AT76" i="29"/>
  <c r="AU76" i="29"/>
  <c r="AV76" i="29"/>
  <c r="AR77" i="29"/>
  <c r="AS77" i="29"/>
  <c r="AT77" i="29"/>
  <c r="AU77" i="29"/>
  <c r="AV77" i="29"/>
  <c r="AS9" i="29"/>
  <c r="AT9" i="29"/>
  <c r="AU9" i="29"/>
  <c r="AV9" i="29"/>
  <c r="AR9" i="29"/>
  <c r="T82" i="11"/>
  <c r="S82" i="11"/>
  <c r="R82" i="11"/>
  <c r="T81" i="11"/>
  <c r="S81" i="11"/>
  <c r="R81" i="11"/>
  <c r="T80" i="11"/>
  <c r="S80" i="11"/>
  <c r="R80" i="11"/>
  <c r="T79" i="11"/>
  <c r="S79" i="11"/>
  <c r="R79" i="11"/>
  <c r="T78" i="11"/>
  <c r="S78" i="11"/>
  <c r="R78" i="11"/>
  <c r="T77" i="11"/>
  <c r="S77" i="11"/>
  <c r="R77" i="11"/>
  <c r="T76" i="11"/>
  <c r="S76" i="11"/>
  <c r="R76" i="11"/>
  <c r="T75" i="11"/>
  <c r="S75" i="11"/>
  <c r="R75" i="11"/>
  <c r="T74" i="11"/>
  <c r="S74" i="11"/>
  <c r="R74" i="11"/>
  <c r="T73" i="11"/>
  <c r="S73" i="11"/>
  <c r="R73" i="11"/>
  <c r="T72" i="11"/>
  <c r="S72" i="11"/>
  <c r="R72" i="11"/>
  <c r="T71" i="11"/>
  <c r="S71" i="11"/>
  <c r="R71" i="11"/>
  <c r="T70" i="11"/>
  <c r="S70" i="11"/>
  <c r="R70" i="11"/>
  <c r="T69" i="11"/>
  <c r="S69" i="11"/>
  <c r="R69" i="11"/>
  <c r="T68" i="11"/>
  <c r="S68" i="11"/>
  <c r="R68" i="11"/>
  <c r="T67" i="11"/>
  <c r="S67" i="11"/>
  <c r="R67" i="11"/>
  <c r="T66" i="11"/>
  <c r="S66" i="11"/>
  <c r="R66" i="11"/>
  <c r="T65" i="11"/>
  <c r="S65" i="11"/>
  <c r="R65" i="11"/>
  <c r="T64" i="11"/>
  <c r="S64" i="11"/>
  <c r="R64" i="11"/>
  <c r="T63" i="11"/>
  <c r="S63" i="11"/>
  <c r="R63" i="11"/>
  <c r="T62" i="11"/>
  <c r="S62" i="11"/>
  <c r="R62" i="11"/>
  <c r="T61" i="11"/>
  <c r="S61" i="11"/>
  <c r="R61" i="11"/>
  <c r="T60" i="11"/>
  <c r="S60" i="11"/>
  <c r="R60" i="11"/>
  <c r="T59" i="11"/>
  <c r="S59" i="11"/>
  <c r="R59" i="11"/>
  <c r="T58" i="11"/>
  <c r="S58" i="11"/>
  <c r="R58" i="11"/>
  <c r="T57" i="11"/>
  <c r="S57" i="11"/>
  <c r="R57" i="11"/>
  <c r="T56" i="11"/>
  <c r="S56" i="11"/>
  <c r="R56" i="11"/>
  <c r="T55" i="11"/>
  <c r="S55" i="11"/>
  <c r="R55" i="11"/>
  <c r="T54" i="11"/>
  <c r="S54" i="11"/>
  <c r="R54" i="11"/>
  <c r="T53" i="11"/>
  <c r="S53" i="11"/>
  <c r="R53" i="11"/>
  <c r="T52" i="11"/>
  <c r="S52" i="11"/>
  <c r="R52" i="11"/>
  <c r="T51" i="11"/>
  <c r="S51" i="11"/>
  <c r="R51" i="11"/>
  <c r="T50" i="11"/>
  <c r="S50" i="11"/>
  <c r="R50" i="11"/>
  <c r="T49" i="11"/>
  <c r="S49" i="11"/>
  <c r="R49" i="11"/>
  <c r="T48" i="11"/>
  <c r="S48" i="11"/>
  <c r="R48" i="11"/>
  <c r="T47" i="11"/>
  <c r="S47" i="11"/>
  <c r="R47" i="11"/>
  <c r="T46" i="11"/>
  <c r="S46" i="11"/>
  <c r="R46" i="11"/>
  <c r="T45" i="11"/>
  <c r="S45" i="11"/>
  <c r="R45" i="11"/>
  <c r="T44" i="11"/>
  <c r="S44" i="11"/>
  <c r="R44" i="11"/>
  <c r="T43" i="11"/>
  <c r="S43" i="11"/>
  <c r="R43" i="11"/>
  <c r="T42" i="11"/>
  <c r="S42" i="11"/>
  <c r="R42" i="11"/>
  <c r="T41" i="11"/>
  <c r="S41" i="11"/>
  <c r="R41" i="11"/>
  <c r="T40" i="11"/>
  <c r="S40" i="11"/>
  <c r="R40" i="11"/>
  <c r="T39" i="11"/>
  <c r="S39" i="11"/>
  <c r="R39" i="11"/>
  <c r="T38" i="11"/>
  <c r="S38" i="11"/>
  <c r="R38" i="11"/>
  <c r="T37" i="11"/>
  <c r="S37" i="11"/>
  <c r="R37" i="11"/>
  <c r="T36" i="11"/>
  <c r="S36" i="11"/>
  <c r="R36" i="11"/>
  <c r="T35" i="11"/>
  <c r="S35" i="11"/>
  <c r="R35" i="11"/>
  <c r="T34" i="11"/>
  <c r="S34" i="11"/>
  <c r="R34" i="11"/>
  <c r="T33" i="11"/>
  <c r="S33" i="11"/>
  <c r="R33" i="11"/>
  <c r="T32" i="11"/>
  <c r="S32" i="11"/>
  <c r="R32" i="11"/>
  <c r="T31" i="11"/>
  <c r="S31" i="11"/>
  <c r="R31" i="11"/>
  <c r="T30" i="11"/>
  <c r="S30" i="11"/>
  <c r="R30" i="11"/>
  <c r="T29" i="11"/>
  <c r="S29" i="11"/>
  <c r="R29" i="11"/>
  <c r="T28" i="11"/>
  <c r="S28" i="11"/>
  <c r="R28" i="11"/>
  <c r="T27" i="11"/>
  <c r="S27" i="11"/>
  <c r="R27" i="11"/>
  <c r="T26" i="11"/>
  <c r="S26" i="11"/>
  <c r="R26" i="11"/>
  <c r="T25" i="11"/>
  <c r="S25" i="11"/>
  <c r="R25" i="11"/>
  <c r="T24" i="11"/>
  <c r="S24" i="11"/>
  <c r="R24" i="11"/>
  <c r="T23" i="11"/>
  <c r="S23" i="11"/>
  <c r="R23" i="11"/>
  <c r="T22" i="11"/>
  <c r="S22" i="11"/>
  <c r="R22" i="11"/>
  <c r="T21" i="11"/>
  <c r="S21" i="11"/>
  <c r="R21" i="11"/>
  <c r="T20" i="11"/>
  <c r="S20" i="11"/>
  <c r="R20" i="11"/>
  <c r="T19" i="11"/>
  <c r="S19" i="11"/>
  <c r="R19" i="11"/>
  <c r="T18" i="11"/>
  <c r="S18" i="11"/>
  <c r="R18" i="11"/>
  <c r="T17" i="11"/>
  <c r="S17" i="11"/>
  <c r="R17" i="11"/>
  <c r="T16" i="11"/>
  <c r="S16" i="11"/>
  <c r="R16" i="11"/>
  <c r="T15" i="11"/>
  <c r="S15" i="11"/>
  <c r="R15" i="11"/>
  <c r="T14" i="11"/>
  <c r="S14" i="11"/>
  <c r="R14" i="11"/>
  <c r="BB19" i="17"/>
  <c r="BB20" i="17"/>
  <c r="BB21" i="17"/>
  <c r="BB22" i="17"/>
  <c r="AJ9" i="12"/>
  <c r="AM14"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13" i="10"/>
  <c r="AK6" i="10"/>
  <c r="AL6" i="10" s="1"/>
  <c r="X81" i="10"/>
  <c r="Y81" i="10"/>
  <c r="Z81" i="10"/>
  <c r="Y6" i="10"/>
  <c r="Z6" i="10" s="1"/>
  <c r="AZ11" i="17"/>
  <c r="BD12" i="17"/>
  <c r="BD13" i="17"/>
  <c r="BD14" i="17"/>
  <c r="BD15" i="17"/>
  <c r="BD16" i="17"/>
  <c r="BD17" i="17"/>
  <c r="BD18" i="17"/>
  <c r="BD19" i="17"/>
  <c r="BD20" i="17"/>
  <c r="BD21" i="17"/>
  <c r="BD22" i="17"/>
  <c r="BD23" i="17"/>
  <c r="BD24" i="17"/>
  <c r="BD25" i="17"/>
  <c r="BD26" i="17"/>
  <c r="BD27" i="17"/>
  <c r="BD28" i="17"/>
  <c r="BD29" i="17"/>
  <c r="BD30" i="17"/>
  <c r="BD31" i="17"/>
  <c r="BD32" i="17"/>
  <c r="BD33" i="17"/>
  <c r="BD34" i="17"/>
  <c r="BD35" i="17"/>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BD62" i="17"/>
  <c r="BD63" i="17"/>
  <c r="BD64" i="17"/>
  <c r="BD65" i="17"/>
  <c r="BD66" i="17"/>
  <c r="BD67" i="17"/>
  <c r="BD68" i="17"/>
  <c r="BD69" i="17"/>
  <c r="BD70" i="17"/>
  <c r="BD71" i="17"/>
  <c r="BD72" i="17"/>
  <c r="BD73" i="17"/>
  <c r="BD74" i="17"/>
  <c r="BD75" i="17"/>
  <c r="BD76" i="17"/>
  <c r="BD77" i="17"/>
  <c r="BD9" i="17"/>
  <c r="BD10" i="17"/>
  <c r="BC10" i="12"/>
  <c r="BD10" i="12" s="1"/>
  <c r="BB9" i="12"/>
  <c r="BC9" i="12" s="1"/>
  <c r="BD9" i="12" s="1"/>
  <c r="V16" i="11"/>
  <c r="BD11" i="17" s="1"/>
  <c r="AM15" i="10" l="1"/>
  <c r="I24" i="11"/>
  <c r="X23" i="10" s="1"/>
  <c r="I25" i="11"/>
  <c r="X24" i="10" s="1"/>
  <c r="I26" i="11"/>
  <c r="X25" i="10" s="1"/>
  <c r="I27" i="11"/>
  <c r="X26" i="10" s="1"/>
  <c r="AW17" i="17" l="1"/>
  <c r="BA9" i="17" l="1"/>
  <c r="AZ9" i="17"/>
  <c r="AJ14" i="10"/>
  <c r="AK14" i="10"/>
  <c r="AJ15" i="10"/>
  <c r="AK15" i="10"/>
  <c r="AJ16" i="10"/>
  <c r="AK16" i="10"/>
  <c r="AJ17" i="10"/>
  <c r="AK17" i="10"/>
  <c r="AJ18" i="10"/>
  <c r="AK18" i="10"/>
  <c r="AJ19" i="10"/>
  <c r="AK19" i="10"/>
  <c r="AJ20" i="10"/>
  <c r="AK20" i="10"/>
  <c r="AJ21" i="10"/>
  <c r="AK21" i="10"/>
  <c r="AJ22" i="10"/>
  <c r="AK22" i="10"/>
  <c r="AJ23" i="10"/>
  <c r="AK23" i="10"/>
  <c r="AJ24" i="10"/>
  <c r="AK24" i="10"/>
  <c r="AJ25" i="10"/>
  <c r="AK25" i="10"/>
  <c r="AJ26" i="10"/>
  <c r="AK26" i="10"/>
  <c r="AJ27" i="10"/>
  <c r="AK27" i="10"/>
  <c r="AJ28" i="10"/>
  <c r="AK28" i="10"/>
  <c r="AJ29" i="10"/>
  <c r="AK29" i="10"/>
  <c r="AJ30" i="10"/>
  <c r="AK30" i="10"/>
  <c r="AJ31" i="10"/>
  <c r="AK31" i="10"/>
  <c r="AJ32" i="10"/>
  <c r="AK32" i="10"/>
  <c r="AJ33" i="10"/>
  <c r="AK33" i="10"/>
  <c r="AJ34" i="10"/>
  <c r="AK34" i="10"/>
  <c r="AJ35" i="10"/>
  <c r="AK35" i="10"/>
  <c r="AJ36" i="10"/>
  <c r="AK36" i="10"/>
  <c r="AJ37" i="10"/>
  <c r="AK37" i="10"/>
  <c r="AJ38" i="10"/>
  <c r="AK38" i="10"/>
  <c r="AJ39" i="10"/>
  <c r="AK39" i="10"/>
  <c r="AJ40" i="10"/>
  <c r="AK40" i="10"/>
  <c r="AJ41" i="10"/>
  <c r="AK41" i="10"/>
  <c r="AJ42" i="10"/>
  <c r="AK42" i="10"/>
  <c r="AJ43" i="10"/>
  <c r="AK43" i="10"/>
  <c r="AJ44" i="10"/>
  <c r="AK44" i="10"/>
  <c r="AJ45" i="10"/>
  <c r="AK45" i="10"/>
  <c r="AJ46" i="10"/>
  <c r="AK46" i="10"/>
  <c r="AJ47" i="10"/>
  <c r="AK47" i="10"/>
  <c r="AJ48" i="10"/>
  <c r="AK48" i="10"/>
  <c r="AJ49" i="10"/>
  <c r="AK49" i="10"/>
  <c r="AJ50" i="10"/>
  <c r="AK50" i="10"/>
  <c r="AJ51" i="10"/>
  <c r="AK51" i="10"/>
  <c r="AJ52" i="10"/>
  <c r="AK52" i="10"/>
  <c r="AJ53" i="10"/>
  <c r="AK53" i="10"/>
  <c r="AJ54" i="10"/>
  <c r="AK54" i="10"/>
  <c r="AJ55" i="10"/>
  <c r="AK55" i="10"/>
  <c r="AJ56" i="10"/>
  <c r="AK56" i="10"/>
  <c r="AJ57" i="10"/>
  <c r="AK57" i="10"/>
  <c r="AJ58" i="10"/>
  <c r="AK58" i="10"/>
  <c r="AJ59" i="10"/>
  <c r="AK59" i="10"/>
  <c r="AJ60" i="10"/>
  <c r="AK60" i="10"/>
  <c r="AJ61" i="10"/>
  <c r="AK61" i="10"/>
  <c r="AJ62" i="10"/>
  <c r="AK62" i="10"/>
  <c r="AJ63" i="10"/>
  <c r="AK63" i="10"/>
  <c r="AJ64" i="10"/>
  <c r="AK64" i="10"/>
  <c r="AJ65" i="10"/>
  <c r="AK65" i="10"/>
  <c r="AJ66" i="10"/>
  <c r="AK66" i="10"/>
  <c r="AJ67" i="10"/>
  <c r="AK67" i="10"/>
  <c r="AJ68" i="10"/>
  <c r="AK68" i="10"/>
  <c r="AJ69" i="10"/>
  <c r="AK69" i="10"/>
  <c r="AJ70" i="10"/>
  <c r="AK70" i="10"/>
  <c r="AJ71" i="10"/>
  <c r="AK71" i="10"/>
  <c r="AJ72" i="10"/>
  <c r="AK72" i="10"/>
  <c r="AJ73" i="10"/>
  <c r="AK73" i="10"/>
  <c r="AJ74" i="10"/>
  <c r="AK74" i="10"/>
  <c r="AJ75" i="10"/>
  <c r="AK75" i="10"/>
  <c r="AJ76" i="10"/>
  <c r="AK76" i="10"/>
  <c r="AJ77" i="10"/>
  <c r="AK77" i="10"/>
  <c r="AJ78" i="10"/>
  <c r="AK78" i="10"/>
  <c r="AJ79" i="10"/>
  <c r="AK79" i="10"/>
  <c r="AJ80" i="10"/>
  <c r="AK80" i="10"/>
  <c r="AJ81" i="10"/>
  <c r="AK81" i="10"/>
  <c r="AL81" i="10"/>
  <c r="AK13" i="10"/>
  <c r="AJ13" i="10"/>
  <c r="S7" i="11"/>
  <c r="T7" i="11" s="1"/>
  <c r="U7" i="11" s="1"/>
  <c r="S8" i="4" l="1"/>
  <c r="AW9" i="17"/>
  <c r="AW10" i="17"/>
  <c r="AW11" i="17"/>
  <c r="AW12" i="17"/>
  <c r="AW13" i="17"/>
  <c r="AW14" i="17"/>
  <c r="AW15" i="17"/>
  <c r="AW16" i="17"/>
  <c r="AW18" i="17"/>
  <c r="AW19" i="17"/>
  <c r="AW20" i="17"/>
  <c r="AW21" i="17"/>
  <c r="AW22" i="17"/>
  <c r="AW23" i="17"/>
  <c r="AW24" i="17"/>
  <c r="AW25" i="17"/>
  <c r="AW26" i="17"/>
  <c r="AW27" i="17"/>
  <c r="AW28" i="17"/>
  <c r="AW29" i="17"/>
  <c r="AW30" i="17"/>
  <c r="AW31" i="17"/>
  <c r="AW32" i="17"/>
  <c r="AW33" i="17"/>
  <c r="AW34" i="17"/>
  <c r="AW35" i="17"/>
  <c r="AW36" i="17"/>
  <c r="AW37" i="17"/>
  <c r="AW38" i="17"/>
  <c r="AW39" i="17"/>
  <c r="AW40" i="17"/>
  <c r="AW41" i="17"/>
  <c r="AW42" i="17"/>
  <c r="AW43" i="17"/>
  <c r="AW44" i="17"/>
  <c r="AW45" i="17"/>
  <c r="AW46" i="17"/>
  <c r="AW47" i="17"/>
  <c r="AW48" i="17"/>
  <c r="AW49" i="17"/>
  <c r="AW50" i="17"/>
  <c r="AW51" i="17"/>
  <c r="AW52" i="17"/>
  <c r="AW53" i="17"/>
  <c r="AW54" i="17"/>
  <c r="AW55" i="17"/>
  <c r="AW56" i="17"/>
  <c r="AW57" i="17"/>
  <c r="AW58" i="17"/>
  <c r="AW59" i="17"/>
  <c r="AW60" i="17"/>
  <c r="AW61" i="17"/>
  <c r="AW62" i="17"/>
  <c r="AW63" i="17"/>
  <c r="AW64" i="17"/>
  <c r="AW65" i="17"/>
  <c r="AW66" i="17"/>
  <c r="AW67" i="17"/>
  <c r="AW68" i="17"/>
  <c r="AW69" i="17"/>
  <c r="AW70" i="17"/>
  <c r="AW71" i="17"/>
  <c r="AW72" i="17"/>
  <c r="AW73" i="17"/>
  <c r="AW74" i="17"/>
  <c r="AW75" i="17"/>
  <c r="AW76" i="17"/>
  <c r="AW77" i="17"/>
  <c r="BB9" i="17"/>
  <c r="AZ12" i="17" l="1"/>
  <c r="BA10" i="17" l="1"/>
  <c r="BB10" i="17"/>
  <c r="BA11" i="17"/>
  <c r="BB11" i="17"/>
  <c r="BA12" i="17"/>
  <c r="BB12" i="17"/>
  <c r="BA13" i="17"/>
  <c r="BB13" i="17"/>
  <c r="BA14" i="17"/>
  <c r="BB14" i="17"/>
  <c r="BA15" i="17"/>
  <c r="BB15" i="17"/>
  <c r="BA16" i="17"/>
  <c r="BB16" i="17"/>
  <c r="BA17" i="17"/>
  <c r="BB17" i="17"/>
  <c r="BA18" i="17"/>
  <c r="BB18" i="17"/>
  <c r="BA19" i="17"/>
  <c r="BA20" i="17"/>
  <c r="BA21" i="17"/>
  <c r="BA22" i="17"/>
  <c r="BA23" i="17"/>
  <c r="BB23" i="17"/>
  <c r="BA24" i="17"/>
  <c r="BB24" i="17"/>
  <c r="BA25" i="17"/>
  <c r="BB25" i="17"/>
  <c r="BA26" i="17"/>
  <c r="BB26" i="17"/>
  <c r="BA27" i="17"/>
  <c r="BB27" i="17"/>
  <c r="BA28" i="17"/>
  <c r="BB28" i="17"/>
  <c r="BA29" i="17"/>
  <c r="BB29" i="17"/>
  <c r="BA30" i="17"/>
  <c r="BB30" i="17"/>
  <c r="BA31" i="17"/>
  <c r="BB31" i="17"/>
  <c r="BA32" i="17"/>
  <c r="BB32" i="17"/>
  <c r="BA33" i="17"/>
  <c r="BB33" i="17"/>
  <c r="BA34" i="17"/>
  <c r="BB34" i="17"/>
  <c r="BA35" i="17"/>
  <c r="BB35" i="17"/>
  <c r="BA36" i="17"/>
  <c r="BB36" i="17"/>
  <c r="BA37" i="17"/>
  <c r="BB37" i="17"/>
  <c r="BA38" i="17"/>
  <c r="BB38" i="17"/>
  <c r="BA39" i="17"/>
  <c r="BB39" i="17"/>
  <c r="BA40" i="17"/>
  <c r="BB40" i="17"/>
  <c r="BA41" i="17"/>
  <c r="BB41" i="17"/>
  <c r="BA42" i="17"/>
  <c r="BB42" i="17"/>
  <c r="BA43" i="17"/>
  <c r="BB43" i="17"/>
  <c r="BA44" i="17"/>
  <c r="BB44" i="17"/>
  <c r="BA45" i="17"/>
  <c r="BB45" i="17"/>
  <c r="BA46" i="17"/>
  <c r="BB46" i="17"/>
  <c r="BA47" i="17"/>
  <c r="BB47" i="17"/>
  <c r="BA48" i="17"/>
  <c r="BB48" i="17"/>
  <c r="BA49" i="17"/>
  <c r="BB49" i="17"/>
  <c r="BA50" i="17"/>
  <c r="BB50" i="17"/>
  <c r="BA51" i="17"/>
  <c r="BB51" i="17"/>
  <c r="BA52" i="17"/>
  <c r="BB52" i="17"/>
  <c r="BA53" i="17"/>
  <c r="BB53" i="17"/>
  <c r="BA54" i="17"/>
  <c r="BB54" i="17"/>
  <c r="BA55" i="17"/>
  <c r="BB55" i="17"/>
  <c r="BA56" i="17"/>
  <c r="BB56" i="17"/>
  <c r="BA57" i="17"/>
  <c r="BB57" i="17"/>
  <c r="BA58" i="17"/>
  <c r="BB58" i="17"/>
  <c r="BA59" i="17"/>
  <c r="BB59" i="17"/>
  <c r="BA60" i="17"/>
  <c r="BB60" i="17"/>
  <c r="BA61" i="17"/>
  <c r="BB61" i="17"/>
  <c r="BA62" i="17"/>
  <c r="BB62" i="17"/>
  <c r="BA63" i="17"/>
  <c r="BB63" i="17"/>
  <c r="BA64" i="17"/>
  <c r="BB64" i="17"/>
  <c r="BA65" i="17"/>
  <c r="BB65" i="17"/>
  <c r="BA66" i="17"/>
  <c r="BB66" i="17"/>
  <c r="BA67" i="17"/>
  <c r="BB67" i="17"/>
  <c r="BA68" i="17"/>
  <c r="BB68" i="17"/>
  <c r="BA69" i="17"/>
  <c r="BB69" i="17"/>
  <c r="BA70" i="17"/>
  <c r="BB70" i="17"/>
  <c r="BA71" i="17"/>
  <c r="BB71" i="17"/>
  <c r="BA72" i="17"/>
  <c r="BB72" i="17"/>
  <c r="BA73" i="17"/>
  <c r="BB73" i="17"/>
  <c r="BA74" i="17"/>
  <c r="BB74" i="17"/>
  <c r="BA75" i="17"/>
  <c r="BB75" i="17"/>
  <c r="BA76" i="17"/>
  <c r="BB76" i="17"/>
  <c r="BA77" i="17"/>
  <c r="BB77" i="17"/>
  <c r="L80" i="10" l="1"/>
  <c r="L79" i="10"/>
  <c r="B78" i="29" l="1"/>
  <c r="B79" i="29" s="1"/>
  <c r="AZ77" i="29"/>
  <c r="AW77" i="29"/>
  <c r="AH77" i="29"/>
  <c r="BB77" i="29" s="1"/>
  <c r="AG77" i="29"/>
  <c r="BA77" i="29" s="1"/>
  <c r="AC77" i="29"/>
  <c r="Q77" i="29"/>
  <c r="M77" i="29"/>
  <c r="L77" i="29"/>
  <c r="K77" i="29"/>
  <c r="J77" i="29"/>
  <c r="I77" i="29"/>
  <c r="H77" i="29"/>
  <c r="G77" i="29"/>
  <c r="F77" i="29"/>
  <c r="C77" i="29"/>
  <c r="AW76" i="29"/>
  <c r="AB76" i="29"/>
  <c r="AA76" i="29"/>
  <c r="AH76" i="29" s="1"/>
  <c r="Z76" i="29"/>
  <c r="AG76" i="29" s="1"/>
  <c r="X76" i="29"/>
  <c r="AE76" i="29" s="1"/>
  <c r="Q76" i="29"/>
  <c r="M76" i="29"/>
  <c r="L76" i="29"/>
  <c r="K76" i="29"/>
  <c r="J76" i="29"/>
  <c r="I76" i="29"/>
  <c r="H76" i="29"/>
  <c r="G76" i="29"/>
  <c r="F76" i="29"/>
  <c r="C76" i="29"/>
  <c r="AW75" i="29"/>
  <c r="AB75" i="29"/>
  <c r="AA75" i="29"/>
  <c r="AH75" i="29" s="1"/>
  <c r="Z75" i="29"/>
  <c r="AG75" i="29" s="1"/>
  <c r="X75" i="29"/>
  <c r="AE75" i="29" s="1"/>
  <c r="Q75" i="29"/>
  <c r="M75" i="29"/>
  <c r="L75" i="29"/>
  <c r="K75" i="29"/>
  <c r="J75" i="29"/>
  <c r="I75" i="29"/>
  <c r="H75" i="29"/>
  <c r="G75" i="29"/>
  <c r="F75" i="29"/>
  <c r="C75" i="29"/>
  <c r="AW74" i="29"/>
  <c r="AB74" i="29"/>
  <c r="AA74" i="29"/>
  <c r="AH74" i="29" s="1"/>
  <c r="Z74" i="29"/>
  <c r="AG74" i="29" s="1"/>
  <c r="X74" i="29"/>
  <c r="Q74" i="29"/>
  <c r="L74" i="29"/>
  <c r="K74" i="29"/>
  <c r="F74" i="29"/>
  <c r="AW73" i="29"/>
  <c r="AB73" i="29"/>
  <c r="AA73" i="29"/>
  <c r="AH73" i="29" s="1"/>
  <c r="Z73" i="29"/>
  <c r="AG73" i="29" s="1"/>
  <c r="X73" i="29"/>
  <c r="Q73" i="29"/>
  <c r="L73" i="29"/>
  <c r="K73" i="29"/>
  <c r="F73" i="29"/>
  <c r="AW72" i="29"/>
  <c r="AB72" i="29"/>
  <c r="AA72" i="29"/>
  <c r="AH72" i="29" s="1"/>
  <c r="Z72" i="29"/>
  <c r="AG72" i="29" s="1"/>
  <c r="X72" i="29"/>
  <c r="Q72" i="29"/>
  <c r="L72" i="29"/>
  <c r="K72" i="29"/>
  <c r="F72" i="29"/>
  <c r="AW71" i="29"/>
  <c r="AB71" i="29"/>
  <c r="AA71" i="29"/>
  <c r="AH71" i="29" s="1"/>
  <c r="Z71" i="29"/>
  <c r="AG71" i="29" s="1"/>
  <c r="X71" i="29"/>
  <c r="Q71" i="29"/>
  <c r="L71" i="29"/>
  <c r="K71" i="29"/>
  <c r="F71" i="29"/>
  <c r="AW70" i="29"/>
  <c r="AB70" i="29"/>
  <c r="AA70" i="29"/>
  <c r="AH70" i="29" s="1"/>
  <c r="Z70" i="29"/>
  <c r="X70" i="29"/>
  <c r="Q70" i="29"/>
  <c r="L70" i="29"/>
  <c r="K70" i="29"/>
  <c r="F70" i="29"/>
  <c r="AW69" i="29"/>
  <c r="AB69" i="29"/>
  <c r="AA69" i="29"/>
  <c r="AH69" i="29" s="1"/>
  <c r="Z69" i="29"/>
  <c r="AG69" i="29" s="1"/>
  <c r="X69" i="29"/>
  <c r="Q69" i="29"/>
  <c r="L69" i="29"/>
  <c r="K69" i="29"/>
  <c r="I69" i="29"/>
  <c r="H69" i="29"/>
  <c r="G69" i="29"/>
  <c r="F69" i="29"/>
  <c r="C69" i="29"/>
  <c r="AW68" i="29"/>
  <c r="AB68" i="29"/>
  <c r="AA68" i="29"/>
  <c r="AH68" i="29" s="1"/>
  <c r="Z68" i="29"/>
  <c r="AG68" i="29" s="1"/>
  <c r="X68" i="29"/>
  <c r="Q68" i="29"/>
  <c r="M68" i="29"/>
  <c r="L68" i="29"/>
  <c r="K68" i="29"/>
  <c r="J68" i="29"/>
  <c r="F68" i="29"/>
  <c r="AW67" i="29"/>
  <c r="AB67" i="29"/>
  <c r="AA67" i="29"/>
  <c r="AH67" i="29" s="1"/>
  <c r="Z67" i="29"/>
  <c r="AG67" i="29" s="1"/>
  <c r="X67" i="29"/>
  <c r="Q67" i="29"/>
  <c r="M67" i="29"/>
  <c r="L67" i="29"/>
  <c r="K67" i="29"/>
  <c r="J67" i="29"/>
  <c r="F67" i="29"/>
  <c r="AW66" i="29"/>
  <c r="AB66" i="29"/>
  <c r="AA66" i="29"/>
  <c r="AH66" i="29" s="1"/>
  <c r="Z66" i="29"/>
  <c r="X66" i="29"/>
  <c r="Q66" i="29"/>
  <c r="M66" i="29"/>
  <c r="L66" i="29"/>
  <c r="K66" i="29"/>
  <c r="J66" i="29"/>
  <c r="F66" i="29"/>
  <c r="AW65" i="29"/>
  <c r="AB65" i="29"/>
  <c r="AA65" i="29"/>
  <c r="AH65" i="29" s="1"/>
  <c r="Z65" i="29"/>
  <c r="AG65" i="29" s="1"/>
  <c r="X65" i="29"/>
  <c r="Q65" i="29"/>
  <c r="M65" i="29"/>
  <c r="L65" i="29"/>
  <c r="K65" i="29"/>
  <c r="J65" i="29"/>
  <c r="F65" i="29"/>
  <c r="AW64" i="29"/>
  <c r="AB64" i="29"/>
  <c r="AA64" i="29"/>
  <c r="AH64" i="29" s="1"/>
  <c r="Z64" i="29"/>
  <c r="AG64" i="29" s="1"/>
  <c r="X64" i="29"/>
  <c r="Q64" i="29"/>
  <c r="M64" i="29"/>
  <c r="L64" i="29"/>
  <c r="K64" i="29"/>
  <c r="J64" i="29"/>
  <c r="F64" i="29"/>
  <c r="AW63" i="29"/>
  <c r="AB63" i="29"/>
  <c r="AA63" i="29"/>
  <c r="AH63" i="29" s="1"/>
  <c r="Z63" i="29"/>
  <c r="AG63" i="29" s="1"/>
  <c r="X63" i="29"/>
  <c r="Q63" i="29"/>
  <c r="M63" i="29"/>
  <c r="L63" i="29"/>
  <c r="K63" i="29"/>
  <c r="J63" i="29"/>
  <c r="I63" i="29"/>
  <c r="H63" i="29"/>
  <c r="G63" i="29"/>
  <c r="F63" i="29"/>
  <c r="C63" i="29"/>
  <c r="AW62" i="29"/>
  <c r="AB62" i="29"/>
  <c r="AA62" i="29"/>
  <c r="AH62" i="29" s="1"/>
  <c r="Z62" i="29"/>
  <c r="AG62" i="29" s="1"/>
  <c r="X62" i="29"/>
  <c r="Q62" i="29"/>
  <c r="M62" i="29"/>
  <c r="K62" i="29"/>
  <c r="J62" i="29"/>
  <c r="F62" i="29"/>
  <c r="AW61" i="29"/>
  <c r="AB61" i="29"/>
  <c r="AA61" i="29"/>
  <c r="AH61" i="29" s="1"/>
  <c r="Z61" i="29"/>
  <c r="AG61" i="29" s="1"/>
  <c r="X61" i="29"/>
  <c r="Q61" i="29"/>
  <c r="M61" i="29"/>
  <c r="K61" i="29"/>
  <c r="J61" i="29"/>
  <c r="F61" i="29"/>
  <c r="AW60" i="29"/>
  <c r="AB60" i="29"/>
  <c r="AA60" i="29"/>
  <c r="AH60" i="29" s="1"/>
  <c r="Z60" i="29"/>
  <c r="AG60" i="29" s="1"/>
  <c r="X60" i="29"/>
  <c r="Q60" i="29"/>
  <c r="M60" i="29"/>
  <c r="K60" i="29"/>
  <c r="J60" i="29"/>
  <c r="F60" i="29"/>
  <c r="AW59" i="29"/>
  <c r="AB59" i="29"/>
  <c r="AA59" i="29"/>
  <c r="AH59" i="29" s="1"/>
  <c r="Z59" i="29"/>
  <c r="AG59" i="29" s="1"/>
  <c r="X59" i="29"/>
  <c r="Q59" i="29"/>
  <c r="M59" i="29"/>
  <c r="K59" i="29"/>
  <c r="J59" i="29"/>
  <c r="F59" i="29"/>
  <c r="AW58" i="29"/>
  <c r="AB58" i="29"/>
  <c r="AA58" i="29"/>
  <c r="AH58" i="29" s="1"/>
  <c r="Z58" i="29"/>
  <c r="AG58" i="29" s="1"/>
  <c r="X58" i="29"/>
  <c r="Q58" i="29"/>
  <c r="M58" i="29"/>
  <c r="K58" i="29"/>
  <c r="J58" i="29"/>
  <c r="F58" i="29"/>
  <c r="AW57" i="29"/>
  <c r="AB57" i="29"/>
  <c r="AA57" i="29"/>
  <c r="AH57" i="29" s="1"/>
  <c r="Z57" i="29"/>
  <c r="AG57" i="29" s="1"/>
  <c r="X57" i="29"/>
  <c r="Q57" i="29"/>
  <c r="M57" i="29"/>
  <c r="K57" i="29"/>
  <c r="J57" i="29"/>
  <c r="I57" i="29"/>
  <c r="H57" i="29"/>
  <c r="G57" i="29"/>
  <c r="F57" i="29"/>
  <c r="C57" i="29"/>
  <c r="AW56" i="29"/>
  <c r="AB56" i="29"/>
  <c r="AA56" i="29"/>
  <c r="AH56" i="29" s="1"/>
  <c r="Z56" i="29"/>
  <c r="AG56" i="29" s="1"/>
  <c r="X56" i="29"/>
  <c r="Q56" i="29"/>
  <c r="M56" i="29"/>
  <c r="K56" i="29"/>
  <c r="J56" i="29"/>
  <c r="F56" i="29"/>
  <c r="AW55" i="29"/>
  <c r="AB55" i="29"/>
  <c r="AA55" i="29"/>
  <c r="AH55" i="29" s="1"/>
  <c r="Z55" i="29"/>
  <c r="AG55" i="29" s="1"/>
  <c r="X55" i="29"/>
  <c r="Q55" i="29"/>
  <c r="M55" i="29"/>
  <c r="K55" i="29"/>
  <c r="J55" i="29"/>
  <c r="F55" i="29"/>
  <c r="AW54" i="29"/>
  <c r="AB54" i="29"/>
  <c r="AA54" i="29"/>
  <c r="AH54" i="29" s="1"/>
  <c r="Z54" i="29"/>
  <c r="AG54" i="29" s="1"/>
  <c r="X54" i="29"/>
  <c r="Q54" i="29"/>
  <c r="M54" i="29"/>
  <c r="K54" i="29"/>
  <c r="J54" i="29"/>
  <c r="F54" i="29"/>
  <c r="AW53" i="29"/>
  <c r="AB53" i="29"/>
  <c r="AA53" i="29"/>
  <c r="AH53" i="29" s="1"/>
  <c r="Z53" i="29"/>
  <c r="AG53" i="29" s="1"/>
  <c r="X53" i="29"/>
  <c r="Q53" i="29"/>
  <c r="M53" i="29"/>
  <c r="K53" i="29"/>
  <c r="J53" i="29"/>
  <c r="F53" i="29"/>
  <c r="AW52" i="29"/>
  <c r="AB52" i="29"/>
  <c r="AA52" i="29"/>
  <c r="AH52" i="29" s="1"/>
  <c r="Z52" i="29"/>
  <c r="AG52" i="29" s="1"/>
  <c r="X52" i="29"/>
  <c r="Q52" i="29"/>
  <c r="M52" i="29"/>
  <c r="K52" i="29"/>
  <c r="J52" i="29"/>
  <c r="F52" i="29"/>
  <c r="AW51" i="29"/>
  <c r="AB51" i="29"/>
  <c r="AA51" i="29"/>
  <c r="AH51" i="29" s="1"/>
  <c r="Z51" i="29"/>
  <c r="AG51" i="29" s="1"/>
  <c r="X51" i="29"/>
  <c r="Q51" i="29"/>
  <c r="M51" i="29"/>
  <c r="K51" i="29"/>
  <c r="J51" i="29"/>
  <c r="I51" i="29"/>
  <c r="H51" i="29"/>
  <c r="G51" i="29"/>
  <c r="F51" i="29"/>
  <c r="C51" i="29"/>
  <c r="AW50" i="29"/>
  <c r="AB50" i="29"/>
  <c r="AA50" i="29"/>
  <c r="AH50" i="29" s="1"/>
  <c r="Z50" i="29"/>
  <c r="AG50" i="29" s="1"/>
  <c r="X50" i="29"/>
  <c r="Q50" i="29"/>
  <c r="M50" i="29"/>
  <c r="L50" i="29"/>
  <c r="K50" i="29"/>
  <c r="J50" i="29"/>
  <c r="F50" i="29"/>
  <c r="AW49" i="29"/>
  <c r="AB49" i="29"/>
  <c r="AA49" i="29"/>
  <c r="AH49" i="29" s="1"/>
  <c r="Z49" i="29"/>
  <c r="AG49" i="29" s="1"/>
  <c r="X49" i="29"/>
  <c r="Q49" i="29"/>
  <c r="M49" i="29"/>
  <c r="L49" i="29"/>
  <c r="K49" i="29"/>
  <c r="J49" i="29"/>
  <c r="F49" i="29"/>
  <c r="AW48" i="29"/>
  <c r="AB48" i="29"/>
  <c r="AA48" i="29"/>
  <c r="AH48" i="29" s="1"/>
  <c r="Z48" i="29"/>
  <c r="AG48" i="29" s="1"/>
  <c r="X48" i="29"/>
  <c r="Q48" i="29"/>
  <c r="M48" i="29"/>
  <c r="L48" i="29"/>
  <c r="K48" i="29"/>
  <c r="J48" i="29"/>
  <c r="F48" i="29"/>
  <c r="AW47" i="29"/>
  <c r="AB47" i="29"/>
  <c r="AA47" i="29"/>
  <c r="AH47" i="29" s="1"/>
  <c r="Z47" i="29"/>
  <c r="AG47" i="29" s="1"/>
  <c r="X47" i="29"/>
  <c r="Q47" i="29"/>
  <c r="M47" i="29"/>
  <c r="L47" i="29"/>
  <c r="K47" i="29"/>
  <c r="J47" i="29"/>
  <c r="F47" i="29"/>
  <c r="AW46" i="29"/>
  <c r="AB46" i="29"/>
  <c r="AA46" i="29"/>
  <c r="AH46" i="29" s="1"/>
  <c r="Z46" i="29"/>
  <c r="AG46" i="29" s="1"/>
  <c r="X46" i="29"/>
  <c r="Q46" i="29"/>
  <c r="M46" i="29"/>
  <c r="L46" i="29"/>
  <c r="K46" i="29"/>
  <c r="J46" i="29"/>
  <c r="F46" i="29"/>
  <c r="AW45" i="29"/>
  <c r="AB45" i="29"/>
  <c r="AA45" i="29"/>
  <c r="AH45" i="29" s="1"/>
  <c r="Z45" i="29"/>
  <c r="AG45" i="29" s="1"/>
  <c r="X45" i="29"/>
  <c r="Q45" i="29"/>
  <c r="M45" i="29"/>
  <c r="L45" i="29"/>
  <c r="K45" i="29"/>
  <c r="J45" i="29"/>
  <c r="I45" i="29"/>
  <c r="H45" i="29"/>
  <c r="G45" i="29"/>
  <c r="F45" i="29"/>
  <c r="C45" i="29"/>
  <c r="AW44" i="29"/>
  <c r="AB44" i="29"/>
  <c r="AA44" i="29"/>
  <c r="AH44" i="29" s="1"/>
  <c r="Z44" i="29"/>
  <c r="AG44" i="29" s="1"/>
  <c r="X44" i="29"/>
  <c r="Q44" i="29"/>
  <c r="M44" i="29"/>
  <c r="L44" i="29"/>
  <c r="K44" i="29"/>
  <c r="J44" i="29"/>
  <c r="F44" i="29"/>
  <c r="AW43" i="29"/>
  <c r="AB43" i="29"/>
  <c r="AA43" i="29"/>
  <c r="AH43" i="29" s="1"/>
  <c r="Z43" i="29"/>
  <c r="AG43" i="29" s="1"/>
  <c r="X43" i="29"/>
  <c r="Q43" i="29"/>
  <c r="M43" i="29"/>
  <c r="L43" i="29"/>
  <c r="K43" i="29"/>
  <c r="J43" i="29"/>
  <c r="F43" i="29"/>
  <c r="AW42" i="29"/>
  <c r="AB42" i="29"/>
  <c r="AA42" i="29"/>
  <c r="AH42" i="29" s="1"/>
  <c r="Z42" i="29"/>
  <c r="AG42" i="29" s="1"/>
  <c r="X42" i="29"/>
  <c r="Q42" i="29"/>
  <c r="M42" i="29"/>
  <c r="L42" i="29"/>
  <c r="K42" i="29"/>
  <c r="J42" i="29"/>
  <c r="F42" i="29"/>
  <c r="AW41" i="29"/>
  <c r="AB41" i="29"/>
  <c r="AA41" i="29"/>
  <c r="AH41" i="29" s="1"/>
  <c r="Z41" i="29"/>
  <c r="AG41" i="29" s="1"/>
  <c r="X41" i="29"/>
  <c r="Q41" i="29"/>
  <c r="M41" i="29"/>
  <c r="L41" i="29"/>
  <c r="K41" i="29"/>
  <c r="J41" i="29"/>
  <c r="F41" i="29"/>
  <c r="AW40" i="29"/>
  <c r="AB40" i="29"/>
  <c r="AA40" i="29"/>
  <c r="AH40" i="29" s="1"/>
  <c r="Z40" i="29"/>
  <c r="AG40" i="29" s="1"/>
  <c r="X40" i="29"/>
  <c r="Q40" i="29"/>
  <c r="M40" i="29"/>
  <c r="L40" i="29"/>
  <c r="K40" i="29"/>
  <c r="J40" i="29"/>
  <c r="F40" i="29"/>
  <c r="AW39" i="29"/>
  <c r="AB39" i="29"/>
  <c r="AA39" i="29"/>
  <c r="AH39" i="29" s="1"/>
  <c r="Z39" i="29"/>
  <c r="AG39" i="29" s="1"/>
  <c r="X39" i="29"/>
  <c r="Q39" i="29"/>
  <c r="M39" i="29"/>
  <c r="L39" i="29"/>
  <c r="K39" i="29"/>
  <c r="J39" i="29"/>
  <c r="I39" i="29"/>
  <c r="H39" i="29"/>
  <c r="G39" i="29"/>
  <c r="F39" i="29"/>
  <c r="C39" i="29"/>
  <c r="AW38" i="29"/>
  <c r="AB38" i="29"/>
  <c r="AA38" i="29"/>
  <c r="AH38" i="29" s="1"/>
  <c r="Z38" i="29"/>
  <c r="AG38" i="29" s="1"/>
  <c r="X38" i="29"/>
  <c r="Q38" i="29"/>
  <c r="M38" i="29"/>
  <c r="K38" i="29"/>
  <c r="J38" i="29"/>
  <c r="F38" i="29"/>
  <c r="AW37" i="29"/>
  <c r="AB37" i="29"/>
  <c r="AA37" i="29"/>
  <c r="AH37" i="29" s="1"/>
  <c r="Z37" i="29"/>
  <c r="X37" i="29"/>
  <c r="Q37" i="29"/>
  <c r="M37" i="29"/>
  <c r="K37" i="29"/>
  <c r="J37" i="29"/>
  <c r="F37" i="29"/>
  <c r="AW36" i="29"/>
  <c r="AB36" i="29"/>
  <c r="AA36" i="29"/>
  <c r="AH36" i="29" s="1"/>
  <c r="Z36" i="29"/>
  <c r="AG36" i="29" s="1"/>
  <c r="X36" i="29"/>
  <c r="Q36" i="29"/>
  <c r="M36" i="29"/>
  <c r="K36" i="29"/>
  <c r="J36" i="29"/>
  <c r="F36" i="29"/>
  <c r="AW35" i="29"/>
  <c r="AB35" i="29"/>
  <c r="AA35" i="29"/>
  <c r="AH35" i="29" s="1"/>
  <c r="Z35" i="29"/>
  <c r="AG35" i="29" s="1"/>
  <c r="X35" i="29"/>
  <c r="Q35" i="29"/>
  <c r="M35" i="29"/>
  <c r="K35" i="29"/>
  <c r="J35" i="29"/>
  <c r="F35" i="29"/>
  <c r="AW34" i="29"/>
  <c r="AB34" i="29"/>
  <c r="AA34" i="29"/>
  <c r="AH34" i="29" s="1"/>
  <c r="Z34" i="29"/>
  <c r="AG34" i="29" s="1"/>
  <c r="X34" i="29"/>
  <c r="Q34" i="29"/>
  <c r="M34" i="29"/>
  <c r="K34" i="29"/>
  <c r="J34" i="29"/>
  <c r="F34" i="29"/>
  <c r="AW33" i="29"/>
  <c r="AB33" i="29"/>
  <c r="AA33" i="29"/>
  <c r="AH33" i="29" s="1"/>
  <c r="Z33" i="29"/>
  <c r="X33" i="29"/>
  <c r="Q33" i="29"/>
  <c r="M33" i="29"/>
  <c r="K33" i="29"/>
  <c r="J33" i="29"/>
  <c r="I33" i="29"/>
  <c r="H33" i="29"/>
  <c r="G33" i="29"/>
  <c r="F33" i="29"/>
  <c r="C33" i="29"/>
  <c r="AW32" i="29"/>
  <c r="AB32" i="29"/>
  <c r="AA32" i="29"/>
  <c r="AH32" i="29" s="1"/>
  <c r="Z32" i="29"/>
  <c r="AG32" i="29" s="1"/>
  <c r="X32" i="29"/>
  <c r="Q32" i="29"/>
  <c r="M32" i="29"/>
  <c r="K32" i="29"/>
  <c r="J32" i="29"/>
  <c r="F32" i="29"/>
  <c r="AW31" i="29"/>
  <c r="AB31" i="29"/>
  <c r="AA31" i="29"/>
  <c r="AH31" i="29" s="1"/>
  <c r="Z31" i="29"/>
  <c r="AG31" i="29" s="1"/>
  <c r="X31" i="29"/>
  <c r="Q31" i="29"/>
  <c r="M31" i="29"/>
  <c r="K31" i="29"/>
  <c r="J31" i="29"/>
  <c r="F31" i="29"/>
  <c r="AW30" i="29"/>
  <c r="AB30" i="29"/>
  <c r="AA30" i="29"/>
  <c r="AH30" i="29" s="1"/>
  <c r="Z30" i="29"/>
  <c r="AG30" i="29" s="1"/>
  <c r="X30" i="29"/>
  <c r="Q30" i="29"/>
  <c r="M30" i="29"/>
  <c r="K30" i="29"/>
  <c r="J30" i="29"/>
  <c r="F30" i="29"/>
  <c r="AW29" i="29"/>
  <c r="AB29" i="29"/>
  <c r="AA29" i="29"/>
  <c r="AH29" i="29" s="1"/>
  <c r="Z29" i="29"/>
  <c r="X29" i="29"/>
  <c r="Q29" i="29"/>
  <c r="M29" i="29"/>
  <c r="K29" i="29"/>
  <c r="J29" i="29"/>
  <c r="F29" i="29"/>
  <c r="AW28" i="29"/>
  <c r="AB28" i="29"/>
  <c r="AA28" i="29"/>
  <c r="AH28" i="29" s="1"/>
  <c r="Z28" i="29"/>
  <c r="AG28" i="29" s="1"/>
  <c r="X28" i="29"/>
  <c r="Q28" i="29"/>
  <c r="M28" i="29"/>
  <c r="K28" i="29"/>
  <c r="J28" i="29"/>
  <c r="F28" i="29"/>
  <c r="AW27" i="29"/>
  <c r="AB27" i="29"/>
  <c r="AA27" i="29"/>
  <c r="AH27" i="29" s="1"/>
  <c r="Z27" i="29"/>
  <c r="AG27" i="29" s="1"/>
  <c r="X27" i="29"/>
  <c r="Q27" i="29"/>
  <c r="M27" i="29"/>
  <c r="K27" i="29"/>
  <c r="J27" i="29"/>
  <c r="I27" i="29"/>
  <c r="H27" i="29"/>
  <c r="G27" i="29"/>
  <c r="F27" i="29"/>
  <c r="C27" i="29"/>
  <c r="AW26" i="29"/>
  <c r="AB26" i="29"/>
  <c r="AA26" i="29"/>
  <c r="AH26" i="29" s="1"/>
  <c r="Z26" i="29"/>
  <c r="AG26" i="29" s="1"/>
  <c r="X26" i="29"/>
  <c r="Q26" i="29"/>
  <c r="L26" i="29"/>
  <c r="K26" i="29"/>
  <c r="J26" i="29"/>
  <c r="F26" i="29"/>
  <c r="AW25" i="29"/>
  <c r="AB25" i="29"/>
  <c r="AA25" i="29"/>
  <c r="AH25" i="29" s="1"/>
  <c r="Z25" i="29"/>
  <c r="X25" i="29"/>
  <c r="Q25" i="29"/>
  <c r="L25" i="29"/>
  <c r="K25" i="29"/>
  <c r="J25" i="29"/>
  <c r="I25" i="29"/>
  <c r="H25" i="29"/>
  <c r="G25" i="29"/>
  <c r="F25" i="29"/>
  <c r="C25" i="29"/>
  <c r="AW24" i="29"/>
  <c r="AB24" i="29"/>
  <c r="AA24" i="29"/>
  <c r="AH24" i="29" s="1"/>
  <c r="Z24" i="29"/>
  <c r="AG24" i="29" s="1"/>
  <c r="X24" i="29"/>
  <c r="Q24" i="29"/>
  <c r="M24" i="29"/>
  <c r="L24" i="29"/>
  <c r="K24" i="29"/>
  <c r="J24" i="29"/>
  <c r="F24" i="29"/>
  <c r="AW23" i="29"/>
  <c r="AB23" i="29"/>
  <c r="AA23" i="29"/>
  <c r="AH23" i="29" s="1"/>
  <c r="Z23" i="29"/>
  <c r="AG23" i="29" s="1"/>
  <c r="X23" i="29"/>
  <c r="Q23" i="29"/>
  <c r="M23" i="29"/>
  <c r="L23" i="29"/>
  <c r="K23" i="29"/>
  <c r="J23" i="29"/>
  <c r="I23" i="29"/>
  <c r="H23" i="29"/>
  <c r="G23" i="29"/>
  <c r="F23" i="29"/>
  <c r="C23" i="29"/>
  <c r="AW22" i="29"/>
  <c r="AB22" i="29"/>
  <c r="AA22" i="29"/>
  <c r="AH22" i="29" s="1"/>
  <c r="Z22" i="29"/>
  <c r="AG22" i="29" s="1"/>
  <c r="X22" i="29"/>
  <c r="Q22" i="29"/>
  <c r="M22" i="29"/>
  <c r="K22" i="29"/>
  <c r="F22" i="29"/>
  <c r="AW21" i="29"/>
  <c r="AB21" i="29"/>
  <c r="AA21" i="29"/>
  <c r="AH21" i="29" s="1"/>
  <c r="Z21" i="29"/>
  <c r="AG21" i="29" s="1"/>
  <c r="X21" i="29"/>
  <c r="Q21" i="29"/>
  <c r="M21" i="29"/>
  <c r="K21" i="29"/>
  <c r="I21" i="29"/>
  <c r="H21" i="29"/>
  <c r="G21" i="29"/>
  <c r="F21" i="29"/>
  <c r="C21" i="29"/>
  <c r="AW20" i="29"/>
  <c r="AB20" i="29"/>
  <c r="AA20" i="29"/>
  <c r="AH20" i="29" s="1"/>
  <c r="Z20" i="29"/>
  <c r="AG20" i="29" s="1"/>
  <c r="X20" i="29"/>
  <c r="Q20" i="29"/>
  <c r="M20" i="29"/>
  <c r="K20" i="29"/>
  <c r="J20" i="29"/>
  <c r="F20" i="29"/>
  <c r="AW19" i="29"/>
  <c r="AB19" i="29"/>
  <c r="AA19" i="29"/>
  <c r="AH19" i="29" s="1"/>
  <c r="Z19" i="29"/>
  <c r="AG19" i="29" s="1"/>
  <c r="X19" i="29"/>
  <c r="Q19" i="29"/>
  <c r="M19" i="29"/>
  <c r="K19" i="29"/>
  <c r="J19" i="29"/>
  <c r="I19" i="29"/>
  <c r="H19" i="29"/>
  <c r="G19" i="29"/>
  <c r="F19" i="29"/>
  <c r="C19" i="29"/>
  <c r="AW18" i="29"/>
  <c r="AB18" i="29"/>
  <c r="AA18" i="29"/>
  <c r="AH18" i="29" s="1"/>
  <c r="Z18" i="29"/>
  <c r="AG18" i="29" s="1"/>
  <c r="X18" i="29"/>
  <c r="Q18" i="29"/>
  <c r="M18" i="29"/>
  <c r="K18" i="29"/>
  <c r="J18" i="29"/>
  <c r="F18" i="29"/>
  <c r="AW17" i="29"/>
  <c r="AB17" i="29"/>
  <c r="AA17" i="29"/>
  <c r="AH17" i="29" s="1"/>
  <c r="Z17" i="29"/>
  <c r="AG17" i="29" s="1"/>
  <c r="X17" i="29"/>
  <c r="Q17" i="29"/>
  <c r="M17" i="29"/>
  <c r="K17" i="29"/>
  <c r="J17" i="29"/>
  <c r="I17" i="29"/>
  <c r="H17" i="29"/>
  <c r="G17" i="29"/>
  <c r="F17" i="29"/>
  <c r="C17" i="29"/>
  <c r="AW16" i="29"/>
  <c r="AB16" i="29"/>
  <c r="AA16" i="29"/>
  <c r="AH16" i="29" s="1"/>
  <c r="Z16" i="29"/>
  <c r="AG16" i="29" s="1"/>
  <c r="X16" i="29"/>
  <c r="Q16" i="29"/>
  <c r="M16" i="29"/>
  <c r="K16" i="29"/>
  <c r="J16" i="29"/>
  <c r="F16" i="29"/>
  <c r="AW15" i="29"/>
  <c r="AB15" i="29"/>
  <c r="AA15" i="29"/>
  <c r="AH15" i="29" s="1"/>
  <c r="Z15" i="29"/>
  <c r="AG15" i="29" s="1"/>
  <c r="X15" i="29"/>
  <c r="Q15" i="29"/>
  <c r="M15" i="29"/>
  <c r="K15" i="29"/>
  <c r="J15" i="29"/>
  <c r="I15" i="29"/>
  <c r="H15" i="29"/>
  <c r="G15" i="29"/>
  <c r="F15" i="29"/>
  <c r="C15" i="29"/>
  <c r="AW14" i="29"/>
  <c r="AB14" i="29"/>
  <c r="AA14" i="29"/>
  <c r="AH14" i="29" s="1"/>
  <c r="Z14" i="29"/>
  <c r="AG14" i="29" s="1"/>
  <c r="X14" i="29"/>
  <c r="Q14" i="29"/>
  <c r="M14" i="29"/>
  <c r="J14" i="29"/>
  <c r="I14" i="29"/>
  <c r="H14" i="29"/>
  <c r="G14" i="29"/>
  <c r="F14" i="29"/>
  <c r="C14" i="29"/>
  <c r="AW13" i="29"/>
  <c r="AB13" i="29"/>
  <c r="AA13" i="29"/>
  <c r="AH13" i="29" s="1"/>
  <c r="Z13" i="29"/>
  <c r="AG13" i="29" s="1"/>
  <c r="X13" i="29"/>
  <c r="Q13" i="29"/>
  <c r="M13" i="29"/>
  <c r="J13" i="29"/>
  <c r="I13" i="29"/>
  <c r="H13" i="29"/>
  <c r="G13" i="29"/>
  <c r="F13" i="29"/>
  <c r="C13" i="29"/>
  <c r="AW12" i="29"/>
  <c r="AB12" i="29"/>
  <c r="AA12" i="29"/>
  <c r="AH12" i="29" s="1"/>
  <c r="Z12" i="29"/>
  <c r="AG12" i="29" s="1"/>
  <c r="X12" i="29"/>
  <c r="Q12" i="29"/>
  <c r="M12" i="29"/>
  <c r="J12" i="29"/>
  <c r="I12" i="29"/>
  <c r="H12" i="29"/>
  <c r="G12" i="29"/>
  <c r="F12" i="29"/>
  <c r="C12" i="29"/>
  <c r="AW11" i="29"/>
  <c r="AB11" i="29"/>
  <c r="AA11" i="29"/>
  <c r="AH11" i="29" s="1"/>
  <c r="Z11" i="29"/>
  <c r="AG11" i="29" s="1"/>
  <c r="X11" i="29"/>
  <c r="Q11" i="29"/>
  <c r="M11" i="29"/>
  <c r="J11" i="29"/>
  <c r="I11" i="29"/>
  <c r="H11" i="29"/>
  <c r="G11" i="29"/>
  <c r="F11" i="29"/>
  <c r="C11" i="29"/>
  <c r="AW10" i="29"/>
  <c r="AB10" i="29"/>
  <c r="AA10" i="29"/>
  <c r="AH10" i="29" s="1"/>
  <c r="Z10" i="29"/>
  <c r="AG10" i="29" s="1"/>
  <c r="X10" i="29"/>
  <c r="Q10" i="29"/>
  <c r="M10" i="29"/>
  <c r="J10" i="29"/>
  <c r="I10" i="29"/>
  <c r="H10" i="29"/>
  <c r="G10" i="29"/>
  <c r="F10" i="29"/>
  <c r="C10" i="29"/>
  <c r="B10" i="29"/>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AZ9" i="29"/>
  <c r="AW9" i="29"/>
  <c r="AB9" i="29"/>
  <c r="AA9" i="29"/>
  <c r="AH9" i="29" s="1"/>
  <c r="Z9" i="29"/>
  <c r="AG9" i="29" s="1"/>
  <c r="X9" i="29"/>
  <c r="Q9" i="29"/>
  <c r="M9" i="29"/>
  <c r="L9" i="29"/>
  <c r="K9" i="29"/>
  <c r="J9" i="29"/>
  <c r="I9" i="29"/>
  <c r="H9" i="29"/>
  <c r="G9" i="29"/>
  <c r="F9" i="29"/>
  <c r="C9" i="29"/>
  <c r="BC7" i="29"/>
  <c r="BB7" i="29"/>
  <c r="AI7" i="29"/>
  <c r="AH7" i="29"/>
  <c r="U6" i="29"/>
  <c r="T6" i="29"/>
  <c r="AO6" i="29" s="1"/>
  <c r="S6" i="29"/>
  <c r="AN6" i="29" s="1"/>
  <c r="P6" i="29"/>
  <c r="G14" i="28"/>
  <c r="M9" i="28"/>
  <c r="N9" i="28" s="1"/>
  <c r="O9" i="28" s="1"/>
  <c r="Q8" i="28"/>
  <c r="R8" i="28" s="1"/>
  <c r="H96" i="28"/>
  <c r="G96" i="28"/>
  <c r="F96" i="28"/>
  <c r="D96" i="28"/>
  <c r="B96" i="28"/>
  <c r="H95" i="28"/>
  <c r="G95" i="28"/>
  <c r="F95" i="28"/>
  <c r="D95" i="28"/>
  <c r="B95" i="28"/>
  <c r="H94" i="28"/>
  <c r="G94" i="28"/>
  <c r="F94" i="28"/>
  <c r="D94" i="28"/>
  <c r="B94" i="28"/>
  <c r="D92" i="28"/>
  <c r="D91" i="28"/>
  <c r="D90" i="28"/>
  <c r="D89" i="28"/>
  <c r="D88" i="28"/>
  <c r="H87" i="28"/>
  <c r="G87" i="28"/>
  <c r="F87" i="28"/>
  <c r="D87" i="28"/>
  <c r="B87" i="28"/>
  <c r="D85" i="28"/>
  <c r="D84" i="28"/>
  <c r="D83" i="28"/>
  <c r="D82" i="28"/>
  <c r="D81" i="28"/>
  <c r="H80" i="28"/>
  <c r="G80" i="28"/>
  <c r="F80" i="28"/>
  <c r="D80" i="28"/>
  <c r="B80" i="28"/>
  <c r="D78" i="28"/>
  <c r="D77" i="28"/>
  <c r="D76" i="28"/>
  <c r="D75" i="28"/>
  <c r="D74" i="28"/>
  <c r="H73" i="28"/>
  <c r="G73" i="28"/>
  <c r="F73" i="28"/>
  <c r="D73" i="28"/>
  <c r="B73" i="28"/>
  <c r="D71" i="28"/>
  <c r="D70" i="28"/>
  <c r="D69" i="28"/>
  <c r="D68" i="28"/>
  <c r="D67" i="28"/>
  <c r="H66" i="28"/>
  <c r="G66" i="28"/>
  <c r="F66" i="28"/>
  <c r="D66" i="28"/>
  <c r="B66" i="28"/>
  <c r="D64" i="28"/>
  <c r="D63" i="28"/>
  <c r="D62" i="28"/>
  <c r="D61" i="28"/>
  <c r="D60" i="28"/>
  <c r="H59" i="28"/>
  <c r="G59" i="28"/>
  <c r="F59" i="28"/>
  <c r="D59" i="28"/>
  <c r="B59" i="28"/>
  <c r="D57" i="28"/>
  <c r="D56" i="28"/>
  <c r="D55" i="28"/>
  <c r="D54" i="28"/>
  <c r="D53" i="28"/>
  <c r="H52" i="28"/>
  <c r="G52" i="28"/>
  <c r="F52" i="28"/>
  <c r="D52" i="28"/>
  <c r="B52" i="28"/>
  <c r="D50" i="28"/>
  <c r="D49" i="28"/>
  <c r="D48" i="28"/>
  <c r="D47" i="28"/>
  <c r="D46" i="28"/>
  <c r="H45" i="28"/>
  <c r="G45" i="28"/>
  <c r="F45" i="28"/>
  <c r="D45" i="28"/>
  <c r="B45" i="28"/>
  <c r="D43" i="28"/>
  <c r="D42" i="28"/>
  <c r="D41" i="28"/>
  <c r="D40" i="28"/>
  <c r="D39" i="28"/>
  <c r="H38" i="28"/>
  <c r="G38" i="28"/>
  <c r="F38" i="28"/>
  <c r="D38" i="28"/>
  <c r="B38" i="28"/>
  <c r="D36" i="28"/>
  <c r="H35" i="28"/>
  <c r="G35" i="28"/>
  <c r="F35" i="28"/>
  <c r="D35" i="28"/>
  <c r="B35" i="28"/>
  <c r="D33" i="28"/>
  <c r="H32" i="28"/>
  <c r="G32" i="28"/>
  <c r="F32" i="28"/>
  <c r="D32" i="28"/>
  <c r="B32" i="28"/>
  <c r="D30" i="28"/>
  <c r="H29" i="28"/>
  <c r="G29" i="28"/>
  <c r="F29" i="28"/>
  <c r="D29" i="28"/>
  <c r="B29" i="28"/>
  <c r="D27" i="28"/>
  <c r="H26" i="28"/>
  <c r="G26" i="28"/>
  <c r="F26" i="28"/>
  <c r="D26" i="28"/>
  <c r="B26" i="28"/>
  <c r="D24" i="28"/>
  <c r="H23" i="28"/>
  <c r="G23" i="28"/>
  <c r="F23" i="28"/>
  <c r="D23" i="28"/>
  <c r="B23" i="28"/>
  <c r="D21" i="28"/>
  <c r="H20" i="28"/>
  <c r="G20" i="28"/>
  <c r="F20" i="28"/>
  <c r="D20" i="28"/>
  <c r="B20" i="28"/>
  <c r="H19" i="28"/>
  <c r="G19" i="28"/>
  <c r="F19" i="28"/>
  <c r="D19" i="28"/>
  <c r="B19" i="28"/>
  <c r="H18" i="28"/>
  <c r="G18" i="28"/>
  <c r="F18" i="28"/>
  <c r="D18" i="28"/>
  <c r="B18" i="28"/>
  <c r="H17" i="28"/>
  <c r="G17" i="28"/>
  <c r="F17" i="28"/>
  <c r="D17" i="28"/>
  <c r="B17" i="28"/>
  <c r="H16" i="28"/>
  <c r="G16" i="28"/>
  <c r="F16" i="28"/>
  <c r="D16" i="28"/>
  <c r="B16" i="28"/>
  <c r="H15" i="28"/>
  <c r="G15" i="28"/>
  <c r="F15" i="28"/>
  <c r="D15" i="28"/>
  <c r="B15" i="28"/>
  <c r="H14" i="28"/>
  <c r="F14" i="28"/>
  <c r="D14" i="28"/>
  <c r="B14" i="28"/>
  <c r="Q10" i="28"/>
  <c r="R10" i="28" s="1"/>
  <c r="N10" i="28"/>
  <c r="O10" i="28" s="1"/>
  <c r="Q9" i="28"/>
  <c r="R9" i="28" s="1"/>
  <c r="K9" i="28"/>
  <c r="A9" i="28"/>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N8" i="28"/>
  <c r="O8" i="28" s="1"/>
  <c r="K8" i="28"/>
  <c r="L8" i="28" s="1"/>
  <c r="H8" i="28"/>
  <c r="F7" i="28"/>
  <c r="A3" i="28"/>
  <c r="A2" i="28"/>
  <c r="A1" i="28"/>
  <c r="N68" i="29" l="1"/>
  <c r="N23" i="29"/>
  <c r="N43" i="29"/>
  <c r="N48" i="29"/>
  <c r="N50" i="29"/>
  <c r="N44" i="29"/>
  <c r="N47" i="29"/>
  <c r="AC43" i="29"/>
  <c r="AC71" i="29"/>
  <c r="AC20" i="29"/>
  <c r="AC34" i="29"/>
  <c r="AC26" i="29"/>
  <c r="AG37" i="29"/>
  <c r="AC37" i="29"/>
  <c r="AC64" i="29"/>
  <c r="AC40" i="29"/>
  <c r="AC61" i="29"/>
  <c r="AC30" i="29"/>
  <c r="AC67" i="29"/>
  <c r="N9" i="29"/>
  <c r="AC9" i="29"/>
  <c r="AC58" i="29"/>
  <c r="AC75" i="29"/>
  <c r="AC10" i="29"/>
  <c r="N24" i="29"/>
  <c r="N40" i="29"/>
  <c r="N46" i="29"/>
  <c r="N49" i="29"/>
  <c r="AC50" i="29"/>
  <c r="AC51" i="29"/>
  <c r="N77" i="29"/>
  <c r="AC18" i="29"/>
  <c r="AC21" i="29"/>
  <c r="N67" i="29"/>
  <c r="AC74" i="29"/>
  <c r="N75" i="29"/>
  <c r="AC24" i="29"/>
  <c r="N39" i="29"/>
  <c r="N42" i="29"/>
  <c r="AC54" i="29"/>
  <c r="AC41" i="29"/>
  <c r="N66" i="29"/>
  <c r="AC47" i="29"/>
  <c r="N63" i="29"/>
  <c r="N76" i="29"/>
  <c r="AC11" i="29"/>
  <c r="AC63" i="29"/>
  <c r="AC19" i="29"/>
  <c r="AC14" i="29"/>
  <c r="AG29" i="29"/>
  <c r="AC29" i="29"/>
  <c r="AC22" i="29"/>
  <c r="AG25" i="29"/>
  <c r="AC25" i="29"/>
  <c r="AC27" i="29"/>
  <c r="AG33" i="29"/>
  <c r="AC33" i="29"/>
  <c r="AC12" i="29"/>
  <c r="AC16" i="29"/>
  <c r="AC32" i="29"/>
  <c r="N41" i="29"/>
  <c r="AC56" i="29"/>
  <c r="AC72" i="29"/>
  <c r="AC68" i="29"/>
  <c r="AG70" i="29"/>
  <c r="AC70" i="29"/>
  <c r="AC13" i="29"/>
  <c r="AC17" i="29"/>
  <c r="AC36" i="29"/>
  <c r="N45" i="29"/>
  <c r="AC52" i="29"/>
  <c r="AC60" i="29"/>
  <c r="N65" i="29"/>
  <c r="AC76" i="29"/>
  <c r="AC15" i="29"/>
  <c r="AC23" i="29"/>
  <c r="AC31" i="29"/>
  <c r="AC35" i="29"/>
  <c r="AC44" i="29"/>
  <c r="AC55" i="29"/>
  <c r="AC28" i="29"/>
  <c r="AC59" i="29"/>
  <c r="AC39" i="29"/>
  <c r="AC48" i="29"/>
  <c r="N64" i="29"/>
  <c r="AG66" i="29"/>
  <c r="AC66" i="29"/>
  <c r="AC49" i="29"/>
  <c r="AC53" i="29"/>
  <c r="AC57" i="29"/>
  <c r="AC73" i="29"/>
  <c r="AC38" i="29"/>
  <c r="AC42" i="29"/>
  <c r="AC46" i="29"/>
  <c r="AC62" i="29"/>
  <c r="AC45" i="29"/>
  <c r="AC65" i="29"/>
  <c r="AC69" i="29"/>
  <c r="F97" i="28"/>
  <c r="D97" i="28"/>
  <c r="AB76" i="17" l="1"/>
  <c r="AA76" i="17"/>
  <c r="Z76" i="17"/>
  <c r="X76" i="17"/>
  <c r="AB75" i="17"/>
  <c r="AA75" i="17"/>
  <c r="Z75" i="17"/>
  <c r="X75" i="17"/>
  <c r="AB74" i="17"/>
  <c r="AA74" i="17"/>
  <c r="Z74" i="17"/>
  <c r="X74" i="17"/>
  <c r="AB73" i="17"/>
  <c r="AA73" i="17"/>
  <c r="Z73" i="17"/>
  <c r="X73" i="17"/>
  <c r="AB72" i="17"/>
  <c r="AA72" i="17"/>
  <c r="Z72" i="17"/>
  <c r="X72" i="17"/>
  <c r="AB71" i="17"/>
  <c r="AA71" i="17"/>
  <c r="Z71" i="17"/>
  <c r="X71" i="17"/>
  <c r="AB70" i="17"/>
  <c r="AA70" i="17"/>
  <c r="Z70" i="17"/>
  <c r="X70" i="17"/>
  <c r="AB69" i="17"/>
  <c r="AA69" i="17"/>
  <c r="Z69" i="17"/>
  <c r="X69" i="17"/>
  <c r="AB68" i="17"/>
  <c r="AA68" i="17"/>
  <c r="Z68" i="17"/>
  <c r="X68" i="17"/>
  <c r="AB67" i="17"/>
  <c r="AA67" i="17"/>
  <c r="Z67" i="17"/>
  <c r="X67" i="17"/>
  <c r="AB66" i="17"/>
  <c r="AA66" i="17"/>
  <c r="Z66" i="17"/>
  <c r="X66" i="17"/>
  <c r="AB65" i="17"/>
  <c r="AA65" i="17"/>
  <c r="Z65" i="17"/>
  <c r="X65" i="17"/>
  <c r="AB64" i="17"/>
  <c r="AA64" i="17"/>
  <c r="Z64" i="17"/>
  <c r="X64" i="17"/>
  <c r="AB63" i="17"/>
  <c r="AA63" i="17"/>
  <c r="Z63" i="17"/>
  <c r="X63" i="17"/>
  <c r="AB62" i="17"/>
  <c r="AA62" i="17"/>
  <c r="Z62" i="17"/>
  <c r="X62" i="17"/>
  <c r="AB61" i="17"/>
  <c r="AA61" i="17"/>
  <c r="Z61" i="17"/>
  <c r="X61" i="17"/>
  <c r="AB60" i="17"/>
  <c r="AA60" i="17"/>
  <c r="Z60" i="17"/>
  <c r="X60" i="17"/>
  <c r="AB59" i="17"/>
  <c r="AA59" i="17"/>
  <c r="Z59" i="17"/>
  <c r="X59" i="17"/>
  <c r="AB58" i="17"/>
  <c r="AA58" i="17"/>
  <c r="Z58" i="17"/>
  <c r="X58" i="17"/>
  <c r="AB57" i="17"/>
  <c r="AA57" i="17"/>
  <c r="Z57" i="17"/>
  <c r="X57" i="17"/>
  <c r="AB56" i="17"/>
  <c r="AA56" i="17"/>
  <c r="Z56" i="17"/>
  <c r="X56" i="17"/>
  <c r="AB55" i="17"/>
  <c r="AA55" i="17"/>
  <c r="Z55" i="17"/>
  <c r="X55" i="17"/>
  <c r="AB54" i="17"/>
  <c r="AA54" i="17"/>
  <c r="Z54" i="17"/>
  <c r="X54" i="17"/>
  <c r="AB53" i="17"/>
  <c r="AA53" i="17"/>
  <c r="Z53" i="17"/>
  <c r="X53" i="17"/>
  <c r="AB52" i="17"/>
  <c r="AA52" i="17"/>
  <c r="Z52" i="17"/>
  <c r="X52" i="17"/>
  <c r="AB51" i="17"/>
  <c r="AA51" i="17"/>
  <c r="Z51" i="17"/>
  <c r="X51" i="17"/>
  <c r="AB50" i="17"/>
  <c r="AA50" i="17"/>
  <c r="Z50" i="17"/>
  <c r="X50" i="17"/>
  <c r="AB49" i="17"/>
  <c r="AA49" i="17"/>
  <c r="Z49" i="17"/>
  <c r="X49" i="17"/>
  <c r="AB48" i="17"/>
  <c r="AA48" i="17"/>
  <c r="Z48" i="17"/>
  <c r="X48" i="17"/>
  <c r="AB47" i="17"/>
  <c r="AA47" i="17"/>
  <c r="Z47" i="17"/>
  <c r="X47" i="17"/>
  <c r="AB46" i="17"/>
  <c r="AA46" i="17"/>
  <c r="Z46" i="17"/>
  <c r="X46" i="17"/>
  <c r="AB45" i="17"/>
  <c r="AA45" i="17"/>
  <c r="Z45" i="17"/>
  <c r="X45" i="17"/>
  <c r="AB44" i="17"/>
  <c r="AA44" i="17"/>
  <c r="Z44" i="17"/>
  <c r="X44" i="17"/>
  <c r="AB43" i="17"/>
  <c r="AA43" i="17"/>
  <c r="Z43" i="17"/>
  <c r="X43" i="17"/>
  <c r="AB42" i="17"/>
  <c r="AA42" i="17"/>
  <c r="Z42" i="17"/>
  <c r="X42" i="17"/>
  <c r="AB41" i="17"/>
  <c r="AA41" i="17"/>
  <c r="Z41" i="17"/>
  <c r="X41" i="17"/>
  <c r="AB40" i="17"/>
  <c r="AA40" i="17"/>
  <c r="Z40" i="17"/>
  <c r="X40" i="17"/>
  <c r="AB39" i="17"/>
  <c r="AA39" i="17"/>
  <c r="Z39" i="17"/>
  <c r="X39" i="17"/>
  <c r="AB38" i="17"/>
  <c r="AA38" i="17"/>
  <c r="Z38" i="17"/>
  <c r="X38" i="17"/>
  <c r="AB37" i="17"/>
  <c r="AA37" i="17"/>
  <c r="Z37" i="17"/>
  <c r="X37" i="17"/>
  <c r="AB36" i="17"/>
  <c r="AA36" i="17"/>
  <c r="Z36" i="17"/>
  <c r="X36" i="17"/>
  <c r="AB35" i="17"/>
  <c r="AA35" i="17"/>
  <c r="Z35" i="17"/>
  <c r="X35" i="17"/>
  <c r="AB34" i="17"/>
  <c r="AA34" i="17"/>
  <c r="Z34" i="17"/>
  <c r="X34" i="17"/>
  <c r="AB33" i="17"/>
  <c r="AA33" i="17"/>
  <c r="Z33" i="17"/>
  <c r="X33" i="17"/>
  <c r="AB32" i="17"/>
  <c r="AA32" i="17"/>
  <c r="Z32" i="17"/>
  <c r="X32" i="17"/>
  <c r="AB31" i="17"/>
  <c r="AA31" i="17"/>
  <c r="Z31" i="17"/>
  <c r="X31" i="17"/>
  <c r="AB30" i="17"/>
  <c r="AA30" i="17"/>
  <c r="Z30" i="17"/>
  <c r="X30" i="17"/>
  <c r="AB29" i="17"/>
  <c r="AA29" i="17"/>
  <c r="Z29" i="17"/>
  <c r="X29" i="17"/>
  <c r="AB28" i="17"/>
  <c r="AA28" i="17"/>
  <c r="Z28" i="17"/>
  <c r="X28" i="17"/>
  <c r="AB27" i="17"/>
  <c r="AA27" i="17"/>
  <c r="Z27" i="17"/>
  <c r="X27" i="17"/>
  <c r="AB26" i="17"/>
  <c r="AA26" i="17"/>
  <c r="Z26" i="17"/>
  <c r="X26" i="17"/>
  <c r="AB25" i="17"/>
  <c r="AA25" i="17"/>
  <c r="Z25" i="17"/>
  <c r="X25" i="17"/>
  <c r="AB24" i="17"/>
  <c r="AA24" i="17"/>
  <c r="Z24" i="17"/>
  <c r="X24" i="17"/>
  <c r="AB23" i="17"/>
  <c r="AA23" i="17"/>
  <c r="Z23" i="17"/>
  <c r="X23" i="17"/>
  <c r="AB22" i="17"/>
  <c r="AA22" i="17"/>
  <c r="Z22" i="17"/>
  <c r="X22" i="17"/>
  <c r="AB21" i="17"/>
  <c r="AA21" i="17"/>
  <c r="Z21" i="17"/>
  <c r="X21" i="17"/>
  <c r="AB20" i="17"/>
  <c r="AA20" i="17"/>
  <c r="Z20" i="17"/>
  <c r="X20" i="17"/>
  <c r="AA19" i="17"/>
  <c r="Z19" i="17"/>
  <c r="AB18" i="17"/>
  <c r="AA18" i="17"/>
  <c r="Z18" i="17"/>
  <c r="X18" i="17"/>
  <c r="AB17" i="17"/>
  <c r="AA17" i="17"/>
  <c r="Z17" i="17"/>
  <c r="X17" i="17"/>
  <c r="AB16" i="17"/>
  <c r="AA16" i="17"/>
  <c r="Z16" i="17"/>
  <c r="X16" i="17"/>
  <c r="AB15" i="17"/>
  <c r="AA15" i="17"/>
  <c r="Z15" i="17"/>
  <c r="X15" i="17"/>
  <c r="AB14" i="17"/>
  <c r="AA14" i="17"/>
  <c r="Z14" i="17"/>
  <c r="X14" i="17"/>
  <c r="AB13" i="17"/>
  <c r="AA13" i="17"/>
  <c r="Z13" i="17"/>
  <c r="X13" i="17"/>
  <c r="AB12" i="17"/>
  <c r="AA12" i="17"/>
  <c r="Z12" i="17"/>
  <c r="X12" i="17"/>
  <c r="AB11" i="17"/>
  <c r="AA11" i="17"/>
  <c r="Z11" i="17"/>
  <c r="X11" i="17"/>
  <c r="AB10" i="17"/>
  <c r="AA10" i="17"/>
  <c r="Z10" i="17"/>
  <c r="X10" i="17"/>
  <c r="AB9" i="17"/>
  <c r="AA9" i="17"/>
  <c r="Z9" i="17"/>
  <c r="X9" i="17"/>
  <c r="K81" i="11"/>
  <c r="Z80" i="10" s="1"/>
  <c r="J81" i="11"/>
  <c r="Y80" i="10" s="1"/>
  <c r="I81" i="11"/>
  <c r="X80" i="10" s="1"/>
  <c r="K80" i="11"/>
  <c r="Z79" i="10" s="1"/>
  <c r="J80" i="11"/>
  <c r="Y79" i="10" s="1"/>
  <c r="I80" i="11"/>
  <c r="X79" i="10" s="1"/>
  <c r="K79" i="11"/>
  <c r="Z78" i="10" s="1"/>
  <c r="J79" i="11"/>
  <c r="Y78" i="10" s="1"/>
  <c r="I79" i="11"/>
  <c r="X78" i="10" s="1"/>
  <c r="K78" i="11"/>
  <c r="Z77" i="10" s="1"/>
  <c r="J78" i="11"/>
  <c r="Y77" i="10" s="1"/>
  <c r="I78" i="11"/>
  <c r="X77" i="10" s="1"/>
  <c r="K77" i="11"/>
  <c r="Z76" i="10" s="1"/>
  <c r="J77" i="11"/>
  <c r="Y76" i="10" s="1"/>
  <c r="I77" i="11"/>
  <c r="X76" i="10" s="1"/>
  <c r="K76" i="11"/>
  <c r="Z75" i="10" s="1"/>
  <c r="J76" i="11"/>
  <c r="Y75" i="10" s="1"/>
  <c r="I76" i="11"/>
  <c r="X75" i="10" s="1"/>
  <c r="K75" i="11"/>
  <c r="Z74" i="10" s="1"/>
  <c r="J75" i="11"/>
  <c r="Y74" i="10" s="1"/>
  <c r="I75" i="11"/>
  <c r="X74" i="10" s="1"/>
  <c r="K74" i="11"/>
  <c r="Z73" i="10" s="1"/>
  <c r="J74" i="11"/>
  <c r="Y73" i="10" s="1"/>
  <c r="I74" i="11"/>
  <c r="X73" i="10" s="1"/>
  <c r="K73" i="11"/>
  <c r="Z72" i="10" s="1"/>
  <c r="J73" i="11"/>
  <c r="Y72" i="10" s="1"/>
  <c r="I73" i="11"/>
  <c r="X72" i="10" s="1"/>
  <c r="K72" i="11"/>
  <c r="Z71" i="10" s="1"/>
  <c r="J72" i="11"/>
  <c r="Y71" i="10" s="1"/>
  <c r="I72" i="11"/>
  <c r="X71" i="10" s="1"/>
  <c r="K71" i="11"/>
  <c r="Z70" i="10" s="1"/>
  <c r="J71" i="11"/>
  <c r="Y70" i="10" s="1"/>
  <c r="I71" i="11"/>
  <c r="X70" i="10" s="1"/>
  <c r="K70" i="11"/>
  <c r="Z69" i="10" s="1"/>
  <c r="J70" i="11"/>
  <c r="Y69" i="10" s="1"/>
  <c r="I70" i="11"/>
  <c r="X69" i="10" s="1"/>
  <c r="K69" i="11"/>
  <c r="Z68" i="10" s="1"/>
  <c r="J69" i="11"/>
  <c r="Y68" i="10" s="1"/>
  <c r="I69" i="11"/>
  <c r="X68" i="10" s="1"/>
  <c r="K68" i="11"/>
  <c r="Z67" i="10" s="1"/>
  <c r="J68" i="11"/>
  <c r="Y67" i="10" s="1"/>
  <c r="I68" i="11"/>
  <c r="X67" i="10" s="1"/>
  <c r="K67" i="11"/>
  <c r="Z66" i="10" s="1"/>
  <c r="J67" i="11"/>
  <c r="Y66" i="10" s="1"/>
  <c r="I67" i="11"/>
  <c r="X66" i="10" s="1"/>
  <c r="K66" i="11"/>
  <c r="Z65" i="10" s="1"/>
  <c r="J66" i="11"/>
  <c r="Y65" i="10" s="1"/>
  <c r="I66" i="11"/>
  <c r="X65" i="10" s="1"/>
  <c r="K65" i="11"/>
  <c r="Z64" i="10" s="1"/>
  <c r="J65" i="11"/>
  <c r="Y64" i="10" s="1"/>
  <c r="I65" i="11"/>
  <c r="X64" i="10" s="1"/>
  <c r="K64" i="11"/>
  <c r="Z63" i="10" s="1"/>
  <c r="J64" i="11"/>
  <c r="Y63" i="10" s="1"/>
  <c r="I64" i="11"/>
  <c r="X63" i="10" s="1"/>
  <c r="K63" i="11"/>
  <c r="Z62" i="10" s="1"/>
  <c r="J63" i="11"/>
  <c r="Y62" i="10" s="1"/>
  <c r="I63" i="11"/>
  <c r="X62" i="10" s="1"/>
  <c r="K62" i="11"/>
  <c r="Z61" i="10" s="1"/>
  <c r="J62" i="11"/>
  <c r="Y61" i="10" s="1"/>
  <c r="I62" i="11"/>
  <c r="X61" i="10" s="1"/>
  <c r="K61" i="11"/>
  <c r="Z60" i="10" s="1"/>
  <c r="J61" i="11"/>
  <c r="Y60" i="10" s="1"/>
  <c r="I61" i="11"/>
  <c r="X60" i="10" s="1"/>
  <c r="K60" i="11"/>
  <c r="Z59" i="10" s="1"/>
  <c r="J60" i="11"/>
  <c r="Y59" i="10" s="1"/>
  <c r="I60" i="11"/>
  <c r="X59" i="10" s="1"/>
  <c r="K59" i="11"/>
  <c r="Z58" i="10" s="1"/>
  <c r="J59" i="11"/>
  <c r="Y58" i="10" s="1"/>
  <c r="I59" i="11"/>
  <c r="X58" i="10" s="1"/>
  <c r="K58" i="11"/>
  <c r="Z57" i="10" s="1"/>
  <c r="J58" i="11"/>
  <c r="Y57" i="10" s="1"/>
  <c r="I58" i="11"/>
  <c r="X57" i="10" s="1"/>
  <c r="K57" i="11"/>
  <c r="Z56" i="10" s="1"/>
  <c r="J57" i="11"/>
  <c r="Y56" i="10" s="1"/>
  <c r="I57" i="11"/>
  <c r="X56" i="10" s="1"/>
  <c r="K56" i="11"/>
  <c r="Z55" i="10" s="1"/>
  <c r="J56" i="11"/>
  <c r="Y55" i="10" s="1"/>
  <c r="I56" i="11"/>
  <c r="X55" i="10" s="1"/>
  <c r="K55" i="11"/>
  <c r="Z54" i="10" s="1"/>
  <c r="J55" i="11"/>
  <c r="Y54" i="10" s="1"/>
  <c r="I55" i="11"/>
  <c r="X54" i="10" s="1"/>
  <c r="K54" i="11"/>
  <c r="Z53" i="10" s="1"/>
  <c r="J54" i="11"/>
  <c r="Y53" i="10" s="1"/>
  <c r="I54" i="11"/>
  <c r="X53" i="10" s="1"/>
  <c r="K53" i="11"/>
  <c r="Z52" i="10" s="1"/>
  <c r="J53" i="11"/>
  <c r="Y52" i="10" s="1"/>
  <c r="I53" i="11"/>
  <c r="X52" i="10" s="1"/>
  <c r="K52" i="11"/>
  <c r="Z51" i="10" s="1"/>
  <c r="J52" i="11"/>
  <c r="Y51" i="10" s="1"/>
  <c r="I52" i="11"/>
  <c r="X51" i="10" s="1"/>
  <c r="K51" i="11"/>
  <c r="Z50" i="10" s="1"/>
  <c r="J51" i="11"/>
  <c r="Y50" i="10" s="1"/>
  <c r="I51" i="11"/>
  <c r="X50" i="10" s="1"/>
  <c r="K50" i="11"/>
  <c r="Z49" i="10" s="1"/>
  <c r="J50" i="11"/>
  <c r="Y49" i="10" s="1"/>
  <c r="I50" i="11"/>
  <c r="X49" i="10" s="1"/>
  <c r="K49" i="11"/>
  <c r="Z48" i="10" s="1"/>
  <c r="J49" i="11"/>
  <c r="Y48" i="10" s="1"/>
  <c r="I49" i="11"/>
  <c r="X48" i="10" s="1"/>
  <c r="K48" i="11"/>
  <c r="Z47" i="10" s="1"/>
  <c r="J48" i="11"/>
  <c r="Y47" i="10" s="1"/>
  <c r="I48" i="11"/>
  <c r="X47" i="10" s="1"/>
  <c r="K47" i="11"/>
  <c r="Z46" i="10" s="1"/>
  <c r="J47" i="11"/>
  <c r="Y46" i="10" s="1"/>
  <c r="I47" i="11"/>
  <c r="X46" i="10" s="1"/>
  <c r="K46" i="11"/>
  <c r="Z45" i="10" s="1"/>
  <c r="J46" i="11"/>
  <c r="Y45" i="10" s="1"/>
  <c r="I46" i="11"/>
  <c r="X45" i="10" s="1"/>
  <c r="K45" i="11"/>
  <c r="Z44" i="10" s="1"/>
  <c r="J45" i="11"/>
  <c r="Y44" i="10" s="1"/>
  <c r="I45" i="11"/>
  <c r="X44" i="10" s="1"/>
  <c r="K44" i="11"/>
  <c r="Z43" i="10" s="1"/>
  <c r="J44" i="11"/>
  <c r="Y43" i="10" s="1"/>
  <c r="I44" i="11"/>
  <c r="X43" i="10" s="1"/>
  <c r="K43" i="11"/>
  <c r="Z42" i="10" s="1"/>
  <c r="J43" i="11"/>
  <c r="Y42" i="10" s="1"/>
  <c r="I43" i="11"/>
  <c r="X42" i="10" s="1"/>
  <c r="K42" i="11"/>
  <c r="Z41" i="10" s="1"/>
  <c r="J42" i="11"/>
  <c r="Y41" i="10" s="1"/>
  <c r="I42" i="11"/>
  <c r="X41" i="10" s="1"/>
  <c r="K41" i="11"/>
  <c r="Z40" i="10" s="1"/>
  <c r="J41" i="11"/>
  <c r="Y40" i="10" s="1"/>
  <c r="I41" i="11"/>
  <c r="X40" i="10" s="1"/>
  <c r="K40" i="11"/>
  <c r="Z39" i="10" s="1"/>
  <c r="J40" i="11"/>
  <c r="Y39" i="10" s="1"/>
  <c r="I40" i="11"/>
  <c r="X39" i="10" s="1"/>
  <c r="K39" i="11"/>
  <c r="Z38" i="10" s="1"/>
  <c r="J39" i="11"/>
  <c r="Y38" i="10" s="1"/>
  <c r="I39" i="11"/>
  <c r="X38" i="10" s="1"/>
  <c r="K38" i="11"/>
  <c r="Z37" i="10" s="1"/>
  <c r="J38" i="11"/>
  <c r="Y37" i="10" s="1"/>
  <c r="I38" i="11"/>
  <c r="X37" i="10" s="1"/>
  <c r="K37" i="11"/>
  <c r="Z36" i="10" s="1"/>
  <c r="J37" i="11"/>
  <c r="Y36" i="10" s="1"/>
  <c r="I37" i="11"/>
  <c r="X36" i="10" s="1"/>
  <c r="K36" i="11"/>
  <c r="Z35" i="10" s="1"/>
  <c r="J36" i="11"/>
  <c r="Y35" i="10" s="1"/>
  <c r="I36" i="11"/>
  <c r="X35" i="10" s="1"/>
  <c r="K35" i="11"/>
  <c r="Z34" i="10" s="1"/>
  <c r="J35" i="11"/>
  <c r="Y34" i="10" s="1"/>
  <c r="I35" i="11"/>
  <c r="X34" i="10" s="1"/>
  <c r="K34" i="11"/>
  <c r="Z33" i="10" s="1"/>
  <c r="J34" i="11"/>
  <c r="Y33" i="10" s="1"/>
  <c r="I34" i="11"/>
  <c r="X33" i="10" s="1"/>
  <c r="K33" i="11"/>
  <c r="Z32" i="10" s="1"/>
  <c r="J33" i="11"/>
  <c r="Y32" i="10" s="1"/>
  <c r="I33" i="11"/>
  <c r="X32" i="10" s="1"/>
  <c r="K32" i="11"/>
  <c r="Z31" i="10" s="1"/>
  <c r="J32" i="11"/>
  <c r="Y31" i="10" s="1"/>
  <c r="I32" i="11"/>
  <c r="X31" i="10" s="1"/>
  <c r="K31" i="11"/>
  <c r="Z30" i="10" s="1"/>
  <c r="J31" i="11"/>
  <c r="Y30" i="10" s="1"/>
  <c r="I31" i="11"/>
  <c r="X30" i="10" s="1"/>
  <c r="K30" i="11"/>
  <c r="Z29" i="10" s="1"/>
  <c r="J30" i="11"/>
  <c r="Y29" i="10" s="1"/>
  <c r="I30" i="11"/>
  <c r="X29" i="10" s="1"/>
  <c r="K29" i="11"/>
  <c r="Z28" i="10" s="1"/>
  <c r="J29" i="11"/>
  <c r="Y28" i="10" s="1"/>
  <c r="I29" i="11"/>
  <c r="X28" i="10" s="1"/>
  <c r="K28" i="11"/>
  <c r="Z27" i="10" s="1"/>
  <c r="J28" i="11"/>
  <c r="Y27" i="10" s="1"/>
  <c r="I28" i="11"/>
  <c r="X27" i="10" s="1"/>
  <c r="K27" i="11"/>
  <c r="Z26" i="10" s="1"/>
  <c r="J27" i="11"/>
  <c r="Y26" i="10" s="1"/>
  <c r="K26" i="11"/>
  <c r="Z25" i="10" s="1"/>
  <c r="J26" i="11"/>
  <c r="Y25" i="10" s="1"/>
  <c r="K25" i="11"/>
  <c r="Z24" i="10" s="1"/>
  <c r="J25" i="11"/>
  <c r="Y24" i="10" s="1"/>
  <c r="J24" i="11"/>
  <c r="Y23" i="10" s="1"/>
  <c r="K23" i="11"/>
  <c r="Z22" i="10" s="1"/>
  <c r="J23" i="11"/>
  <c r="Y22" i="10" s="1"/>
  <c r="I23" i="11"/>
  <c r="X22" i="10" s="1"/>
  <c r="K22" i="11"/>
  <c r="Z21" i="10" s="1"/>
  <c r="J22" i="11"/>
  <c r="Y21" i="10" s="1"/>
  <c r="I22" i="11"/>
  <c r="X21" i="10" s="1"/>
  <c r="K21" i="11"/>
  <c r="Z20" i="10" s="1"/>
  <c r="J21" i="11"/>
  <c r="Y20" i="10" s="1"/>
  <c r="I21" i="11"/>
  <c r="X20" i="10" s="1"/>
  <c r="K20" i="11"/>
  <c r="Z19" i="10" s="1"/>
  <c r="J20" i="11"/>
  <c r="Y19" i="10" s="1"/>
  <c r="I20" i="11"/>
  <c r="X19" i="10" s="1"/>
  <c r="K19" i="11"/>
  <c r="Z18" i="10" s="1"/>
  <c r="J19" i="11"/>
  <c r="Y18" i="10" s="1"/>
  <c r="I19" i="11"/>
  <c r="X18" i="10" s="1"/>
  <c r="K18" i="11"/>
  <c r="Z17" i="10" s="1"/>
  <c r="J18" i="11"/>
  <c r="Y17" i="10" s="1"/>
  <c r="I18" i="11"/>
  <c r="X17" i="10" s="1"/>
  <c r="K17" i="11"/>
  <c r="Z16" i="10" s="1"/>
  <c r="J17" i="11"/>
  <c r="Y16" i="10" s="1"/>
  <c r="I17" i="11"/>
  <c r="X16" i="10" s="1"/>
  <c r="K16" i="11"/>
  <c r="Z15" i="10" s="1"/>
  <c r="J16" i="11"/>
  <c r="Y15" i="10" s="1"/>
  <c r="I16" i="11"/>
  <c r="X15" i="10" s="1"/>
  <c r="K15" i="11"/>
  <c r="Z14" i="10" s="1"/>
  <c r="J15" i="11"/>
  <c r="Y14" i="10" s="1"/>
  <c r="I15" i="11"/>
  <c r="X14" i="10" s="1"/>
  <c r="K14" i="11"/>
  <c r="Z13" i="10" s="1"/>
  <c r="J14" i="11"/>
  <c r="Y13" i="10" s="1"/>
  <c r="I14" i="11"/>
  <c r="X13" i="10" s="1"/>
  <c r="G95" i="9"/>
  <c r="G94" i="9"/>
  <c r="G92" i="9"/>
  <c r="G91" i="9"/>
  <c r="G90" i="9"/>
  <c r="G89" i="9"/>
  <c r="G88" i="9"/>
  <c r="G87" i="9"/>
  <c r="G85" i="9"/>
  <c r="G84" i="9"/>
  <c r="G83" i="9"/>
  <c r="G82" i="9"/>
  <c r="G81" i="9"/>
  <c r="G80" i="9"/>
  <c r="G78" i="9"/>
  <c r="G77" i="9"/>
  <c r="G76" i="9"/>
  <c r="G75" i="9"/>
  <c r="G74" i="9"/>
  <c r="G73" i="9"/>
  <c r="G71" i="9"/>
  <c r="G70" i="9"/>
  <c r="G69" i="9"/>
  <c r="G68" i="9"/>
  <c r="G67" i="9"/>
  <c r="G66" i="9"/>
  <c r="G64" i="9"/>
  <c r="G63" i="9"/>
  <c r="G62" i="9"/>
  <c r="G61" i="9"/>
  <c r="G60" i="9"/>
  <c r="G59" i="9"/>
  <c r="G57" i="9"/>
  <c r="G56" i="9"/>
  <c r="G55" i="9"/>
  <c r="G54" i="9"/>
  <c r="G53" i="9"/>
  <c r="G52" i="9"/>
  <c r="G50" i="9"/>
  <c r="G49" i="9"/>
  <c r="G48" i="9"/>
  <c r="G47" i="9"/>
  <c r="G46" i="9"/>
  <c r="G45" i="9"/>
  <c r="G43" i="9"/>
  <c r="G42" i="9"/>
  <c r="G41" i="9"/>
  <c r="G40" i="9"/>
  <c r="G39" i="9"/>
  <c r="G38" i="9"/>
  <c r="G36" i="9"/>
  <c r="G35" i="9"/>
  <c r="G33" i="9"/>
  <c r="G32" i="9"/>
  <c r="G30" i="9"/>
  <c r="G29" i="9"/>
  <c r="G27" i="9"/>
  <c r="G26" i="9"/>
  <c r="G24" i="9"/>
  <c r="G23" i="9"/>
  <c r="G21" i="9"/>
  <c r="G20" i="9"/>
  <c r="G19" i="9"/>
  <c r="G18" i="9"/>
  <c r="G17" i="9"/>
  <c r="G16" i="9"/>
  <c r="G15" i="9"/>
  <c r="G14" i="9"/>
  <c r="S96" i="9"/>
  <c r="S95" i="9"/>
  <c r="S94" i="9"/>
  <c r="S92" i="9"/>
  <c r="S91" i="9"/>
  <c r="S90" i="9"/>
  <c r="S89" i="9"/>
  <c r="S88" i="9"/>
  <c r="S87" i="9"/>
  <c r="S36" i="9"/>
  <c r="S35" i="9"/>
  <c r="AR43" i="9" l="1"/>
  <c r="AR50" i="9"/>
  <c r="AR27" i="9"/>
  <c r="AR17" i="9"/>
  <c r="AR16" i="9"/>
  <c r="AR26" i="9"/>
  <c r="AR29" i="9"/>
  <c r="AR42" i="9"/>
  <c r="AR55" i="9"/>
  <c r="AR47" i="9"/>
  <c r="AR18" i="9"/>
  <c r="AR23" i="9"/>
  <c r="AR48" i="9"/>
  <c r="AR56" i="9"/>
  <c r="AR77" i="9"/>
  <c r="AR24" i="9"/>
  <c r="AR20" i="9"/>
  <c r="AR46" i="9"/>
  <c r="AR21" i="9"/>
  <c r="AR19" i="9"/>
  <c r="AR38" i="9"/>
  <c r="AR78" i="9"/>
  <c r="AR22" i="9" l="1"/>
  <c r="AR81" i="9"/>
  <c r="AR88" i="9"/>
  <c r="AR76" i="9"/>
  <c r="AR45" i="9"/>
  <c r="AR30" i="9"/>
  <c r="AR52" i="9"/>
  <c r="AR67" i="9"/>
  <c r="AR74" i="9"/>
  <c r="AR75" i="9"/>
  <c r="AR82" i="9"/>
  <c r="AR89" i="9"/>
  <c r="AR63" i="9"/>
  <c r="AR54" i="9"/>
  <c r="AR62" i="9"/>
  <c r="AR36" i="9"/>
  <c r="AR33" i="9"/>
  <c r="AR35" i="9"/>
  <c r="AR32" i="9"/>
  <c r="AR66" i="9"/>
  <c r="AR73" i="9"/>
  <c r="AR64" i="9"/>
  <c r="AR40" i="9"/>
  <c r="AR15" i="9"/>
  <c r="AR49" i="9"/>
  <c r="AR57" i="9"/>
  <c r="AR41" i="9"/>
  <c r="AR61" i="9"/>
  <c r="AR60" i="9"/>
  <c r="AR59" i="9"/>
  <c r="AR71" i="9"/>
  <c r="AR70" i="9"/>
  <c r="AR69" i="9"/>
  <c r="AR85" i="9" l="1"/>
  <c r="AR92" i="9"/>
  <c r="AR80" i="9"/>
  <c r="AR87" i="9"/>
  <c r="AR84" i="9"/>
  <c r="AR91" i="9"/>
  <c r="AR39" i="9"/>
  <c r="AR14" i="9"/>
  <c r="AR83" i="9"/>
  <c r="AR90" i="9"/>
  <c r="AR68" i="9"/>
  <c r="AR53" i="9"/>
  <c r="T14" i="9" l="1"/>
  <c r="AH77" i="17" l="1"/>
  <c r="AG77" i="17"/>
  <c r="J7" i="11" l="1"/>
  <c r="K7" i="11" s="1"/>
  <c r="L7" i="11" s="1"/>
  <c r="J13" i="10"/>
  <c r="AH75" i="17" l="1"/>
  <c r="AH76" i="17"/>
  <c r="AG76" i="17"/>
  <c r="AG75" i="17"/>
  <c r="AH74" i="17"/>
  <c r="AG74" i="17"/>
  <c r="AH73" i="17"/>
  <c r="AG73" i="17"/>
  <c r="AH72" i="17"/>
  <c r="AG72" i="17"/>
  <c r="AH71" i="17"/>
  <c r="AG71" i="17"/>
  <c r="AH70" i="17"/>
  <c r="AG70" i="17"/>
  <c r="AH69" i="17"/>
  <c r="AG69" i="17"/>
  <c r="AH68" i="17"/>
  <c r="AG68" i="17"/>
  <c r="AH67" i="17"/>
  <c r="AG67" i="17"/>
  <c r="AH66" i="17"/>
  <c r="AG66" i="17"/>
  <c r="AH65" i="17"/>
  <c r="AG65" i="17"/>
  <c r="AH64" i="17"/>
  <c r="AG64" i="17"/>
  <c r="AH63" i="17"/>
  <c r="AG63" i="17"/>
  <c r="AH62" i="17"/>
  <c r="AG62" i="17"/>
  <c r="AH61" i="17"/>
  <c r="AG61" i="17"/>
  <c r="AH60" i="17"/>
  <c r="AG60" i="17"/>
  <c r="AH59" i="17"/>
  <c r="AG59" i="17"/>
  <c r="AH58" i="17"/>
  <c r="AG58" i="17"/>
  <c r="AH57" i="17"/>
  <c r="AG57" i="17"/>
  <c r="AH56" i="17"/>
  <c r="AG56" i="17"/>
  <c r="AH55" i="17"/>
  <c r="AG55" i="17"/>
  <c r="AH54" i="17"/>
  <c r="AG54" i="17"/>
  <c r="AH53" i="17"/>
  <c r="AG53" i="17"/>
  <c r="AH52" i="17"/>
  <c r="AG52" i="17"/>
  <c r="AH51" i="17"/>
  <c r="AG51" i="17"/>
  <c r="AH50" i="17"/>
  <c r="AG50" i="17"/>
  <c r="AH49" i="17"/>
  <c r="AG49" i="17"/>
  <c r="AH48" i="17"/>
  <c r="AG48" i="17"/>
  <c r="AH47" i="17"/>
  <c r="AG47" i="17"/>
  <c r="AH46" i="17"/>
  <c r="AG46" i="17"/>
  <c r="AH45" i="17"/>
  <c r="AG45" i="17"/>
  <c r="AH44" i="17"/>
  <c r="AG44" i="17"/>
  <c r="AH43" i="17"/>
  <c r="AG43" i="17"/>
  <c r="AH42" i="17"/>
  <c r="AG42" i="17"/>
  <c r="AH41" i="17"/>
  <c r="AG41" i="17"/>
  <c r="AH40" i="17"/>
  <c r="AG40" i="17"/>
  <c r="AH39" i="17"/>
  <c r="AG39" i="17"/>
  <c r="AH38" i="17"/>
  <c r="AG38" i="17"/>
  <c r="AH37" i="17"/>
  <c r="AG37" i="17"/>
  <c r="AH36" i="17"/>
  <c r="AG36" i="17"/>
  <c r="AH35" i="17"/>
  <c r="AG35" i="17"/>
  <c r="AH34" i="17"/>
  <c r="AG34" i="17"/>
  <c r="AH33" i="17"/>
  <c r="AG33" i="17"/>
  <c r="AH32" i="17"/>
  <c r="AG32" i="17"/>
  <c r="AH31" i="17"/>
  <c r="AG31" i="17"/>
  <c r="AH30" i="17"/>
  <c r="AG30" i="17"/>
  <c r="AH29" i="17"/>
  <c r="AG29" i="17"/>
  <c r="AH28" i="17"/>
  <c r="AG28" i="17"/>
  <c r="AH27" i="17"/>
  <c r="AG27" i="17"/>
  <c r="AH21" i="17"/>
  <c r="AH22" i="17"/>
  <c r="AG22" i="17"/>
  <c r="AG21" i="17"/>
  <c r="AH23" i="17"/>
  <c r="AH24" i="17"/>
  <c r="AG24" i="17"/>
  <c r="AG23" i="17"/>
  <c r="AH25" i="17"/>
  <c r="AH26" i="17"/>
  <c r="AG26" i="17"/>
  <c r="AG25" i="17"/>
  <c r="AH19" i="17"/>
  <c r="AH20" i="17"/>
  <c r="AG20" i="17"/>
  <c r="AG19" i="17"/>
  <c r="AH18" i="17"/>
  <c r="AG18" i="17"/>
  <c r="AH17" i="17"/>
  <c r="AG17" i="17"/>
  <c r="AG15" i="17"/>
  <c r="AH15" i="17"/>
  <c r="AG16" i="17"/>
  <c r="AH16" i="17"/>
  <c r="AG14" i="17"/>
  <c r="AH14" i="17"/>
  <c r="AG10" i="17"/>
  <c r="AH10" i="17"/>
  <c r="AG11" i="17"/>
  <c r="AH11" i="17"/>
  <c r="AG12" i="17"/>
  <c r="AH12" i="17"/>
  <c r="AG13" i="17"/>
  <c r="AH13" i="17"/>
  <c r="AH9" i="17"/>
  <c r="AG9" i="17"/>
  <c r="AC75" i="17" l="1"/>
  <c r="AG10" i="12" l="1"/>
  <c r="AH10" i="12" s="1"/>
  <c r="U6" i="17"/>
  <c r="BD11" i="7"/>
  <c r="AG93" i="7"/>
  <c r="AF93" i="7"/>
  <c r="AG86" i="7"/>
  <c r="AF86" i="7"/>
  <c r="AG79" i="7"/>
  <c r="AF79" i="7"/>
  <c r="AG72" i="7"/>
  <c r="AF72" i="7"/>
  <c r="AG65" i="7"/>
  <c r="AF65" i="7"/>
  <c r="AG58" i="7"/>
  <c r="AF58" i="7"/>
  <c r="AG51" i="7"/>
  <c r="AF51" i="7"/>
  <c r="AG44" i="7"/>
  <c r="AF44" i="7"/>
  <c r="AG37" i="7"/>
  <c r="AF37" i="7"/>
  <c r="AG34" i="7"/>
  <c r="AF34" i="7"/>
  <c r="AG31" i="7"/>
  <c r="AF31" i="7"/>
  <c r="AG28" i="7"/>
  <c r="AF28" i="7"/>
  <c r="AG25" i="7"/>
  <c r="AF25" i="7"/>
  <c r="AG22" i="7"/>
  <c r="AF22" i="7"/>
  <c r="Y10" i="4"/>
  <c r="U4" i="10" s="1"/>
  <c r="Z9" i="4"/>
  <c r="U5" i="17" l="1"/>
  <c r="U5" i="29"/>
  <c r="BC11" i="7"/>
  <c r="AZ7" i="9"/>
  <c r="AG3" i="7"/>
  <c r="AF3" i="7"/>
  <c r="AO93" i="7" l="1"/>
  <c r="AN93" i="7"/>
  <c r="AK93" i="7"/>
  <c r="AJ93" i="7"/>
  <c r="AO86" i="7"/>
  <c r="AN86" i="7"/>
  <c r="AK86" i="7"/>
  <c r="AJ86" i="7"/>
  <c r="AO79" i="7"/>
  <c r="AN79" i="7"/>
  <c r="AK79" i="7"/>
  <c r="AJ79" i="7"/>
  <c r="AO72" i="7"/>
  <c r="AN72" i="7"/>
  <c r="AK72" i="7"/>
  <c r="AJ72" i="7"/>
  <c r="AO65" i="7"/>
  <c r="AN65" i="7"/>
  <c r="AK65" i="7"/>
  <c r="AJ65" i="7"/>
  <c r="AO58" i="7"/>
  <c r="AN58" i="7"/>
  <c r="AK58" i="7"/>
  <c r="AJ58" i="7"/>
  <c r="AO51" i="7"/>
  <c r="AN51" i="7"/>
  <c r="AK51" i="7"/>
  <c r="AJ51" i="7"/>
  <c r="AO44" i="7"/>
  <c r="AN44" i="7"/>
  <c r="AK44" i="7"/>
  <c r="AJ44" i="7"/>
  <c r="AO37" i="7"/>
  <c r="AN37" i="7"/>
  <c r="AK37" i="7"/>
  <c r="AJ37" i="7"/>
  <c r="AO34" i="7"/>
  <c r="AN34" i="7"/>
  <c r="AK34" i="7"/>
  <c r="AJ34" i="7"/>
  <c r="AO31" i="7"/>
  <c r="AN31" i="7"/>
  <c r="AK31" i="7"/>
  <c r="AJ31" i="7"/>
  <c r="AO28" i="7"/>
  <c r="AN28" i="7"/>
  <c r="AK28" i="7"/>
  <c r="AJ28" i="7"/>
  <c r="AO25" i="7"/>
  <c r="AN25" i="7"/>
  <c r="AK25" i="7"/>
  <c r="AJ25" i="7"/>
  <c r="AO22" i="7"/>
  <c r="AN22" i="7"/>
  <c r="AK22" i="7"/>
  <c r="AJ22" i="7"/>
  <c r="AH8" i="4"/>
  <c r="AH10" i="4" s="1"/>
  <c r="AY5" i="19" s="1"/>
  <c r="AE8" i="4"/>
  <c r="AE10" i="4" s="1"/>
  <c r="AY4" i="19" s="1"/>
  <c r="AI9" i="4"/>
  <c r="AF9" i="4"/>
  <c r="O8" i="4"/>
  <c r="H7" i="4"/>
  <c r="Q7" i="4" s="1"/>
  <c r="F7" i="4"/>
  <c r="P7" i="4" s="1"/>
  <c r="AJ3" i="7" l="1"/>
  <c r="AO3" i="7"/>
  <c r="I7" i="4"/>
  <c r="L7" i="4"/>
  <c r="AK3" i="7"/>
  <c r="AN3" i="7"/>
  <c r="K7" i="4"/>
  <c r="G7" i="4"/>
  <c r="AA49" i="2" l="1"/>
  <c r="D47" i="2" l="1"/>
  <c r="AY6" i="12" l="1"/>
  <c r="AV6" i="12"/>
  <c r="AW10" i="12"/>
  <c r="AX10" i="12" s="1"/>
  <c r="AZ10" i="12"/>
  <c r="BA10" i="12" s="1"/>
  <c r="AJ11" i="14" l="1"/>
  <c r="AH11" i="14"/>
  <c r="V8" i="4"/>
  <c r="AA15" i="2" l="1"/>
  <c r="Z15" i="2"/>
  <c r="Y15" i="2"/>
  <c r="X15" i="2"/>
  <c r="W15" i="2"/>
  <c r="V15" i="2"/>
  <c r="U15" i="2"/>
  <c r="T15" i="2"/>
  <c r="S15" i="2"/>
  <c r="R15" i="2"/>
  <c r="Q15" i="2"/>
  <c r="P15" i="2"/>
  <c r="O15" i="2"/>
  <c r="N15" i="2"/>
  <c r="M15" i="2"/>
  <c r="L15" i="2"/>
  <c r="K15" i="2"/>
  <c r="J15" i="2"/>
  <c r="I15" i="2"/>
  <c r="H15" i="2"/>
  <c r="G15" i="2"/>
  <c r="F15" i="2"/>
  <c r="E15" i="2"/>
  <c r="AA14" i="2"/>
  <c r="Z14" i="2"/>
  <c r="Y14" i="2"/>
  <c r="X14" i="2"/>
  <c r="W14" i="2"/>
  <c r="V14" i="2"/>
  <c r="U14" i="2"/>
  <c r="T14" i="2"/>
  <c r="S14" i="2"/>
  <c r="R14" i="2"/>
  <c r="Q14" i="2"/>
  <c r="P14" i="2"/>
  <c r="O14" i="2"/>
  <c r="N14" i="2"/>
  <c r="M14" i="2"/>
  <c r="L14" i="2"/>
  <c r="K14" i="2"/>
  <c r="J14" i="2"/>
  <c r="I14" i="2"/>
  <c r="H14" i="2"/>
  <c r="G14" i="2"/>
  <c r="F14" i="2"/>
  <c r="E14" i="2"/>
  <c r="N9" i="7" l="1"/>
  <c r="G8" i="7"/>
  <c r="H8" i="7" s="1"/>
  <c r="I8" i="7" s="1"/>
  <c r="J8" i="7" s="1"/>
  <c r="K8" i="7" s="1"/>
  <c r="M78" i="23" l="1"/>
  <c r="L78" i="23"/>
  <c r="K78" i="23"/>
  <c r="J78" i="23"/>
  <c r="H78" i="23"/>
  <c r="F78" i="23"/>
  <c r="C78" i="23"/>
  <c r="M77" i="23"/>
  <c r="L77" i="23"/>
  <c r="K77" i="23"/>
  <c r="J77" i="23"/>
  <c r="H77" i="23"/>
  <c r="G77" i="23"/>
  <c r="F77" i="23"/>
  <c r="C77" i="23"/>
  <c r="M76" i="23"/>
  <c r="L76" i="23"/>
  <c r="K76" i="23"/>
  <c r="J76" i="23"/>
  <c r="H76" i="23"/>
  <c r="G76" i="23"/>
  <c r="F76" i="23"/>
  <c r="C76" i="23"/>
  <c r="L75" i="23"/>
  <c r="K75" i="23"/>
  <c r="F75" i="23"/>
  <c r="L74" i="23"/>
  <c r="K74" i="23"/>
  <c r="F74" i="23"/>
  <c r="L73" i="23"/>
  <c r="K73" i="23"/>
  <c r="F73" i="23"/>
  <c r="L72" i="23"/>
  <c r="K72" i="23"/>
  <c r="F72" i="23"/>
  <c r="L71" i="23"/>
  <c r="K71" i="23"/>
  <c r="F71" i="23"/>
  <c r="L70" i="23"/>
  <c r="K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F65" i="23"/>
  <c r="M64" i="23"/>
  <c r="L64" i="23"/>
  <c r="K64" i="23"/>
  <c r="J64" i="23"/>
  <c r="H64" i="23"/>
  <c r="G64" i="23"/>
  <c r="F64" i="23"/>
  <c r="C64" i="23"/>
  <c r="M63" i="23"/>
  <c r="K63" i="23"/>
  <c r="J63" i="23"/>
  <c r="F63" i="23"/>
  <c r="M62" i="23"/>
  <c r="K62" i="23"/>
  <c r="J62" i="23"/>
  <c r="F62" i="23"/>
  <c r="M61" i="23"/>
  <c r="K61" i="23"/>
  <c r="J61" i="23"/>
  <c r="F61" i="23"/>
  <c r="M60" i="23"/>
  <c r="K60" i="23"/>
  <c r="J60" i="23"/>
  <c r="F60" i="23"/>
  <c r="M59" i="23"/>
  <c r="K59" i="23"/>
  <c r="J59" i="23"/>
  <c r="F59" i="23"/>
  <c r="M58" i="23"/>
  <c r="K58" i="23"/>
  <c r="J58" i="23"/>
  <c r="I58" i="23"/>
  <c r="H58" i="23"/>
  <c r="F58" i="23"/>
  <c r="C58" i="23"/>
  <c r="M57" i="23"/>
  <c r="K57" i="23"/>
  <c r="J57" i="23"/>
  <c r="F57" i="23"/>
  <c r="M56" i="23"/>
  <c r="K56" i="23"/>
  <c r="J56" i="23"/>
  <c r="F56" i="23"/>
  <c r="M55" i="23"/>
  <c r="K55" i="23"/>
  <c r="J55" i="23"/>
  <c r="F55" i="23"/>
  <c r="M54" i="23"/>
  <c r="K54" i="23"/>
  <c r="J54" i="23"/>
  <c r="F54" i="23"/>
  <c r="M53" i="23"/>
  <c r="K53" i="23"/>
  <c r="J53" i="23"/>
  <c r="F53" i="23"/>
  <c r="M52" i="23"/>
  <c r="K52" i="23"/>
  <c r="J52" i="23"/>
  <c r="H52" i="23"/>
  <c r="F52" i="23"/>
  <c r="C52" i="23"/>
  <c r="M51" i="23"/>
  <c r="L51" i="23"/>
  <c r="K51" i="23"/>
  <c r="J51" i="23"/>
  <c r="F51" i="23"/>
  <c r="M50" i="23"/>
  <c r="L50" i="23"/>
  <c r="K50" i="23"/>
  <c r="J50" i="23"/>
  <c r="F50" i="23"/>
  <c r="M49" i="23"/>
  <c r="L49" i="23"/>
  <c r="K49" i="23"/>
  <c r="J49" i="23"/>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F43" i="23"/>
  <c r="M42" i="23"/>
  <c r="L42" i="23"/>
  <c r="K42" i="23"/>
  <c r="J42" i="23"/>
  <c r="F42" i="23"/>
  <c r="M41" i="23"/>
  <c r="L41" i="23"/>
  <c r="K41" i="23"/>
  <c r="J41" i="23"/>
  <c r="F41" i="23"/>
  <c r="M40" i="23"/>
  <c r="L40" i="23"/>
  <c r="K40" i="23"/>
  <c r="J40" i="23"/>
  <c r="H40" i="23"/>
  <c r="F40" i="23"/>
  <c r="C40" i="23"/>
  <c r="M39" i="23"/>
  <c r="K39" i="23"/>
  <c r="J39" i="23"/>
  <c r="F39" i="23"/>
  <c r="M38" i="23"/>
  <c r="K38" i="23"/>
  <c r="J38" i="23"/>
  <c r="F38" i="23"/>
  <c r="M37" i="23"/>
  <c r="K37" i="23"/>
  <c r="J37" i="23"/>
  <c r="F37" i="23"/>
  <c r="M36" i="23"/>
  <c r="K36" i="23"/>
  <c r="J36" i="23"/>
  <c r="F36" i="23"/>
  <c r="M35" i="23"/>
  <c r="K35" i="23"/>
  <c r="J35" i="23"/>
  <c r="F35" i="23"/>
  <c r="M34" i="23"/>
  <c r="K34" i="23"/>
  <c r="J34" i="23"/>
  <c r="H34" i="23"/>
  <c r="F34" i="23"/>
  <c r="C34" i="23"/>
  <c r="M33" i="23"/>
  <c r="K33" i="23"/>
  <c r="J33" i="23"/>
  <c r="F33" i="23"/>
  <c r="M32" i="23"/>
  <c r="K32" i="23"/>
  <c r="J32" i="23"/>
  <c r="F32" i="23"/>
  <c r="M31" i="23"/>
  <c r="K31" i="23"/>
  <c r="J31" i="23"/>
  <c r="F31" i="23"/>
  <c r="M30" i="23"/>
  <c r="K30" i="23"/>
  <c r="J30" i="23"/>
  <c r="F30" i="23"/>
  <c r="M29" i="23"/>
  <c r="K29" i="23"/>
  <c r="J29" i="23"/>
  <c r="F29" i="23"/>
  <c r="M28" i="23"/>
  <c r="K28" i="23"/>
  <c r="J28" i="23"/>
  <c r="H28" i="23"/>
  <c r="G28" i="23"/>
  <c r="F28" i="23"/>
  <c r="C28" i="23"/>
  <c r="L27" i="23"/>
  <c r="K27" i="23"/>
  <c r="J27" i="23"/>
  <c r="F27" i="23"/>
  <c r="L26" i="23"/>
  <c r="K26" i="23"/>
  <c r="J26" i="23"/>
  <c r="H26" i="23"/>
  <c r="G26" i="23"/>
  <c r="F26" i="23"/>
  <c r="C26" i="23"/>
  <c r="M25" i="23"/>
  <c r="L25" i="23"/>
  <c r="K25" i="23"/>
  <c r="J25" i="23"/>
  <c r="F25" i="23"/>
  <c r="M24" i="23"/>
  <c r="L24" i="23"/>
  <c r="K24" i="23"/>
  <c r="J24" i="23"/>
  <c r="H24" i="23"/>
  <c r="F24" i="23"/>
  <c r="C24" i="23"/>
  <c r="M23" i="23"/>
  <c r="K23" i="23"/>
  <c r="F23" i="23"/>
  <c r="M22" i="23"/>
  <c r="K22" i="23"/>
  <c r="H22" i="23"/>
  <c r="G22" i="23"/>
  <c r="F22" i="23"/>
  <c r="C22" i="23"/>
  <c r="M21" i="23"/>
  <c r="K21" i="23"/>
  <c r="J21" i="23"/>
  <c r="F21" i="23"/>
  <c r="M20" i="23"/>
  <c r="K20" i="23"/>
  <c r="J20" i="23"/>
  <c r="H20" i="23"/>
  <c r="G20" i="23"/>
  <c r="F20" i="23"/>
  <c r="C20" i="23"/>
  <c r="M19" i="23"/>
  <c r="K19" i="23"/>
  <c r="J19" i="23"/>
  <c r="F19" i="23"/>
  <c r="M18" i="23"/>
  <c r="K18" i="23"/>
  <c r="J18" i="23"/>
  <c r="H18" i="23"/>
  <c r="F18" i="23"/>
  <c r="C18" i="23"/>
  <c r="M17" i="23"/>
  <c r="K17" i="23"/>
  <c r="J17" i="23"/>
  <c r="F17" i="23"/>
  <c r="M16" i="23"/>
  <c r="K16" i="23"/>
  <c r="J16" i="23"/>
  <c r="H16" i="23"/>
  <c r="G16" i="23"/>
  <c r="F16" i="23"/>
  <c r="C16" i="23"/>
  <c r="M15" i="23"/>
  <c r="J15" i="23"/>
  <c r="H15" i="23"/>
  <c r="G15" i="23"/>
  <c r="F15" i="23"/>
  <c r="C15" i="23"/>
  <c r="M14" i="23"/>
  <c r="J14" i="23"/>
  <c r="H14" i="23"/>
  <c r="F14" i="23"/>
  <c r="C14" i="23"/>
  <c r="M13" i="23"/>
  <c r="J13" i="23"/>
  <c r="H13" i="23"/>
  <c r="G13" i="23"/>
  <c r="F13" i="23"/>
  <c r="C13" i="23"/>
  <c r="M12" i="23"/>
  <c r="J12" i="23"/>
  <c r="H12" i="23"/>
  <c r="G12" i="23"/>
  <c r="F12" i="23"/>
  <c r="C12" i="23"/>
  <c r="M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L75" i="22"/>
  <c r="K75" i="22"/>
  <c r="F75" i="22"/>
  <c r="L74" i="22"/>
  <c r="K74" i="22"/>
  <c r="F74" i="22"/>
  <c r="L73" i="22"/>
  <c r="K73" i="22"/>
  <c r="F73" i="22"/>
  <c r="L72" i="22"/>
  <c r="K72" i="22"/>
  <c r="F72" i="22"/>
  <c r="L71" i="22"/>
  <c r="K71" i="22"/>
  <c r="F71" i="22"/>
  <c r="L70" i="22"/>
  <c r="K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K63" i="22"/>
  <c r="J63" i="22"/>
  <c r="F63" i="22"/>
  <c r="M62" i="22"/>
  <c r="K62" i="22"/>
  <c r="J62" i="22"/>
  <c r="F62" i="22"/>
  <c r="M61" i="22"/>
  <c r="K61" i="22"/>
  <c r="J61" i="22"/>
  <c r="F61" i="22"/>
  <c r="M60" i="22"/>
  <c r="K60" i="22"/>
  <c r="J60" i="22"/>
  <c r="F60" i="22"/>
  <c r="M59" i="22"/>
  <c r="K59" i="22"/>
  <c r="J59" i="22"/>
  <c r="F59" i="22"/>
  <c r="M58" i="22"/>
  <c r="K58" i="22"/>
  <c r="J58" i="22"/>
  <c r="I58" i="22"/>
  <c r="H58" i="22"/>
  <c r="F58" i="22"/>
  <c r="C58" i="22"/>
  <c r="M57" i="22"/>
  <c r="K57" i="22"/>
  <c r="J57" i="22"/>
  <c r="F57" i="22"/>
  <c r="M56" i="22"/>
  <c r="K56" i="22"/>
  <c r="J56" i="22"/>
  <c r="F56" i="22"/>
  <c r="M55" i="22"/>
  <c r="K55" i="22"/>
  <c r="J55" i="22"/>
  <c r="F55" i="22"/>
  <c r="M54" i="22"/>
  <c r="K54" i="22"/>
  <c r="J54" i="22"/>
  <c r="F54" i="22"/>
  <c r="M53" i="22"/>
  <c r="K53" i="22"/>
  <c r="J53" i="22"/>
  <c r="F53" i="22"/>
  <c r="M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K39" i="22"/>
  <c r="J39" i="22"/>
  <c r="F39" i="22"/>
  <c r="M38" i="22"/>
  <c r="K38" i="22"/>
  <c r="J38" i="22"/>
  <c r="F38" i="22"/>
  <c r="M37" i="22"/>
  <c r="K37" i="22"/>
  <c r="J37" i="22"/>
  <c r="F37" i="22"/>
  <c r="M36" i="22"/>
  <c r="K36" i="22"/>
  <c r="J36" i="22"/>
  <c r="F36" i="22"/>
  <c r="M35" i="22"/>
  <c r="K35" i="22"/>
  <c r="J35" i="22"/>
  <c r="F35" i="22"/>
  <c r="M34" i="22"/>
  <c r="K34" i="22"/>
  <c r="J34" i="22"/>
  <c r="H34" i="22"/>
  <c r="F34" i="22"/>
  <c r="C34" i="22"/>
  <c r="M33" i="22"/>
  <c r="K33" i="22"/>
  <c r="J33" i="22"/>
  <c r="F33" i="22"/>
  <c r="M32" i="22"/>
  <c r="K32" i="22"/>
  <c r="J32" i="22"/>
  <c r="F32" i="22"/>
  <c r="M31" i="22"/>
  <c r="K31" i="22"/>
  <c r="J31" i="22"/>
  <c r="F31" i="22"/>
  <c r="M30" i="22"/>
  <c r="K30" i="22"/>
  <c r="J30" i="22"/>
  <c r="F30" i="22"/>
  <c r="M29" i="22"/>
  <c r="K29" i="22"/>
  <c r="J29" i="22"/>
  <c r="F29" i="22"/>
  <c r="M28" i="22"/>
  <c r="K28" i="22"/>
  <c r="J28" i="22"/>
  <c r="H28" i="22"/>
  <c r="G28" i="22"/>
  <c r="F28" i="22"/>
  <c r="C28" i="22"/>
  <c r="L27" i="22"/>
  <c r="K27" i="22"/>
  <c r="J27" i="22"/>
  <c r="F27" i="22"/>
  <c r="L26" i="22"/>
  <c r="K26" i="22"/>
  <c r="J26" i="22"/>
  <c r="H26" i="22"/>
  <c r="G26" i="22"/>
  <c r="F26" i="22"/>
  <c r="C26" i="22"/>
  <c r="M25" i="22"/>
  <c r="L25" i="22"/>
  <c r="K25" i="22"/>
  <c r="J25" i="22"/>
  <c r="F25" i="22"/>
  <c r="M24" i="22"/>
  <c r="L24" i="22"/>
  <c r="K24" i="22"/>
  <c r="J24" i="22"/>
  <c r="H24" i="22"/>
  <c r="F24" i="22"/>
  <c r="C24" i="22"/>
  <c r="M23" i="22"/>
  <c r="K23" i="22"/>
  <c r="F23" i="22"/>
  <c r="M22" i="22"/>
  <c r="K22" i="22"/>
  <c r="H22" i="22"/>
  <c r="G22" i="22"/>
  <c r="F22" i="22"/>
  <c r="C22" i="22"/>
  <c r="M21" i="22"/>
  <c r="K21" i="22"/>
  <c r="J21" i="22"/>
  <c r="F21" i="22"/>
  <c r="M20" i="22"/>
  <c r="K20" i="22"/>
  <c r="J20" i="22"/>
  <c r="H20" i="22"/>
  <c r="G20" i="22"/>
  <c r="F20" i="22"/>
  <c r="C20" i="22"/>
  <c r="M19" i="22"/>
  <c r="K19" i="22"/>
  <c r="J19" i="22"/>
  <c r="F19" i="22"/>
  <c r="M18" i="22"/>
  <c r="K18" i="22"/>
  <c r="J18" i="22"/>
  <c r="H18" i="22"/>
  <c r="F18" i="22"/>
  <c r="C18" i="22"/>
  <c r="M17" i="22"/>
  <c r="K17" i="22"/>
  <c r="J17" i="22"/>
  <c r="F17" i="22"/>
  <c r="M16" i="22"/>
  <c r="K16" i="22"/>
  <c r="J16" i="22"/>
  <c r="H16" i="22"/>
  <c r="G16" i="22"/>
  <c r="F16" i="22"/>
  <c r="C16" i="22"/>
  <c r="M15" i="22"/>
  <c r="J15" i="22"/>
  <c r="H15" i="22"/>
  <c r="G15" i="22"/>
  <c r="F15" i="22"/>
  <c r="C15" i="22"/>
  <c r="M14" i="22"/>
  <c r="J14" i="22"/>
  <c r="H14" i="22"/>
  <c r="F14" i="22"/>
  <c r="C14" i="22"/>
  <c r="M13" i="22"/>
  <c r="J13" i="22"/>
  <c r="H13" i="22"/>
  <c r="G13" i="22"/>
  <c r="F13" i="22"/>
  <c r="C13" i="22"/>
  <c r="M12" i="22"/>
  <c r="J12" i="22"/>
  <c r="H12" i="22"/>
  <c r="G12" i="22"/>
  <c r="F12" i="22"/>
  <c r="C12" i="22"/>
  <c r="M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43" i="23" l="1"/>
  <c r="N49" i="23"/>
  <c r="N65" i="23"/>
  <c r="N42" i="23"/>
  <c r="N45" i="23"/>
  <c r="N51" i="23"/>
  <c r="N44" i="23"/>
  <c r="N77" i="23"/>
  <c r="N24" i="23"/>
  <c r="N48" i="23"/>
  <c r="N68" i="23"/>
  <c r="N76" i="23"/>
  <c r="N40" i="23"/>
  <c r="N46" i="23"/>
  <c r="N66" i="23"/>
  <c r="N69" i="23"/>
  <c r="N25" i="23"/>
  <c r="N41" i="23"/>
  <c r="N47" i="23"/>
  <c r="N64" i="23"/>
  <c r="N67" i="23"/>
  <c r="N10" i="23"/>
  <c r="N50" i="23"/>
  <c r="N78" i="23"/>
  <c r="N25" i="22"/>
  <c r="N50" i="22"/>
  <c r="N47" i="22"/>
  <c r="N45" i="22"/>
  <c r="N49" i="22"/>
  <c r="N69" i="22"/>
  <c r="N76" i="22"/>
  <c r="N41" i="22"/>
  <c r="N46" i="22"/>
  <c r="N10" i="22"/>
  <c r="N51" i="22"/>
  <c r="N78" i="22"/>
  <c r="N40" i="22"/>
  <c r="N42" i="22"/>
  <c r="N43" i="22"/>
  <c r="N77" i="22"/>
  <c r="N65" i="22"/>
  <c r="N64" i="22"/>
  <c r="N68" i="22"/>
  <c r="N24" i="22"/>
  <c r="N44" i="22"/>
  <c r="N48" i="22"/>
  <c r="N66" i="22"/>
  <c r="N67" i="22"/>
  <c r="BU65" i="12" l="1"/>
  <c r="Y23" i="1"/>
  <c r="AP54" i="14" s="1"/>
  <c r="AP65" i="14" s="1"/>
  <c r="Y22" i="1"/>
  <c r="AP53" i="14" s="1"/>
  <c r="Y15" i="1"/>
  <c r="AP64" i="14" l="1"/>
  <c r="BH87" i="12" l="1"/>
  <c r="AT10" i="12" l="1"/>
  <c r="AU10" i="12" s="1"/>
  <c r="AD10" i="12"/>
  <c r="AE10" i="12" s="1"/>
  <c r="AA10" i="12"/>
  <c r="AB10" i="12" s="1"/>
  <c r="X10" i="12"/>
  <c r="Y10" i="12" s="1"/>
  <c r="H83" i="1" l="1"/>
  <c r="H57" i="1"/>
  <c r="H51" i="1"/>
  <c r="H45" i="1"/>
  <c r="H39" i="1"/>
  <c r="H29" i="1"/>
  <c r="H23" i="1"/>
  <c r="H19" i="1"/>
  <c r="I102" i="1"/>
  <c r="H75" i="1" s="1"/>
  <c r="I100" i="1"/>
  <c r="H63" i="1" s="1"/>
  <c r="G58" i="23" l="1"/>
  <c r="G58" i="22"/>
  <c r="G70" i="22"/>
  <c r="G70" i="23"/>
  <c r="G78" i="23"/>
  <c r="G78" i="22"/>
  <c r="G24" i="23"/>
  <c r="G24" i="22"/>
  <c r="Y26" i="1"/>
  <c r="AP57" i="14" s="1"/>
  <c r="AP68" i="14" s="1"/>
  <c r="Y16" i="1"/>
  <c r="G34" i="23"/>
  <c r="G34" i="22"/>
  <c r="G40" i="22"/>
  <c r="G40" i="23"/>
  <c r="G46" i="22"/>
  <c r="G46" i="23"/>
  <c r="G52" i="23"/>
  <c r="G52" i="22"/>
  <c r="Y25" i="1"/>
  <c r="AP56" i="14" s="1"/>
  <c r="AP67" i="14" s="1"/>
  <c r="G18" i="23"/>
  <c r="G18" i="22"/>
  <c r="G14" i="23"/>
  <c r="G14" i="22"/>
  <c r="Y24" i="1"/>
  <c r="Y17" i="1"/>
  <c r="B96" i="19"/>
  <c r="B95" i="19"/>
  <c r="B94" i="19"/>
  <c r="AS93" i="19"/>
  <c r="AR93" i="19"/>
  <c r="AH93" i="19"/>
  <c r="AG93" i="19"/>
  <c r="AD92" i="19"/>
  <c r="AL92" i="19" s="1"/>
  <c r="AC92" i="19"/>
  <c r="AK92" i="19" s="1"/>
  <c r="Z92" i="19"/>
  <c r="Y92" i="19"/>
  <c r="AD91" i="19"/>
  <c r="AC91" i="19"/>
  <c r="Z91" i="19"/>
  <c r="Y91" i="19"/>
  <c r="AK90" i="19"/>
  <c r="AD90" i="19"/>
  <c r="AL90" i="19" s="1"/>
  <c r="AC90" i="19"/>
  <c r="Z90" i="19"/>
  <c r="Y90" i="19"/>
  <c r="AD89" i="19"/>
  <c r="AC89" i="19"/>
  <c r="Z89" i="19"/>
  <c r="AL89" i="19" s="1"/>
  <c r="Y89" i="19"/>
  <c r="AL88" i="19"/>
  <c r="AD88" i="19"/>
  <c r="AC88" i="19"/>
  <c r="AK88" i="19" s="1"/>
  <c r="Z88" i="19"/>
  <c r="Y88" i="19"/>
  <c r="B87" i="19"/>
  <c r="AS86" i="19"/>
  <c r="AR86" i="19"/>
  <c r="AH86" i="19"/>
  <c r="AG86" i="19"/>
  <c r="AD85" i="19"/>
  <c r="AL85" i="19" s="1"/>
  <c r="AC85" i="19"/>
  <c r="Z85" i="19"/>
  <c r="Y85" i="19"/>
  <c r="AK85" i="19" s="1"/>
  <c r="AD84" i="19"/>
  <c r="AL84" i="19" s="1"/>
  <c r="AC84" i="19"/>
  <c r="AK84" i="19" s="1"/>
  <c r="Z84" i="19"/>
  <c r="Y84" i="19"/>
  <c r="AD83" i="19"/>
  <c r="AC83" i="19"/>
  <c r="Z83" i="19"/>
  <c r="Y83" i="19"/>
  <c r="AD82" i="19"/>
  <c r="AL82" i="19" s="1"/>
  <c r="AC82" i="19"/>
  <c r="AK82" i="19" s="1"/>
  <c r="Z82" i="19"/>
  <c r="Y82" i="19"/>
  <c r="AD81" i="19"/>
  <c r="AL81" i="19" s="1"/>
  <c r="AC81" i="19"/>
  <c r="Z81" i="19"/>
  <c r="Y81" i="19"/>
  <c r="B80" i="19"/>
  <c r="AS79" i="19"/>
  <c r="AR79" i="19"/>
  <c r="AH79" i="19"/>
  <c r="AG79" i="19"/>
  <c r="AK78" i="19"/>
  <c r="AD78" i="19"/>
  <c r="AL78" i="19" s="1"/>
  <c r="AC78" i="19"/>
  <c r="Z78" i="19"/>
  <c r="Y78" i="19"/>
  <c r="AD77" i="19"/>
  <c r="AC77" i="19"/>
  <c r="Z77" i="19"/>
  <c r="Y77" i="19"/>
  <c r="AD76" i="19"/>
  <c r="AL76" i="19" s="1"/>
  <c r="AC76" i="19"/>
  <c r="AK76" i="19" s="1"/>
  <c r="Z76" i="19"/>
  <c r="Y76" i="19"/>
  <c r="AD75" i="19"/>
  <c r="AC75" i="19"/>
  <c r="Z75" i="19"/>
  <c r="Y75" i="19"/>
  <c r="AK74" i="19"/>
  <c r="AD74" i="19"/>
  <c r="AL74" i="19" s="1"/>
  <c r="AC74" i="19"/>
  <c r="Z74" i="19"/>
  <c r="Y74" i="19"/>
  <c r="T73" i="19"/>
  <c r="B73" i="19"/>
  <c r="AS72" i="19"/>
  <c r="AR72" i="19"/>
  <c r="AH72" i="19"/>
  <c r="AG72" i="19"/>
  <c r="AD71" i="19"/>
  <c r="AC71" i="19"/>
  <c r="AK71" i="19" s="1"/>
  <c r="Z71" i="19"/>
  <c r="Y71" i="19"/>
  <c r="AD70" i="19"/>
  <c r="AC70" i="19"/>
  <c r="AK70" i="19" s="1"/>
  <c r="Z70" i="19"/>
  <c r="Y70" i="19"/>
  <c r="AD69" i="19"/>
  <c r="AC69" i="19"/>
  <c r="Z69" i="19"/>
  <c r="Y69" i="19"/>
  <c r="AD68" i="19"/>
  <c r="AL68" i="19" s="1"/>
  <c r="AC68" i="19"/>
  <c r="Z68" i="19"/>
  <c r="Y68" i="19"/>
  <c r="AD67" i="19"/>
  <c r="AL67" i="19" s="1"/>
  <c r="AC67" i="19"/>
  <c r="AK67" i="19" s="1"/>
  <c r="Z67" i="19"/>
  <c r="Y67" i="19"/>
  <c r="T66" i="19"/>
  <c r="B66" i="19"/>
  <c r="AS65" i="19"/>
  <c r="AR65" i="19"/>
  <c r="AH65" i="19"/>
  <c r="AG65" i="19"/>
  <c r="AK64" i="19"/>
  <c r="AD64" i="19"/>
  <c r="AL64" i="19" s="1"/>
  <c r="AC64" i="19"/>
  <c r="Z64" i="19"/>
  <c r="Y64" i="19"/>
  <c r="AD63" i="19"/>
  <c r="AC63" i="19"/>
  <c r="Z63" i="19"/>
  <c r="Y63" i="19"/>
  <c r="AD62" i="19"/>
  <c r="AL62" i="19" s="1"/>
  <c r="AC62" i="19"/>
  <c r="AK62" i="19" s="1"/>
  <c r="Z62" i="19"/>
  <c r="Y62" i="19"/>
  <c r="AD61" i="19"/>
  <c r="AC61" i="19"/>
  <c r="Z61" i="19"/>
  <c r="Y61" i="19"/>
  <c r="AK60" i="19"/>
  <c r="AD60" i="19"/>
  <c r="AL60" i="19" s="1"/>
  <c r="AC60" i="19"/>
  <c r="Z60" i="19"/>
  <c r="Y60" i="19"/>
  <c r="T59" i="19"/>
  <c r="B59" i="19"/>
  <c r="AS58" i="19"/>
  <c r="AR58" i="19"/>
  <c r="AH58" i="19"/>
  <c r="AG58" i="19"/>
  <c r="AD57" i="19"/>
  <c r="AC57" i="19"/>
  <c r="AK57" i="19" s="1"/>
  <c r="Z57" i="19"/>
  <c r="Y57" i="19"/>
  <c r="AD56" i="19"/>
  <c r="AC56" i="19"/>
  <c r="AK56" i="19" s="1"/>
  <c r="Z56" i="19"/>
  <c r="Y56" i="19"/>
  <c r="AD55" i="19"/>
  <c r="AL55" i="19" s="1"/>
  <c r="AC55" i="19"/>
  <c r="AK55" i="19" s="1"/>
  <c r="Z55" i="19"/>
  <c r="Y55" i="19"/>
  <c r="AD54" i="19"/>
  <c r="AC54" i="19"/>
  <c r="AK54" i="19" s="1"/>
  <c r="Z54" i="19"/>
  <c r="Y54" i="19"/>
  <c r="AD53" i="19"/>
  <c r="AL53" i="19" s="1"/>
  <c r="AC53" i="19"/>
  <c r="AK53" i="19" s="1"/>
  <c r="Z53" i="19"/>
  <c r="Y53" i="19"/>
  <c r="T52" i="19"/>
  <c r="B52" i="19"/>
  <c r="AS51" i="19"/>
  <c r="AR51" i="19"/>
  <c r="AH51" i="19"/>
  <c r="AH3" i="19" s="1"/>
  <c r="AG51" i="19"/>
  <c r="AK50" i="19"/>
  <c r="AD50" i="19"/>
  <c r="AL50" i="19" s="1"/>
  <c r="AC50" i="19"/>
  <c r="Z50" i="19"/>
  <c r="Y50" i="19"/>
  <c r="AD49" i="19"/>
  <c r="AC49" i="19"/>
  <c r="AK49" i="19" s="1"/>
  <c r="Z49" i="19"/>
  <c r="Y49" i="19"/>
  <c r="AD48" i="19"/>
  <c r="AL48" i="19" s="1"/>
  <c r="AC48" i="19"/>
  <c r="AK48" i="19" s="1"/>
  <c r="Z48" i="19"/>
  <c r="Y48" i="19"/>
  <c r="AD47" i="19"/>
  <c r="AC47" i="19"/>
  <c r="AK47" i="19" s="1"/>
  <c r="Z47" i="19"/>
  <c r="Y47" i="19"/>
  <c r="AK46" i="19"/>
  <c r="AD46" i="19"/>
  <c r="AL46" i="19" s="1"/>
  <c r="AC46" i="19"/>
  <c r="Z46" i="19"/>
  <c r="Y46" i="19"/>
  <c r="T45" i="19"/>
  <c r="B45" i="19"/>
  <c r="AS44" i="19"/>
  <c r="AR44" i="19"/>
  <c r="AH44" i="19"/>
  <c r="AG44" i="19"/>
  <c r="AD43" i="19"/>
  <c r="AC43" i="19"/>
  <c r="AK43" i="19" s="1"/>
  <c r="Z43" i="19"/>
  <c r="Y43" i="19"/>
  <c r="AD42" i="19"/>
  <c r="AC42" i="19"/>
  <c r="Z42" i="19"/>
  <c r="Y42" i="19"/>
  <c r="AK42" i="19" s="1"/>
  <c r="AD41" i="19"/>
  <c r="AL41" i="19" s="1"/>
  <c r="AC41" i="19"/>
  <c r="AK41" i="19" s="1"/>
  <c r="Z41" i="19"/>
  <c r="Y41" i="19"/>
  <c r="AD40" i="19"/>
  <c r="AC40" i="19"/>
  <c r="AK40" i="19" s="1"/>
  <c r="Z40" i="19"/>
  <c r="Y40" i="19"/>
  <c r="AK39" i="19"/>
  <c r="AD39" i="19"/>
  <c r="AL39" i="19" s="1"/>
  <c r="AC39" i="19"/>
  <c r="Z39" i="19"/>
  <c r="Y39" i="19"/>
  <c r="T38" i="19"/>
  <c r="B38" i="19"/>
  <c r="AS37" i="19"/>
  <c r="AR37" i="19"/>
  <c r="AR3" i="19" s="1"/>
  <c r="AH37" i="19"/>
  <c r="AG37" i="19"/>
  <c r="AK36" i="19"/>
  <c r="AD36" i="19"/>
  <c r="AC36" i="19"/>
  <c r="Z36" i="19"/>
  <c r="Y36" i="19"/>
  <c r="B35" i="19"/>
  <c r="AS34" i="19"/>
  <c r="AR34" i="19"/>
  <c r="AH34" i="19"/>
  <c r="AG34" i="19"/>
  <c r="AD33" i="19"/>
  <c r="AL33" i="19" s="1"/>
  <c r="AC33" i="19"/>
  <c r="Z33" i="19"/>
  <c r="Y33" i="19"/>
  <c r="B32" i="19"/>
  <c r="AS31" i="19"/>
  <c r="AS3" i="19" s="1"/>
  <c r="AR31" i="19"/>
  <c r="AH31" i="19"/>
  <c r="AG31" i="19"/>
  <c r="AD30" i="19"/>
  <c r="AC30" i="19"/>
  <c r="Z30" i="19"/>
  <c r="Y30" i="19"/>
  <c r="B29" i="19"/>
  <c r="AS28" i="19"/>
  <c r="AR28" i="19"/>
  <c r="AH28" i="19"/>
  <c r="AG28" i="19"/>
  <c r="AD27" i="19"/>
  <c r="AC27" i="19"/>
  <c r="AK27" i="19" s="1"/>
  <c r="Z27" i="19"/>
  <c r="Y27" i="19"/>
  <c r="B26" i="19"/>
  <c r="AS25" i="19"/>
  <c r="AR25" i="19"/>
  <c r="AH25" i="19"/>
  <c r="AG25" i="19"/>
  <c r="AD24" i="19"/>
  <c r="AL24" i="19" s="1"/>
  <c r="AC24" i="19"/>
  <c r="AK24" i="19" s="1"/>
  <c r="Z24" i="19"/>
  <c r="Y24" i="19"/>
  <c r="B23" i="19"/>
  <c r="AS22" i="19"/>
  <c r="AR22" i="19"/>
  <c r="AH22" i="19"/>
  <c r="AG22" i="19"/>
  <c r="AG3" i="19" s="1"/>
  <c r="AD21" i="19"/>
  <c r="Z21" i="19"/>
  <c r="V21" i="19"/>
  <c r="U21" i="19"/>
  <c r="AC21" i="19" s="1"/>
  <c r="B20" i="19"/>
  <c r="B19" i="19"/>
  <c r="B18" i="19"/>
  <c r="B17" i="19"/>
  <c r="B16" i="19"/>
  <c r="B15" i="19"/>
  <c r="B14" i="19"/>
  <c r="L9" i="19"/>
  <c r="P9" i="19" s="1"/>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F8" i="19"/>
  <c r="AG7" i="19" s="1"/>
  <c r="A3" i="19"/>
  <c r="A2" i="19"/>
  <c r="A1" i="19"/>
  <c r="AC9"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T96" i="18"/>
  <c r="R96" i="18"/>
  <c r="AM96" i="18" s="1"/>
  <c r="P96" i="18"/>
  <c r="O96" i="18"/>
  <c r="N96" i="18"/>
  <c r="M96" i="18"/>
  <c r="K96" i="18"/>
  <c r="B96" i="18"/>
  <c r="T95" i="18"/>
  <c r="R95" i="18"/>
  <c r="AM95" i="18" s="1"/>
  <c r="P95" i="18"/>
  <c r="O95" i="18"/>
  <c r="N95" i="18"/>
  <c r="M95" i="18"/>
  <c r="K95" i="18"/>
  <c r="X95" i="18" s="1"/>
  <c r="B95" i="18"/>
  <c r="T94" i="18"/>
  <c r="R94" i="18"/>
  <c r="AM94" i="18" s="1"/>
  <c r="P94" i="18"/>
  <c r="O94" i="18"/>
  <c r="N94" i="18"/>
  <c r="M94" i="18"/>
  <c r="K94" i="18"/>
  <c r="B94" i="18"/>
  <c r="AN93" i="18"/>
  <c r="AH92" i="18"/>
  <c r="AD92" i="18"/>
  <c r="AC92" i="18"/>
  <c r="Y92" i="18"/>
  <c r="X92" i="18"/>
  <c r="AG92" i="18" s="1"/>
  <c r="R92" i="18"/>
  <c r="AM92" i="18" s="1"/>
  <c r="AD91" i="18"/>
  <c r="AC91" i="18"/>
  <c r="AG91" i="18" s="1"/>
  <c r="Y91" i="18"/>
  <c r="X91" i="18"/>
  <c r="R91" i="18"/>
  <c r="AM91" i="18" s="1"/>
  <c r="AD90" i="18"/>
  <c r="AH90" i="18" s="1"/>
  <c r="AC90" i="18"/>
  <c r="Y90" i="18"/>
  <c r="X90" i="18"/>
  <c r="R90" i="18"/>
  <c r="AM90" i="18" s="1"/>
  <c r="AD89" i="18"/>
  <c r="AH89" i="18" s="1"/>
  <c r="AC89" i="18"/>
  <c r="Y89" i="18"/>
  <c r="X89" i="18"/>
  <c r="R89" i="18"/>
  <c r="AM89" i="18" s="1"/>
  <c r="AG88" i="18"/>
  <c r="AD88" i="18"/>
  <c r="AH88" i="18" s="1"/>
  <c r="AC88" i="18"/>
  <c r="Y88" i="18"/>
  <c r="X88" i="18"/>
  <c r="R88" i="18"/>
  <c r="AM88" i="18" s="1"/>
  <c r="T87" i="18"/>
  <c r="R87" i="18"/>
  <c r="AM87" i="18" s="1"/>
  <c r="P87" i="18"/>
  <c r="O87" i="18"/>
  <c r="N87" i="18"/>
  <c r="M87" i="18"/>
  <c r="L87" i="18"/>
  <c r="K87" i="18"/>
  <c r="B87" i="18"/>
  <c r="AN86" i="18"/>
  <c r="AD85" i="18"/>
  <c r="AH85" i="18" s="1"/>
  <c r="AC85" i="18"/>
  <c r="AG85" i="18" s="1"/>
  <c r="Y85" i="18"/>
  <c r="X85" i="18"/>
  <c r="R85" i="18"/>
  <c r="AM85" i="18" s="1"/>
  <c r="AD84" i="18"/>
  <c r="AC84" i="18"/>
  <c r="Y84" i="18"/>
  <c r="X84" i="18"/>
  <c r="AG84" i="18" s="1"/>
  <c r="R84" i="18"/>
  <c r="AM84" i="18" s="1"/>
  <c r="AD83" i="18"/>
  <c r="AH83" i="18" s="1"/>
  <c r="AC83" i="18"/>
  <c r="Y83" i="18"/>
  <c r="X83" i="18"/>
  <c r="AG83" i="18" s="1"/>
  <c r="R83" i="18"/>
  <c r="AM83" i="18" s="1"/>
  <c r="AD82" i="18"/>
  <c r="AH82" i="18" s="1"/>
  <c r="AC82" i="18"/>
  <c r="Y82" i="18"/>
  <c r="X82" i="18"/>
  <c r="AG82" i="18" s="1"/>
  <c r="R82" i="18"/>
  <c r="AM82" i="18" s="1"/>
  <c r="AD81" i="18"/>
  <c r="AH81" i="18" s="1"/>
  <c r="AC81" i="18"/>
  <c r="AG81" i="18" s="1"/>
  <c r="Y81" i="18"/>
  <c r="X81" i="18"/>
  <c r="R81" i="18"/>
  <c r="AM81" i="18" s="1"/>
  <c r="T80" i="18"/>
  <c r="R80" i="18"/>
  <c r="AM80" i="18" s="1"/>
  <c r="P80" i="18"/>
  <c r="O80" i="18"/>
  <c r="N80" i="18"/>
  <c r="M80" i="18"/>
  <c r="K80" i="18"/>
  <c r="B80" i="18"/>
  <c r="AN79" i="18"/>
  <c r="AD78" i="18"/>
  <c r="AC78" i="18"/>
  <c r="AG78" i="18" s="1"/>
  <c r="Y78" i="18"/>
  <c r="X78" i="18"/>
  <c r="R78" i="18"/>
  <c r="AM78" i="18" s="1"/>
  <c r="AD77" i="18"/>
  <c r="AH77" i="18" s="1"/>
  <c r="AC77" i="18"/>
  <c r="Y77" i="18"/>
  <c r="X77" i="18"/>
  <c r="R77" i="18"/>
  <c r="AM77" i="18" s="1"/>
  <c r="AD76" i="18"/>
  <c r="AH76" i="18" s="1"/>
  <c r="AC76" i="18"/>
  <c r="Y76" i="18"/>
  <c r="X76" i="18"/>
  <c r="R76" i="18"/>
  <c r="AM76" i="18" s="1"/>
  <c r="AD75" i="18"/>
  <c r="AH75" i="18" s="1"/>
  <c r="AC75" i="18"/>
  <c r="AG75" i="18" s="1"/>
  <c r="Y75" i="18"/>
  <c r="X75" i="18"/>
  <c r="R75" i="18"/>
  <c r="AM75" i="18" s="1"/>
  <c r="AD74" i="18"/>
  <c r="AC74" i="18"/>
  <c r="Y74" i="18"/>
  <c r="X74" i="18"/>
  <c r="AG74" i="18" s="1"/>
  <c r="R74" i="18"/>
  <c r="AM74" i="18" s="1"/>
  <c r="R73" i="18"/>
  <c r="AM73" i="18" s="1"/>
  <c r="P73" i="18"/>
  <c r="O73" i="18"/>
  <c r="N73" i="18"/>
  <c r="M73" i="18"/>
  <c r="K73" i="18"/>
  <c r="B73" i="18"/>
  <c r="AN72" i="18"/>
  <c r="AG71" i="18"/>
  <c r="AD71" i="18"/>
  <c r="AC71" i="18"/>
  <c r="Y71" i="18"/>
  <c r="X71" i="18"/>
  <c r="R71" i="18"/>
  <c r="AM71" i="18" s="1"/>
  <c r="AD70" i="18"/>
  <c r="AH70" i="18" s="1"/>
  <c r="AC70" i="18"/>
  <c r="Y70" i="18"/>
  <c r="X70" i="18"/>
  <c r="AG70" i="18" s="1"/>
  <c r="R70" i="18"/>
  <c r="AM70" i="18" s="1"/>
  <c r="AD69" i="18"/>
  <c r="AC69" i="18"/>
  <c r="Y69" i="18"/>
  <c r="AH69" i="18" s="1"/>
  <c r="X69" i="18"/>
  <c r="AG69" i="18" s="1"/>
  <c r="R69" i="18"/>
  <c r="AM69" i="18" s="1"/>
  <c r="AD68" i="18"/>
  <c r="AH68" i="18" s="1"/>
  <c r="AC68" i="18"/>
  <c r="Y68" i="18"/>
  <c r="X68" i="18"/>
  <c r="AG68" i="18" s="1"/>
  <c r="R68" i="18"/>
  <c r="AM68" i="18" s="1"/>
  <c r="AG67" i="18"/>
  <c r="AD67" i="18"/>
  <c r="AC67" i="18"/>
  <c r="Y67" i="18"/>
  <c r="X67" i="18"/>
  <c r="R67" i="18"/>
  <c r="AM67" i="18" s="1"/>
  <c r="R66" i="18"/>
  <c r="AM66" i="18" s="1"/>
  <c r="P66" i="18"/>
  <c r="O66" i="18"/>
  <c r="N66" i="18"/>
  <c r="M66" i="18"/>
  <c r="K66" i="18"/>
  <c r="B66" i="18"/>
  <c r="AN65" i="18"/>
  <c r="AD64" i="18"/>
  <c r="AC64" i="18"/>
  <c r="AG64" i="18" s="1"/>
  <c r="Y64" i="18"/>
  <c r="X64" i="18"/>
  <c r="R64" i="18"/>
  <c r="AM64" i="18" s="1"/>
  <c r="AD63" i="18"/>
  <c r="AC63" i="18"/>
  <c r="Y63" i="18"/>
  <c r="X63" i="18"/>
  <c r="R63" i="18"/>
  <c r="AM63" i="18" s="1"/>
  <c r="AH62" i="18"/>
  <c r="AD62" i="18"/>
  <c r="AC62" i="18"/>
  <c r="AG62" i="18" s="1"/>
  <c r="Y62" i="18"/>
  <c r="X62" i="18"/>
  <c r="R62" i="18"/>
  <c r="AM62" i="18" s="1"/>
  <c r="AD61" i="18"/>
  <c r="AC61" i="18"/>
  <c r="AG61" i="18" s="1"/>
  <c r="Y61" i="18"/>
  <c r="X61" i="18"/>
  <c r="R61" i="18"/>
  <c r="AM61" i="18" s="1"/>
  <c r="AD60" i="18"/>
  <c r="AH60" i="18" s="1"/>
  <c r="AC60" i="18"/>
  <c r="AG60" i="18" s="1"/>
  <c r="Y60" i="18"/>
  <c r="X60" i="18"/>
  <c r="R60" i="18"/>
  <c r="AM60" i="18" s="1"/>
  <c r="T59" i="18"/>
  <c r="R59" i="18"/>
  <c r="AM59" i="18" s="1"/>
  <c r="P59" i="18"/>
  <c r="O59" i="18"/>
  <c r="M59" i="18"/>
  <c r="K59" i="18"/>
  <c r="B59" i="18"/>
  <c r="AN58" i="18"/>
  <c r="AD57" i="18"/>
  <c r="AH57" i="18" s="1"/>
  <c r="AC57" i="18"/>
  <c r="Y57" i="18"/>
  <c r="X57" i="18"/>
  <c r="AG57" i="18" s="1"/>
  <c r="R57" i="18"/>
  <c r="AM57" i="18" s="1"/>
  <c r="AD56" i="18"/>
  <c r="AH56" i="18" s="1"/>
  <c r="AC56" i="18"/>
  <c r="AG56" i="18" s="1"/>
  <c r="Y56" i="18"/>
  <c r="X56" i="18"/>
  <c r="R56" i="18"/>
  <c r="AM56" i="18" s="1"/>
  <c r="AD55" i="18"/>
  <c r="AH55" i="18" s="1"/>
  <c r="AC55" i="18"/>
  <c r="Y55" i="18"/>
  <c r="X55" i="18"/>
  <c r="AG55" i="18" s="1"/>
  <c r="R55" i="18"/>
  <c r="AM55" i="18" s="1"/>
  <c r="AG54" i="18"/>
  <c r="AD54" i="18"/>
  <c r="AC54" i="18"/>
  <c r="Y54" i="18"/>
  <c r="X54" i="18"/>
  <c r="R54" i="18"/>
  <c r="AM54" i="18" s="1"/>
  <c r="AD53" i="18"/>
  <c r="AH53" i="18" s="1"/>
  <c r="AC53" i="18"/>
  <c r="Y53" i="18"/>
  <c r="X53" i="18"/>
  <c r="AG53" i="18" s="1"/>
  <c r="R53" i="18"/>
  <c r="AM53" i="18" s="1"/>
  <c r="T52" i="18"/>
  <c r="R52" i="18"/>
  <c r="AM52" i="18" s="1"/>
  <c r="P52" i="18"/>
  <c r="O52" i="18"/>
  <c r="M52" i="18"/>
  <c r="K52" i="18"/>
  <c r="B52" i="18"/>
  <c r="AN51" i="18"/>
  <c r="AD50" i="18"/>
  <c r="AC50" i="18"/>
  <c r="AG50" i="18" s="1"/>
  <c r="Y50" i="18"/>
  <c r="X50" i="18"/>
  <c r="R50" i="18"/>
  <c r="AM50" i="18" s="1"/>
  <c r="AD49" i="18"/>
  <c r="AH49" i="18" s="1"/>
  <c r="AC49" i="18"/>
  <c r="Y49" i="18"/>
  <c r="X49" i="18"/>
  <c r="R49" i="18"/>
  <c r="AM49" i="18" s="1"/>
  <c r="AD48" i="18"/>
  <c r="AH48" i="18" s="1"/>
  <c r="AC48" i="18"/>
  <c r="AG48" i="18" s="1"/>
  <c r="Y48" i="18"/>
  <c r="X48" i="18"/>
  <c r="R48" i="18"/>
  <c r="AM48" i="18" s="1"/>
  <c r="AD47" i="18"/>
  <c r="AH47" i="18" s="1"/>
  <c r="AC47" i="18"/>
  <c r="AG47" i="18" s="1"/>
  <c r="Y47" i="18"/>
  <c r="X47" i="18"/>
  <c r="R47" i="18"/>
  <c r="AM47" i="18" s="1"/>
  <c r="AD46" i="18"/>
  <c r="AH46" i="18" s="1"/>
  <c r="AC46" i="18"/>
  <c r="Y46" i="18"/>
  <c r="X46" i="18"/>
  <c r="AG46" i="18" s="1"/>
  <c r="R46" i="18"/>
  <c r="AM46" i="18" s="1"/>
  <c r="T45" i="18"/>
  <c r="R45" i="18"/>
  <c r="AM45" i="18" s="1"/>
  <c r="O45" i="18"/>
  <c r="M45" i="18"/>
  <c r="K45" i="18"/>
  <c r="B45" i="18"/>
  <c r="AN44" i="18"/>
  <c r="AD43" i="18"/>
  <c r="AH43" i="18" s="1"/>
  <c r="AC43" i="18"/>
  <c r="AG43" i="18" s="1"/>
  <c r="Y43" i="18"/>
  <c r="X43" i="18"/>
  <c r="R43" i="18"/>
  <c r="AM43" i="18" s="1"/>
  <c r="AD42" i="18"/>
  <c r="AH42" i="18" s="1"/>
  <c r="AC42" i="18"/>
  <c r="AG42" i="18" s="1"/>
  <c r="Y42" i="18"/>
  <c r="X42" i="18"/>
  <c r="R42" i="18"/>
  <c r="AM42" i="18" s="1"/>
  <c r="AG41" i="18"/>
  <c r="AD41" i="18"/>
  <c r="AH41" i="18" s="1"/>
  <c r="AC41" i="18"/>
  <c r="Y41" i="18"/>
  <c r="X41" i="18"/>
  <c r="R41" i="18"/>
  <c r="AM41" i="18" s="1"/>
  <c r="AD40" i="18"/>
  <c r="AC40" i="18"/>
  <c r="Y40" i="18"/>
  <c r="X40" i="18"/>
  <c r="R40" i="18"/>
  <c r="AM40" i="18" s="1"/>
  <c r="AD39" i="18"/>
  <c r="AC39" i="18"/>
  <c r="AG39" i="18" s="1"/>
  <c r="Y39" i="18"/>
  <c r="X39" i="18"/>
  <c r="R39" i="18"/>
  <c r="AM39" i="18" s="1"/>
  <c r="T38" i="18"/>
  <c r="R38" i="18"/>
  <c r="P38" i="18"/>
  <c r="O38" i="18"/>
  <c r="N38" i="18"/>
  <c r="M38" i="18"/>
  <c r="K38" i="18"/>
  <c r="B38" i="18"/>
  <c r="AN37" i="18"/>
  <c r="AH36" i="18"/>
  <c r="AD36" i="18"/>
  <c r="AC36" i="18"/>
  <c r="Y36" i="18"/>
  <c r="X36" i="18"/>
  <c r="R36" i="18"/>
  <c r="AM36" i="18" s="1"/>
  <c r="T35" i="18"/>
  <c r="R35" i="18"/>
  <c r="AM35" i="18" s="1"/>
  <c r="P35" i="18"/>
  <c r="O35" i="18"/>
  <c r="N35" i="18"/>
  <c r="M35" i="18"/>
  <c r="K35" i="18"/>
  <c r="B35" i="18"/>
  <c r="AN34" i="18"/>
  <c r="AD33" i="18"/>
  <c r="AC33" i="18"/>
  <c r="Y33" i="18"/>
  <c r="X33" i="18"/>
  <c r="R33" i="18"/>
  <c r="AM33" i="18" s="1"/>
  <c r="T32" i="18"/>
  <c r="R32" i="18"/>
  <c r="AM32" i="18" s="1"/>
  <c r="P32" i="18"/>
  <c r="O32" i="18"/>
  <c r="N32" i="18"/>
  <c r="M32" i="18"/>
  <c r="K32" i="18"/>
  <c r="B32" i="18"/>
  <c r="AN31" i="18"/>
  <c r="AD30" i="18"/>
  <c r="AC30" i="18"/>
  <c r="Y30" i="18"/>
  <c r="AH30" i="18" s="1"/>
  <c r="X30" i="18"/>
  <c r="R30" i="18"/>
  <c r="AM30" i="18" s="1"/>
  <c r="T29" i="18"/>
  <c r="R29" i="18"/>
  <c r="AM29" i="18" s="1"/>
  <c r="P29" i="18"/>
  <c r="O29" i="18"/>
  <c r="N29" i="18"/>
  <c r="AD29" i="18" s="1"/>
  <c r="M29" i="18"/>
  <c r="K29" i="18"/>
  <c r="B29" i="18"/>
  <c r="AN28" i="18"/>
  <c r="AD27" i="18"/>
  <c r="AH27" i="18" s="1"/>
  <c r="AC27" i="18"/>
  <c r="Y27" i="18"/>
  <c r="X27" i="18"/>
  <c r="AG27" i="18" s="1"/>
  <c r="R27" i="18"/>
  <c r="AM27" i="18" s="1"/>
  <c r="T26" i="18"/>
  <c r="R26" i="18"/>
  <c r="AM26" i="18" s="1"/>
  <c r="P26" i="18"/>
  <c r="O26" i="18"/>
  <c r="N26" i="18"/>
  <c r="M26" i="18"/>
  <c r="K26" i="18"/>
  <c r="B26" i="18"/>
  <c r="AN25" i="18"/>
  <c r="AD24" i="18"/>
  <c r="AC24" i="18"/>
  <c r="Y24" i="18"/>
  <c r="X24" i="18"/>
  <c r="R24" i="18"/>
  <c r="AM24" i="18" s="1"/>
  <c r="T23" i="18"/>
  <c r="R23" i="18"/>
  <c r="AM23" i="18" s="1"/>
  <c r="P23" i="18"/>
  <c r="O23" i="18"/>
  <c r="N23" i="18"/>
  <c r="M23" i="18"/>
  <c r="K23" i="18"/>
  <c r="B23" i="18"/>
  <c r="AN22" i="18"/>
  <c r="AD21" i="18"/>
  <c r="AH21" i="18" s="1"/>
  <c r="AC21" i="18"/>
  <c r="Y21" i="18"/>
  <c r="X21" i="18"/>
  <c r="R21" i="18"/>
  <c r="AM21" i="18" s="1"/>
  <c r="T20" i="18"/>
  <c r="R20" i="18"/>
  <c r="AM20" i="18" s="1"/>
  <c r="P20" i="18"/>
  <c r="O20" i="18"/>
  <c r="N20" i="18"/>
  <c r="M20" i="18"/>
  <c r="K20" i="18"/>
  <c r="B20" i="18"/>
  <c r="T19" i="18"/>
  <c r="R19" i="18"/>
  <c r="AM19" i="18" s="1"/>
  <c r="P19" i="18"/>
  <c r="O19" i="18"/>
  <c r="N19" i="18"/>
  <c r="M19" i="18"/>
  <c r="K19" i="18"/>
  <c r="B19" i="18"/>
  <c r="T18" i="18"/>
  <c r="R18" i="18"/>
  <c r="AM18" i="18" s="1"/>
  <c r="P18" i="18"/>
  <c r="O18" i="18"/>
  <c r="N18" i="18"/>
  <c r="M18" i="18"/>
  <c r="K18" i="18"/>
  <c r="B18" i="18"/>
  <c r="T17" i="18"/>
  <c r="R17" i="18"/>
  <c r="AM17" i="18" s="1"/>
  <c r="P17" i="18"/>
  <c r="O17" i="18"/>
  <c r="N17" i="18"/>
  <c r="M17" i="18"/>
  <c r="K17" i="18"/>
  <c r="B17" i="18"/>
  <c r="T16" i="18"/>
  <c r="R16" i="18"/>
  <c r="AM16" i="18" s="1"/>
  <c r="P16" i="18"/>
  <c r="O16" i="18"/>
  <c r="N16" i="18"/>
  <c r="M16" i="18"/>
  <c r="K16" i="18"/>
  <c r="B16" i="18"/>
  <c r="T15" i="18"/>
  <c r="R15" i="18"/>
  <c r="AM15" i="18" s="1"/>
  <c r="P15" i="18"/>
  <c r="O15" i="18"/>
  <c r="N15" i="18"/>
  <c r="M15" i="18"/>
  <c r="K15" i="18"/>
  <c r="B15" i="18"/>
  <c r="T14" i="18"/>
  <c r="R14" i="18"/>
  <c r="AM14" i="18" s="1"/>
  <c r="P14" i="18"/>
  <c r="O14" i="18"/>
  <c r="N14" i="18"/>
  <c r="M14" i="18"/>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Y35" i="18" l="1"/>
  <c r="Y37" i="18" s="1"/>
  <c r="AD38" i="18"/>
  <c r="AD44" i="18" s="1"/>
  <c r="Y94" i="18"/>
  <c r="AD95" i="18"/>
  <c r="Y87" i="18"/>
  <c r="Y93" i="18" s="1"/>
  <c r="Y17" i="18"/>
  <c r="AD73" i="18"/>
  <c r="AD79" i="18" s="1"/>
  <c r="AD19" i="18"/>
  <c r="AD32" i="18"/>
  <c r="AD34" i="18" s="1"/>
  <c r="Y73" i="18"/>
  <c r="Y79" i="18" s="1"/>
  <c r="AD66" i="18"/>
  <c r="AD72" i="18" s="1"/>
  <c r="AL27" i="19"/>
  <c r="AK30" i="19"/>
  <c r="AL43" i="19"/>
  <c r="AL47" i="19"/>
  <c r="AL49" i="19"/>
  <c r="AK61" i="19"/>
  <c r="AK63" i="19"/>
  <c r="AK83" i="19"/>
  <c r="AK91" i="19"/>
  <c r="AN3" i="18"/>
  <c r="AG36" i="18"/>
  <c r="AH40" i="18"/>
  <c r="AG49" i="18"/>
  <c r="AH84" i="18"/>
  <c r="AG90" i="18"/>
  <c r="N9" i="19"/>
  <c r="AL30" i="19"/>
  <c r="AK33" i="19"/>
  <c r="AL57" i="19"/>
  <c r="AL61" i="19"/>
  <c r="AK69" i="19"/>
  <c r="AK75" i="19"/>
  <c r="AK77" i="19"/>
  <c r="AL83" i="19"/>
  <c r="AL91" i="19"/>
  <c r="AL42" i="19"/>
  <c r="AL54" i="19"/>
  <c r="AL69" i="19"/>
  <c r="AL71" i="19"/>
  <c r="AL75" i="19"/>
  <c r="AD14" i="18"/>
  <c r="AD15" i="18"/>
  <c r="AG33" i="18"/>
  <c r="AD35" i="18"/>
  <c r="AH39" i="18"/>
  <c r="AG63" i="18"/>
  <c r="AG77" i="18"/>
  <c r="AL36" i="19"/>
  <c r="AL40" i="19"/>
  <c r="AK68" i="19"/>
  <c r="AH54" i="18"/>
  <c r="AH63" i="18"/>
  <c r="AH71" i="18"/>
  <c r="AG89" i="18"/>
  <c r="AK89" i="19"/>
  <c r="AG30" i="18"/>
  <c r="AH33" i="18"/>
  <c r="AH67" i="18"/>
  <c r="AG76" i="18"/>
  <c r="Y15" i="18"/>
  <c r="AD80" i="18"/>
  <c r="AD86" i="18" s="1"/>
  <c r="Y26" i="18"/>
  <c r="Y28" i="18" s="1"/>
  <c r="Y14" i="18"/>
  <c r="Y16" i="18"/>
  <c r="AD26" i="18"/>
  <c r="AD28" i="18" s="1"/>
  <c r="Y59" i="18"/>
  <c r="AD16" i="18"/>
  <c r="AD20" i="18"/>
  <c r="AD22" i="18" s="1"/>
  <c r="Y23" i="18"/>
  <c r="Y25" i="18" s="1"/>
  <c r="Y32" i="18"/>
  <c r="Y34" i="18" s="1"/>
  <c r="Y52" i="18"/>
  <c r="Y58" i="18" s="1"/>
  <c r="Y96" i="18"/>
  <c r="Y18" i="18"/>
  <c r="Y19" i="18"/>
  <c r="AD23" i="18"/>
  <c r="AD25" i="18" s="1"/>
  <c r="AD94" i="18"/>
  <c r="Y29" i="18"/>
  <c r="AH29" i="18" s="1"/>
  <c r="AH31" i="18" s="1"/>
  <c r="AD87" i="18"/>
  <c r="AD93" i="18" s="1"/>
  <c r="AD17" i="18"/>
  <c r="Y66" i="18"/>
  <c r="Y72" i="18" s="1"/>
  <c r="AD18" i="18"/>
  <c r="Y20" i="18"/>
  <c r="Y22" i="18" s="1"/>
  <c r="Y45" i="18"/>
  <c r="Y80" i="18"/>
  <c r="AD96" i="18"/>
  <c r="X29" i="18"/>
  <c r="X31" i="18" s="1"/>
  <c r="AG21" i="18"/>
  <c r="X35" i="18"/>
  <c r="X37" i="18" s="1"/>
  <c r="X38" i="18"/>
  <c r="AP55" i="14"/>
  <c r="Y27" i="1"/>
  <c r="Y18" i="1"/>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Q9" i="19"/>
  <c r="O9" i="19"/>
  <c r="J9" i="19"/>
  <c r="AL21" i="19"/>
  <c r="Y21" i="19"/>
  <c r="AK21" i="19" s="1"/>
  <c r="AL63" i="19"/>
  <c r="AL70" i="19"/>
  <c r="AL77" i="19"/>
  <c r="AK81" i="19"/>
  <c r="AL56" i="19"/>
  <c r="AM34" i="18"/>
  <c r="AM86" i="18"/>
  <c r="AM93" i="18"/>
  <c r="AM25" i="18"/>
  <c r="AM58" i="18"/>
  <c r="AM22" i="18"/>
  <c r="AM28" i="18"/>
  <c r="AM37" i="18"/>
  <c r="X44" i="18"/>
  <c r="AD31" i="18"/>
  <c r="I9" i="18"/>
  <c r="R9" i="18"/>
  <c r="S9" i="18" s="1"/>
  <c r="T9" i="18" s="1"/>
  <c r="U9" i="18" s="1"/>
  <c r="AM51" i="18"/>
  <c r="AM65" i="18"/>
  <c r="AM79" i="18"/>
  <c r="L9" i="18"/>
  <c r="AG40" i="18"/>
  <c r="AH24" i="18"/>
  <c r="Y38" i="18"/>
  <c r="AH91" i="18"/>
  <c r="Y95" i="18"/>
  <c r="AH74" i="18"/>
  <c r="AH78" i="18"/>
  <c r="AH61" i="18"/>
  <c r="F8" i="18"/>
  <c r="AM38" i="18"/>
  <c r="AM44" i="18" s="1"/>
  <c r="AH50" i="18"/>
  <c r="AH64" i="18"/>
  <c r="P79" i="10"/>
  <c r="P75" i="29" s="1"/>
  <c r="P80" i="10"/>
  <c r="P76" i="29" s="1"/>
  <c r="AD82" i="4"/>
  <c r="P81" i="10" s="1"/>
  <c r="P77" i="29" s="1"/>
  <c r="J73" i="2"/>
  <c r="J101" i="2" s="1"/>
  <c r="AH38" i="18" l="1"/>
  <c r="AH44" i="18" s="1"/>
  <c r="AH95" i="18"/>
  <c r="AH15" i="18"/>
  <c r="AH35" i="18"/>
  <c r="AH37" i="18" s="1"/>
  <c r="AH94" i="18"/>
  <c r="AH20" i="18"/>
  <c r="AH22" i="18" s="1"/>
  <c r="AH80" i="18"/>
  <c r="AH86" i="18" s="1"/>
  <c r="AD37" i="18"/>
  <c r="AH17" i="18"/>
  <c r="AH73" i="18"/>
  <c r="AH79" i="18" s="1"/>
  <c r="AH14" i="18"/>
  <c r="AH19" i="18"/>
  <c r="Y31" i="18"/>
  <c r="AH87" i="18"/>
  <c r="AH93" i="18" s="1"/>
  <c r="AH32" i="18"/>
  <c r="AH34" i="18" s="1"/>
  <c r="AH96" i="18"/>
  <c r="AH26" i="18"/>
  <c r="AH28" i="18" s="1"/>
  <c r="AH18" i="18"/>
  <c r="AH23" i="18"/>
  <c r="AH25" i="18" s="1"/>
  <c r="AH16" i="18"/>
  <c r="Y65" i="18"/>
  <c r="Y86" i="18"/>
  <c r="Y51" i="18"/>
  <c r="AH66" i="18"/>
  <c r="AH72" i="18" s="1"/>
  <c r="P78" i="23"/>
  <c r="P78" i="22"/>
  <c r="P77" i="23"/>
  <c r="P77" i="22"/>
  <c r="P76" i="23"/>
  <c r="P76" i="22"/>
  <c r="Y28" i="1"/>
  <c r="AP66" i="14"/>
  <c r="AP69" i="14" s="1"/>
  <c r="AP58" i="14"/>
  <c r="AG87" i="18"/>
  <c r="AG93" i="18" s="1"/>
  <c r="AC7" i="19"/>
  <c r="S9" i="19"/>
  <c r="T9" i="19" s="1"/>
  <c r="U9" i="19" s="1"/>
  <c r="V9" i="19" s="1"/>
  <c r="AM3" i="18"/>
  <c r="Y44" i="18"/>
  <c r="F73" i="2"/>
  <c r="F101" i="2" s="1"/>
  <c r="G73" i="2"/>
  <c r="G101" i="2" s="1"/>
  <c r="H73" i="2"/>
  <c r="H101" i="2" s="1"/>
  <c r="I73" i="2"/>
  <c r="I101" i="2" s="1"/>
  <c r="K73" i="2"/>
  <c r="K101" i="2" s="1"/>
  <c r="L73" i="2"/>
  <c r="L101" i="2" s="1"/>
  <c r="M73" i="2"/>
  <c r="M101" i="2" s="1"/>
  <c r="N73" i="2"/>
  <c r="N101" i="2" s="1"/>
  <c r="O73" i="2"/>
  <c r="O101" i="2" s="1"/>
  <c r="P73" i="2"/>
  <c r="P101" i="2" s="1"/>
  <c r="Q73" i="2"/>
  <c r="Q101" i="2" s="1"/>
  <c r="R73" i="2"/>
  <c r="R101" i="2" s="1"/>
  <c r="S73" i="2"/>
  <c r="S101" i="2" s="1"/>
  <c r="T73" i="2"/>
  <c r="T101" i="2" s="1"/>
  <c r="U73" i="2"/>
  <c r="U101" i="2" s="1"/>
  <c r="V73" i="2"/>
  <c r="V101" i="2" s="1"/>
  <c r="W73" i="2"/>
  <c r="W101" i="2" s="1"/>
  <c r="X73" i="2"/>
  <c r="X101" i="2" s="1"/>
  <c r="Y73" i="2"/>
  <c r="Y101" i="2" s="1"/>
  <c r="Z73" i="2"/>
  <c r="Z101" i="2" s="1"/>
  <c r="AA73" i="2"/>
  <c r="AA101" i="2" s="1"/>
  <c r="D73" i="2"/>
  <c r="E73" i="2"/>
  <c r="E101" i="2" s="1"/>
  <c r="L81" i="10" l="1"/>
  <c r="O77" i="29" s="1"/>
  <c r="Y3" i="18"/>
  <c r="D101" i="2"/>
  <c r="AE77" i="29" l="1"/>
  <c r="R77" i="29"/>
  <c r="E82" i="11"/>
  <c r="O78" i="23"/>
  <c r="Q78" i="23" s="1"/>
  <c r="O78" i="22"/>
  <c r="Q78" i="22" s="1"/>
  <c r="D22" i="2"/>
  <c r="D23" i="2" s="1"/>
  <c r="AA64" i="2" l="1"/>
  <c r="I31" i="1" l="1"/>
  <c r="U35" i="18" s="1"/>
  <c r="F9" i="5" l="1"/>
  <c r="AN40" i="14" l="1"/>
  <c r="A2" i="12"/>
  <c r="A3" i="12"/>
  <c r="A1" i="12"/>
  <c r="CB11" i="12"/>
  <c r="BZ11" i="12"/>
  <c r="BE9" i="12"/>
  <c r="AP96" i="12"/>
  <c r="I96" i="12"/>
  <c r="E96" i="12"/>
  <c r="D96" i="12"/>
  <c r="B96" i="12"/>
  <c r="I95" i="12"/>
  <c r="E95" i="12"/>
  <c r="D95" i="12"/>
  <c r="B95" i="12"/>
  <c r="I94" i="12"/>
  <c r="E94" i="12"/>
  <c r="D94" i="12"/>
  <c r="B94" i="12"/>
  <c r="E92" i="12"/>
  <c r="D92" i="12"/>
  <c r="E91" i="12"/>
  <c r="D91" i="12"/>
  <c r="E90" i="12"/>
  <c r="D90" i="12"/>
  <c r="E89" i="12"/>
  <c r="D89" i="12"/>
  <c r="E88" i="12"/>
  <c r="D88" i="12"/>
  <c r="J87" i="12"/>
  <c r="I87" i="12"/>
  <c r="E87" i="12"/>
  <c r="D87" i="12"/>
  <c r="B87" i="12"/>
  <c r="E85" i="12"/>
  <c r="D85" i="12"/>
  <c r="E84" i="12"/>
  <c r="D84" i="12"/>
  <c r="E83" i="12"/>
  <c r="D83" i="12"/>
  <c r="E82" i="12"/>
  <c r="D82" i="12"/>
  <c r="E81" i="12"/>
  <c r="D81" i="12"/>
  <c r="I80" i="12"/>
  <c r="E80" i="12"/>
  <c r="D80" i="12"/>
  <c r="B80" i="12"/>
  <c r="E78" i="12"/>
  <c r="D78" i="12"/>
  <c r="E77" i="12"/>
  <c r="D77" i="12"/>
  <c r="E76" i="12"/>
  <c r="D76" i="12"/>
  <c r="E75" i="12"/>
  <c r="D75" i="12"/>
  <c r="E74" i="12"/>
  <c r="D74" i="12"/>
  <c r="I73" i="12"/>
  <c r="E73" i="12"/>
  <c r="D73" i="12"/>
  <c r="B73" i="12"/>
  <c r="E71" i="12"/>
  <c r="D71" i="12"/>
  <c r="E70" i="12"/>
  <c r="D70" i="12"/>
  <c r="E69" i="12"/>
  <c r="D69" i="12"/>
  <c r="E68" i="12"/>
  <c r="D68" i="12"/>
  <c r="E67" i="12"/>
  <c r="D67" i="12"/>
  <c r="I66" i="12"/>
  <c r="E66" i="12"/>
  <c r="D66" i="12"/>
  <c r="B66" i="12"/>
  <c r="E64" i="12"/>
  <c r="D64" i="12"/>
  <c r="E63" i="12"/>
  <c r="D63" i="12"/>
  <c r="E62" i="12"/>
  <c r="D62" i="12"/>
  <c r="E61" i="12"/>
  <c r="D61" i="12"/>
  <c r="E60" i="12"/>
  <c r="D60" i="12"/>
  <c r="I59" i="12"/>
  <c r="E59" i="12"/>
  <c r="D59" i="12"/>
  <c r="B59" i="12"/>
  <c r="E57" i="12"/>
  <c r="D57" i="12"/>
  <c r="E56" i="12"/>
  <c r="D56" i="12"/>
  <c r="E55" i="12"/>
  <c r="D55" i="12"/>
  <c r="E54" i="12"/>
  <c r="D54" i="12"/>
  <c r="E53" i="12"/>
  <c r="D53" i="12"/>
  <c r="I52" i="12"/>
  <c r="E52" i="12"/>
  <c r="D52" i="12"/>
  <c r="B52" i="12"/>
  <c r="E50" i="12"/>
  <c r="D50" i="12"/>
  <c r="E49" i="12"/>
  <c r="D49" i="12"/>
  <c r="E48" i="12"/>
  <c r="D48" i="12"/>
  <c r="E47" i="12"/>
  <c r="D47" i="12"/>
  <c r="E46" i="12"/>
  <c r="D46" i="12"/>
  <c r="I45" i="12"/>
  <c r="E45" i="12"/>
  <c r="D45" i="12"/>
  <c r="B45" i="12"/>
  <c r="E43" i="12"/>
  <c r="D43" i="12"/>
  <c r="E42" i="12"/>
  <c r="D42" i="12"/>
  <c r="E41" i="12"/>
  <c r="D41" i="12"/>
  <c r="E40" i="12"/>
  <c r="D40" i="12"/>
  <c r="E39" i="12"/>
  <c r="D39" i="12"/>
  <c r="I38" i="12"/>
  <c r="E38" i="12"/>
  <c r="D38" i="12"/>
  <c r="B38" i="12"/>
  <c r="E36" i="12"/>
  <c r="D36" i="12"/>
  <c r="I35" i="12"/>
  <c r="E35" i="12"/>
  <c r="D35" i="12"/>
  <c r="B35" i="12"/>
  <c r="E33" i="12"/>
  <c r="D33" i="12"/>
  <c r="I32" i="12"/>
  <c r="E32" i="12"/>
  <c r="D32" i="12"/>
  <c r="B32" i="12"/>
  <c r="E30" i="12"/>
  <c r="D30" i="12"/>
  <c r="I29" i="12"/>
  <c r="E29" i="12"/>
  <c r="D29" i="12"/>
  <c r="B29" i="12"/>
  <c r="E27" i="12"/>
  <c r="D27" i="12"/>
  <c r="I26" i="12"/>
  <c r="E26" i="12"/>
  <c r="D26" i="12"/>
  <c r="B26" i="12"/>
  <c r="E24" i="12"/>
  <c r="D24" i="12"/>
  <c r="I23" i="12"/>
  <c r="E23" i="12"/>
  <c r="D23" i="12"/>
  <c r="B23" i="12"/>
  <c r="E21" i="12"/>
  <c r="D21" i="12"/>
  <c r="I20" i="12"/>
  <c r="E20" i="12"/>
  <c r="D20" i="12"/>
  <c r="B20" i="12"/>
  <c r="I19" i="12"/>
  <c r="E19" i="12"/>
  <c r="D19" i="12"/>
  <c r="B19" i="12"/>
  <c r="I18" i="12"/>
  <c r="E18" i="12"/>
  <c r="D18" i="12"/>
  <c r="B18" i="12"/>
  <c r="I17" i="12"/>
  <c r="E17" i="12"/>
  <c r="D17" i="12"/>
  <c r="B17" i="12"/>
  <c r="I16" i="12"/>
  <c r="E16" i="12"/>
  <c r="D16" i="12"/>
  <c r="B16" i="12"/>
  <c r="I15" i="12"/>
  <c r="E15" i="12"/>
  <c r="D15" i="12"/>
  <c r="B15" i="12"/>
  <c r="I14" i="12"/>
  <c r="E14" i="12"/>
  <c r="D14" i="12"/>
  <c r="B14" i="12"/>
  <c r="AZ77" i="17"/>
  <c r="AZ76" i="17"/>
  <c r="AZ75" i="17"/>
  <c r="AZ74" i="17"/>
  <c r="AZ73" i="17"/>
  <c r="AZ72" i="17"/>
  <c r="AZ71" i="17"/>
  <c r="AZ70" i="17"/>
  <c r="AZ69" i="17"/>
  <c r="AZ68" i="17"/>
  <c r="AZ67" i="17"/>
  <c r="AZ66" i="17"/>
  <c r="AZ65" i="17"/>
  <c r="AZ64" i="17"/>
  <c r="AZ63" i="17"/>
  <c r="AZ62" i="17"/>
  <c r="AZ61" i="17"/>
  <c r="AZ60" i="17"/>
  <c r="AZ59" i="17"/>
  <c r="AZ58" i="17"/>
  <c r="AZ57" i="17"/>
  <c r="AZ56" i="17"/>
  <c r="AZ55" i="17"/>
  <c r="AZ54" i="17"/>
  <c r="AZ53" i="17"/>
  <c r="AZ52" i="17"/>
  <c r="AZ51" i="17"/>
  <c r="AZ50" i="17"/>
  <c r="AZ49" i="17"/>
  <c r="AZ48" i="17"/>
  <c r="AZ47" i="17"/>
  <c r="AZ46" i="17"/>
  <c r="AZ45" i="17"/>
  <c r="AZ44" i="17"/>
  <c r="AZ43" i="17"/>
  <c r="AZ42" i="17"/>
  <c r="AZ41" i="17"/>
  <c r="AZ40" i="17"/>
  <c r="AZ39" i="17"/>
  <c r="AZ38" i="17"/>
  <c r="AZ37" i="17"/>
  <c r="AZ36" i="17"/>
  <c r="AZ35" i="17"/>
  <c r="AZ34" i="17"/>
  <c r="AZ33" i="17"/>
  <c r="AZ32" i="17"/>
  <c r="AZ31" i="17"/>
  <c r="AZ30" i="17"/>
  <c r="AZ29" i="17"/>
  <c r="AZ28" i="17"/>
  <c r="AZ27" i="17"/>
  <c r="AZ26" i="17"/>
  <c r="AZ25" i="17"/>
  <c r="AZ24" i="17"/>
  <c r="AZ23" i="17"/>
  <c r="AZ22" i="17"/>
  <c r="AZ21" i="17"/>
  <c r="AZ20" i="17"/>
  <c r="AZ19" i="17"/>
  <c r="AZ18" i="17"/>
  <c r="AZ17" i="17"/>
  <c r="AZ16" i="17"/>
  <c r="AZ15" i="17"/>
  <c r="AZ14" i="17"/>
  <c r="AZ13" i="17"/>
  <c r="AZ10" i="17"/>
  <c r="BC7" i="17"/>
  <c r="BB7" i="17"/>
  <c r="BA7" i="17"/>
  <c r="T6" i="17"/>
  <c r="AO6" i="17" s="1"/>
  <c r="S6" i="17"/>
  <c r="AN6" i="17" s="1"/>
  <c r="P6" i="17"/>
  <c r="P9" i="12" l="1"/>
  <c r="AI9" i="12" l="1"/>
  <c r="AK9" i="12" s="1"/>
  <c r="AJ10" i="12"/>
  <c r="AK10" i="12" s="1"/>
  <c r="AQ10" i="12"/>
  <c r="AR10" i="12" s="1"/>
  <c r="AD8" i="10"/>
  <c r="O8" i="10"/>
  <c r="AK9" i="4"/>
  <c r="AF8" i="10" l="1"/>
  <c r="AE8" i="10"/>
  <c r="BD10" i="7"/>
  <c r="BD9" i="7"/>
  <c r="P12" i="5" l="1"/>
  <c r="Q11" i="5"/>
  <c r="AK10" i="4"/>
  <c r="AD4" i="10" s="1"/>
  <c r="AL9" i="4"/>
  <c r="AB10" i="4"/>
  <c r="AC9" i="4"/>
  <c r="AM5" i="17" l="1"/>
  <c r="AM5" i="29"/>
  <c r="AY6" i="19"/>
  <c r="BC12" i="7"/>
  <c r="P4" i="10"/>
  <c r="AZ6" i="9"/>
  <c r="S10" i="4"/>
  <c r="BC9" i="7" s="1"/>
  <c r="T9" i="4"/>
  <c r="P5" i="17" l="1"/>
  <c r="P5" i="29"/>
  <c r="S4" i="10"/>
  <c r="S5" i="29" s="1"/>
  <c r="AZ4" i="9"/>
  <c r="S5" i="17" l="1"/>
  <c r="AE4" i="10"/>
  <c r="D27" i="20"/>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AN5" i="17" l="1"/>
  <c r="AN5" i="29"/>
  <c r="D41" i="20"/>
  <c r="E41" i="20"/>
  <c r="R83" i="1"/>
  <c r="O82" i="4" s="1"/>
  <c r="E17" i="13"/>
  <c r="D35" i="13"/>
  <c r="E18" i="13"/>
  <c r="E28" i="13"/>
  <c r="E38" i="13"/>
  <c r="D19" i="13"/>
  <c r="D28" i="13"/>
  <c r="D36" i="13"/>
  <c r="D34" i="13"/>
  <c r="E19" i="13"/>
  <c r="D20" i="13"/>
  <c r="D37" i="13"/>
  <c r="E26" i="13"/>
  <c r="D18" i="13"/>
  <c r="E20" i="13"/>
  <c r="E30" i="13"/>
  <c r="E21" i="13"/>
  <c r="D21" i="13"/>
  <c r="D30" i="13"/>
  <c r="D38" i="13"/>
  <c r="E36" i="13"/>
  <c r="D26" i="13"/>
  <c r="E31" i="13"/>
  <c r="E23" i="13"/>
  <c r="D22" i="13"/>
  <c r="D31" i="13"/>
  <c r="D39" i="13"/>
  <c r="D25" i="13"/>
  <c r="E37" i="13"/>
  <c r="E39" i="13"/>
  <c r="E22" i="13"/>
  <c r="E24" i="13"/>
  <c r="E32" i="13"/>
  <c r="E33" i="13"/>
  <c r="D23" i="13"/>
  <c r="D32" i="13"/>
  <c r="D27" i="13"/>
  <c r="D17" i="13"/>
  <c r="E27" i="13"/>
  <c r="E29" i="13"/>
  <c r="E25" i="13"/>
  <c r="E35" i="13"/>
  <c r="E34" i="13"/>
  <c r="D24" i="13"/>
  <c r="D33" i="13"/>
  <c r="D29" i="13"/>
  <c r="D15" i="2"/>
  <c r="D14" i="2"/>
  <c r="D33" i="21" l="1"/>
  <c r="D33" i="25"/>
  <c r="E26" i="21"/>
  <c r="E26" i="25"/>
  <c r="E38" i="21"/>
  <c r="E38" i="25"/>
  <c r="D24" i="21"/>
  <c r="D24" i="25"/>
  <c r="D32" i="21"/>
  <c r="D32" i="25"/>
  <c r="D25" i="21"/>
  <c r="D25" i="25"/>
  <c r="D38" i="21"/>
  <c r="D38" i="25"/>
  <c r="D37" i="21"/>
  <c r="D37" i="25"/>
  <c r="E28" i="21"/>
  <c r="E28" i="25"/>
  <c r="E22" i="21"/>
  <c r="E22" i="25"/>
  <c r="D27" i="21"/>
  <c r="D27" i="25"/>
  <c r="D39" i="21"/>
  <c r="D39" i="25"/>
  <c r="D30" i="21"/>
  <c r="D30" i="25"/>
  <c r="D20" i="21"/>
  <c r="D20" i="25"/>
  <c r="E18" i="21"/>
  <c r="E18" i="25"/>
  <c r="E25" i="21"/>
  <c r="E25" i="25"/>
  <c r="E31" i="21"/>
  <c r="E31" i="25"/>
  <c r="E37" i="21"/>
  <c r="E37" i="25"/>
  <c r="E36" i="21"/>
  <c r="E36" i="25"/>
  <c r="E34" i="21"/>
  <c r="E34" i="25"/>
  <c r="D23" i="21"/>
  <c r="D23" i="25"/>
  <c r="E35" i="21"/>
  <c r="E35" i="25"/>
  <c r="E33" i="21"/>
  <c r="E33" i="25"/>
  <c r="D31" i="21"/>
  <c r="D31" i="25"/>
  <c r="D21" i="21"/>
  <c r="D21" i="25"/>
  <c r="E19" i="21"/>
  <c r="E19" i="25"/>
  <c r="D35" i="21"/>
  <c r="D35" i="25"/>
  <c r="E32" i="21"/>
  <c r="E32" i="25"/>
  <c r="D22" i="21"/>
  <c r="D22" i="25"/>
  <c r="E21" i="21"/>
  <c r="E21" i="25"/>
  <c r="D34" i="21"/>
  <c r="D34" i="25"/>
  <c r="E17" i="21"/>
  <c r="E17" i="25"/>
  <c r="E29" i="21"/>
  <c r="E29" i="25"/>
  <c r="E24" i="21"/>
  <c r="E24" i="25"/>
  <c r="E23" i="21"/>
  <c r="E23" i="25"/>
  <c r="E30" i="21"/>
  <c r="E30" i="25"/>
  <c r="D36" i="21"/>
  <c r="D36" i="25"/>
  <c r="E27" i="21"/>
  <c r="E27" i="25"/>
  <c r="E20" i="21"/>
  <c r="E20" i="25"/>
  <c r="D28" i="21"/>
  <c r="D28" i="25"/>
  <c r="D29" i="21"/>
  <c r="D29" i="25"/>
  <c r="D17" i="21"/>
  <c r="D17" i="25"/>
  <c r="E39" i="21"/>
  <c r="E39" i="25"/>
  <c r="D26" i="21"/>
  <c r="D26" i="25"/>
  <c r="D18" i="21"/>
  <c r="D18" i="25"/>
  <c r="D19" i="21"/>
  <c r="D19" i="25"/>
  <c r="P82" i="4"/>
  <c r="E40" i="2"/>
  <c r="E49" i="2" s="1"/>
  <c r="J40" i="2"/>
  <c r="J49" i="2" s="1"/>
  <c r="P40" i="2"/>
  <c r="P49" i="2" s="1"/>
  <c r="Z40" i="2"/>
  <c r="Z49" i="2" s="1"/>
  <c r="G40" i="2"/>
  <c r="G49" i="2" s="1"/>
  <c r="E41" i="13"/>
  <c r="U40" i="2"/>
  <c r="U49" i="2" s="1"/>
  <c r="R40" i="2"/>
  <c r="R49" i="2" s="1"/>
  <c r="W40" i="2"/>
  <c r="W49" i="2" s="1"/>
  <c r="L40" i="2"/>
  <c r="L49" i="2" s="1"/>
  <c r="I40" i="2"/>
  <c r="I49" i="2" s="1"/>
  <c r="N40" i="2"/>
  <c r="N49" i="2" s="1"/>
  <c r="O40" i="2"/>
  <c r="O49" i="2" s="1"/>
  <c r="Y40" i="2"/>
  <c r="Y49" i="2" s="1"/>
  <c r="F40" i="2"/>
  <c r="F49" i="2" s="1"/>
  <c r="T40" i="2"/>
  <c r="T49" i="2" s="1"/>
  <c r="Q40" i="2"/>
  <c r="Q49" i="2" s="1"/>
  <c r="V40" i="2"/>
  <c r="V49" i="2" s="1"/>
  <c r="K40" i="2"/>
  <c r="K49" i="2" s="1"/>
  <c r="H40" i="2"/>
  <c r="H49" i="2" s="1"/>
  <c r="M40" i="2"/>
  <c r="M49" i="2" s="1"/>
  <c r="S40" i="2"/>
  <c r="S49" i="2" s="1"/>
  <c r="X40" i="2"/>
  <c r="X49" i="2" s="1"/>
  <c r="D16" i="2"/>
  <c r="D41" i="13"/>
  <c r="E16" i="2"/>
  <c r="R81" i="1"/>
  <c r="D41" i="21" l="1"/>
  <c r="E41" i="21"/>
  <c r="E41" i="25"/>
  <c r="D41" i="25"/>
  <c r="AC77" i="17"/>
  <c r="AC76"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8" i="17"/>
  <c r="AC17" i="17"/>
  <c r="AC16" i="17"/>
  <c r="AC15" i="17"/>
  <c r="AC14" i="17"/>
  <c r="AC13" i="17"/>
  <c r="AC12" i="17"/>
  <c r="AC11" i="17"/>
  <c r="AC10" i="17"/>
  <c r="P77" i="17"/>
  <c r="P76" i="17"/>
  <c r="P75" i="17"/>
  <c r="M77" i="17"/>
  <c r="L77" i="17"/>
  <c r="K77" i="17"/>
  <c r="J77" i="17"/>
  <c r="M76" i="17"/>
  <c r="L76" i="17"/>
  <c r="K76" i="17"/>
  <c r="J76" i="17"/>
  <c r="M75" i="17"/>
  <c r="L75" i="17"/>
  <c r="K75" i="17"/>
  <c r="J75" i="17"/>
  <c r="L74" i="17"/>
  <c r="K74" i="17"/>
  <c r="L73" i="17"/>
  <c r="K73" i="17"/>
  <c r="L72" i="17"/>
  <c r="K72" i="17"/>
  <c r="L71" i="17"/>
  <c r="K71" i="17"/>
  <c r="L70" i="17"/>
  <c r="K70" i="17"/>
  <c r="L69" i="17"/>
  <c r="K69" i="17"/>
  <c r="M68" i="17"/>
  <c r="L68" i="17"/>
  <c r="K68" i="17"/>
  <c r="J68" i="17"/>
  <c r="M67" i="17"/>
  <c r="L67" i="17"/>
  <c r="K67" i="17"/>
  <c r="J67" i="17"/>
  <c r="M66" i="17"/>
  <c r="L66" i="17"/>
  <c r="K66" i="17"/>
  <c r="J66" i="17"/>
  <c r="M65" i="17"/>
  <c r="L65" i="17"/>
  <c r="K65" i="17"/>
  <c r="J65" i="17"/>
  <c r="M64" i="17"/>
  <c r="L64" i="17"/>
  <c r="K64" i="17"/>
  <c r="J64" i="17"/>
  <c r="M63" i="17"/>
  <c r="L63" i="17"/>
  <c r="K63" i="17"/>
  <c r="J63" i="17"/>
  <c r="M62" i="17"/>
  <c r="K62" i="17"/>
  <c r="J62" i="17"/>
  <c r="M61" i="17"/>
  <c r="K61" i="17"/>
  <c r="J61" i="17"/>
  <c r="M60" i="17"/>
  <c r="K60" i="17"/>
  <c r="J60" i="17"/>
  <c r="M59" i="17"/>
  <c r="K59" i="17"/>
  <c r="J59" i="17"/>
  <c r="M58" i="17"/>
  <c r="K58" i="17"/>
  <c r="J58" i="17"/>
  <c r="M57" i="17"/>
  <c r="K57" i="17"/>
  <c r="J57" i="17"/>
  <c r="M56" i="17"/>
  <c r="K56" i="17"/>
  <c r="J56" i="17"/>
  <c r="M55" i="17"/>
  <c r="K55" i="17"/>
  <c r="J55" i="17"/>
  <c r="M54" i="17"/>
  <c r="K54" i="17"/>
  <c r="J54" i="17"/>
  <c r="M53" i="17"/>
  <c r="K53" i="17"/>
  <c r="J53" i="17"/>
  <c r="M52" i="17"/>
  <c r="K52" i="17"/>
  <c r="J52" i="17"/>
  <c r="M51" i="17"/>
  <c r="K51" i="17"/>
  <c r="J51" i="17"/>
  <c r="M50" i="17"/>
  <c r="L50" i="17"/>
  <c r="K50" i="17"/>
  <c r="J50" i="17"/>
  <c r="M49" i="17"/>
  <c r="L49" i="17"/>
  <c r="K49" i="17"/>
  <c r="J49" i="17"/>
  <c r="M48" i="17"/>
  <c r="L48" i="17"/>
  <c r="K48" i="17"/>
  <c r="J48" i="17"/>
  <c r="M47" i="17"/>
  <c r="L47" i="17"/>
  <c r="K47" i="17"/>
  <c r="J47" i="17"/>
  <c r="M46" i="17"/>
  <c r="L46" i="17"/>
  <c r="K46" i="17"/>
  <c r="J46" i="17"/>
  <c r="M45" i="17"/>
  <c r="L45" i="17"/>
  <c r="K45" i="17"/>
  <c r="J45" i="17"/>
  <c r="M44" i="17"/>
  <c r="L44" i="17"/>
  <c r="K44" i="17"/>
  <c r="J44" i="17"/>
  <c r="M43" i="17"/>
  <c r="L43" i="17"/>
  <c r="K43" i="17"/>
  <c r="J43" i="17"/>
  <c r="M42" i="17"/>
  <c r="L42" i="17"/>
  <c r="K42" i="17"/>
  <c r="J42" i="17"/>
  <c r="M41" i="17"/>
  <c r="L41" i="17"/>
  <c r="K41" i="17"/>
  <c r="J41" i="17"/>
  <c r="M40" i="17"/>
  <c r="L40" i="17"/>
  <c r="K40" i="17"/>
  <c r="J40" i="17"/>
  <c r="M39" i="17"/>
  <c r="L39" i="17"/>
  <c r="K39" i="17"/>
  <c r="J39" i="17"/>
  <c r="M38" i="17"/>
  <c r="K38" i="17"/>
  <c r="J38" i="17"/>
  <c r="M37" i="17"/>
  <c r="K37" i="17"/>
  <c r="J37" i="17"/>
  <c r="M36" i="17"/>
  <c r="K36" i="17"/>
  <c r="J36" i="17"/>
  <c r="M35" i="17"/>
  <c r="K35" i="17"/>
  <c r="J35" i="17"/>
  <c r="M34" i="17"/>
  <c r="K34" i="17"/>
  <c r="J34" i="17"/>
  <c r="M33" i="17"/>
  <c r="K33" i="17"/>
  <c r="J33" i="17"/>
  <c r="M32" i="17"/>
  <c r="K32" i="17"/>
  <c r="J32" i="17"/>
  <c r="M31" i="17"/>
  <c r="K31" i="17"/>
  <c r="J31" i="17"/>
  <c r="M30" i="17"/>
  <c r="K30" i="17"/>
  <c r="J30" i="17"/>
  <c r="M29" i="17"/>
  <c r="K29" i="17"/>
  <c r="J29" i="17"/>
  <c r="M28" i="17"/>
  <c r="K28" i="17"/>
  <c r="J28" i="17"/>
  <c r="M27" i="17"/>
  <c r="K27" i="17"/>
  <c r="J27" i="17"/>
  <c r="L26" i="17"/>
  <c r="K26" i="17"/>
  <c r="J26" i="17"/>
  <c r="L25" i="17"/>
  <c r="K25" i="17"/>
  <c r="J25" i="17"/>
  <c r="M24" i="17"/>
  <c r="L24" i="17"/>
  <c r="K24" i="17"/>
  <c r="J24" i="17"/>
  <c r="M23" i="17"/>
  <c r="L23" i="17"/>
  <c r="K23" i="17"/>
  <c r="J23" i="17"/>
  <c r="M22" i="17"/>
  <c r="K22" i="17"/>
  <c r="M21" i="17"/>
  <c r="K21" i="17"/>
  <c r="M20" i="17"/>
  <c r="K20" i="17"/>
  <c r="J20" i="17"/>
  <c r="M19" i="17"/>
  <c r="K19" i="17"/>
  <c r="J19" i="17"/>
  <c r="M18" i="17"/>
  <c r="K18" i="17"/>
  <c r="J18" i="17"/>
  <c r="M17" i="17"/>
  <c r="K17" i="17"/>
  <c r="J17" i="17"/>
  <c r="M16" i="17"/>
  <c r="K16" i="17"/>
  <c r="J16" i="17"/>
  <c r="M15" i="17"/>
  <c r="K15" i="17"/>
  <c r="J15" i="17"/>
  <c r="M14" i="17"/>
  <c r="J14" i="17"/>
  <c r="M13" i="17"/>
  <c r="J13" i="17"/>
  <c r="M12" i="17"/>
  <c r="J12" i="17"/>
  <c r="M11" i="17"/>
  <c r="J11" i="17"/>
  <c r="M10" i="17"/>
  <c r="J10" i="17"/>
  <c r="L9" i="17"/>
  <c r="K9" i="17"/>
  <c r="M9" i="17"/>
  <c r="J9" i="17"/>
  <c r="H77" i="17"/>
  <c r="H76" i="17"/>
  <c r="H75" i="17"/>
  <c r="I69" i="17"/>
  <c r="H69" i="17"/>
  <c r="H63" i="17"/>
  <c r="H57" i="17"/>
  <c r="H51" i="17"/>
  <c r="H45" i="17"/>
  <c r="H39" i="17"/>
  <c r="H33" i="17"/>
  <c r="H27" i="17"/>
  <c r="H25" i="17"/>
  <c r="H23" i="17"/>
  <c r="H21" i="17"/>
  <c r="H19" i="17"/>
  <c r="H17" i="17"/>
  <c r="H15" i="17"/>
  <c r="H14" i="17"/>
  <c r="H13" i="17"/>
  <c r="H12" i="17"/>
  <c r="H11" i="17"/>
  <c r="H10" i="17"/>
  <c r="H9" i="17"/>
  <c r="G77" i="17"/>
  <c r="G76" i="17"/>
  <c r="G75" i="17"/>
  <c r="G69" i="17"/>
  <c r="G63" i="17"/>
  <c r="G45" i="17"/>
  <c r="G39" i="17"/>
  <c r="G33" i="17"/>
  <c r="G27" i="17"/>
  <c r="G25" i="17"/>
  <c r="G23" i="17"/>
  <c r="G21" i="17"/>
  <c r="G19" i="17"/>
  <c r="G17" i="17"/>
  <c r="G15" i="17"/>
  <c r="G14" i="17"/>
  <c r="G13" i="17"/>
  <c r="G12" i="17"/>
  <c r="G11" i="17"/>
  <c r="G10" i="17"/>
  <c r="G9"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B10" i="17"/>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C76" i="17"/>
  <c r="C77" i="17"/>
  <c r="C75" i="17"/>
  <c r="C69" i="17"/>
  <c r="C63" i="17"/>
  <c r="C57" i="17"/>
  <c r="C51" i="17"/>
  <c r="C45" i="17"/>
  <c r="C39" i="17"/>
  <c r="C33" i="17"/>
  <c r="C27" i="17"/>
  <c r="C25" i="17"/>
  <c r="C23" i="17"/>
  <c r="C21" i="17"/>
  <c r="C19" i="17"/>
  <c r="C17" i="17"/>
  <c r="C15" i="17"/>
  <c r="C10" i="17"/>
  <c r="C11" i="17"/>
  <c r="C12" i="17"/>
  <c r="C13" i="17"/>
  <c r="C14" i="17"/>
  <c r="C9" i="17"/>
  <c r="T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D16" i="14"/>
  <c r="BV11" i="12"/>
  <c r="BT11" i="12"/>
  <c r="AP9" i="12"/>
  <c r="H8" i="11"/>
  <c r="N8" i="11" s="1"/>
  <c r="G8" i="11"/>
  <c r="AQ9" i="12" l="1"/>
  <c r="AR9" i="12" s="1"/>
  <c r="AS9" i="12"/>
  <c r="Q8" i="11"/>
  <c r="P8" i="11"/>
  <c r="W8" i="11" s="1"/>
  <c r="O8" i="11"/>
  <c r="AB53" i="14"/>
  <c r="AG53" i="14" s="1"/>
  <c r="W55" i="14"/>
  <c r="W57" i="14"/>
  <c r="AB56" i="14"/>
  <c r="AG56" i="14" s="1"/>
  <c r="AB54" i="14"/>
  <c r="AG54" i="14" s="1"/>
  <c r="AB55" i="14"/>
  <c r="W53" i="14"/>
  <c r="AB57" i="14"/>
  <c r="W56" i="14"/>
  <c r="W54" i="14"/>
  <c r="N9" i="17"/>
  <c r="E40" i="14"/>
  <c r="D40" i="14"/>
  <c r="N75" i="17"/>
  <c r="N42" i="17"/>
  <c r="N50" i="17"/>
  <c r="N43" i="17"/>
  <c r="N45" i="17"/>
  <c r="N63" i="17"/>
  <c r="N41" i="17"/>
  <c r="N66" i="17"/>
  <c r="N76" i="17"/>
  <c r="N24" i="17"/>
  <c r="N47" i="17"/>
  <c r="N49" i="17"/>
  <c r="N40" i="17"/>
  <c r="N65" i="17"/>
  <c r="N67" i="17"/>
  <c r="N44" i="17"/>
  <c r="N46" i="17"/>
  <c r="N77" i="17"/>
  <c r="N23" i="17"/>
  <c r="N48" i="17"/>
  <c r="N39" i="17"/>
  <c r="N64" i="17"/>
  <c r="N68" i="17"/>
  <c r="AV9" i="12" l="1"/>
  <c r="AW9" i="12" s="1"/>
  <c r="AX9" i="12" s="1"/>
  <c r="AY9" i="12"/>
  <c r="AZ9" i="12" s="1"/>
  <c r="BA9" i="12" s="1"/>
  <c r="AT9" i="12"/>
  <c r="AU9" i="12" s="1"/>
  <c r="AG57" i="14"/>
  <c r="AB58" i="14"/>
  <c r="W58" i="14"/>
  <c r="AG55" i="14"/>
  <c r="B74" i="11"/>
  <c r="B28" i="11"/>
  <c r="B26" i="11"/>
  <c r="B24" i="11"/>
  <c r="B22" i="11"/>
  <c r="B20" i="11"/>
  <c r="B15" i="11"/>
  <c r="B16" i="11"/>
  <c r="B17" i="11"/>
  <c r="B18" i="11"/>
  <c r="B19" i="11"/>
  <c r="B14" i="11"/>
  <c r="AG58" i="14" l="1"/>
  <c r="AT86" i="9"/>
  <c r="AS86" i="9"/>
  <c r="AI86" i="9"/>
  <c r="AH86" i="9"/>
  <c r="AE92" i="9"/>
  <c r="AD92" i="9"/>
  <c r="AE91" i="9"/>
  <c r="AD91" i="9"/>
  <c r="AE90" i="9"/>
  <c r="AD90" i="9"/>
  <c r="AE89" i="9"/>
  <c r="AD89" i="9"/>
  <c r="AE88" i="9"/>
  <c r="AD88" i="9"/>
  <c r="AE85" i="9"/>
  <c r="AD85" i="9"/>
  <c r="AE84" i="9"/>
  <c r="AD84" i="9"/>
  <c r="AE83" i="9"/>
  <c r="AD83" i="9"/>
  <c r="AE82" i="9"/>
  <c r="AD82" i="9"/>
  <c r="AE81" i="9"/>
  <c r="AD81" i="9"/>
  <c r="AE78" i="9"/>
  <c r="AD78" i="9"/>
  <c r="AE77" i="9"/>
  <c r="AD77" i="9"/>
  <c r="AE76" i="9"/>
  <c r="AD76" i="9"/>
  <c r="AE75" i="9"/>
  <c r="AD75" i="9"/>
  <c r="AE74" i="9"/>
  <c r="AD74" i="9"/>
  <c r="AE71" i="9"/>
  <c r="AD71" i="9"/>
  <c r="AE70" i="9"/>
  <c r="AD70" i="9"/>
  <c r="AE69" i="9"/>
  <c r="AD69" i="9"/>
  <c r="AE68" i="9"/>
  <c r="AD68" i="9"/>
  <c r="AE67" i="9"/>
  <c r="AD67" i="9"/>
  <c r="AE64" i="9"/>
  <c r="AD64" i="9"/>
  <c r="AE63" i="9"/>
  <c r="AD63" i="9"/>
  <c r="AE62" i="9"/>
  <c r="AD62" i="9"/>
  <c r="AE61" i="9"/>
  <c r="AD61" i="9"/>
  <c r="AE60" i="9"/>
  <c r="AD60" i="9"/>
  <c r="AE57" i="9"/>
  <c r="AD57" i="9"/>
  <c r="AE56" i="9"/>
  <c r="AD56" i="9"/>
  <c r="AE55" i="9"/>
  <c r="AD55" i="9"/>
  <c r="AE54" i="9"/>
  <c r="AD54" i="9"/>
  <c r="AE53" i="9"/>
  <c r="AD53" i="9"/>
  <c r="AE50" i="9"/>
  <c r="AD50" i="9"/>
  <c r="AE49" i="9"/>
  <c r="AD49" i="9"/>
  <c r="AE48" i="9"/>
  <c r="AD48" i="9"/>
  <c r="AE47" i="9"/>
  <c r="AD47" i="9"/>
  <c r="AE46" i="9"/>
  <c r="AD46" i="9"/>
  <c r="AE43" i="9"/>
  <c r="AD43" i="9"/>
  <c r="AE42" i="9"/>
  <c r="AD42" i="9"/>
  <c r="AE41" i="9"/>
  <c r="AD41" i="9"/>
  <c r="AE40" i="9"/>
  <c r="AD40" i="9"/>
  <c r="AE39" i="9"/>
  <c r="AD39" i="9"/>
  <c r="AE36" i="9"/>
  <c r="AD36" i="9"/>
  <c r="AE33" i="9"/>
  <c r="AD33" i="9"/>
  <c r="AE30" i="9"/>
  <c r="AD30" i="9"/>
  <c r="AE27" i="9"/>
  <c r="AD27" i="9"/>
  <c r="AE24" i="9"/>
  <c r="AD24" i="9"/>
  <c r="AE21" i="9"/>
  <c r="AA92" i="9"/>
  <c r="Z92" i="9"/>
  <c r="AA91" i="9"/>
  <c r="Z91" i="9"/>
  <c r="AA90" i="9"/>
  <c r="Z90" i="9"/>
  <c r="AA89" i="9"/>
  <c r="Z89" i="9"/>
  <c r="AA88" i="9"/>
  <c r="Z88" i="9"/>
  <c r="AA85" i="9"/>
  <c r="Z85" i="9"/>
  <c r="AA84" i="9"/>
  <c r="Z84" i="9"/>
  <c r="AA83" i="9"/>
  <c r="Z83" i="9"/>
  <c r="AA82" i="9"/>
  <c r="Z82" i="9"/>
  <c r="AA81" i="9"/>
  <c r="Z81" i="9"/>
  <c r="AA78" i="9"/>
  <c r="Z78" i="9"/>
  <c r="AA77" i="9"/>
  <c r="Z77" i="9"/>
  <c r="AA76" i="9"/>
  <c r="Z76" i="9"/>
  <c r="AA75" i="9"/>
  <c r="Z75" i="9"/>
  <c r="AA74" i="9"/>
  <c r="Z74" i="9"/>
  <c r="AA71" i="9"/>
  <c r="Z71" i="9"/>
  <c r="AA70" i="9"/>
  <c r="Z70" i="9"/>
  <c r="AA69" i="9"/>
  <c r="Z69" i="9"/>
  <c r="AA68" i="9"/>
  <c r="Z68" i="9"/>
  <c r="AA67" i="9"/>
  <c r="Z67" i="9"/>
  <c r="AA64" i="9"/>
  <c r="Z64" i="9"/>
  <c r="AA63" i="9"/>
  <c r="Z63" i="9"/>
  <c r="AA62" i="9"/>
  <c r="Z62" i="9"/>
  <c r="AA61" i="9"/>
  <c r="Z61" i="9"/>
  <c r="AA60" i="9"/>
  <c r="Z60" i="9"/>
  <c r="AA57" i="9"/>
  <c r="Z57" i="9"/>
  <c r="AA56" i="9"/>
  <c r="Z56" i="9"/>
  <c r="AA55" i="9"/>
  <c r="Z55" i="9"/>
  <c r="AA54" i="9"/>
  <c r="Z54" i="9"/>
  <c r="AA53" i="9"/>
  <c r="Z53" i="9"/>
  <c r="AA50" i="9"/>
  <c r="Z50" i="9"/>
  <c r="AA49" i="9"/>
  <c r="Z49" i="9"/>
  <c r="AA48" i="9"/>
  <c r="Z48" i="9"/>
  <c r="AA47" i="9"/>
  <c r="Z47" i="9"/>
  <c r="AA46" i="9"/>
  <c r="Z46" i="9"/>
  <c r="AA43" i="9"/>
  <c r="Z43" i="9"/>
  <c r="AA42" i="9"/>
  <c r="Z42" i="9"/>
  <c r="AA41" i="9"/>
  <c r="Z41" i="9"/>
  <c r="AA40" i="9"/>
  <c r="Z40" i="9"/>
  <c r="AA39" i="9"/>
  <c r="Z39" i="9"/>
  <c r="AA36" i="9"/>
  <c r="Z36" i="9"/>
  <c r="AA33" i="9"/>
  <c r="Z33" i="9"/>
  <c r="AA30" i="9"/>
  <c r="Z30" i="9"/>
  <c r="AL30" i="9" s="1"/>
  <c r="AA27" i="9"/>
  <c r="Z27" i="9"/>
  <c r="AA24" i="9"/>
  <c r="Z24" i="9"/>
  <c r="AA21" i="9"/>
  <c r="U73" i="9"/>
  <c r="U66" i="9"/>
  <c r="U59" i="9"/>
  <c r="U52" i="9"/>
  <c r="U45" i="9"/>
  <c r="U38" i="9"/>
  <c r="W21" i="9"/>
  <c r="V21" i="9"/>
  <c r="Z21" i="9" s="1"/>
  <c r="B95" i="9"/>
  <c r="B96" i="9"/>
  <c r="B94" i="9"/>
  <c r="B87" i="9"/>
  <c r="B80" i="9"/>
  <c r="B73" i="9"/>
  <c r="B66" i="9"/>
  <c r="B59" i="9"/>
  <c r="B52" i="9"/>
  <c r="B45" i="9"/>
  <c r="B38" i="9"/>
  <c r="B32" i="9"/>
  <c r="AT34" i="9"/>
  <c r="AS34" i="9"/>
  <c r="AI34" i="9"/>
  <c r="AH34" i="9"/>
  <c r="B35" i="9"/>
  <c r="B29" i="9"/>
  <c r="B26" i="9"/>
  <c r="B23" i="9"/>
  <c r="AT25" i="9"/>
  <c r="AS25" i="9"/>
  <c r="AI25" i="9"/>
  <c r="AH25" i="9"/>
  <c r="B20" i="9"/>
  <c r="B15" i="9"/>
  <c r="B16" i="9"/>
  <c r="B17" i="9"/>
  <c r="B18" i="9"/>
  <c r="B19" i="9"/>
  <c r="B14" i="9"/>
  <c r="AM41" i="9" l="1"/>
  <c r="AM47" i="9"/>
  <c r="AM53" i="9"/>
  <c r="AM57" i="9"/>
  <c r="AM63" i="9"/>
  <c r="AM69" i="9"/>
  <c r="AM75" i="9"/>
  <c r="AM81" i="9"/>
  <c r="AM85" i="9"/>
  <c r="AM91" i="9"/>
  <c r="AL42" i="9"/>
  <c r="AL48" i="9"/>
  <c r="AL54" i="9"/>
  <c r="AL60" i="9"/>
  <c r="AL64" i="9"/>
  <c r="AL70" i="9"/>
  <c r="AL76" i="9"/>
  <c r="AL82" i="9"/>
  <c r="AL88" i="9"/>
  <c r="AL92" i="9"/>
  <c r="AM42" i="9"/>
  <c r="AM48" i="9"/>
  <c r="AM54" i="9"/>
  <c r="AM60" i="9"/>
  <c r="AM64" i="9"/>
  <c r="AM70" i="9"/>
  <c r="AM76" i="9"/>
  <c r="AM82" i="9"/>
  <c r="AM88" i="9"/>
  <c r="AM92" i="9"/>
  <c r="AL39" i="9"/>
  <c r="AL43" i="9"/>
  <c r="AL49" i="9"/>
  <c r="AL55" i="9"/>
  <c r="AL61" i="9"/>
  <c r="AL67" i="9"/>
  <c r="AL71" i="9"/>
  <c r="AL77" i="9"/>
  <c r="AL83" i="9"/>
  <c r="AL89" i="9"/>
  <c r="AM39" i="9"/>
  <c r="AM43" i="9"/>
  <c r="AM49" i="9"/>
  <c r="AM55" i="9"/>
  <c r="AM61" i="9"/>
  <c r="AM67" i="9"/>
  <c r="AM71" i="9"/>
  <c r="AM77" i="9"/>
  <c r="AM83" i="9"/>
  <c r="AM89" i="9"/>
  <c r="AL40" i="9"/>
  <c r="AL46" i="9"/>
  <c r="AL50" i="9"/>
  <c r="AL56" i="9"/>
  <c r="AL62" i="9"/>
  <c r="AL68" i="9"/>
  <c r="AL74" i="9"/>
  <c r="AL78" i="9"/>
  <c r="AL84" i="9"/>
  <c r="AL90" i="9"/>
  <c r="AM40" i="9"/>
  <c r="AM46" i="9"/>
  <c r="AM50" i="9"/>
  <c r="AM56" i="9"/>
  <c r="AM62" i="9"/>
  <c r="AM68" i="9"/>
  <c r="AM74" i="9"/>
  <c r="AM78" i="9"/>
  <c r="AM84" i="9"/>
  <c r="AM90" i="9"/>
  <c r="AL41" i="9"/>
  <c r="AL47" i="9"/>
  <c r="AL53" i="9"/>
  <c r="AL57" i="9"/>
  <c r="AL63" i="9"/>
  <c r="AL69" i="9"/>
  <c r="AL75" i="9"/>
  <c r="AL81" i="9"/>
  <c r="AL85" i="9"/>
  <c r="AL91" i="9"/>
  <c r="AM24" i="9"/>
  <c r="AM36" i="9"/>
  <c r="AL24" i="9"/>
  <c r="AL36" i="9"/>
  <c r="AL27" i="9"/>
  <c r="AM27" i="9"/>
  <c r="AM30" i="9"/>
  <c r="AL33" i="9"/>
  <c r="AM21" i="9"/>
  <c r="AM33" i="9"/>
  <c r="AD21" i="9"/>
  <c r="AL21" i="9" s="1"/>
  <c r="M96" i="7"/>
  <c r="M95" i="7"/>
  <c r="M94" i="7"/>
  <c r="M92" i="7"/>
  <c r="M91" i="7"/>
  <c r="M90" i="7"/>
  <c r="M89" i="7"/>
  <c r="M88" i="7"/>
  <c r="M87" i="7"/>
  <c r="M85" i="7"/>
  <c r="M84" i="7"/>
  <c r="M83" i="7"/>
  <c r="M82" i="7"/>
  <c r="M81" i="7"/>
  <c r="M80" i="7"/>
  <c r="M78" i="7"/>
  <c r="M77" i="7"/>
  <c r="M76" i="7"/>
  <c r="M75" i="7"/>
  <c r="M74" i="7"/>
  <c r="M73" i="7"/>
  <c r="M71" i="7"/>
  <c r="M70" i="7"/>
  <c r="M69" i="7"/>
  <c r="M68" i="7"/>
  <c r="M67" i="7"/>
  <c r="M66" i="7"/>
  <c r="M64" i="7"/>
  <c r="M63" i="7"/>
  <c r="M62" i="7"/>
  <c r="M61" i="7"/>
  <c r="M60" i="7"/>
  <c r="M59" i="7"/>
  <c r="M57" i="7"/>
  <c r="M56" i="7"/>
  <c r="M55" i="7"/>
  <c r="M54" i="7"/>
  <c r="M53" i="7"/>
  <c r="M52" i="7"/>
  <c r="M50" i="7"/>
  <c r="M49" i="7"/>
  <c r="M48" i="7"/>
  <c r="M47" i="7"/>
  <c r="M46" i="7"/>
  <c r="M45" i="7"/>
  <c r="M43" i="7"/>
  <c r="M42" i="7"/>
  <c r="M41" i="7"/>
  <c r="M40" i="7"/>
  <c r="M39" i="7"/>
  <c r="M38" i="7"/>
  <c r="M36" i="7"/>
  <c r="M35" i="7"/>
  <c r="M33" i="7"/>
  <c r="M32" i="7"/>
  <c r="M30" i="7"/>
  <c r="M29" i="7"/>
  <c r="M27" i="7"/>
  <c r="M26" i="7"/>
  <c r="M24" i="7"/>
  <c r="M23" i="7"/>
  <c r="M21" i="7"/>
  <c r="M20" i="7"/>
  <c r="M19" i="7"/>
  <c r="M18" i="7"/>
  <c r="M17" i="7"/>
  <c r="M16" i="7"/>
  <c r="M15" i="7"/>
  <c r="M14" i="7"/>
  <c r="O96" i="7"/>
  <c r="O95" i="7"/>
  <c r="O94" i="7"/>
  <c r="Q92" i="7"/>
  <c r="P92" i="7"/>
  <c r="O92" i="7"/>
  <c r="Q91" i="7"/>
  <c r="P91" i="7"/>
  <c r="O91" i="7"/>
  <c r="Q90" i="7"/>
  <c r="P90" i="7"/>
  <c r="O90" i="7"/>
  <c r="Q89" i="7"/>
  <c r="P89" i="7"/>
  <c r="O89" i="7"/>
  <c r="Q88" i="7"/>
  <c r="P88" i="7"/>
  <c r="O88" i="7"/>
  <c r="O87" i="7"/>
  <c r="Q85" i="7"/>
  <c r="P85" i="7"/>
  <c r="O85" i="7"/>
  <c r="Q84" i="7"/>
  <c r="P84" i="7"/>
  <c r="O84" i="7"/>
  <c r="Q83" i="7"/>
  <c r="P83" i="7"/>
  <c r="O83" i="7"/>
  <c r="Q82" i="7"/>
  <c r="P82" i="7"/>
  <c r="O82" i="7"/>
  <c r="Q81" i="7"/>
  <c r="P81" i="7"/>
  <c r="O81" i="7"/>
  <c r="O80" i="7"/>
  <c r="Q78" i="7"/>
  <c r="P78" i="7"/>
  <c r="O78" i="7"/>
  <c r="Q77" i="7"/>
  <c r="P77" i="7"/>
  <c r="O77" i="7"/>
  <c r="Q76" i="7"/>
  <c r="P76" i="7"/>
  <c r="O76" i="7"/>
  <c r="Q75" i="7"/>
  <c r="P75" i="7"/>
  <c r="O75" i="7"/>
  <c r="Q74" i="7"/>
  <c r="P74" i="7"/>
  <c r="O74" i="7"/>
  <c r="O73" i="7"/>
  <c r="Q71" i="7"/>
  <c r="P71" i="7"/>
  <c r="O71" i="7"/>
  <c r="Q70" i="7"/>
  <c r="P70" i="7"/>
  <c r="O70" i="7"/>
  <c r="Q69" i="7"/>
  <c r="P69" i="7"/>
  <c r="O69" i="7"/>
  <c r="Q68" i="7"/>
  <c r="P68" i="7"/>
  <c r="O68" i="7"/>
  <c r="Q67" i="7"/>
  <c r="P67" i="7"/>
  <c r="O67" i="7"/>
  <c r="O66" i="7"/>
  <c r="Q64" i="7"/>
  <c r="P64" i="7"/>
  <c r="O64" i="7"/>
  <c r="Q63" i="7"/>
  <c r="P63" i="7"/>
  <c r="O63" i="7"/>
  <c r="Q62" i="7"/>
  <c r="P62" i="7"/>
  <c r="O62" i="7"/>
  <c r="Q61" i="7"/>
  <c r="P61" i="7"/>
  <c r="O61" i="7"/>
  <c r="Q60" i="7"/>
  <c r="P60" i="7"/>
  <c r="O60" i="7"/>
  <c r="O59" i="7"/>
  <c r="Q57" i="7"/>
  <c r="P57" i="7"/>
  <c r="O57" i="7"/>
  <c r="Q56" i="7"/>
  <c r="P56" i="7"/>
  <c r="O56" i="7"/>
  <c r="Q55" i="7"/>
  <c r="P55" i="7"/>
  <c r="O55" i="7"/>
  <c r="Q54" i="7"/>
  <c r="P54" i="7"/>
  <c r="O54" i="7"/>
  <c r="Q53" i="7"/>
  <c r="P53" i="7"/>
  <c r="O53" i="7"/>
  <c r="O52" i="7"/>
  <c r="Q50" i="7"/>
  <c r="P50" i="7"/>
  <c r="O50" i="7"/>
  <c r="Q49" i="7"/>
  <c r="P49" i="7"/>
  <c r="O49" i="7"/>
  <c r="Q48" i="7"/>
  <c r="P48" i="7"/>
  <c r="O48" i="7"/>
  <c r="Q47" i="7"/>
  <c r="P47" i="7"/>
  <c r="O47" i="7"/>
  <c r="Q46" i="7"/>
  <c r="P46" i="7"/>
  <c r="O46" i="7"/>
  <c r="O45" i="7"/>
  <c r="Q43" i="7"/>
  <c r="P43" i="7"/>
  <c r="O43" i="7"/>
  <c r="Q42" i="7"/>
  <c r="P42" i="7"/>
  <c r="O42" i="7"/>
  <c r="Q41" i="7"/>
  <c r="P41" i="7"/>
  <c r="O41" i="7"/>
  <c r="Q40" i="7"/>
  <c r="P40" i="7"/>
  <c r="O40" i="7"/>
  <c r="Q39" i="7"/>
  <c r="P39" i="7"/>
  <c r="O39" i="7"/>
  <c r="O38" i="7"/>
  <c r="Q36" i="7"/>
  <c r="P36" i="7"/>
  <c r="O36" i="7"/>
  <c r="O35" i="7"/>
  <c r="Q33" i="7"/>
  <c r="P33" i="7"/>
  <c r="O33" i="7"/>
  <c r="O32" i="7"/>
  <c r="Q30" i="7"/>
  <c r="P30" i="7"/>
  <c r="O30" i="7"/>
  <c r="O29" i="7"/>
  <c r="Q27" i="7"/>
  <c r="P27" i="7"/>
  <c r="O27" i="7"/>
  <c r="O26" i="7"/>
  <c r="Q24" i="7"/>
  <c r="P24" i="7"/>
  <c r="O24" i="7"/>
  <c r="O23" i="7"/>
  <c r="Q21" i="7"/>
  <c r="P21" i="7"/>
  <c r="O21" i="7"/>
  <c r="O20" i="7"/>
  <c r="O19" i="7"/>
  <c r="O18" i="7"/>
  <c r="O17" i="7"/>
  <c r="O16" i="7"/>
  <c r="O15" i="7"/>
  <c r="O14" i="7"/>
  <c r="C95" i="7"/>
  <c r="C96" i="7"/>
  <c r="C94" i="7"/>
  <c r="AW86" i="7"/>
  <c r="AV86" i="7"/>
  <c r="AS86" i="7"/>
  <c r="AR86" i="7"/>
  <c r="AC86" i="7"/>
  <c r="AB86" i="7"/>
  <c r="Y86" i="7"/>
  <c r="X86" i="7"/>
  <c r="U86" i="7"/>
  <c r="T86" i="7"/>
  <c r="AW34" i="7"/>
  <c r="AV34" i="7"/>
  <c r="AS34" i="7"/>
  <c r="AR34" i="7"/>
  <c r="AC34" i="7"/>
  <c r="AB34" i="7"/>
  <c r="Y34" i="7"/>
  <c r="X34" i="7"/>
  <c r="U34" i="7"/>
  <c r="T34" i="7"/>
  <c r="AW25" i="7"/>
  <c r="AV25" i="7"/>
  <c r="AS25" i="7"/>
  <c r="AR25" i="7"/>
  <c r="AC25" i="7"/>
  <c r="AB25" i="7"/>
  <c r="Y25" i="7"/>
  <c r="X25" i="7"/>
  <c r="U25" i="7"/>
  <c r="T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AG40" i="6" l="1"/>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9" l="1"/>
  <c r="P15" i="19"/>
  <c r="Z15" i="19" s="1"/>
  <c r="P17" i="9"/>
  <c r="P17" i="19"/>
  <c r="Z17" i="19" s="1"/>
  <c r="P19" i="9"/>
  <c r="P19" i="19"/>
  <c r="Z19" i="19" s="1"/>
  <c r="P23" i="9"/>
  <c r="P23" i="19"/>
  <c r="Z23" i="19" s="1"/>
  <c r="Z25" i="19" s="1"/>
  <c r="P29" i="9"/>
  <c r="P29" i="19"/>
  <c r="Z29" i="19" s="1"/>
  <c r="Z31" i="19" s="1"/>
  <c r="P35" i="9"/>
  <c r="P35" i="19"/>
  <c r="P95" i="9"/>
  <c r="P95" i="19"/>
  <c r="Z95" i="19" s="1"/>
  <c r="Q19" i="9"/>
  <c r="Q19" i="19"/>
  <c r="AD19" i="19" s="1"/>
  <c r="Q35" i="9"/>
  <c r="Q35" i="19"/>
  <c r="AD35" i="19" s="1"/>
  <c r="O15" i="19"/>
  <c r="AD15" i="6"/>
  <c r="Q23" i="9"/>
  <c r="Q23" i="19"/>
  <c r="AD23" i="19" s="1"/>
  <c r="P14" i="9"/>
  <c r="P14" i="19"/>
  <c r="Z14" i="19" s="1"/>
  <c r="P16" i="9"/>
  <c r="P16" i="19"/>
  <c r="Z16" i="19" s="1"/>
  <c r="P18" i="9"/>
  <c r="P18" i="19"/>
  <c r="Z18" i="19" s="1"/>
  <c r="P20" i="9"/>
  <c r="P20" i="19"/>
  <c r="Z20" i="19" s="1"/>
  <c r="Z22" i="19" s="1"/>
  <c r="P26" i="9"/>
  <c r="P26" i="19"/>
  <c r="Z26" i="19" s="1"/>
  <c r="Z28" i="19" s="1"/>
  <c r="P32" i="9"/>
  <c r="P32" i="19"/>
  <c r="Z32" i="19" s="1"/>
  <c r="Z34" i="19" s="1"/>
  <c r="P80" i="9"/>
  <c r="P80" i="19"/>
  <c r="Z80" i="19" s="1"/>
  <c r="Z86" i="19" s="1"/>
  <c r="P96" i="9"/>
  <c r="P96" i="19"/>
  <c r="Z96" i="19" s="1"/>
  <c r="Q17" i="9"/>
  <c r="Q17" i="19"/>
  <c r="AD17" i="19" s="1"/>
  <c r="Q95" i="9"/>
  <c r="Q95" i="19"/>
  <c r="AD95" i="19" s="1"/>
  <c r="Q14" i="9"/>
  <c r="Q14" i="19"/>
  <c r="AD14" i="19" s="1"/>
  <c r="Q16" i="9"/>
  <c r="Q16" i="19"/>
  <c r="AD16" i="19" s="1"/>
  <c r="Q18" i="9"/>
  <c r="Q18" i="19"/>
  <c r="AD18" i="19" s="1"/>
  <c r="Q20" i="9"/>
  <c r="Q20" i="19"/>
  <c r="AD20" i="19" s="1"/>
  <c r="Q26" i="9"/>
  <c r="Q26" i="19"/>
  <c r="AD26" i="19" s="1"/>
  <c r="Q32" i="9"/>
  <c r="Q32" i="19"/>
  <c r="AD32" i="19" s="1"/>
  <c r="Q80" i="9"/>
  <c r="Q80" i="19"/>
  <c r="AD80" i="19" s="1"/>
  <c r="Q96" i="9"/>
  <c r="Q96" i="19"/>
  <c r="AD96" i="19" s="1"/>
  <c r="Q15" i="9"/>
  <c r="Q15" i="19"/>
  <c r="Q29" i="9"/>
  <c r="Q29" i="19"/>
  <c r="AD29" i="19" s="1"/>
  <c r="Z35" i="19"/>
  <c r="Z37" i="19" s="1"/>
  <c r="AQ93" i="19"/>
  <c r="AQ86" i="19"/>
  <c r="AQ31" i="19"/>
  <c r="AQ96" i="19"/>
  <c r="AQ95" i="19"/>
  <c r="V16" i="9"/>
  <c r="P16" i="7"/>
  <c r="V17" i="9"/>
  <c r="P17" i="7"/>
  <c r="V87" i="9"/>
  <c r="P87" i="7"/>
  <c r="V80" i="9"/>
  <c r="P80" i="7"/>
  <c r="N14" i="7"/>
  <c r="V18" i="9"/>
  <c r="P18" i="7"/>
  <c r="V38" i="9"/>
  <c r="P38" i="7"/>
  <c r="V94" i="9"/>
  <c r="P94" i="7"/>
  <c r="V19" i="9"/>
  <c r="P19" i="7"/>
  <c r="V45" i="9"/>
  <c r="P45" i="7"/>
  <c r="V95" i="9"/>
  <c r="P95" i="7"/>
  <c r="T19" i="9"/>
  <c r="N19" i="7"/>
  <c r="V20" i="9"/>
  <c r="P20" i="7"/>
  <c r="V52" i="9"/>
  <c r="P52" i="7"/>
  <c r="V96" i="9"/>
  <c r="P96" i="7"/>
  <c r="T15" i="9"/>
  <c r="N15" i="7"/>
  <c r="T18" i="9"/>
  <c r="N18" i="7"/>
  <c r="V23" i="9"/>
  <c r="P23" i="7"/>
  <c r="V59" i="9"/>
  <c r="P59" i="7"/>
  <c r="T17" i="9"/>
  <c r="N17" i="7"/>
  <c r="V14" i="9"/>
  <c r="P14" i="7"/>
  <c r="V26" i="9"/>
  <c r="P26" i="7"/>
  <c r="T16" i="9"/>
  <c r="N16" i="7"/>
  <c r="V15" i="9"/>
  <c r="P15" i="7"/>
  <c r="V29" i="9"/>
  <c r="P29" i="7"/>
  <c r="T92" i="9"/>
  <c r="N92" i="7"/>
  <c r="T91" i="9"/>
  <c r="N91" i="7"/>
  <c r="T80" i="9"/>
  <c r="N80" i="7"/>
  <c r="T21" i="9"/>
  <c r="N21" i="7"/>
  <c r="T85" i="9"/>
  <c r="N85" i="7"/>
  <c r="T90" i="9"/>
  <c r="N90" i="7"/>
  <c r="T23" i="9"/>
  <c r="N23" i="7"/>
  <c r="T84" i="9"/>
  <c r="N84" i="7"/>
  <c r="T89" i="9"/>
  <c r="N89" i="7"/>
  <c r="T20" i="9"/>
  <c r="N20" i="7"/>
  <c r="T24" i="9"/>
  <c r="N24" i="7"/>
  <c r="T83" i="9"/>
  <c r="N83" i="7"/>
  <c r="T88" i="9"/>
  <c r="N88" i="7"/>
  <c r="T87" i="9"/>
  <c r="N87" i="7"/>
  <c r="T29" i="9"/>
  <c r="N29" i="7"/>
  <c r="T82" i="9"/>
  <c r="N82" i="7"/>
  <c r="T30" i="9"/>
  <c r="N30" i="7"/>
  <c r="T81" i="9"/>
  <c r="N81" i="7"/>
  <c r="T95" i="9"/>
  <c r="AR95" i="9" s="1"/>
  <c r="N95" i="7"/>
  <c r="T96" i="9"/>
  <c r="AR96" i="9" s="1"/>
  <c r="N96" i="7"/>
  <c r="T33" i="9"/>
  <c r="N33" i="7"/>
  <c r="T32" i="9"/>
  <c r="N32" i="7"/>
  <c r="V35" i="9"/>
  <c r="P35" i="7"/>
  <c r="V32" i="9"/>
  <c r="P32" i="7"/>
  <c r="N80" i="9"/>
  <c r="Y80" i="6"/>
  <c r="O80" i="9"/>
  <c r="AD80" i="6"/>
  <c r="N18" i="9"/>
  <c r="Y18" i="6"/>
  <c r="O32" i="9"/>
  <c r="AD32" i="6"/>
  <c r="N26" i="9"/>
  <c r="AA26" i="9" s="1"/>
  <c r="Y26" i="6"/>
  <c r="O26" i="9"/>
  <c r="AD26" i="6"/>
  <c r="N14" i="9"/>
  <c r="Y14" i="6"/>
  <c r="N20" i="9"/>
  <c r="AA20" i="9" s="1"/>
  <c r="Y20" i="6"/>
  <c r="O18" i="9"/>
  <c r="AD18" i="6"/>
  <c r="N15" i="9"/>
  <c r="AA15" i="9" s="1"/>
  <c r="Y15" i="6"/>
  <c r="N17" i="9"/>
  <c r="AA17" i="9" s="1"/>
  <c r="Y17" i="6"/>
  <c r="N19" i="9"/>
  <c r="AA19" i="9" s="1"/>
  <c r="Y19" i="6"/>
  <c r="N23" i="9"/>
  <c r="Y23" i="6"/>
  <c r="N29" i="9"/>
  <c r="AA29" i="9" s="1"/>
  <c r="Y29" i="6"/>
  <c r="N35" i="9"/>
  <c r="AA35" i="9" s="1"/>
  <c r="Y35" i="6"/>
  <c r="N95" i="9"/>
  <c r="AA95" i="9" s="1"/>
  <c r="Y95" i="6"/>
  <c r="N32" i="9"/>
  <c r="Y32" i="6"/>
  <c r="O16" i="9"/>
  <c r="AD16" i="6"/>
  <c r="O96" i="9"/>
  <c r="AD96" i="6"/>
  <c r="O15" i="9"/>
  <c r="AE15" i="9" s="1"/>
  <c r="O17" i="9"/>
  <c r="AD17" i="6"/>
  <c r="O19" i="9"/>
  <c r="AE19" i="9" s="1"/>
  <c r="AD19" i="6"/>
  <c r="O23" i="9"/>
  <c r="AD23" i="6"/>
  <c r="O29" i="9"/>
  <c r="AD29" i="6"/>
  <c r="O35" i="9"/>
  <c r="AE35" i="9" s="1"/>
  <c r="AD35" i="6"/>
  <c r="O95" i="9"/>
  <c r="AE95" i="9" s="1"/>
  <c r="AD95" i="6"/>
  <c r="N16" i="9"/>
  <c r="AA16" i="9" s="1"/>
  <c r="Y16" i="6"/>
  <c r="N96" i="9"/>
  <c r="AA96" i="9" s="1"/>
  <c r="Y96" i="6"/>
  <c r="O14" i="9"/>
  <c r="AD14" i="6"/>
  <c r="O20" i="9"/>
  <c r="AD20" i="6"/>
  <c r="AE17" i="9" l="1"/>
  <c r="AM17" i="9" s="1"/>
  <c r="AA14" i="9"/>
  <c r="AE80" i="9"/>
  <c r="AE18" i="9"/>
  <c r="AE32" i="9"/>
  <c r="AE34" i="9" s="1"/>
  <c r="AE29" i="9"/>
  <c r="AM29" i="9" s="1"/>
  <c r="AL18" i="19"/>
  <c r="AL19" i="19"/>
  <c r="AL95" i="19"/>
  <c r="AE23" i="9"/>
  <c r="AE25" i="9" s="1"/>
  <c r="AE26" i="9"/>
  <c r="AL17" i="19"/>
  <c r="AL16" i="19"/>
  <c r="AL96" i="19"/>
  <c r="AE14" i="9"/>
  <c r="AM14" i="9" s="1"/>
  <c r="AD22" i="19"/>
  <c r="AL20" i="19"/>
  <c r="AL22" i="19" s="1"/>
  <c r="AD86" i="19"/>
  <c r="AL80" i="19"/>
  <c r="AL86" i="19" s="1"/>
  <c r="AL35" i="19"/>
  <c r="AL37" i="19" s="1"/>
  <c r="AD37" i="19"/>
  <c r="AL29" i="19"/>
  <c r="AL31" i="19" s="1"/>
  <c r="AD31" i="19"/>
  <c r="AD34" i="19"/>
  <c r="AL32" i="19"/>
  <c r="AL34" i="19" s="1"/>
  <c r="AL26" i="19"/>
  <c r="AL28" i="19" s="1"/>
  <c r="AD28" i="19"/>
  <c r="AD25" i="19"/>
  <c r="AL23" i="19"/>
  <c r="AL25" i="19" s="1"/>
  <c r="AL14" i="19"/>
  <c r="AE20" i="9"/>
  <c r="AM20" i="9" s="1"/>
  <c r="AA80" i="9"/>
  <c r="AA86" i="9" s="1"/>
  <c r="AD15" i="19"/>
  <c r="AL15" i="19" s="1"/>
  <c r="AE96" i="9"/>
  <c r="AM96" i="9" s="1"/>
  <c r="AA18" i="9"/>
  <c r="AR93" i="9"/>
  <c r="AR34" i="9"/>
  <c r="AH29" i="6"/>
  <c r="AH15" i="6"/>
  <c r="AR25" i="9"/>
  <c r="AM15" i="9"/>
  <c r="AR86" i="9"/>
  <c r="AM35" i="9"/>
  <c r="AM26" i="9"/>
  <c r="AM19" i="9"/>
  <c r="AE86" i="9"/>
  <c r="AM95" i="9"/>
  <c r="AA32" i="9"/>
  <c r="AA23" i="9"/>
  <c r="AH32" i="6"/>
  <c r="AH26" i="6"/>
  <c r="AH80" i="6"/>
  <c r="AH14" i="6"/>
  <c r="AH35" i="6"/>
  <c r="AH17" i="6"/>
  <c r="AH18" i="6"/>
  <c r="AH23" i="6"/>
  <c r="AH96" i="6"/>
  <c r="AH19" i="6"/>
  <c r="AH16" i="6"/>
  <c r="AH20" i="6"/>
  <c r="AH95" i="6"/>
  <c r="AP81" i="10"/>
  <c r="AP80" i="10"/>
  <c r="AP79" i="10"/>
  <c r="AQ73" i="10"/>
  <c r="AP73" i="10"/>
  <c r="AP67" i="10"/>
  <c r="AP61" i="10"/>
  <c r="AP55" i="10"/>
  <c r="AP49" i="10"/>
  <c r="AP43" i="10"/>
  <c r="AP37" i="10"/>
  <c r="AP31" i="10"/>
  <c r="AP29" i="10"/>
  <c r="AP27" i="10"/>
  <c r="AP25" i="10"/>
  <c r="AP23" i="10"/>
  <c r="AP21" i="10"/>
  <c r="AP19" i="10"/>
  <c r="AP18" i="10"/>
  <c r="AP17" i="10"/>
  <c r="AP16" i="10"/>
  <c r="AP15" i="10"/>
  <c r="AP14" i="10"/>
  <c r="AP13" i="10"/>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AM32" i="9" l="1"/>
  <c r="AM34" i="9" s="1"/>
  <c r="AM18" i="9"/>
  <c r="AM23" i="9"/>
  <c r="AM25" i="9" s="1"/>
  <c r="AM80" i="9"/>
  <c r="AM86" i="9" s="1"/>
  <c r="X87" i="6"/>
  <c r="X93" i="6" s="1"/>
  <c r="L87" i="19"/>
  <c r="Y87" i="19" s="1"/>
  <c r="Y93" i="19" s="1"/>
  <c r="AC93" i="19"/>
  <c r="X15" i="6"/>
  <c r="L15" i="19"/>
  <c r="Y15" i="19" s="1"/>
  <c r="X14" i="6"/>
  <c r="L14" i="9"/>
  <c r="Z14" i="9" s="1"/>
  <c r="L94" i="9"/>
  <c r="Z94" i="9" s="1"/>
  <c r="X94" i="6"/>
  <c r="L16" i="9"/>
  <c r="Z16" i="9" s="1"/>
  <c r="X16" i="6"/>
  <c r="L26" i="9"/>
  <c r="Z26" i="9" s="1"/>
  <c r="X26" i="6"/>
  <c r="L29" i="9"/>
  <c r="Z29" i="9" s="1"/>
  <c r="X29" i="6"/>
  <c r="L45" i="9"/>
  <c r="Z45" i="9" s="1"/>
  <c r="X45" i="6"/>
  <c r="L73" i="9"/>
  <c r="L19" i="9"/>
  <c r="Z19" i="9" s="1"/>
  <c r="X19" i="6"/>
  <c r="L15" i="9"/>
  <c r="Z15" i="9" s="1"/>
  <c r="L96" i="9"/>
  <c r="Z96" i="9" s="1"/>
  <c r="X96" i="6"/>
  <c r="L38" i="9"/>
  <c r="Z38" i="9" s="1"/>
  <c r="X38" i="6"/>
  <c r="L32" i="9"/>
  <c r="Z32" i="9" s="1"/>
  <c r="Z34" i="9" s="1"/>
  <c r="X32" i="6"/>
  <c r="X34" i="6" s="1"/>
  <c r="L52" i="9"/>
  <c r="Z52" i="9" s="1"/>
  <c r="X52" i="6"/>
  <c r="L80" i="9"/>
  <c r="Z80" i="9" s="1"/>
  <c r="Z86" i="9" s="1"/>
  <c r="X80" i="6"/>
  <c r="X86" i="6" s="1"/>
  <c r="L66" i="9"/>
  <c r="L18" i="9"/>
  <c r="Z18" i="9" s="1"/>
  <c r="X18" i="6"/>
  <c r="L20" i="9"/>
  <c r="Z20" i="9" s="1"/>
  <c r="Z22" i="9" s="1"/>
  <c r="X20" i="6"/>
  <c r="L95" i="9"/>
  <c r="Z95" i="9" s="1"/>
  <c r="X95" i="6"/>
  <c r="L23" i="9"/>
  <c r="Z23" i="9" s="1"/>
  <c r="Z25" i="9" s="1"/>
  <c r="X23" i="6"/>
  <c r="X25" i="6" s="1"/>
  <c r="L35" i="9"/>
  <c r="Z35" i="9" s="1"/>
  <c r="X35" i="6"/>
  <c r="L59" i="9"/>
  <c r="Z59" i="9" s="1"/>
  <c r="X59" i="6"/>
  <c r="L17" i="9"/>
  <c r="Z17" i="9" s="1"/>
  <c r="X17" i="6"/>
  <c r="AA25" i="9"/>
  <c r="AA34" i="9"/>
  <c r="L87" i="9"/>
  <c r="Z87" i="9" s="1"/>
  <c r="M87" i="9"/>
  <c r="AD87" i="9" s="1"/>
  <c r="AC87" i="6"/>
  <c r="AD34" i="6"/>
  <c r="AD25" i="6"/>
  <c r="Y86" i="6"/>
  <c r="Y25" i="6"/>
  <c r="AK87" i="19" l="1"/>
  <c r="AK93" i="19" s="1"/>
  <c r="AG87" i="6"/>
  <c r="AL87" i="9"/>
  <c r="AD93" i="9"/>
  <c r="AH34" i="6"/>
  <c r="AD86" i="6"/>
  <c r="Y34" i="6"/>
  <c r="AH25" i="6"/>
  <c r="AH86" i="6"/>
  <c r="J84" i="5" l="1"/>
  <c r="J83" i="5"/>
  <c r="J82" i="5"/>
  <c r="J76" i="5"/>
  <c r="J70" i="5"/>
  <c r="J52" i="5"/>
  <c r="J46" i="5"/>
  <c r="J40" i="5"/>
  <c r="J34" i="5"/>
  <c r="J32" i="5"/>
  <c r="J30" i="5"/>
  <c r="J28" i="5"/>
  <c r="J26" i="5"/>
  <c r="J24" i="5"/>
  <c r="J22" i="5"/>
  <c r="J21" i="5"/>
  <c r="J20" i="5"/>
  <c r="J19" i="5"/>
  <c r="J18" i="5"/>
  <c r="J17" i="5"/>
  <c r="J16" i="5"/>
  <c r="I76" i="5"/>
  <c r="M74" i="4"/>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X81" i="3"/>
  <c r="V81" i="3"/>
  <c r="W81" i="3" s="1"/>
  <c r="X80" i="3"/>
  <c r="V80" i="3"/>
  <c r="W80" i="3" s="1"/>
  <c r="X79" i="3"/>
  <c r="V79" i="3"/>
  <c r="W79" i="3" s="1"/>
  <c r="X78" i="3"/>
  <c r="V78" i="3"/>
  <c r="X77" i="3"/>
  <c r="V77" i="3"/>
  <c r="W77" i="3" s="1"/>
  <c r="X76" i="3"/>
  <c r="V76" i="3"/>
  <c r="X75" i="3"/>
  <c r="V75" i="3"/>
  <c r="X74" i="3"/>
  <c r="V74" i="3"/>
  <c r="X73" i="3"/>
  <c r="V73" i="3"/>
  <c r="X72" i="3"/>
  <c r="V72" i="3"/>
  <c r="W72" i="3" s="1"/>
  <c r="X71" i="3"/>
  <c r="V71" i="3"/>
  <c r="W71" i="3" s="1"/>
  <c r="X70" i="3"/>
  <c r="V70" i="3"/>
  <c r="X69" i="3"/>
  <c r="V69" i="3"/>
  <c r="W69" i="3" s="1"/>
  <c r="X68" i="3"/>
  <c r="V68" i="3"/>
  <c r="W68" i="3" s="1"/>
  <c r="X67" i="3"/>
  <c r="V67" i="3"/>
  <c r="W67" i="3" s="1"/>
  <c r="X66" i="3"/>
  <c r="V66" i="3"/>
  <c r="X65" i="3"/>
  <c r="V65" i="3"/>
  <c r="W65" i="3" s="1"/>
  <c r="X64" i="3"/>
  <c r="V64" i="3"/>
  <c r="W64" i="3" s="1"/>
  <c r="X63" i="3"/>
  <c r="V63" i="3"/>
  <c r="W63" i="3" s="1"/>
  <c r="X62" i="3"/>
  <c r="V62" i="3"/>
  <c r="X61" i="3"/>
  <c r="V61" i="3"/>
  <c r="W61" i="3" s="1"/>
  <c r="X60" i="3"/>
  <c r="V60" i="3"/>
  <c r="W60" i="3" s="1"/>
  <c r="X59" i="3"/>
  <c r="V59" i="3"/>
  <c r="W59" i="3" s="1"/>
  <c r="X58" i="3"/>
  <c r="V58" i="3"/>
  <c r="X57" i="3"/>
  <c r="V57" i="3"/>
  <c r="X56" i="3"/>
  <c r="V56" i="3"/>
  <c r="W56" i="3" s="1"/>
  <c r="X55" i="3"/>
  <c r="V55" i="3"/>
  <c r="W55" i="3" s="1"/>
  <c r="X54" i="3"/>
  <c r="V54" i="3"/>
  <c r="X53" i="3"/>
  <c r="V53" i="3"/>
  <c r="W53" i="3" s="1"/>
  <c r="X52" i="3"/>
  <c r="V52" i="3"/>
  <c r="W52" i="3" s="1"/>
  <c r="X51" i="3"/>
  <c r="V51" i="3"/>
  <c r="W51" i="3" s="1"/>
  <c r="X50" i="3"/>
  <c r="V50" i="3"/>
  <c r="X49" i="3"/>
  <c r="V49" i="3"/>
  <c r="W49" i="3" s="1"/>
  <c r="X48" i="3"/>
  <c r="V48" i="3"/>
  <c r="W48" i="3" s="1"/>
  <c r="X47" i="3"/>
  <c r="V47" i="3"/>
  <c r="W47" i="3" s="1"/>
  <c r="X46" i="3"/>
  <c r="V46" i="3"/>
  <c r="X45" i="3"/>
  <c r="V45" i="3"/>
  <c r="W45" i="3" s="1"/>
  <c r="X44" i="3"/>
  <c r="V44" i="3"/>
  <c r="X43" i="3"/>
  <c r="V43" i="3"/>
  <c r="X42" i="3"/>
  <c r="V42" i="3"/>
  <c r="X41" i="3"/>
  <c r="V41" i="3"/>
  <c r="W41" i="3" s="1"/>
  <c r="X40" i="3"/>
  <c r="V40" i="3"/>
  <c r="W40" i="3" s="1"/>
  <c r="X39" i="3"/>
  <c r="V39" i="3"/>
  <c r="W39" i="3" s="1"/>
  <c r="X38" i="3"/>
  <c r="V38" i="3"/>
  <c r="X37" i="3"/>
  <c r="V37" i="3"/>
  <c r="W37" i="3" s="1"/>
  <c r="X36" i="3"/>
  <c r="V36" i="3"/>
  <c r="W36" i="3" s="1"/>
  <c r="X35" i="3"/>
  <c r="V35" i="3"/>
  <c r="X34" i="3"/>
  <c r="V34" i="3"/>
  <c r="X33" i="3"/>
  <c r="V33" i="3"/>
  <c r="W33" i="3" s="1"/>
  <c r="X32" i="3"/>
  <c r="V32" i="3"/>
  <c r="W32" i="3" s="1"/>
  <c r="X31" i="3"/>
  <c r="V31" i="3"/>
  <c r="W31" i="3" s="1"/>
  <c r="X30" i="3"/>
  <c r="V30" i="3"/>
  <c r="X29" i="3"/>
  <c r="V29" i="3"/>
  <c r="W29" i="3" s="1"/>
  <c r="X28" i="3"/>
  <c r="V28" i="3"/>
  <c r="W28" i="3" s="1"/>
  <c r="X27" i="3"/>
  <c r="V27" i="3"/>
  <c r="X26" i="3"/>
  <c r="V26" i="3"/>
  <c r="X25" i="3"/>
  <c r="V25" i="3"/>
  <c r="W25" i="3" s="1"/>
  <c r="X24" i="3"/>
  <c r="V24" i="3"/>
  <c r="W24" i="3" s="1"/>
  <c r="X23" i="3"/>
  <c r="V23" i="3"/>
  <c r="W23" i="3" s="1"/>
  <c r="X22" i="3"/>
  <c r="V22" i="3"/>
  <c r="X21" i="3"/>
  <c r="V21" i="3"/>
  <c r="W21" i="3" s="1"/>
  <c r="X20" i="3"/>
  <c r="V20" i="3"/>
  <c r="W20" i="3" s="1"/>
  <c r="X19" i="3"/>
  <c r="V19" i="3"/>
  <c r="X18" i="3"/>
  <c r="V18" i="3"/>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W18" i="3" l="1"/>
  <c r="W22" i="3"/>
  <c r="W26" i="3"/>
  <c r="W30" i="3"/>
  <c r="W34" i="3"/>
  <c r="W38" i="3"/>
  <c r="W42" i="3"/>
  <c r="W46" i="3"/>
  <c r="W50" i="3"/>
  <c r="W54" i="3"/>
  <c r="W62" i="3"/>
  <c r="W66" i="3"/>
  <c r="W70" i="3"/>
  <c r="W78" i="3"/>
  <c r="W82" i="3"/>
  <c r="I16" i="22"/>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M82" i="4"/>
  <c r="I78" i="23"/>
  <c r="I78" i="22"/>
  <c r="I26" i="22"/>
  <c r="I26" i="23"/>
  <c r="M19" i="4"/>
  <c r="I15" i="22"/>
  <c r="I15" i="23"/>
  <c r="M38" i="4"/>
  <c r="I34" i="23"/>
  <c r="I34" i="22"/>
  <c r="W35" i="3"/>
  <c r="L20" i="18"/>
  <c r="AC20" i="18" s="1"/>
  <c r="J20" i="12"/>
  <c r="I15" i="17"/>
  <c r="L20" i="6"/>
  <c r="AQ19" i="10"/>
  <c r="L52" i="18"/>
  <c r="AC52" i="18" s="1"/>
  <c r="J52" i="12"/>
  <c r="I39" i="17"/>
  <c r="L52" i="6"/>
  <c r="AQ43" i="10"/>
  <c r="M81" i="4"/>
  <c r="I22" i="5"/>
  <c r="I46" i="5"/>
  <c r="L23" i="18"/>
  <c r="AC23" i="18" s="1"/>
  <c r="J23" i="12"/>
  <c r="I17" i="17"/>
  <c r="AQ21" i="10"/>
  <c r="L23" i="6"/>
  <c r="L59" i="18"/>
  <c r="AC59" i="18" s="1"/>
  <c r="J59" i="12"/>
  <c r="I45" i="17"/>
  <c r="AQ49" i="10"/>
  <c r="L59" i="6"/>
  <c r="M20" i="4"/>
  <c r="M44" i="4"/>
  <c r="I24" i="5"/>
  <c r="I52" i="5"/>
  <c r="L14" i="18"/>
  <c r="AC14" i="18" s="1"/>
  <c r="AG14" i="18" s="1"/>
  <c r="J14" i="12"/>
  <c r="I9" i="17"/>
  <c r="L14" i="6"/>
  <c r="AQ13" i="10"/>
  <c r="L26" i="18"/>
  <c r="AC26" i="18" s="1"/>
  <c r="J26" i="12"/>
  <c r="I19" i="17"/>
  <c r="L26" i="6"/>
  <c r="AQ23" i="10"/>
  <c r="L66" i="18"/>
  <c r="J66" i="12"/>
  <c r="I51" i="17"/>
  <c r="L66" i="6"/>
  <c r="AQ55" i="10"/>
  <c r="M22" i="4"/>
  <c r="M50" i="4"/>
  <c r="I16" i="5"/>
  <c r="I26" i="5"/>
  <c r="I58" i="5"/>
  <c r="L15" i="18"/>
  <c r="AC15" i="18" s="1"/>
  <c r="AG15" i="18" s="1"/>
  <c r="J15" i="12"/>
  <c r="I10" i="17"/>
  <c r="L15" i="6"/>
  <c r="AQ14" i="10"/>
  <c r="L29" i="18"/>
  <c r="AC29" i="18" s="1"/>
  <c r="J29" i="12"/>
  <c r="I21" i="17"/>
  <c r="L29" i="6"/>
  <c r="AQ25" i="10"/>
  <c r="L73" i="18"/>
  <c r="J73" i="12"/>
  <c r="I57" i="17"/>
  <c r="L73" i="6"/>
  <c r="AQ61" i="10"/>
  <c r="M14" i="4"/>
  <c r="M24" i="4"/>
  <c r="M56" i="4"/>
  <c r="I17" i="5"/>
  <c r="I28" i="5"/>
  <c r="I64" i="5"/>
  <c r="L16" i="18"/>
  <c r="AC16" i="18" s="1"/>
  <c r="AG16" i="18" s="1"/>
  <c r="J16" i="12"/>
  <c r="I11" i="17"/>
  <c r="AQ15" i="10"/>
  <c r="L16" i="6"/>
  <c r="L32" i="18"/>
  <c r="AC32" i="18" s="1"/>
  <c r="J32" i="12"/>
  <c r="I23" i="17"/>
  <c r="L32" i="6"/>
  <c r="AQ27" i="10"/>
  <c r="L80" i="18"/>
  <c r="AC80" i="18" s="1"/>
  <c r="J80" i="12"/>
  <c r="I63" i="17"/>
  <c r="L80" i="6"/>
  <c r="AQ67" i="10"/>
  <c r="M15" i="4"/>
  <c r="M26" i="4"/>
  <c r="M62" i="4"/>
  <c r="I18" i="5"/>
  <c r="I30" i="5"/>
  <c r="I70" i="5"/>
  <c r="L17" i="18"/>
  <c r="AC17" i="18" s="1"/>
  <c r="AG17" i="18" s="1"/>
  <c r="J17" i="12"/>
  <c r="I12" i="17"/>
  <c r="AQ16" i="10"/>
  <c r="L17" i="6"/>
  <c r="L35" i="18"/>
  <c r="AC35" i="18" s="1"/>
  <c r="J35" i="12"/>
  <c r="I25" i="17"/>
  <c r="AQ29" i="10"/>
  <c r="L35" i="6"/>
  <c r="L94" i="18"/>
  <c r="AC94" i="18" s="1"/>
  <c r="AG94" i="18" s="1"/>
  <c r="J94" i="12"/>
  <c r="I75" i="17"/>
  <c r="L94" i="6"/>
  <c r="AQ79" i="10"/>
  <c r="M16" i="4"/>
  <c r="M28" i="4"/>
  <c r="M68" i="4"/>
  <c r="I19" i="5"/>
  <c r="I32" i="5"/>
  <c r="L18" i="18"/>
  <c r="AC18" i="18" s="1"/>
  <c r="AG18" i="18" s="1"/>
  <c r="J18" i="12"/>
  <c r="I13" i="17"/>
  <c r="L18" i="6"/>
  <c r="AQ17" i="10"/>
  <c r="L38" i="18"/>
  <c r="AC38" i="18" s="1"/>
  <c r="J38" i="12"/>
  <c r="I27" i="17"/>
  <c r="L38" i="6"/>
  <c r="AQ31" i="10"/>
  <c r="L95" i="18"/>
  <c r="AC95" i="18" s="1"/>
  <c r="AG95" i="18" s="1"/>
  <c r="J95" i="12"/>
  <c r="I76" i="17"/>
  <c r="L95" i="6"/>
  <c r="AQ80" i="10"/>
  <c r="W43" i="3"/>
  <c r="M17" i="4"/>
  <c r="M30" i="4"/>
  <c r="I20" i="5"/>
  <c r="I34" i="5"/>
  <c r="I82" i="5"/>
  <c r="L19" i="18"/>
  <c r="AC19" i="18" s="1"/>
  <c r="AG19" i="18" s="1"/>
  <c r="J19" i="12"/>
  <c r="I14" i="17"/>
  <c r="L19" i="6"/>
  <c r="AQ18" i="10"/>
  <c r="L45" i="18"/>
  <c r="AC45" i="18" s="1"/>
  <c r="J45" i="12"/>
  <c r="I33" i="17"/>
  <c r="L45" i="6"/>
  <c r="AQ37" i="10"/>
  <c r="L96" i="18"/>
  <c r="AC96" i="18" s="1"/>
  <c r="AG96" i="18" s="1"/>
  <c r="J96" i="12"/>
  <c r="I77" i="17"/>
  <c r="AQ81" i="10"/>
  <c r="L96" i="6"/>
  <c r="M18" i="4"/>
  <c r="M32" i="4"/>
  <c r="M80" i="4"/>
  <c r="I21" i="5"/>
  <c r="I40" i="5"/>
  <c r="I84" i="5"/>
  <c r="W27" i="3"/>
  <c r="W58" i="3"/>
  <c r="W75" i="3"/>
  <c r="W76" i="3"/>
  <c r="W19" i="3"/>
  <c r="W73" i="3"/>
  <c r="W44" i="3"/>
  <c r="W57" i="3"/>
  <c r="W74" i="3"/>
  <c r="D86" i="5"/>
  <c r="O84" i="1"/>
  <c r="N9" i="1"/>
  <c r="I83" i="1"/>
  <c r="U96" i="18" s="1"/>
  <c r="B96" i="7"/>
  <c r="B95" i="7"/>
  <c r="AN96" i="12" l="1"/>
  <c r="AG45" i="18"/>
  <c r="AG51" i="18" s="1"/>
  <c r="AC51" i="18"/>
  <c r="M29" i="19"/>
  <c r="AC29" i="19" s="1"/>
  <c r="M29" i="9"/>
  <c r="AD29" i="9" s="1"/>
  <c r="AL29" i="9" s="1"/>
  <c r="AC29" i="6"/>
  <c r="AG29" i="6" s="1"/>
  <c r="M94" i="19"/>
  <c r="AC94" i="19" s="1"/>
  <c r="AK94" i="19" s="1"/>
  <c r="AC94" i="6"/>
  <c r="AG94" i="6" s="1"/>
  <c r="M94" i="9"/>
  <c r="AD94" i="9" s="1"/>
  <c r="AL94" i="9" s="1"/>
  <c r="AG35" i="18"/>
  <c r="AG37" i="18" s="1"/>
  <c r="AC37" i="18"/>
  <c r="AC86" i="18"/>
  <c r="AG80" i="18"/>
  <c r="AG86" i="18" s="1"/>
  <c r="M14" i="19"/>
  <c r="AC14" i="19" s="1"/>
  <c r="AK14" i="19" s="1"/>
  <c r="M14" i="9"/>
  <c r="AD14" i="9" s="1"/>
  <c r="AL14" i="9" s="1"/>
  <c r="AC14" i="6"/>
  <c r="AG14" i="6" s="1"/>
  <c r="M59" i="19"/>
  <c r="AC59" i="19" s="1"/>
  <c r="M59" i="9"/>
  <c r="AD59" i="9" s="1"/>
  <c r="AL59" i="9" s="1"/>
  <c r="AC59" i="6"/>
  <c r="AG59" i="6" s="1"/>
  <c r="M19" i="19"/>
  <c r="AC19" i="19" s="1"/>
  <c r="AK19" i="19" s="1"/>
  <c r="M19" i="9"/>
  <c r="AD19" i="9" s="1"/>
  <c r="AL19" i="9" s="1"/>
  <c r="AC19" i="6"/>
  <c r="AG19" i="6" s="1"/>
  <c r="M38" i="19"/>
  <c r="AC38" i="19" s="1"/>
  <c r="M38" i="9"/>
  <c r="AD38" i="9" s="1"/>
  <c r="AL38" i="9" s="1"/>
  <c r="AC38" i="6"/>
  <c r="AG38" i="6" s="1"/>
  <c r="M17" i="19"/>
  <c r="AC17" i="19" s="1"/>
  <c r="AK17" i="19" s="1"/>
  <c r="M17" i="9"/>
  <c r="AD17" i="9" s="1"/>
  <c r="AL17" i="9" s="1"/>
  <c r="AC17" i="6"/>
  <c r="AG17" i="6" s="1"/>
  <c r="AC25" i="18"/>
  <c r="AG23" i="18"/>
  <c r="AG25" i="18" s="1"/>
  <c r="AG52" i="18"/>
  <c r="AG58" i="18" s="1"/>
  <c r="AC58" i="18"/>
  <c r="M32" i="19"/>
  <c r="AC32" i="19" s="1"/>
  <c r="M32" i="9"/>
  <c r="AD32" i="9" s="1"/>
  <c r="AC32" i="6"/>
  <c r="M73" i="19"/>
  <c r="M73" i="9"/>
  <c r="AG29" i="18"/>
  <c r="AG31" i="18" s="1"/>
  <c r="AC31" i="18"/>
  <c r="M26" i="19"/>
  <c r="AC26" i="19" s="1"/>
  <c r="M26" i="9"/>
  <c r="AD26" i="9" s="1"/>
  <c r="AL26" i="9" s="1"/>
  <c r="AC26" i="6"/>
  <c r="AG26" i="6" s="1"/>
  <c r="M20" i="19"/>
  <c r="AC20" i="19" s="1"/>
  <c r="M20" i="9"/>
  <c r="AD20" i="9" s="1"/>
  <c r="AL20" i="9" s="1"/>
  <c r="AC20" i="6"/>
  <c r="AG20" i="6" s="1"/>
  <c r="M45" i="19"/>
  <c r="AC45" i="19" s="1"/>
  <c r="M45" i="9"/>
  <c r="AD45" i="9" s="1"/>
  <c r="AL45" i="9" s="1"/>
  <c r="AC45" i="6"/>
  <c r="AG45" i="6" s="1"/>
  <c r="M95" i="19"/>
  <c r="AC95" i="19" s="1"/>
  <c r="AK95" i="19" s="1"/>
  <c r="M95" i="9"/>
  <c r="AD95" i="9" s="1"/>
  <c r="AL95" i="9" s="1"/>
  <c r="AC95" i="6"/>
  <c r="AG95" i="6" s="1"/>
  <c r="AC44" i="18"/>
  <c r="AG38" i="18"/>
  <c r="AG44" i="18" s="1"/>
  <c r="M35" i="19"/>
  <c r="AC35" i="19" s="1"/>
  <c r="M35" i="9"/>
  <c r="AD35" i="9" s="1"/>
  <c r="AL35" i="9" s="1"/>
  <c r="AC35" i="6"/>
  <c r="AG35" i="6" s="1"/>
  <c r="AC15" i="6"/>
  <c r="AG15" i="6" s="1"/>
  <c r="M15" i="19"/>
  <c r="AC15" i="19" s="1"/>
  <c r="AK15" i="19" s="1"/>
  <c r="M15" i="9"/>
  <c r="AD15" i="9" s="1"/>
  <c r="AL15" i="9" s="1"/>
  <c r="AG59" i="18"/>
  <c r="AG65" i="18" s="1"/>
  <c r="AC65" i="18"/>
  <c r="M80" i="19"/>
  <c r="AC80" i="19" s="1"/>
  <c r="M80" i="9"/>
  <c r="AD80" i="9" s="1"/>
  <c r="AC80" i="6"/>
  <c r="AC34" i="18"/>
  <c r="AG32" i="18"/>
  <c r="AG34" i="18" s="1"/>
  <c r="M23" i="19"/>
  <c r="AC23" i="19" s="1"/>
  <c r="M23" i="9"/>
  <c r="AD23" i="9" s="1"/>
  <c r="AC23" i="6"/>
  <c r="M96" i="19"/>
  <c r="AC96" i="19" s="1"/>
  <c r="AK96" i="19" s="1"/>
  <c r="M96" i="9"/>
  <c r="AD96" i="9" s="1"/>
  <c r="AL96" i="9" s="1"/>
  <c r="AC96" i="6"/>
  <c r="AG96" i="6" s="1"/>
  <c r="M18" i="19"/>
  <c r="AC18" i="19" s="1"/>
  <c r="AK18" i="19" s="1"/>
  <c r="M18" i="9"/>
  <c r="AD18" i="9" s="1"/>
  <c r="AL18" i="9" s="1"/>
  <c r="AC18" i="6"/>
  <c r="AG18" i="6" s="1"/>
  <c r="M16" i="19"/>
  <c r="AC16" i="19" s="1"/>
  <c r="AK16" i="19" s="1"/>
  <c r="M16" i="9"/>
  <c r="AC16" i="6"/>
  <c r="AG16" i="6" s="1"/>
  <c r="M66" i="19"/>
  <c r="M66" i="9"/>
  <c r="AG26" i="18"/>
  <c r="AG28" i="18" s="1"/>
  <c r="AC28" i="18"/>
  <c r="M52" i="19"/>
  <c r="AC52" i="19" s="1"/>
  <c r="AC52" i="6"/>
  <c r="AG52" i="6" s="1"/>
  <c r="M52" i="9"/>
  <c r="AD52" i="9" s="1"/>
  <c r="AL52" i="9" s="1"/>
  <c r="AG20" i="18"/>
  <c r="AG22" i="18" s="1"/>
  <c r="AC22" i="18"/>
  <c r="G96" i="12"/>
  <c r="U96" i="6"/>
  <c r="V96" i="19" s="1"/>
  <c r="D97" i="12"/>
  <c r="E97" i="12"/>
  <c r="AD86" i="9" l="1"/>
  <c r="AL80" i="9"/>
  <c r="AL86" i="9" s="1"/>
  <c r="AC25" i="6"/>
  <c r="AG23" i="6"/>
  <c r="AG25" i="6" s="1"/>
  <c r="AC86" i="19"/>
  <c r="AK80" i="19"/>
  <c r="AK86" i="19" s="1"/>
  <c r="AC37" i="19"/>
  <c r="AK35" i="19"/>
  <c r="AK37" i="19" s="1"/>
  <c r="AK45" i="19"/>
  <c r="AK51" i="19" s="1"/>
  <c r="AC51" i="19"/>
  <c r="AC58" i="19"/>
  <c r="AK52" i="19"/>
  <c r="AK58" i="19" s="1"/>
  <c r="AL23" i="9"/>
  <c r="AL25" i="9" s="1"/>
  <c r="AD25" i="9"/>
  <c r="AC44" i="19"/>
  <c r="AK38" i="19"/>
  <c r="AK44" i="19" s="1"/>
  <c r="AC25" i="19"/>
  <c r="AK23" i="19"/>
  <c r="AK25" i="19" s="1"/>
  <c r="AC65" i="19"/>
  <c r="AK59" i="19"/>
  <c r="AK65" i="19" s="1"/>
  <c r="AK20" i="19"/>
  <c r="AK22" i="19" s="1"/>
  <c r="AC22" i="19"/>
  <c r="AG32" i="6"/>
  <c r="AG34" i="6" s="1"/>
  <c r="AC34" i="6"/>
  <c r="AC31" i="19"/>
  <c r="AK29" i="19"/>
  <c r="AK31" i="19" s="1"/>
  <c r="AL32" i="9"/>
  <c r="AL34" i="9" s="1"/>
  <c r="AD34" i="9"/>
  <c r="AC86" i="6"/>
  <c r="AG80" i="6"/>
  <c r="AG86" i="6" s="1"/>
  <c r="AC28" i="19"/>
  <c r="AK26" i="19"/>
  <c r="AK28" i="19" s="1"/>
  <c r="AC34" i="19"/>
  <c r="AK32" i="19"/>
  <c r="AK34" i="19" s="1"/>
  <c r="W96" i="9"/>
  <c r="Q96" i="7"/>
  <c r="E82" i="4"/>
  <c r="E81" i="4"/>
  <c r="E80"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5" i="4"/>
  <c r="E24" i="4"/>
  <c r="E23" i="4"/>
  <c r="E22" i="4"/>
  <c r="E21" i="4"/>
  <c r="E20" i="4"/>
  <c r="E19" i="4"/>
  <c r="E18" i="4"/>
  <c r="E17" i="4"/>
  <c r="E16" i="4"/>
  <c r="E15" i="4"/>
  <c r="E14" i="4"/>
  <c r="N82" i="4"/>
  <c r="N81" i="4"/>
  <c r="N80" i="4"/>
  <c r="N74" i="4"/>
  <c r="N68" i="4"/>
  <c r="N50" i="4"/>
  <c r="N44" i="4"/>
  <c r="N38" i="4"/>
  <c r="N32" i="4"/>
  <c r="N30" i="4"/>
  <c r="N28" i="4"/>
  <c r="N26" i="4"/>
  <c r="N24" i="4"/>
  <c r="N22" i="4"/>
  <c r="N20" i="4"/>
  <c r="N19" i="4"/>
  <c r="N18" i="4"/>
  <c r="N17" i="4"/>
  <c r="N16" i="4"/>
  <c r="N15" i="4"/>
  <c r="N14"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B74" i="4"/>
  <c r="B68" i="4"/>
  <c r="B30" i="4"/>
  <c r="B32" i="4"/>
  <c r="B28" i="4"/>
  <c r="B26" i="4"/>
  <c r="B22" i="4"/>
  <c r="B15" i="4"/>
  <c r="B16" i="4"/>
  <c r="B17" i="4"/>
  <c r="B18" i="4"/>
  <c r="B19" i="4"/>
  <c r="B14" i="4"/>
  <c r="J81" i="10"/>
  <c r="D82" i="11" l="1"/>
  <c r="W96" i="12"/>
  <c r="X96" i="12" s="1"/>
  <c r="J14" i="4"/>
  <c r="J20" i="4"/>
  <c r="N81" i="10"/>
  <c r="H96" i="6" s="1"/>
  <c r="E84" i="5"/>
  <c r="J67" i="4"/>
  <c r="E70" i="3"/>
  <c r="E31" i="3"/>
  <c r="J28" i="4"/>
  <c r="E39" i="3"/>
  <c r="J36" i="4"/>
  <c r="J21" i="4"/>
  <c r="F24" i="3" s="1"/>
  <c r="E24" i="3"/>
  <c r="J29" i="4"/>
  <c r="E32" i="3"/>
  <c r="E40" i="3"/>
  <c r="J37" i="4"/>
  <c r="J45" i="4"/>
  <c r="F48" i="3" s="1"/>
  <c r="E48" i="3"/>
  <c r="J53" i="4"/>
  <c r="F56" i="3" s="1"/>
  <c r="E56" i="3"/>
  <c r="E64" i="3"/>
  <c r="J61" i="4"/>
  <c r="J69" i="4"/>
  <c r="E72" i="3"/>
  <c r="J43" i="4"/>
  <c r="E46" i="3"/>
  <c r="E47" i="3"/>
  <c r="J44" i="4"/>
  <c r="E17" i="3"/>
  <c r="E25" i="3"/>
  <c r="J22" i="4"/>
  <c r="E33" i="3"/>
  <c r="J30" i="4"/>
  <c r="F33" i="3" s="1"/>
  <c r="J38" i="4"/>
  <c r="E41" i="3"/>
  <c r="E49" i="3"/>
  <c r="J46" i="4"/>
  <c r="F49" i="3" s="1"/>
  <c r="E57" i="3"/>
  <c r="J54" i="4"/>
  <c r="F57" i="3" s="1"/>
  <c r="E65" i="3"/>
  <c r="J62" i="4"/>
  <c r="E73" i="3"/>
  <c r="J70" i="4"/>
  <c r="J59" i="4"/>
  <c r="F62" i="3" s="1"/>
  <c r="E62" i="3"/>
  <c r="E71" i="3"/>
  <c r="J68" i="4"/>
  <c r="J15" i="4"/>
  <c r="F18" i="3" s="1"/>
  <c r="E18" i="3"/>
  <c r="J23" i="4"/>
  <c r="F26" i="3" s="1"/>
  <c r="E26" i="3"/>
  <c r="J31" i="4"/>
  <c r="F34" i="3" s="1"/>
  <c r="E34" i="3"/>
  <c r="J39" i="4"/>
  <c r="F42" i="3" s="1"/>
  <c r="E42" i="3"/>
  <c r="J47" i="4"/>
  <c r="F50" i="3" s="1"/>
  <c r="E50" i="3"/>
  <c r="J55" i="4"/>
  <c r="E58" i="3"/>
  <c r="J63" i="4"/>
  <c r="F66" i="3" s="1"/>
  <c r="E66" i="3"/>
  <c r="J71" i="4"/>
  <c r="E74" i="3"/>
  <c r="J35" i="4"/>
  <c r="F38" i="3" s="1"/>
  <c r="E38" i="3"/>
  <c r="E55" i="3"/>
  <c r="J52" i="4"/>
  <c r="F55" i="3" s="1"/>
  <c r="J16" i="4"/>
  <c r="F19" i="3" s="1"/>
  <c r="E19" i="3"/>
  <c r="J24" i="4"/>
  <c r="E27" i="3"/>
  <c r="J32" i="4"/>
  <c r="E35" i="3"/>
  <c r="J40" i="4"/>
  <c r="F43" i="3" s="1"/>
  <c r="E43" i="3"/>
  <c r="J48" i="4"/>
  <c r="E51" i="3"/>
  <c r="J56" i="4"/>
  <c r="E59" i="3"/>
  <c r="J64" i="4"/>
  <c r="E67" i="3"/>
  <c r="J72" i="4"/>
  <c r="E75" i="3"/>
  <c r="J80" i="4"/>
  <c r="E83" i="3"/>
  <c r="E23" i="3"/>
  <c r="F23" i="3"/>
  <c r="E63" i="3"/>
  <c r="J60" i="4"/>
  <c r="J17" i="4"/>
  <c r="F20" i="3" s="1"/>
  <c r="E20" i="3"/>
  <c r="J25" i="4"/>
  <c r="E28" i="3"/>
  <c r="J33" i="4"/>
  <c r="F36" i="3" s="1"/>
  <c r="E36" i="3"/>
  <c r="E44" i="3"/>
  <c r="J41" i="4"/>
  <c r="F44" i="3" s="1"/>
  <c r="J49" i="4"/>
  <c r="E52" i="3"/>
  <c r="J57" i="4"/>
  <c r="F60" i="3" s="1"/>
  <c r="E60" i="3"/>
  <c r="J65" i="4"/>
  <c r="E68" i="3"/>
  <c r="E76" i="3"/>
  <c r="J73" i="4"/>
  <c r="J81" i="4"/>
  <c r="E84" i="3"/>
  <c r="J19" i="4"/>
  <c r="F22" i="3" s="1"/>
  <c r="E22" i="3"/>
  <c r="J51" i="4"/>
  <c r="F54" i="3" s="1"/>
  <c r="E54" i="3"/>
  <c r="J18" i="4"/>
  <c r="F21" i="3" s="1"/>
  <c r="E21" i="3"/>
  <c r="J34" i="4"/>
  <c r="F37" i="3" s="1"/>
  <c r="E37" i="3"/>
  <c r="J42" i="4"/>
  <c r="E45" i="3"/>
  <c r="J50" i="4"/>
  <c r="E53" i="3"/>
  <c r="J58" i="4"/>
  <c r="F61" i="3" s="1"/>
  <c r="E61" i="3"/>
  <c r="J66" i="4"/>
  <c r="E69" i="3"/>
  <c r="J82" i="4"/>
  <c r="E85" i="3"/>
  <c r="D84" i="4"/>
  <c r="R82" i="1"/>
  <c r="R75" i="1"/>
  <c r="R69" i="1"/>
  <c r="R63" i="1"/>
  <c r="R57" i="1"/>
  <c r="R51" i="1"/>
  <c r="R45" i="1"/>
  <c r="R39" i="1"/>
  <c r="R33" i="1"/>
  <c r="R31" i="1"/>
  <c r="R29" i="1"/>
  <c r="R27" i="1"/>
  <c r="R25" i="1"/>
  <c r="R23" i="1"/>
  <c r="R21" i="1"/>
  <c r="R20" i="1"/>
  <c r="R19" i="1"/>
  <c r="R18" i="1"/>
  <c r="R17" i="1"/>
  <c r="R16" i="1"/>
  <c r="R15" i="1"/>
  <c r="Q82" i="1"/>
  <c r="Z18" i="2" s="1"/>
  <c r="O76" i="29" s="1"/>
  <c r="R76" i="29" s="1"/>
  <c r="Q83" i="1"/>
  <c r="AA18" i="2" s="1"/>
  <c r="Q81" i="1"/>
  <c r="Q69" i="1"/>
  <c r="W18" i="2" s="1"/>
  <c r="Q63" i="1"/>
  <c r="V18" i="2" s="1"/>
  <c r="Q57" i="1"/>
  <c r="U18" i="2" s="1"/>
  <c r="Q51" i="1"/>
  <c r="T18" i="2" s="1"/>
  <c r="Q45" i="1"/>
  <c r="S18" i="2" s="1"/>
  <c r="Q39" i="1"/>
  <c r="R18" i="2" s="1"/>
  <c r="Q33" i="1"/>
  <c r="Q18" i="2" s="1"/>
  <c r="Q31" i="1"/>
  <c r="P18" i="2" s="1"/>
  <c r="Q29" i="1"/>
  <c r="O18" i="2" s="1"/>
  <c r="Q25" i="1"/>
  <c r="M18" i="2" s="1"/>
  <c r="M78" i="2" s="1"/>
  <c r="Q23" i="1"/>
  <c r="L18" i="2" s="1"/>
  <c r="Q21" i="1"/>
  <c r="K18" i="2" s="1"/>
  <c r="Q20" i="1"/>
  <c r="J18" i="2" s="1"/>
  <c r="Q19" i="1"/>
  <c r="I18" i="2" s="1"/>
  <c r="Q18" i="1"/>
  <c r="H18" i="2" s="1"/>
  <c r="Q17" i="1"/>
  <c r="G18" i="2" s="1"/>
  <c r="Q16" i="1"/>
  <c r="F18" i="2" s="1"/>
  <c r="Q15" i="1"/>
  <c r="E18" i="2" s="1"/>
  <c r="K96" i="12" l="1"/>
  <c r="M96" i="12" s="1"/>
  <c r="S96" i="12" s="1"/>
  <c r="L39" i="20" s="1"/>
  <c r="I96" i="28"/>
  <c r="K96" i="28" s="1"/>
  <c r="O96" i="28" s="1"/>
  <c r="L82" i="11"/>
  <c r="T96" i="12" s="1"/>
  <c r="O77" i="22"/>
  <c r="Q77" i="22" s="1"/>
  <c r="E81" i="11"/>
  <c r="O77" i="23"/>
  <c r="Q77" i="23" s="1"/>
  <c r="F59" i="3"/>
  <c r="F25" i="3"/>
  <c r="F65" i="3"/>
  <c r="F35" i="3"/>
  <c r="T66" i="18"/>
  <c r="G51" i="17"/>
  <c r="T66" i="6"/>
  <c r="J58" i="5"/>
  <c r="N56" i="4"/>
  <c r="F73" i="3"/>
  <c r="F69" i="3"/>
  <c r="F52" i="3"/>
  <c r="F75" i="3"/>
  <c r="F58" i="3"/>
  <c r="F39" i="3"/>
  <c r="F67" i="3"/>
  <c r="F46" i="3"/>
  <c r="F71" i="3"/>
  <c r="F40" i="3"/>
  <c r="F31" i="3"/>
  <c r="F76" i="3"/>
  <c r="F63" i="3"/>
  <c r="F68" i="3"/>
  <c r="F74" i="3"/>
  <c r="F72" i="3"/>
  <c r="F64" i="3"/>
  <c r="F45" i="3"/>
  <c r="F28" i="3"/>
  <c r="F83" i="3"/>
  <c r="F51" i="3"/>
  <c r="F32" i="3"/>
  <c r="F70" i="3"/>
  <c r="I96" i="9"/>
  <c r="Y96" i="9" s="1"/>
  <c r="W96" i="6"/>
  <c r="O81" i="4"/>
  <c r="F84" i="3"/>
  <c r="F17" i="3"/>
  <c r="F27" i="3"/>
  <c r="F53" i="3"/>
  <c r="F41" i="3"/>
  <c r="F47" i="3"/>
  <c r="F85" i="3"/>
  <c r="R84" i="1"/>
  <c r="I78" i="10"/>
  <c r="M74" i="29" s="1"/>
  <c r="I77" i="10"/>
  <c r="M73" i="29" s="1"/>
  <c r="I76" i="10"/>
  <c r="M72" i="29" s="1"/>
  <c r="I75" i="10"/>
  <c r="M71" i="29" s="1"/>
  <c r="I74" i="10"/>
  <c r="M70" i="29" s="1"/>
  <c r="I73" i="10"/>
  <c r="M69" i="29" s="1"/>
  <c r="E78" i="10"/>
  <c r="J74" i="29" s="1"/>
  <c r="E77" i="10"/>
  <c r="J73" i="29" s="1"/>
  <c r="E76" i="10"/>
  <c r="J72" i="29" s="1"/>
  <c r="E75" i="10"/>
  <c r="J71" i="29" s="1"/>
  <c r="E74" i="10"/>
  <c r="J70" i="29" s="1"/>
  <c r="E73" i="10"/>
  <c r="J69" i="29" s="1"/>
  <c r="I30" i="10"/>
  <c r="M26" i="29" s="1"/>
  <c r="N26" i="29" s="1"/>
  <c r="I29" i="10"/>
  <c r="M25" i="29" s="1"/>
  <c r="N25" i="29" s="1"/>
  <c r="E26" i="10"/>
  <c r="J22" i="29" s="1"/>
  <c r="E25" i="10"/>
  <c r="J21" i="29" s="1"/>
  <c r="H14" i="10"/>
  <c r="K10" i="29" s="1"/>
  <c r="N69" i="29" l="1"/>
  <c r="AK96" i="12"/>
  <c r="AA39" i="25" s="1"/>
  <c r="N70" i="29"/>
  <c r="N74" i="29"/>
  <c r="AL96" i="12"/>
  <c r="N72" i="29"/>
  <c r="N73" i="29"/>
  <c r="N71" i="29"/>
  <c r="Y96" i="12"/>
  <c r="AQ96" i="12"/>
  <c r="BT65" i="12"/>
  <c r="BX65" i="12" s="1"/>
  <c r="J69" i="17"/>
  <c r="J70" i="23"/>
  <c r="J70" i="22"/>
  <c r="J71" i="22"/>
  <c r="J71" i="23"/>
  <c r="M72" i="17"/>
  <c r="M73" i="23"/>
  <c r="M73" i="22"/>
  <c r="K11" i="23"/>
  <c r="K11" i="22"/>
  <c r="J73" i="23"/>
  <c r="J73" i="22"/>
  <c r="M74" i="17"/>
  <c r="M75" i="22"/>
  <c r="M75" i="23"/>
  <c r="J72" i="23"/>
  <c r="J72" i="22"/>
  <c r="J21" i="17"/>
  <c r="J22" i="23"/>
  <c r="J22" i="22"/>
  <c r="J74" i="22"/>
  <c r="J74" i="23"/>
  <c r="J23" i="22"/>
  <c r="J23" i="23"/>
  <c r="J75" i="23"/>
  <c r="J75" i="22"/>
  <c r="M71" i="17"/>
  <c r="M72" i="22"/>
  <c r="M72" i="23"/>
  <c r="M73" i="17"/>
  <c r="M74" i="23"/>
  <c r="M74" i="22"/>
  <c r="M69" i="17"/>
  <c r="N69" i="17" s="1"/>
  <c r="M70" i="23"/>
  <c r="M70" i="22"/>
  <c r="M25" i="17"/>
  <c r="N25" i="17" s="1"/>
  <c r="M26" i="23"/>
  <c r="N26" i="23" s="1"/>
  <c r="M26" i="22"/>
  <c r="N26" i="22" s="1"/>
  <c r="M26" i="17"/>
  <c r="N26" i="17" s="1"/>
  <c r="M27" i="23"/>
  <c r="N27" i="23" s="1"/>
  <c r="M27" i="22"/>
  <c r="N27" i="22" s="1"/>
  <c r="M70" i="17"/>
  <c r="M71" i="23"/>
  <c r="M71" i="22"/>
  <c r="G84" i="3"/>
  <c r="AX96" i="12"/>
  <c r="Z38" i="14"/>
  <c r="L39" i="13"/>
  <c r="AE96" i="12"/>
  <c r="AU96" i="12" s="1"/>
  <c r="T73" i="18"/>
  <c r="G57" i="17"/>
  <c r="T73" i="6"/>
  <c r="J64" i="5"/>
  <c r="N62" i="4"/>
  <c r="U66" i="19"/>
  <c r="V66" i="9"/>
  <c r="P66" i="7"/>
  <c r="X66" i="6"/>
  <c r="AC66" i="6"/>
  <c r="X66" i="18"/>
  <c r="X72" i="18" s="1"/>
  <c r="AC66" i="18"/>
  <c r="E75" i="4"/>
  <c r="J70" i="17"/>
  <c r="E76" i="4"/>
  <c r="J71" i="17"/>
  <c r="H15" i="10"/>
  <c r="K11" i="29" s="1"/>
  <c r="K10" i="17"/>
  <c r="E77" i="4"/>
  <c r="J72" i="17"/>
  <c r="E78" i="4"/>
  <c r="J73" i="17"/>
  <c r="E27" i="4"/>
  <c r="E30" i="3" s="1"/>
  <c r="J22" i="17"/>
  <c r="E79" i="4"/>
  <c r="J74" i="17"/>
  <c r="E74" i="4"/>
  <c r="Q75" i="1"/>
  <c r="X18" i="2" s="1"/>
  <c r="E26" i="4"/>
  <c r="Q27" i="1"/>
  <c r="G85" i="3"/>
  <c r="J80" i="10"/>
  <c r="F14" i="10"/>
  <c r="L10" i="29" s="1"/>
  <c r="N10" i="29" s="1"/>
  <c r="J72" i="10"/>
  <c r="D73" i="11" s="1"/>
  <c r="J71" i="10"/>
  <c r="D72" i="11" s="1"/>
  <c r="J70" i="10"/>
  <c r="D71" i="11" s="1"/>
  <c r="J69" i="10"/>
  <c r="D70" i="11" s="1"/>
  <c r="J68" i="10"/>
  <c r="D69" i="11" s="1"/>
  <c r="J67" i="10"/>
  <c r="D68" i="11" s="1"/>
  <c r="J28" i="10"/>
  <c r="D29" i="11" s="1"/>
  <c r="J27" i="10"/>
  <c r="D28" i="11" s="1"/>
  <c r="F26" i="10"/>
  <c r="L22" i="29" s="1"/>
  <c r="N22" i="29" s="1"/>
  <c r="F25" i="10"/>
  <c r="N74" i="22" l="1"/>
  <c r="BA96" i="12"/>
  <c r="BY65" i="12"/>
  <c r="AA39" i="21"/>
  <c r="N70" i="17"/>
  <c r="N73" i="17"/>
  <c r="N73" i="23"/>
  <c r="N75" i="23"/>
  <c r="J25" i="10"/>
  <c r="N25" i="10" s="1"/>
  <c r="H29" i="6" s="1"/>
  <c r="L21" i="29"/>
  <c r="N21" i="29" s="1"/>
  <c r="N71" i="17"/>
  <c r="N74" i="17"/>
  <c r="K32" i="12"/>
  <c r="I32" i="28"/>
  <c r="L28" i="11"/>
  <c r="T32" i="12" s="1"/>
  <c r="K85" i="12"/>
  <c r="I85" i="28"/>
  <c r="L73" i="11"/>
  <c r="T85" i="12" s="1"/>
  <c r="K80" i="12"/>
  <c r="I80" i="28"/>
  <c r="K86" i="28" s="1"/>
  <c r="L68" i="11"/>
  <c r="T80" i="12" s="1"/>
  <c r="K33" i="12"/>
  <c r="I33" i="28"/>
  <c r="L29" i="11"/>
  <c r="T33" i="12" s="1"/>
  <c r="K82" i="12"/>
  <c r="I82" i="28"/>
  <c r="L70" i="11"/>
  <c r="T82" i="12" s="1"/>
  <c r="K83" i="12"/>
  <c r="I83" i="28"/>
  <c r="L71" i="11"/>
  <c r="T83" i="12" s="1"/>
  <c r="K81" i="12"/>
  <c r="I81" i="28"/>
  <c r="L69" i="11"/>
  <c r="T81" i="12" s="1"/>
  <c r="K84" i="12"/>
  <c r="I84" i="28"/>
  <c r="L72" i="11"/>
  <c r="T84" i="12" s="1"/>
  <c r="N72" i="23"/>
  <c r="N74" i="23"/>
  <c r="N71" i="23"/>
  <c r="D81" i="11"/>
  <c r="W95" i="12"/>
  <c r="N73" i="22"/>
  <c r="N71" i="22"/>
  <c r="N72" i="17"/>
  <c r="N75" i="22"/>
  <c r="N70" i="22"/>
  <c r="K12" i="23"/>
  <c r="K12" i="22"/>
  <c r="L22" i="23"/>
  <c r="N22" i="23" s="1"/>
  <c r="L22" i="22"/>
  <c r="N22" i="22" s="1"/>
  <c r="L23" i="22"/>
  <c r="N23" i="22" s="1"/>
  <c r="L23" i="23"/>
  <c r="N23" i="23" s="1"/>
  <c r="N70" i="23"/>
  <c r="L11" i="22"/>
  <c r="N11" i="22" s="1"/>
  <c r="L11" i="23"/>
  <c r="N11" i="23" s="1"/>
  <c r="N72" i="22"/>
  <c r="N84" i="4"/>
  <c r="AG66" i="6"/>
  <c r="Z66" i="9"/>
  <c r="AD66" i="9"/>
  <c r="Y66" i="19"/>
  <c r="Y72" i="19" s="1"/>
  <c r="AC66" i="19"/>
  <c r="AG66" i="18"/>
  <c r="AG72" i="18" s="1"/>
  <c r="AC72" i="18"/>
  <c r="U73" i="19"/>
  <c r="V73" i="9"/>
  <c r="P73" i="7"/>
  <c r="X73" i="6"/>
  <c r="AC73" i="6"/>
  <c r="X73" i="18"/>
  <c r="X79" i="18" s="1"/>
  <c r="X3" i="18" s="1"/>
  <c r="AC73" i="18"/>
  <c r="J77" i="4"/>
  <c r="F80" i="3" s="1"/>
  <c r="J76" i="4"/>
  <c r="F79" i="3" s="1"/>
  <c r="J79" i="4"/>
  <c r="F82" i="3" s="1"/>
  <c r="J78" i="4"/>
  <c r="F81" i="3" s="1"/>
  <c r="J75" i="4"/>
  <c r="F78" i="3" s="1"/>
  <c r="E78" i="3"/>
  <c r="J27" i="4"/>
  <c r="F30" i="3" s="1"/>
  <c r="E79" i="3"/>
  <c r="E82" i="3"/>
  <c r="E80" i="3"/>
  <c r="E81" i="3"/>
  <c r="N13" i="10"/>
  <c r="H14" i="6" s="1"/>
  <c r="W14" i="6" s="1"/>
  <c r="Z14" i="6" s="1"/>
  <c r="D14" i="11"/>
  <c r="L14" i="11" s="1"/>
  <c r="H16" i="10"/>
  <c r="K12" i="29" s="1"/>
  <c r="K11" i="17"/>
  <c r="L21" i="17"/>
  <c r="J26" i="10"/>
  <c r="D27" i="11" s="1"/>
  <c r="L22" i="17"/>
  <c r="J14" i="10"/>
  <c r="D15" i="11" s="1"/>
  <c r="L10" i="17"/>
  <c r="E16" i="5"/>
  <c r="E31" i="5"/>
  <c r="N28" i="10"/>
  <c r="H33" i="6" s="1"/>
  <c r="E30" i="5"/>
  <c r="N27" i="10"/>
  <c r="H32" i="6" s="1"/>
  <c r="E77" i="3"/>
  <c r="J74" i="4"/>
  <c r="E71" i="5"/>
  <c r="N68" i="10"/>
  <c r="H81" i="6" s="1"/>
  <c r="E73" i="5"/>
  <c r="N70" i="10"/>
  <c r="H83" i="6" s="1"/>
  <c r="E83" i="5"/>
  <c r="N80" i="10"/>
  <c r="H95" i="6" s="1"/>
  <c r="E70" i="5"/>
  <c r="N67" i="10"/>
  <c r="H80" i="6" s="1"/>
  <c r="E72" i="5"/>
  <c r="N69" i="10"/>
  <c r="H82" i="6" s="1"/>
  <c r="E74" i="5"/>
  <c r="N71" i="10"/>
  <c r="H84" i="6" s="1"/>
  <c r="N18" i="2"/>
  <c r="Q84" i="1"/>
  <c r="E75" i="5"/>
  <c r="N72" i="10"/>
  <c r="H85" i="6" s="1"/>
  <c r="J26" i="4"/>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I75" i="1"/>
  <c r="U87" i="18" s="1"/>
  <c r="L75" i="1"/>
  <c r="H87" i="12" s="1"/>
  <c r="I69" i="1"/>
  <c r="U80" i="18" s="1"/>
  <c r="I63" i="1"/>
  <c r="U73" i="18" s="1"/>
  <c r="I51" i="1"/>
  <c r="U59" i="18" s="1"/>
  <c r="I45" i="1"/>
  <c r="U52" i="18" s="1"/>
  <c r="I39" i="1"/>
  <c r="U45" i="18" s="1"/>
  <c r="I33" i="1"/>
  <c r="U38" i="18" s="1"/>
  <c r="I23" i="1"/>
  <c r="U23" i="18" s="1"/>
  <c r="I15" i="1"/>
  <c r="I57" i="1"/>
  <c r="U66" i="18" s="1"/>
  <c r="I81" i="1"/>
  <c r="U94" i="18" s="1"/>
  <c r="I82" i="1"/>
  <c r="U95" i="18" s="1"/>
  <c r="L83" i="1"/>
  <c r="H96" i="12" s="1"/>
  <c r="I29" i="1"/>
  <c r="U32" i="18" s="1"/>
  <c r="I27" i="1"/>
  <c r="U29" i="18" s="1"/>
  <c r="I25" i="1"/>
  <c r="U26" i="18" s="1"/>
  <c r="A5" i="2"/>
  <c r="A2" i="2"/>
  <c r="A3" i="2"/>
  <c r="A4" i="2"/>
  <c r="A1" i="2"/>
  <c r="L15" i="1"/>
  <c r="H14" i="12" s="1"/>
  <c r="H84" i="1"/>
  <c r="K84" i="1"/>
  <c r="E84" i="1"/>
  <c r="F84" i="1"/>
  <c r="L82" i="1"/>
  <c r="H95" i="12" s="1"/>
  <c r="L81" i="1"/>
  <c r="L69" i="1"/>
  <c r="H80" i="12" s="1"/>
  <c r="L63" i="1"/>
  <c r="H73" i="12" s="1"/>
  <c r="L57" i="1"/>
  <c r="H66" i="12" s="1"/>
  <c r="L51" i="1"/>
  <c r="H59" i="12" s="1"/>
  <c r="L45" i="1"/>
  <c r="H52" i="12" s="1"/>
  <c r="L29" i="1"/>
  <c r="H32" i="12" s="1"/>
  <c r="L39" i="1"/>
  <c r="H45" i="12" s="1"/>
  <c r="L33" i="1"/>
  <c r="H38" i="12" s="1"/>
  <c r="L27" i="1"/>
  <c r="H29" i="12" s="1"/>
  <c r="L25" i="1"/>
  <c r="H26" i="12" s="1"/>
  <c r="L31" i="1"/>
  <c r="H35" i="12" s="1"/>
  <c r="L23" i="1"/>
  <c r="H23" i="12" s="1"/>
  <c r="L21" i="1"/>
  <c r="H20" i="12" s="1"/>
  <c r="D26" i="11" l="1"/>
  <c r="K29" i="12" s="1"/>
  <c r="N31" i="12" s="1"/>
  <c r="E28" i="5"/>
  <c r="K34" i="28"/>
  <c r="K30" i="12"/>
  <c r="I30" i="28"/>
  <c r="L27" i="11"/>
  <c r="T30" i="12" s="1"/>
  <c r="K15" i="12"/>
  <c r="I15" i="28"/>
  <c r="K15" i="28" s="1"/>
  <c r="L15" i="11"/>
  <c r="T15" i="12" s="1"/>
  <c r="I29" i="28"/>
  <c r="K31" i="28" s="1"/>
  <c r="L26" i="11"/>
  <c r="T29" i="12" s="1"/>
  <c r="U31" i="12" s="1"/>
  <c r="K95" i="12"/>
  <c r="I95" i="28"/>
  <c r="K95" i="28" s="1"/>
  <c r="L81" i="11"/>
  <c r="T95" i="12" s="1"/>
  <c r="U95" i="12" s="1"/>
  <c r="I14" i="28"/>
  <c r="K14" i="28" s="1"/>
  <c r="T14" i="12"/>
  <c r="U14" i="12" s="1"/>
  <c r="K14" i="12"/>
  <c r="K13" i="23"/>
  <c r="K13" i="22"/>
  <c r="N86" i="12"/>
  <c r="N95" i="12"/>
  <c r="AG73" i="6"/>
  <c r="H94" i="12"/>
  <c r="Y18" i="2"/>
  <c r="AG73" i="18"/>
  <c r="AG79" i="18" s="1"/>
  <c r="AG3" i="18" s="1"/>
  <c r="AR4" i="18" s="1"/>
  <c r="AC79" i="18"/>
  <c r="AC3" i="18" s="1"/>
  <c r="AC72" i="19"/>
  <c r="AK66" i="19"/>
  <c r="AK72" i="19" s="1"/>
  <c r="U14" i="18"/>
  <c r="G14" i="12"/>
  <c r="U14" i="6"/>
  <c r="U86" i="12"/>
  <c r="Z73" i="9"/>
  <c r="AD73" i="9"/>
  <c r="AL66" i="9"/>
  <c r="Y73" i="19"/>
  <c r="Y79" i="19" s="1"/>
  <c r="Y3" i="19" s="1"/>
  <c r="AC73" i="19"/>
  <c r="N26" i="10"/>
  <c r="H30" i="6" s="1"/>
  <c r="I30" i="9" s="1"/>
  <c r="Y30" i="9" s="1"/>
  <c r="E29" i="5"/>
  <c r="O14" i="4"/>
  <c r="F77" i="3"/>
  <c r="U96" i="12"/>
  <c r="N96" i="12"/>
  <c r="G26" i="12"/>
  <c r="U26" i="6"/>
  <c r="V26" i="19" s="1"/>
  <c r="G23" i="12"/>
  <c r="U23" i="6"/>
  <c r="V23" i="19" s="1"/>
  <c r="G87" i="12"/>
  <c r="U87" i="6"/>
  <c r="V87" i="19" s="1"/>
  <c r="G29" i="12"/>
  <c r="U29" i="6"/>
  <c r="V29" i="19" s="1"/>
  <c r="G45" i="12"/>
  <c r="U45" i="6"/>
  <c r="V45" i="19" s="1"/>
  <c r="G52" i="12"/>
  <c r="U52" i="6"/>
  <c r="V52" i="19" s="1"/>
  <c r="G95" i="12"/>
  <c r="U95" i="6"/>
  <c r="V95" i="19" s="1"/>
  <c r="G59" i="12"/>
  <c r="U59" i="6"/>
  <c r="V59" i="19" s="1"/>
  <c r="G38" i="12"/>
  <c r="U38" i="6"/>
  <c r="V38" i="19" s="1"/>
  <c r="G94" i="12"/>
  <c r="U94" i="6"/>
  <c r="V94" i="19" s="1"/>
  <c r="G73" i="12"/>
  <c r="U73" i="6"/>
  <c r="V73" i="19" s="1"/>
  <c r="G66" i="12"/>
  <c r="U66" i="6"/>
  <c r="V66" i="19" s="1"/>
  <c r="G80" i="12"/>
  <c r="U80" i="6"/>
  <c r="V80" i="19" s="1"/>
  <c r="U34" i="12"/>
  <c r="N34" i="12"/>
  <c r="G35" i="12"/>
  <c r="U35" i="6"/>
  <c r="V35" i="19" s="1"/>
  <c r="G32" i="12"/>
  <c r="U32" i="6"/>
  <c r="V32" i="19" s="1"/>
  <c r="E17" i="5"/>
  <c r="N21" i="17"/>
  <c r="N10" i="17"/>
  <c r="N22" i="17"/>
  <c r="H17" i="10"/>
  <c r="K13" i="29" s="1"/>
  <c r="K12" i="17"/>
  <c r="N14" i="10"/>
  <c r="H15" i="6" s="1"/>
  <c r="I14" i="9"/>
  <c r="Y14" i="9" s="1"/>
  <c r="I82" i="9"/>
  <c r="Y82" i="9" s="1"/>
  <c r="W82" i="6"/>
  <c r="I29" i="9"/>
  <c r="Y29" i="9" s="1"/>
  <c r="W29" i="6"/>
  <c r="I33" i="9"/>
  <c r="Y33" i="9" s="1"/>
  <c r="W33" i="6"/>
  <c r="I81" i="9"/>
  <c r="Y81" i="9" s="1"/>
  <c r="W81" i="6"/>
  <c r="F29" i="3"/>
  <c r="J84" i="4"/>
  <c r="I85" i="9"/>
  <c r="Y85" i="9" s="1"/>
  <c r="W85" i="6"/>
  <c r="I95" i="9"/>
  <c r="Y95" i="9" s="1"/>
  <c r="W95" i="6"/>
  <c r="W83" i="6"/>
  <c r="I83" i="9"/>
  <c r="Y83" i="9" s="1"/>
  <c r="I32" i="9"/>
  <c r="Y32" i="9" s="1"/>
  <c r="W32" i="6"/>
  <c r="I80" i="9"/>
  <c r="Y80" i="9" s="1"/>
  <c r="W80" i="6"/>
  <c r="I84" i="9"/>
  <c r="Y84" i="9" s="1"/>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H10" i="1"/>
  <c r="H9" i="1"/>
  <c r="H11" i="1"/>
  <c r="L16" i="1"/>
  <c r="L17" i="1"/>
  <c r="H16" i="12" s="1"/>
  <c r="L18" i="1"/>
  <c r="H17" i="12" s="1"/>
  <c r="L19" i="1"/>
  <c r="H18" i="12" s="1"/>
  <c r="L20" i="1"/>
  <c r="H19" i="12" s="1"/>
  <c r="K9" i="1"/>
  <c r="O8" i="1" s="1"/>
  <c r="K11" i="1"/>
  <c r="I16" i="1"/>
  <c r="BV35" i="12" l="1"/>
  <c r="N14" i="12"/>
  <c r="BV14" i="12" s="1"/>
  <c r="M14" i="12"/>
  <c r="BT43" i="12" s="1"/>
  <c r="K14" i="23"/>
  <c r="K14" i="22"/>
  <c r="D18" i="2"/>
  <c r="O75" i="29"/>
  <c r="R75" i="29" s="1"/>
  <c r="W30" i="6"/>
  <c r="I15" i="9"/>
  <c r="Y15" i="9" s="1"/>
  <c r="W15" i="6"/>
  <c r="Z15" i="6" s="1"/>
  <c r="M34" i="12"/>
  <c r="BT53" i="12" s="1"/>
  <c r="M95" i="12"/>
  <c r="X95" i="12"/>
  <c r="M86" i="12"/>
  <c r="BT61" i="12" s="1"/>
  <c r="M31" i="12"/>
  <c r="BT52" i="12" s="1"/>
  <c r="BV23" i="12"/>
  <c r="V31" i="12"/>
  <c r="V34" i="12"/>
  <c r="V95" i="12"/>
  <c r="BW35" i="12" s="1"/>
  <c r="BV32" i="12"/>
  <c r="V86" i="12"/>
  <c r="AL73" i="9"/>
  <c r="AK73" i="19"/>
  <c r="AK79" i="19" s="1"/>
  <c r="AK3" i="19" s="1"/>
  <c r="AV4" i="19" s="1"/>
  <c r="AC79" i="19"/>
  <c r="AC3" i="19" s="1"/>
  <c r="V14" i="19"/>
  <c r="W14" i="9"/>
  <c r="Q14" i="7"/>
  <c r="L84" i="1"/>
  <c r="H15" i="12"/>
  <c r="U15" i="18"/>
  <c r="G15" i="12"/>
  <c r="U15" i="6"/>
  <c r="F87" i="3"/>
  <c r="BV36" i="12"/>
  <c r="G17" i="3"/>
  <c r="CC36" i="12"/>
  <c r="V96" i="12"/>
  <c r="AH96" i="12" s="1"/>
  <c r="BV24" i="12"/>
  <c r="W59" i="9"/>
  <c r="Q59" i="7"/>
  <c r="W73" i="9"/>
  <c r="Q73" i="7"/>
  <c r="W95" i="9"/>
  <c r="Q95" i="7"/>
  <c r="W87" i="9"/>
  <c r="Q87" i="7"/>
  <c r="W94" i="9"/>
  <c r="Q94" i="7"/>
  <c r="W52" i="9"/>
  <c r="Q52" i="7"/>
  <c r="W23" i="9"/>
  <c r="Q23" i="7"/>
  <c r="W66" i="9"/>
  <c r="Q66" i="7"/>
  <c r="W80" i="9"/>
  <c r="Q80" i="7"/>
  <c r="W38" i="9"/>
  <c r="Q38" i="7"/>
  <c r="W45" i="9"/>
  <c r="Q45" i="7"/>
  <c r="W26" i="9"/>
  <c r="Q26" i="7"/>
  <c r="W29" i="9"/>
  <c r="Q29" i="7"/>
  <c r="W35" i="9"/>
  <c r="Q35" i="7"/>
  <c r="W32" i="9"/>
  <c r="Q32" i="7"/>
  <c r="H18" i="10"/>
  <c r="K14" i="29" s="1"/>
  <c r="K13" i="17"/>
  <c r="F95" i="6"/>
  <c r="AM95" i="6" s="1"/>
  <c r="F94" i="6"/>
  <c r="F96" i="6"/>
  <c r="AM96" i="6" s="1"/>
  <c r="W34" i="6"/>
  <c r="Z34" i="6" s="1"/>
  <c r="O28" i="4" s="1"/>
  <c r="Y86" i="9"/>
  <c r="Y34" i="9"/>
  <c r="W86" i="6"/>
  <c r="Z86" i="6" s="1"/>
  <c r="O68" i="4" s="1"/>
  <c r="E9" i="12"/>
  <c r="E9" i="11"/>
  <c r="F9" i="11" s="1"/>
  <c r="L8" i="10"/>
  <c r="F8" i="9"/>
  <c r="AH7" i="9" s="1"/>
  <c r="E8" i="7"/>
  <c r="D11" i="5"/>
  <c r="D10" i="5"/>
  <c r="F10" i="5" s="1"/>
  <c r="D9" i="4"/>
  <c r="F8" i="4"/>
  <c r="H8" i="4" s="1"/>
  <c r="F12" i="3"/>
  <c r="G12" i="3" s="1"/>
  <c r="F11" i="3"/>
  <c r="G11" i="3" s="1"/>
  <c r="T9" i="12"/>
  <c r="W9" i="12" s="1"/>
  <c r="F8" i="11"/>
  <c r="V14" i="12" l="1"/>
  <c r="BW14" i="12" s="1"/>
  <c r="Z9" i="12"/>
  <c r="X9" i="12"/>
  <c r="Y9" i="12" s="1"/>
  <c r="O76" i="22"/>
  <c r="Q76" i="22" s="1"/>
  <c r="E80" i="11"/>
  <c r="O76" i="23"/>
  <c r="Q76" i="23" s="1"/>
  <c r="K14" i="17"/>
  <c r="K15" i="23"/>
  <c r="K15" i="22"/>
  <c r="BW36" i="12"/>
  <c r="I8" i="4"/>
  <c r="P8" i="4"/>
  <c r="K8" i="4"/>
  <c r="BT64" i="12"/>
  <c r="M15" i="12"/>
  <c r="BT44" i="12" s="1"/>
  <c r="V15" i="19"/>
  <c r="W15" i="9"/>
  <c r="Q15" i="7"/>
  <c r="U15" i="12"/>
  <c r="N15" i="12"/>
  <c r="H97" i="12"/>
  <c r="G71" i="3"/>
  <c r="G31" i="3"/>
  <c r="O15" i="4"/>
  <c r="F8" i="6"/>
  <c r="R9" i="6"/>
  <c r="S9" i="6" s="1"/>
  <c r="T9" i="6" s="1"/>
  <c r="U9" i="6" s="1"/>
  <c r="J8" i="12"/>
  <c r="O9" i="7"/>
  <c r="P9" i="7" s="1"/>
  <c r="Q9" i="7" s="1"/>
  <c r="G7" i="12"/>
  <c r="Q8" i="12"/>
  <c r="W8" i="12" s="1"/>
  <c r="Q8" i="4" l="1"/>
  <c r="L8" i="4"/>
  <c r="AC9" i="12"/>
  <c r="AA9" i="12"/>
  <c r="AB9" i="12" s="1"/>
  <c r="V15" i="12"/>
  <c r="BW15" i="12" s="1"/>
  <c r="BV15" i="12"/>
  <c r="G18" i="3"/>
  <c r="AN8" i="12"/>
  <c r="AM8" i="12"/>
  <c r="S8" i="12"/>
  <c r="R8" i="12"/>
  <c r="I17" i="1"/>
  <c r="AD9" i="12" l="1"/>
  <c r="AE9" i="12" s="1"/>
  <c r="AF9" i="12"/>
  <c r="AG9" i="12" s="1"/>
  <c r="AH9" i="12" s="1"/>
  <c r="X8" i="12"/>
  <c r="Y8" i="12" s="1"/>
  <c r="Z8" i="12"/>
  <c r="U16" i="18"/>
  <c r="G16" i="12"/>
  <c r="U16" i="6"/>
  <c r="AO8" i="12"/>
  <c r="AP8" i="12"/>
  <c r="V10" i="4"/>
  <c r="BC10" i="7" s="1"/>
  <c r="BC13" i="7" s="1"/>
  <c r="AQ8" i="12" l="1"/>
  <c r="AR8" i="12" s="1"/>
  <c r="AS8" i="12"/>
  <c r="AA8" i="12"/>
  <c r="AB8" i="12" s="1"/>
  <c r="AC8" i="12"/>
  <c r="V16" i="19"/>
  <c r="W16" i="9"/>
  <c r="Q16" i="7"/>
  <c r="T4" i="10"/>
  <c r="T5" i="29" s="1"/>
  <c r="AZ5" i="9"/>
  <c r="AT93" i="9"/>
  <c r="AS93" i="9"/>
  <c r="AT79" i="9"/>
  <c r="AS79" i="9"/>
  <c r="AT72" i="9"/>
  <c r="AS72" i="9"/>
  <c r="AT65" i="9"/>
  <c r="AS65" i="9"/>
  <c r="AT58" i="9"/>
  <c r="AS58" i="9"/>
  <c r="AT51" i="9"/>
  <c r="AS51" i="9"/>
  <c r="AT44" i="9"/>
  <c r="AS44" i="9"/>
  <c r="AT37" i="9"/>
  <c r="AS37" i="9"/>
  <c r="AT31" i="9"/>
  <c r="AS31" i="9"/>
  <c r="AT28" i="9"/>
  <c r="AS28" i="9"/>
  <c r="AT22" i="9"/>
  <c r="AS22" i="9"/>
  <c r="AS3" i="9" s="1"/>
  <c r="AT3" i="9" l="1"/>
  <c r="AD8" i="12"/>
  <c r="AE8" i="12" s="1"/>
  <c r="AF8" i="12"/>
  <c r="AG8" i="12" s="1"/>
  <c r="AH8" i="12" s="1"/>
  <c r="T5" i="17"/>
  <c r="AF4" i="10"/>
  <c r="AT8" i="12"/>
  <c r="AU8" i="12" s="1"/>
  <c r="AY8" i="12"/>
  <c r="AZ8" i="12" s="1"/>
  <c r="BA8" i="12" s="1"/>
  <c r="AV8" i="12"/>
  <c r="AW8" i="12" s="1"/>
  <c r="AX8" i="12" s="1"/>
  <c r="V87" i="3"/>
  <c r="AO5" i="17" l="1"/>
  <c r="AO5" i="29"/>
  <c r="AS93" i="7"/>
  <c r="AR93" i="7"/>
  <c r="AS79" i="7"/>
  <c r="AR79" i="7"/>
  <c r="AS72" i="7"/>
  <c r="AR72" i="7"/>
  <c r="AS65" i="7"/>
  <c r="AR65" i="7"/>
  <c r="AS58" i="7"/>
  <c r="AR58" i="7"/>
  <c r="AS51" i="7"/>
  <c r="AR51" i="7"/>
  <c r="AS44" i="7"/>
  <c r="AR44" i="7"/>
  <c r="AS37" i="7"/>
  <c r="AR37" i="7"/>
  <c r="AS31" i="7"/>
  <c r="AR31" i="7"/>
  <c r="AS28" i="7"/>
  <c r="AR28" i="7"/>
  <c r="AS22" i="7"/>
  <c r="AR22" i="7"/>
  <c r="AR3" i="7" s="1"/>
  <c r="AS3" i="7" l="1"/>
  <c r="U13" i="3"/>
  <c r="X87" i="3" s="1"/>
  <c r="R10" i="12" l="1"/>
  <c r="S10" i="12" s="1"/>
  <c r="R9" i="12"/>
  <c r="S9" i="12" s="1"/>
  <c r="P87" i="6"/>
  <c r="O87" i="6"/>
  <c r="M87" i="6"/>
  <c r="N87" i="19" s="1"/>
  <c r="P87" i="9" l="1"/>
  <c r="P87" i="19"/>
  <c r="Z87" i="19" s="1"/>
  <c r="Z93" i="19" s="1"/>
  <c r="Q87" i="9"/>
  <c r="Q87" i="19"/>
  <c r="N87" i="9"/>
  <c r="Y87" i="6"/>
  <c r="BF10" i="12"/>
  <c r="BG10" i="12" s="1"/>
  <c r="AN10" i="12"/>
  <c r="AO10" i="12" s="1"/>
  <c r="AN9" i="12"/>
  <c r="AO9" i="12" s="1"/>
  <c r="V12" i="3"/>
  <c r="AA87" i="9" l="1"/>
  <c r="B68" i="11"/>
  <c r="AI93" i="9"/>
  <c r="AH93" i="9"/>
  <c r="AA93" i="9" l="1"/>
  <c r="B87" i="7"/>
  <c r="Z93" i="9"/>
  <c r="J78" i="10"/>
  <c r="D79" i="11" s="1"/>
  <c r="J77" i="10"/>
  <c r="D78" i="11" s="1"/>
  <c r="J76" i="10"/>
  <c r="D77" i="11" s="1"/>
  <c r="J75" i="10"/>
  <c r="D76" i="11" s="1"/>
  <c r="J74" i="10"/>
  <c r="D75" i="11" s="1"/>
  <c r="J73" i="10"/>
  <c r="D74" i="11" s="1"/>
  <c r="K90" i="12" l="1"/>
  <c r="I90" i="28"/>
  <c r="L77" i="11"/>
  <c r="T90" i="12" s="1"/>
  <c r="K91" i="12"/>
  <c r="I91" i="28"/>
  <c r="L78" i="11"/>
  <c r="T91" i="12" s="1"/>
  <c r="K88" i="12"/>
  <c r="I88" i="28"/>
  <c r="L75" i="11"/>
  <c r="T88" i="12" s="1"/>
  <c r="K89" i="12"/>
  <c r="I89" i="28"/>
  <c r="L76" i="11"/>
  <c r="T89" i="12" s="1"/>
  <c r="K92" i="12"/>
  <c r="I92" i="28"/>
  <c r="L79" i="11"/>
  <c r="T92" i="12" s="1"/>
  <c r="K87" i="12"/>
  <c r="N93" i="12" s="1"/>
  <c r="I87" i="28"/>
  <c r="L74" i="11"/>
  <c r="T87" i="12" s="1"/>
  <c r="E81" i="5"/>
  <c r="N78" i="10"/>
  <c r="H92" i="6" s="1"/>
  <c r="E78" i="5"/>
  <c r="N75" i="10"/>
  <c r="H89" i="6" s="1"/>
  <c r="E76" i="5"/>
  <c r="N73" i="10"/>
  <c r="H87" i="6" s="1"/>
  <c r="E77" i="5"/>
  <c r="N74" i="10"/>
  <c r="H88" i="6" s="1"/>
  <c r="E79" i="5"/>
  <c r="N76" i="10"/>
  <c r="H90" i="6" s="1"/>
  <c r="E80" i="5"/>
  <c r="N77" i="10"/>
  <c r="H91" i="6" s="1"/>
  <c r="N87" i="6"/>
  <c r="O87" i="19" s="1"/>
  <c r="AD87" i="19" s="1"/>
  <c r="AL93" i="9"/>
  <c r="U93" i="12" l="1"/>
  <c r="V93" i="12" s="1"/>
  <c r="M93" i="12"/>
  <c r="BT62" i="12" s="1"/>
  <c r="K93" i="28"/>
  <c r="AL87" i="19"/>
  <c r="AL93" i="19" s="1"/>
  <c r="AD93" i="19"/>
  <c r="I88" i="9"/>
  <c r="Y88" i="9" s="1"/>
  <c r="W88" i="6"/>
  <c r="I87" i="9"/>
  <c r="Y87" i="9" s="1"/>
  <c r="W87" i="6"/>
  <c r="I89" i="9"/>
  <c r="Y89" i="9" s="1"/>
  <c r="W89" i="6"/>
  <c r="I91" i="9"/>
  <c r="Y91" i="9" s="1"/>
  <c r="W91" i="6"/>
  <c r="I90" i="9"/>
  <c r="Y90" i="9" s="1"/>
  <c r="W90" i="6"/>
  <c r="I92" i="9"/>
  <c r="Y92" i="9" s="1"/>
  <c r="W92" i="6"/>
  <c r="O87" i="9"/>
  <c r="AD87" i="6"/>
  <c r="AH87" i="6" s="1"/>
  <c r="BV33" i="12" l="1"/>
  <c r="W93" i="6"/>
  <c r="AE87" i="9"/>
  <c r="AM87" i="9" s="1"/>
  <c r="AM93" i="9" s="1"/>
  <c r="Y93" i="9"/>
  <c r="I21" i="1"/>
  <c r="U20" i="18" s="1"/>
  <c r="I20" i="1"/>
  <c r="U19" i="18" l="1"/>
  <c r="G19" i="12"/>
  <c r="U19" i="6"/>
  <c r="G20" i="12"/>
  <c r="U20" i="6"/>
  <c r="V20" i="19" s="1"/>
  <c r="AE93" i="9"/>
  <c r="U10" i="12"/>
  <c r="V10" i="12" s="1"/>
  <c r="U9" i="12"/>
  <c r="V9" i="12" s="1"/>
  <c r="U8" i="12"/>
  <c r="V8" i="12" s="1"/>
  <c r="V19" i="19" l="1"/>
  <c r="W19" i="9"/>
  <c r="Q19" i="7"/>
  <c r="W20" i="9"/>
  <c r="Q20" i="7"/>
  <c r="AI7" i="17"/>
  <c r="AH7" i="17"/>
  <c r="AG7" i="17"/>
  <c r="E12" i="3" l="1"/>
  <c r="E13" i="3"/>
  <c r="Q13" i="3" l="1"/>
  <c r="U93" i="7" l="1"/>
  <c r="T93" i="7"/>
  <c r="U79" i="7"/>
  <c r="T79" i="7"/>
  <c r="U72" i="7"/>
  <c r="T72" i="7"/>
  <c r="U65" i="7"/>
  <c r="T65" i="7"/>
  <c r="U58" i="7"/>
  <c r="T58" i="7"/>
  <c r="U51" i="7"/>
  <c r="T51" i="7"/>
  <c r="U44" i="7"/>
  <c r="T44" i="7"/>
  <c r="U37" i="7"/>
  <c r="T37" i="7"/>
  <c r="U31" i="7"/>
  <c r="T31" i="7"/>
  <c r="U28" i="7"/>
  <c r="T28" i="7"/>
  <c r="U22" i="7"/>
  <c r="T22" i="7"/>
  <c r="Y93" i="7"/>
  <c r="X93" i="7"/>
  <c r="Y79" i="7"/>
  <c r="X79" i="7"/>
  <c r="Y72" i="7"/>
  <c r="X72" i="7"/>
  <c r="Y65" i="7"/>
  <c r="X65" i="7"/>
  <c r="Y58" i="7"/>
  <c r="X58" i="7"/>
  <c r="Y51" i="7"/>
  <c r="X51" i="7"/>
  <c r="Y44" i="7"/>
  <c r="X44" i="7"/>
  <c r="Y37" i="7"/>
  <c r="X37" i="7"/>
  <c r="Y31" i="7"/>
  <c r="X31" i="7"/>
  <c r="Y28" i="7"/>
  <c r="X28" i="7"/>
  <c r="Y22" i="7"/>
  <c r="X22" i="7"/>
  <c r="AC93" i="7"/>
  <c r="AB93" i="7"/>
  <c r="AC79" i="7"/>
  <c r="AB79" i="7"/>
  <c r="AC72" i="7"/>
  <c r="AB72" i="7"/>
  <c r="AC65" i="7"/>
  <c r="AB65" i="7"/>
  <c r="AC58" i="7"/>
  <c r="AB58" i="7"/>
  <c r="AC51" i="7"/>
  <c r="AB51" i="7"/>
  <c r="AC44" i="7"/>
  <c r="AB44" i="7"/>
  <c r="AC37" i="7"/>
  <c r="AB37" i="7"/>
  <c r="AC31" i="7"/>
  <c r="AB31" i="7"/>
  <c r="AC28" i="7"/>
  <c r="AB28" i="7"/>
  <c r="AC22" i="7"/>
  <c r="AB22" i="7"/>
  <c r="AC3" i="7" l="1"/>
  <c r="T3" i="7"/>
  <c r="X3" i="7"/>
  <c r="U3" i="7"/>
  <c r="Y3" i="7"/>
  <c r="AB3" i="7"/>
  <c r="B82" i="4"/>
  <c r="B81" i="4"/>
  <c r="B80" i="4"/>
  <c r="B62" i="4"/>
  <c r="B56" i="4"/>
  <c r="B50" i="4"/>
  <c r="B44" i="4"/>
  <c r="B38" i="4"/>
  <c r="B24" i="4"/>
  <c r="B20" i="4"/>
  <c r="W9" i="4"/>
  <c r="G8" i="4"/>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3" i="4"/>
  <c r="A2" i="4"/>
  <c r="A1" i="4"/>
  <c r="R12" i="3"/>
  <c r="N11" i="5"/>
  <c r="M12" i="5"/>
  <c r="B82" i="11" l="1"/>
  <c r="B81" i="11"/>
  <c r="B80" i="11"/>
  <c r="B62" i="11"/>
  <c r="B56" i="11"/>
  <c r="B50" i="11"/>
  <c r="B44" i="11"/>
  <c r="B38" i="11"/>
  <c r="B32" i="11"/>
  <c r="B30" i="11"/>
  <c r="AI79" i="9"/>
  <c r="AH79" i="9"/>
  <c r="AI72" i="9"/>
  <c r="AH72" i="9"/>
  <c r="AI65" i="9"/>
  <c r="AH65" i="9"/>
  <c r="AI58" i="9"/>
  <c r="AH58" i="9"/>
  <c r="AI51" i="9"/>
  <c r="AH51" i="9"/>
  <c r="AI44" i="9"/>
  <c r="AH44" i="9"/>
  <c r="AI37" i="9"/>
  <c r="AH37" i="9"/>
  <c r="AI31" i="9"/>
  <c r="AH31" i="9"/>
  <c r="AI28" i="9"/>
  <c r="AH28" i="9"/>
  <c r="AI22" i="9"/>
  <c r="AH22" i="9"/>
  <c r="R8" i="10"/>
  <c r="Q9" i="9"/>
  <c r="O9" i="9"/>
  <c r="M9" i="9"/>
  <c r="L9" i="9"/>
  <c r="N9" i="9" s="1"/>
  <c r="J9" i="9"/>
  <c r="A9" i="9"/>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3" i="9"/>
  <c r="A2" i="9"/>
  <c r="A1" i="9"/>
  <c r="AW93" i="7"/>
  <c r="AW79" i="7"/>
  <c r="AW72" i="7"/>
  <c r="AW65" i="7"/>
  <c r="AW58" i="7"/>
  <c r="AW51" i="7"/>
  <c r="AW44" i="7"/>
  <c r="AW37" i="7"/>
  <c r="AW31" i="7"/>
  <c r="AW28" i="7"/>
  <c r="AW22" i="7"/>
  <c r="AV51" i="7"/>
  <c r="AV28" i="7"/>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3" i="7"/>
  <c r="A2" i="7"/>
  <c r="A1" i="7"/>
  <c r="AI3" i="9" l="1"/>
  <c r="AW3" i="7"/>
  <c r="AH3" i="9"/>
  <c r="AD7" i="9"/>
  <c r="T9" i="9"/>
  <c r="U9" i="9" s="1"/>
  <c r="V9" i="9" s="1"/>
  <c r="W9" i="9" s="1"/>
  <c r="AD58" i="9"/>
  <c r="AD16" i="9"/>
  <c r="AL16" i="9" s="1"/>
  <c r="AD28" i="9"/>
  <c r="AD22" i="9"/>
  <c r="Z79" i="9"/>
  <c r="P9" i="9"/>
  <c r="Z58" i="9"/>
  <c r="Z31" i="9"/>
  <c r="Z37" i="9"/>
  <c r="Z44" i="9"/>
  <c r="Z65" i="9"/>
  <c r="AA22" i="9"/>
  <c r="AE16" i="9"/>
  <c r="AM16" i="9" s="1"/>
  <c r="AA37" i="9"/>
  <c r="AA31" i="9"/>
  <c r="Z28" i="9"/>
  <c r="AA28" i="9"/>
  <c r="Z51" i="9"/>
  <c r="AV58" i="7"/>
  <c r="AV44" i="7"/>
  <c r="AV65" i="7"/>
  <c r="AV93" i="7"/>
  <c r="AV22" i="7"/>
  <c r="AV31" i="7"/>
  <c r="AV72" i="7"/>
  <c r="AV79" i="7"/>
  <c r="AV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V3" i="7" l="1"/>
  <c r="M65" i="3"/>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AL22" i="9"/>
  <c r="AL51" i="9"/>
  <c r="R17" i="3"/>
  <c r="AL28" i="9"/>
  <c r="AL72" i="9"/>
  <c r="AE31" i="9"/>
  <c r="AM31" i="9"/>
  <c r="AE22" i="9"/>
  <c r="AM22" i="9"/>
  <c r="AD37" i="9"/>
  <c r="AL37" i="9"/>
  <c r="AL44" i="9"/>
  <c r="AD79" i="9"/>
  <c r="AL79" i="9"/>
  <c r="AD31" i="9"/>
  <c r="AL31" i="9"/>
  <c r="AE28" i="9"/>
  <c r="AM28" i="9"/>
  <c r="AD72" i="9"/>
  <c r="AM37" i="9"/>
  <c r="AD65" i="9"/>
  <c r="AL65" i="9"/>
  <c r="AD51" i="9"/>
  <c r="AL58" i="9"/>
  <c r="M17" i="3"/>
  <c r="AD44" i="9"/>
  <c r="Z72" i="9"/>
  <c r="Z3" i="9" s="1"/>
  <c r="AE37" i="9"/>
  <c r="M87" i="3" l="1"/>
  <c r="O87" i="3" s="1"/>
  <c r="O39" i="3" s="1"/>
  <c r="AD3" i="9"/>
  <c r="AL3" i="9"/>
  <c r="AW4" i="9" s="1"/>
  <c r="J87" i="3"/>
  <c r="K87" i="3" s="1"/>
  <c r="R87" i="3"/>
  <c r="T87" i="3" s="1"/>
  <c r="AZ15" i="7"/>
  <c r="X17" i="3"/>
  <c r="O44" i="3" l="1"/>
  <c r="P44" i="3" s="1"/>
  <c r="O65" i="3"/>
  <c r="P65" i="3" s="1"/>
  <c r="O34" i="3"/>
  <c r="O66" i="3"/>
  <c r="P66" i="3" s="1"/>
  <c r="O27" i="3"/>
  <c r="O59" i="3"/>
  <c r="P59" i="3" s="1"/>
  <c r="O31" i="3"/>
  <c r="O48" i="3"/>
  <c r="P48" i="3" s="1"/>
  <c r="O80" i="3"/>
  <c r="N80" i="3" s="1"/>
  <c r="O73" i="3"/>
  <c r="N73" i="3" s="1"/>
  <c r="O37" i="3"/>
  <c r="P37" i="3" s="1"/>
  <c r="O69" i="3"/>
  <c r="P69" i="3" s="1"/>
  <c r="O30" i="3"/>
  <c r="O62" i="3"/>
  <c r="P62" i="3" s="1"/>
  <c r="O47" i="3"/>
  <c r="O57" i="3"/>
  <c r="P57" i="3" s="1"/>
  <c r="O22" i="3"/>
  <c r="P22" i="3" s="1"/>
  <c r="O76" i="3"/>
  <c r="P76" i="3" s="1"/>
  <c r="O20" i="3"/>
  <c r="O52" i="3"/>
  <c r="O84" i="3"/>
  <c r="O81" i="3"/>
  <c r="P81" i="3" s="1"/>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O50" i="3"/>
  <c r="N50" i="3" s="1"/>
  <c r="O82" i="3"/>
  <c r="O43" i="3"/>
  <c r="O75" i="3"/>
  <c r="P75" i="3" s="1"/>
  <c r="O40" i="3"/>
  <c r="N40" i="3" s="1"/>
  <c r="O61" i="3"/>
  <c r="P61" i="3" s="1"/>
  <c r="O24" i="3"/>
  <c r="O17" i="3"/>
  <c r="O77" i="3"/>
  <c r="P77" i="3" s="1"/>
  <c r="O32" i="3"/>
  <c r="P32" i="3" s="1"/>
  <c r="O41" i="3"/>
  <c r="P41" i="3" s="1"/>
  <c r="O53" i="3"/>
  <c r="O46" i="3"/>
  <c r="O78" i="3"/>
  <c r="O72" i="3"/>
  <c r="O54" i="3"/>
  <c r="O25" i="3"/>
  <c r="P25" i="3" s="1"/>
  <c r="O38" i="3"/>
  <c r="P38" i="3" s="1"/>
  <c r="O64" i="3"/>
  <c r="N64" i="3" s="1"/>
  <c r="O21" i="3"/>
  <c r="P21" i="3" s="1"/>
  <c r="O85" i="3"/>
  <c r="P85" i="3" s="1"/>
  <c r="O36" i="3"/>
  <c r="O68" i="3"/>
  <c r="O49" i="3"/>
  <c r="O26" i="3"/>
  <c r="N26" i="3" s="1"/>
  <c r="O58" i="3"/>
  <c r="O19" i="3"/>
  <c r="P19" i="3" s="1"/>
  <c r="O51" i="3"/>
  <c r="P51" i="3" s="1"/>
  <c r="O83" i="3"/>
  <c r="O63" i="3"/>
  <c r="O71"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P54" i="3"/>
  <c r="N54" i="3"/>
  <c r="N23" i="3"/>
  <c r="P23" i="3"/>
  <c r="P27" i="3"/>
  <c r="N27" i="3"/>
  <c r="P30" i="3"/>
  <c r="N30" i="3"/>
  <c r="N39" i="3"/>
  <c r="P39" i="3"/>
  <c r="P20" i="3"/>
  <c r="N20" i="3"/>
  <c r="P52" i="3"/>
  <c r="N52" i="3"/>
  <c r="P84" i="3"/>
  <c r="N84" i="3"/>
  <c r="N47" i="3"/>
  <c r="P47" i="3"/>
  <c r="N24" i="3"/>
  <c r="P24" i="3"/>
  <c r="N17" i="3"/>
  <c r="P17" i="3"/>
  <c r="N38" i="3"/>
  <c r="N55" i="3"/>
  <c r="P55" i="3"/>
  <c r="P34" i="3"/>
  <c r="N34" i="3"/>
  <c r="P33" i="3"/>
  <c r="N33" i="3"/>
  <c r="P18" i="3"/>
  <c r="N18" i="3"/>
  <c r="P82" i="3"/>
  <c r="N82" i="3"/>
  <c r="N63" i="3"/>
  <c r="P63" i="3"/>
  <c r="N31" i="3"/>
  <c r="P31"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P49" i="3"/>
  <c r="N49" i="3"/>
  <c r="P58" i="3"/>
  <c r="N58" i="3"/>
  <c r="W17" i="3"/>
  <c r="P26" i="3" l="1"/>
  <c r="N77" i="3"/>
  <c r="N81" i="3"/>
  <c r="N62" i="3"/>
  <c r="N25" i="3"/>
  <c r="P50" i="3"/>
  <c r="N56" i="3"/>
  <c r="N59" i="3"/>
  <c r="N21" i="3"/>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S14" i="7" s="1"/>
  <c r="E55" i="7"/>
  <c r="E76" i="7"/>
  <c r="E89" i="7"/>
  <c r="E29" i="7"/>
  <c r="E68" i="7"/>
  <c r="E74" i="7"/>
  <c r="E32" i="7"/>
  <c r="S32" i="7" s="1"/>
  <c r="E59" i="7"/>
  <c r="E35" i="7"/>
  <c r="E83" i="7"/>
  <c r="S83" i="7" s="1"/>
  <c r="E30" i="7"/>
  <c r="E50" i="7"/>
  <c r="E33" i="7"/>
  <c r="S33" i="7" s="1"/>
  <c r="E60" i="7"/>
  <c r="E61" i="7"/>
  <c r="E96" i="7"/>
  <c r="S96" i="7" s="1"/>
  <c r="E77" i="7"/>
  <c r="E62" i="7"/>
  <c r="E94" i="7"/>
  <c r="E42" i="7"/>
  <c r="E36" i="7"/>
  <c r="E78" i="7"/>
  <c r="E43" i="7"/>
  <c r="E85" i="7"/>
  <c r="S85" i="7" s="1"/>
  <c r="E21" i="7"/>
  <c r="E56" i="7"/>
  <c r="E40" i="7"/>
  <c r="E15" i="7"/>
  <c r="S15" i="7" s="1"/>
  <c r="E38" i="7"/>
  <c r="E75" i="7"/>
  <c r="E70" i="7"/>
  <c r="E49" i="7"/>
  <c r="E81" i="7"/>
  <c r="S81" i="7" s="1"/>
  <c r="E41" i="7"/>
  <c r="E20" i="7"/>
  <c r="E92" i="7"/>
  <c r="E95" i="7"/>
  <c r="S95" i="7" s="1"/>
  <c r="E24" i="7"/>
  <c r="S24" i="7" s="1"/>
  <c r="E64" i="7"/>
  <c r="E16" i="7"/>
  <c r="S16" i="7" s="1"/>
  <c r="E39" i="7"/>
  <c r="S87" i="3"/>
  <c r="E88" i="7"/>
  <c r="E27" i="7"/>
  <c r="E87" i="7"/>
  <c r="E23" i="7"/>
  <c r="S23" i="7" s="1"/>
  <c r="S25" i="7" s="1"/>
  <c r="E67" i="7"/>
  <c r="E19" i="7"/>
  <c r="E53" i="7"/>
  <c r="E47" i="7"/>
  <c r="E90" i="7"/>
  <c r="E66" i="7"/>
  <c r="E91" i="7"/>
  <c r="E17" i="7"/>
  <c r="E63" i="7"/>
  <c r="E46" i="7"/>
  <c r="E26" i="7"/>
  <c r="E48" i="7"/>
  <c r="E80" i="7"/>
  <c r="S80" i="7" s="1"/>
  <c r="E45" i="7"/>
  <c r="E84" i="7"/>
  <c r="S84" i="7" s="1"/>
  <c r="E57" i="7"/>
  <c r="E54" i="7"/>
  <c r="E82" i="7"/>
  <c r="S82" i="7" s="1"/>
  <c r="E52" i="7"/>
  <c r="E71" i="7"/>
  <c r="E73" i="7"/>
  <c r="E18" i="7"/>
  <c r="E69" i="7"/>
  <c r="W87" i="3"/>
  <c r="R10" i="1"/>
  <c r="G10" i="5"/>
  <c r="K10" i="5" s="1"/>
  <c r="G9" i="5"/>
  <c r="S86" i="7" l="1"/>
  <c r="S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9" l="1"/>
  <c r="P59" i="19"/>
  <c r="Z59" i="19" s="1"/>
  <c r="Z65" i="19" s="1"/>
  <c r="P73" i="9"/>
  <c r="P73" i="19"/>
  <c r="Z73" i="19" s="1"/>
  <c r="Z79" i="19" s="1"/>
  <c r="P94" i="9"/>
  <c r="P94" i="19"/>
  <c r="Z94" i="19" s="1"/>
  <c r="Q38" i="9"/>
  <c r="Q38" i="19"/>
  <c r="AD38" i="19" s="1"/>
  <c r="P38" i="9"/>
  <c r="P38" i="19"/>
  <c r="Z38" i="19" s="1"/>
  <c r="Z44" i="19" s="1"/>
  <c r="Q52" i="9"/>
  <c r="Q52" i="19"/>
  <c r="P66" i="9"/>
  <c r="P66" i="19"/>
  <c r="Z66" i="19" s="1"/>
  <c r="Z72" i="19" s="1"/>
  <c r="P45" i="9"/>
  <c r="P45" i="19"/>
  <c r="Z45" i="19" s="1"/>
  <c r="Z51" i="19" s="1"/>
  <c r="Q59" i="9"/>
  <c r="Q59" i="19"/>
  <c r="P52" i="9"/>
  <c r="P52" i="19"/>
  <c r="Z52" i="19" s="1"/>
  <c r="Z58" i="19" s="1"/>
  <c r="Q94" i="9"/>
  <c r="Q94" i="19"/>
  <c r="AD94" i="19" s="1"/>
  <c r="N66" i="9"/>
  <c r="Y66" i="6"/>
  <c r="N38" i="9"/>
  <c r="Y38" i="6"/>
  <c r="O66" i="9"/>
  <c r="N73" i="9"/>
  <c r="Y73" i="6"/>
  <c r="N94" i="9"/>
  <c r="Y94" i="6"/>
  <c r="O38" i="9"/>
  <c r="AE38" i="9" s="1"/>
  <c r="AD38" i="6"/>
  <c r="O73" i="9"/>
  <c r="N52" i="9"/>
  <c r="Y52" i="6"/>
  <c r="O94" i="9"/>
  <c r="AE94" i="9" s="1"/>
  <c r="AD94" i="6"/>
  <c r="N45" i="9"/>
  <c r="Y45" i="6"/>
  <c r="N59" i="9"/>
  <c r="Y59" i="6"/>
  <c r="A3" i="6"/>
  <c r="A3" i="10"/>
  <c r="A4" i="5"/>
  <c r="K9" i="6"/>
  <c r="AT8" i="10"/>
  <c r="AR8" i="10"/>
  <c r="AP8" i="10"/>
  <c r="BF9" i="12"/>
  <c r="BG9" i="12" s="1"/>
  <c r="AD44" i="19" l="1"/>
  <c r="AL38" i="19"/>
  <c r="AL44" i="19" s="1"/>
  <c r="AA94" i="9"/>
  <c r="AM94" i="9" s="1"/>
  <c r="AL94" i="19"/>
  <c r="Z3" i="19"/>
  <c r="AA73" i="9"/>
  <c r="AA79" i="9" s="1"/>
  <c r="AA52" i="9"/>
  <c r="AA58" i="9" s="1"/>
  <c r="AA59" i="9"/>
  <c r="AA65" i="9" s="1"/>
  <c r="AA38" i="9"/>
  <c r="AA44" i="9" s="1"/>
  <c r="AA45" i="9"/>
  <c r="AA51" i="9" s="1"/>
  <c r="AA66" i="9"/>
  <c r="AA72" i="9" s="1"/>
  <c r="AH94" i="6"/>
  <c r="AH38" i="6"/>
  <c r="AE44" i="9"/>
  <c r="O80" i="4"/>
  <c r="A3" i="11"/>
  <c r="AM38" i="9" l="1"/>
  <c r="AM44" i="9" s="1"/>
  <c r="AA3" i="9"/>
  <c r="G83" i="3"/>
  <c r="AA16" i="2" l="1"/>
  <c r="V16" i="2"/>
  <c r="Z16" i="2"/>
  <c r="W16" i="2"/>
  <c r="X16" i="2"/>
  <c r="T16" i="2"/>
  <c r="Y16" i="2"/>
  <c r="U16" i="2"/>
  <c r="G16" i="2"/>
  <c r="O16" i="2"/>
  <c r="Q16" i="2"/>
  <c r="R16" i="2"/>
  <c r="S16" i="2"/>
  <c r="L16" i="2"/>
  <c r="N16" i="2"/>
  <c r="H16" i="2"/>
  <c r="P16" i="2"/>
  <c r="J16" i="2"/>
  <c r="K16" i="2"/>
  <c r="F16" i="2"/>
  <c r="I16" i="2"/>
  <c r="M16" i="2"/>
  <c r="J79" i="10" l="1"/>
  <c r="B61" i="10"/>
  <c r="B55" i="10"/>
  <c r="J54" i="10"/>
  <c r="D55" i="11" s="1"/>
  <c r="J53" i="10"/>
  <c r="D54" i="11" s="1"/>
  <c r="J52" i="10"/>
  <c r="D53" i="11" s="1"/>
  <c r="J51" i="10"/>
  <c r="D52" i="11" s="1"/>
  <c r="J50" i="10"/>
  <c r="D51" i="11" s="1"/>
  <c r="AS49" i="10"/>
  <c r="N59" i="18" s="1"/>
  <c r="AD59" i="18" s="1"/>
  <c r="J49" i="10"/>
  <c r="D50" i="11" s="1"/>
  <c r="B49" i="10"/>
  <c r="J48" i="10"/>
  <c r="D49" i="11" s="1"/>
  <c r="J47" i="10"/>
  <c r="D48" i="11" s="1"/>
  <c r="J46" i="10"/>
  <c r="D47" i="11" s="1"/>
  <c r="J45" i="10"/>
  <c r="D46" i="11" s="1"/>
  <c r="J44" i="10"/>
  <c r="D45" i="11" s="1"/>
  <c r="AS43" i="10"/>
  <c r="N52" i="18" s="1"/>
  <c r="AD52" i="18" s="1"/>
  <c r="J43" i="10"/>
  <c r="D44" i="11" s="1"/>
  <c r="B43" i="10"/>
  <c r="AU37" i="10"/>
  <c r="P45" i="18" s="1"/>
  <c r="AS37" i="10"/>
  <c r="N45" i="18" s="1"/>
  <c r="AD45" i="18" s="1"/>
  <c r="B37" i="10"/>
  <c r="B31" i="10"/>
  <c r="J30" i="10"/>
  <c r="D31" i="11" s="1"/>
  <c r="J29" i="10"/>
  <c r="D30" i="11" s="1"/>
  <c r="F66" i="10"/>
  <c r="L62" i="29" s="1"/>
  <c r="N62" i="29" s="1"/>
  <c r="J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1" i="10"/>
  <c r="K36" i="12" l="1"/>
  <c r="I36" i="28"/>
  <c r="L31" i="11"/>
  <c r="T36" i="12" s="1"/>
  <c r="K61" i="12"/>
  <c r="I61" i="28"/>
  <c r="L52" i="11"/>
  <c r="T61" i="12" s="1"/>
  <c r="K63" i="12"/>
  <c r="I63" i="28"/>
  <c r="L54" i="11"/>
  <c r="T63" i="12" s="1"/>
  <c r="K53" i="12"/>
  <c r="I53" i="28"/>
  <c r="L45" i="11"/>
  <c r="T53" i="12" s="1"/>
  <c r="K55" i="12"/>
  <c r="I55" i="28"/>
  <c r="L47" i="11"/>
  <c r="T55" i="12" s="1"/>
  <c r="K57" i="12"/>
  <c r="I57" i="28"/>
  <c r="L49" i="11"/>
  <c r="T57" i="12" s="1"/>
  <c r="K64" i="12"/>
  <c r="I64" i="28"/>
  <c r="L55" i="11"/>
  <c r="T64" i="12" s="1"/>
  <c r="K54" i="12"/>
  <c r="I54" i="28"/>
  <c r="L46" i="11"/>
  <c r="T54" i="12" s="1"/>
  <c r="K56" i="12"/>
  <c r="I56" i="28"/>
  <c r="L48" i="11"/>
  <c r="T56" i="12" s="1"/>
  <c r="K59" i="12"/>
  <c r="I59" i="28"/>
  <c r="L50" i="11"/>
  <c r="T59" i="12" s="1"/>
  <c r="K60" i="12"/>
  <c r="I60" i="28"/>
  <c r="L51" i="11"/>
  <c r="T60" i="12" s="1"/>
  <c r="K62" i="12"/>
  <c r="I62" i="28"/>
  <c r="L53" i="11"/>
  <c r="T62" i="12" s="1"/>
  <c r="K52" i="12"/>
  <c r="I52" i="28"/>
  <c r="L44" i="11"/>
  <c r="T52" i="12" s="1"/>
  <c r="K35" i="12"/>
  <c r="M37" i="12" s="1"/>
  <c r="BT54" i="12" s="1"/>
  <c r="I35" i="28"/>
  <c r="K37" i="28" s="1"/>
  <c r="L30" i="11"/>
  <c r="T35" i="12" s="1"/>
  <c r="U37" i="12" s="1"/>
  <c r="AD51" i="18"/>
  <c r="AH45" i="18"/>
  <c r="AH51" i="18" s="1"/>
  <c r="L62" i="17"/>
  <c r="L63" i="23"/>
  <c r="N63" i="23" s="1"/>
  <c r="L63" i="22"/>
  <c r="N63" i="22" s="1"/>
  <c r="AD58" i="18"/>
  <c r="AH52" i="18"/>
  <c r="AH58" i="18" s="1"/>
  <c r="AD65" i="18"/>
  <c r="AH59" i="18"/>
  <c r="AH65" i="18" s="1"/>
  <c r="D80" i="11"/>
  <c r="W94" i="12"/>
  <c r="X94" i="12" s="1"/>
  <c r="N62" i="17"/>
  <c r="E53" i="5"/>
  <c r="N50" i="10"/>
  <c r="H60" i="6" s="1"/>
  <c r="E46" i="5"/>
  <c r="N43" i="10"/>
  <c r="H52" i="6" s="1"/>
  <c r="E32" i="5"/>
  <c r="N29" i="10"/>
  <c r="H35" i="6" s="1"/>
  <c r="E82" i="5"/>
  <c r="N79" i="10"/>
  <c r="O79" i="10" s="1"/>
  <c r="E47" i="5"/>
  <c r="N44" i="10"/>
  <c r="H53" i="6" s="1"/>
  <c r="E49" i="5"/>
  <c r="N46" i="10"/>
  <c r="H55" i="6" s="1"/>
  <c r="E55" i="5"/>
  <c r="N52" i="10"/>
  <c r="H62" i="6" s="1"/>
  <c r="E50" i="5"/>
  <c r="N47" i="10"/>
  <c r="H56" i="6" s="1"/>
  <c r="E56" i="5"/>
  <c r="N53" i="10"/>
  <c r="H63" i="6" s="1"/>
  <c r="E33" i="5"/>
  <c r="N30" i="10"/>
  <c r="H36" i="6" s="1"/>
  <c r="E54" i="5"/>
  <c r="N51" i="10"/>
  <c r="H61" i="6" s="1"/>
  <c r="E51" i="5"/>
  <c r="N48" i="10"/>
  <c r="H57" i="6" s="1"/>
  <c r="E57" i="5"/>
  <c r="N54" i="10"/>
  <c r="H64" i="6" s="1"/>
  <c r="E48" i="5"/>
  <c r="N45" i="10"/>
  <c r="H54" i="6" s="1"/>
  <c r="E52" i="5"/>
  <c r="N49" i="10"/>
  <c r="H59" i="6" s="1"/>
  <c r="AU8" i="10"/>
  <c r="P8" i="10"/>
  <c r="T8" i="10" s="1"/>
  <c r="P66" i="6"/>
  <c r="Q66" i="19" s="1"/>
  <c r="AD66" i="19" s="1"/>
  <c r="N45" i="6"/>
  <c r="O45" i="19" s="1"/>
  <c r="P45" i="6"/>
  <c r="P73" i="6"/>
  <c r="Q73" i="19" s="1"/>
  <c r="AD73" i="19" s="1"/>
  <c r="N59" i="6"/>
  <c r="O59" i="19" s="1"/>
  <c r="AD59" i="19" s="1"/>
  <c r="N52" i="6"/>
  <c r="O52" i="19" s="1"/>
  <c r="AD52" i="19" s="1"/>
  <c r="J66" i="10"/>
  <c r="D67" i="11" s="1"/>
  <c r="Q8" i="10"/>
  <c r="F36" i="10"/>
  <c r="L32" i="29" s="1"/>
  <c r="N32" i="29" s="1"/>
  <c r="F23" i="10"/>
  <c r="L19" i="29" s="1"/>
  <c r="N19" i="29" s="1"/>
  <c r="F16" i="10"/>
  <c r="L12" i="29" s="1"/>
  <c r="N12" i="29" s="1"/>
  <c r="F42" i="10"/>
  <c r="L38" i="29" s="1"/>
  <c r="N38" i="29" s="1"/>
  <c r="F31" i="10"/>
  <c r="L27" i="29" s="1"/>
  <c r="N27" i="29" s="1"/>
  <c r="AQ8" i="10"/>
  <c r="F17" i="10"/>
  <c r="L13" i="29" s="1"/>
  <c r="N13" i="29" s="1"/>
  <c r="F24" i="10"/>
  <c r="L20" i="29" s="1"/>
  <c r="N20" i="29" s="1"/>
  <c r="F34" i="10"/>
  <c r="L30" i="29" s="1"/>
  <c r="N30" i="29" s="1"/>
  <c r="F38" i="10"/>
  <c r="L34" i="29" s="1"/>
  <c r="N34" i="29" s="1"/>
  <c r="F65" i="10"/>
  <c r="L61" i="29" s="1"/>
  <c r="N61" i="29" s="1"/>
  <c r="F35" i="10"/>
  <c r="L31" i="29" s="1"/>
  <c r="N31" i="29" s="1"/>
  <c r="F18" i="10"/>
  <c r="L14" i="29" s="1"/>
  <c r="N14" i="29" s="1"/>
  <c r="F39" i="10"/>
  <c r="L35" i="29" s="1"/>
  <c r="N35" i="29" s="1"/>
  <c r="F15" i="10"/>
  <c r="L11" i="29" s="1"/>
  <c r="N11" i="29" s="1"/>
  <c r="F19" i="10"/>
  <c r="L15" i="29" s="1"/>
  <c r="N15" i="29" s="1"/>
  <c r="F20" i="10"/>
  <c r="L16" i="29" s="1"/>
  <c r="N16" i="29" s="1"/>
  <c r="F37" i="10"/>
  <c r="L33" i="29" s="1"/>
  <c r="N33" i="29" s="1"/>
  <c r="F33" i="10"/>
  <c r="L29" i="29" s="1"/>
  <c r="N29" i="29" s="1"/>
  <c r="F64" i="10"/>
  <c r="L60" i="29" s="1"/>
  <c r="N60" i="29" s="1"/>
  <c r="AS8" i="10"/>
  <c r="F32" i="10"/>
  <c r="L28" i="29" s="1"/>
  <c r="N28" i="29" s="1"/>
  <c r="F63" i="10"/>
  <c r="L59" i="29" s="1"/>
  <c r="N59" i="29" s="1"/>
  <c r="F60" i="10"/>
  <c r="L56" i="29" s="1"/>
  <c r="N56" i="29" s="1"/>
  <c r="F61" i="10"/>
  <c r="L57" i="29" s="1"/>
  <c r="N57" i="29" s="1"/>
  <c r="F62" i="10"/>
  <c r="L58" i="29" s="1"/>
  <c r="N58" i="29" s="1"/>
  <c r="S8" i="10"/>
  <c r="F41" i="10"/>
  <c r="L37" i="29" s="1"/>
  <c r="N37" i="29" s="1"/>
  <c r="F59" i="10"/>
  <c r="L55" i="29" s="1"/>
  <c r="N55" i="29" s="1"/>
  <c r="F40" i="10"/>
  <c r="L36" i="29" s="1"/>
  <c r="N36" i="29" s="1"/>
  <c r="F58" i="10"/>
  <c r="L54" i="29" s="1"/>
  <c r="N54" i="29" s="1"/>
  <c r="F57" i="10"/>
  <c r="L53" i="29" s="1"/>
  <c r="N53" i="29" s="1"/>
  <c r="F55" i="10"/>
  <c r="L51" i="29" s="1"/>
  <c r="N51" i="29" s="1"/>
  <c r="F56" i="10"/>
  <c r="L52" i="29" s="1"/>
  <c r="N52" i="29"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N65" i="12" l="1"/>
  <c r="U65" i="12"/>
  <c r="V65" i="12" s="1"/>
  <c r="M58" i="12"/>
  <c r="BT57" i="12" s="1"/>
  <c r="N58" i="12"/>
  <c r="N37" i="12"/>
  <c r="V37" i="12" s="1"/>
  <c r="K58" i="28"/>
  <c r="U58" i="12"/>
  <c r="K78" i="12"/>
  <c r="I78" i="28"/>
  <c r="L67" i="11"/>
  <c r="T78" i="12" s="1"/>
  <c r="M65" i="12"/>
  <c r="BT58" i="12" s="1"/>
  <c r="K65" i="28"/>
  <c r="K94" i="12"/>
  <c r="I94" i="28"/>
  <c r="K94" i="28" s="1"/>
  <c r="L80" i="11"/>
  <c r="T94" i="12" s="1"/>
  <c r="U94" i="12" s="1"/>
  <c r="L16" i="17"/>
  <c r="N16" i="17" s="1"/>
  <c r="L17" i="23"/>
  <c r="N17" i="23" s="1"/>
  <c r="L17" i="22"/>
  <c r="N17" i="22" s="1"/>
  <c r="L29" i="17"/>
  <c r="N29" i="17" s="1"/>
  <c r="L30" i="23"/>
  <c r="N30" i="23" s="1"/>
  <c r="L30" i="22"/>
  <c r="N30" i="22" s="1"/>
  <c r="L61" i="17"/>
  <c r="N61" i="17" s="1"/>
  <c r="L62" i="22"/>
  <c r="N62" i="22" s="1"/>
  <c r="L62" i="23"/>
  <c r="N62" i="23" s="1"/>
  <c r="L12" i="17"/>
  <c r="N12" i="17" s="1"/>
  <c r="L13" i="22"/>
  <c r="N13" i="22" s="1"/>
  <c r="L13" i="23"/>
  <c r="N13" i="23" s="1"/>
  <c r="L52" i="17"/>
  <c r="L53" i="22"/>
  <c r="N53" i="22" s="1"/>
  <c r="L53" i="23"/>
  <c r="N53" i="23" s="1"/>
  <c r="L58" i="17"/>
  <c r="L59" i="22"/>
  <c r="N59" i="22" s="1"/>
  <c r="L59" i="23"/>
  <c r="N59" i="23" s="1"/>
  <c r="L33" i="17"/>
  <c r="N33" i="17" s="1"/>
  <c r="L34" i="23"/>
  <c r="N34" i="23" s="1"/>
  <c r="L34" i="22"/>
  <c r="N34" i="22" s="1"/>
  <c r="L34" i="17"/>
  <c r="N34" i="17" s="1"/>
  <c r="L35" i="22"/>
  <c r="N35" i="22" s="1"/>
  <c r="L35" i="23"/>
  <c r="N35" i="23" s="1"/>
  <c r="L19" i="17"/>
  <c r="N19" i="17" s="1"/>
  <c r="L20" i="22"/>
  <c r="N20" i="22" s="1"/>
  <c r="L20" i="23"/>
  <c r="N20" i="23" s="1"/>
  <c r="L53" i="17"/>
  <c r="N53" i="17" s="1"/>
  <c r="L54" i="23"/>
  <c r="N54" i="23" s="1"/>
  <c r="L54" i="22"/>
  <c r="N54" i="22" s="1"/>
  <c r="L56" i="17"/>
  <c r="N56" i="17" s="1"/>
  <c r="L57" i="23"/>
  <c r="N57" i="23" s="1"/>
  <c r="L57" i="22"/>
  <c r="N57" i="22" s="1"/>
  <c r="L15" i="17"/>
  <c r="N15" i="17" s="1"/>
  <c r="L16" i="23"/>
  <c r="N16" i="23" s="1"/>
  <c r="L16" i="22"/>
  <c r="N16" i="22" s="1"/>
  <c r="L20" i="17"/>
  <c r="N20" i="17" s="1"/>
  <c r="L21" i="23"/>
  <c r="N21" i="23" s="1"/>
  <c r="L21" i="22"/>
  <c r="N21" i="22" s="1"/>
  <c r="L51" i="17"/>
  <c r="L52" i="23"/>
  <c r="N52" i="23" s="1"/>
  <c r="L52" i="22"/>
  <c r="N52" i="22" s="1"/>
  <c r="L32" i="17"/>
  <c r="N32" i="17" s="1"/>
  <c r="L33" i="23"/>
  <c r="N33" i="23" s="1"/>
  <c r="L33" i="22"/>
  <c r="N33" i="22" s="1"/>
  <c r="L54" i="17"/>
  <c r="N54" i="17" s="1"/>
  <c r="L55" i="23"/>
  <c r="N55" i="23" s="1"/>
  <c r="L55" i="22"/>
  <c r="N55" i="22" s="1"/>
  <c r="L59" i="17"/>
  <c r="N59" i="17" s="1"/>
  <c r="L60" i="23"/>
  <c r="N60" i="23" s="1"/>
  <c r="L60" i="22"/>
  <c r="N60" i="22" s="1"/>
  <c r="L11" i="17"/>
  <c r="N11" i="17" s="1"/>
  <c r="L12" i="22"/>
  <c r="N12" i="22" s="1"/>
  <c r="L12" i="23"/>
  <c r="N12" i="23" s="1"/>
  <c r="L13" i="17"/>
  <c r="N13" i="17" s="1"/>
  <c r="L14" i="23"/>
  <c r="N14" i="23" s="1"/>
  <c r="L14" i="22"/>
  <c r="N14" i="22" s="1"/>
  <c r="L57" i="17"/>
  <c r="N57" i="17" s="1"/>
  <c r="L58" i="23"/>
  <c r="N58" i="23" s="1"/>
  <c r="L58" i="22"/>
  <c r="N58" i="22" s="1"/>
  <c r="L36" i="17"/>
  <c r="L37" i="22"/>
  <c r="N37" i="22" s="1"/>
  <c r="L37" i="23"/>
  <c r="N37" i="23" s="1"/>
  <c r="L28" i="17"/>
  <c r="L29" i="22"/>
  <c r="N29" i="22" s="1"/>
  <c r="L29" i="23"/>
  <c r="N29" i="23" s="1"/>
  <c r="L35" i="17"/>
  <c r="N35" i="17" s="1"/>
  <c r="L36" i="23"/>
  <c r="N36" i="23" s="1"/>
  <c r="L36" i="22"/>
  <c r="N36" i="22" s="1"/>
  <c r="L30" i="17"/>
  <c r="N30" i="17" s="1"/>
  <c r="L31" i="22"/>
  <c r="N31" i="22" s="1"/>
  <c r="L31" i="23"/>
  <c r="N31" i="23" s="1"/>
  <c r="L55" i="17"/>
  <c r="N55" i="17" s="1"/>
  <c r="L56" i="23"/>
  <c r="N56" i="23" s="1"/>
  <c r="L56" i="22"/>
  <c r="N56" i="22" s="1"/>
  <c r="L14" i="17"/>
  <c r="N14" i="17" s="1"/>
  <c r="L15" i="23"/>
  <c r="N15" i="23" s="1"/>
  <c r="L15" i="22"/>
  <c r="N15" i="22" s="1"/>
  <c r="L27" i="17"/>
  <c r="N27" i="17" s="1"/>
  <c r="L28" i="23"/>
  <c r="N28" i="23" s="1"/>
  <c r="L28" i="22"/>
  <c r="N28" i="22" s="1"/>
  <c r="AH3" i="18"/>
  <c r="AR5" i="18" s="1"/>
  <c r="L37" i="17"/>
  <c r="N37" i="17" s="1"/>
  <c r="L38" i="23"/>
  <c r="N38" i="23" s="1"/>
  <c r="L38" i="22"/>
  <c r="N38" i="22" s="1"/>
  <c r="L60" i="17"/>
  <c r="N60" i="17" s="1"/>
  <c r="L61" i="23"/>
  <c r="N61" i="23" s="1"/>
  <c r="L61" i="22"/>
  <c r="N61" i="22" s="1"/>
  <c r="L31" i="17"/>
  <c r="N31" i="17" s="1"/>
  <c r="L32" i="23"/>
  <c r="N32" i="23" s="1"/>
  <c r="L32" i="22"/>
  <c r="N32" i="22" s="1"/>
  <c r="L38" i="17"/>
  <c r="N38" i="17" s="1"/>
  <c r="L39" i="23"/>
  <c r="N39" i="23" s="1"/>
  <c r="L39" i="22"/>
  <c r="N39" i="22" s="1"/>
  <c r="AD3" i="18"/>
  <c r="AL73" i="19"/>
  <c r="AL79" i="19" s="1"/>
  <c r="AD79" i="19"/>
  <c r="AD58" i="19"/>
  <c r="AL52" i="19"/>
  <c r="AL58" i="19" s="1"/>
  <c r="AD65" i="19"/>
  <c r="AL59" i="19"/>
  <c r="AL65" i="19" s="1"/>
  <c r="Q45" i="9"/>
  <c r="Q45" i="19"/>
  <c r="AD45" i="19" s="1"/>
  <c r="AD72" i="19"/>
  <c r="AL66" i="19"/>
  <c r="AL72" i="19" s="1"/>
  <c r="AQ37" i="19"/>
  <c r="AQ28" i="19"/>
  <c r="AQ44" i="19"/>
  <c r="AQ65" i="19"/>
  <c r="AQ51" i="19"/>
  <c r="AQ79" i="19"/>
  <c r="AQ58" i="19"/>
  <c r="AQ72" i="19"/>
  <c r="AQ94" i="19"/>
  <c r="BV25" i="12"/>
  <c r="T74" i="9"/>
  <c r="N74" i="7"/>
  <c r="T47" i="9"/>
  <c r="N47" i="7"/>
  <c r="T56" i="9"/>
  <c r="N56" i="7"/>
  <c r="T66" i="9"/>
  <c r="N66" i="7"/>
  <c r="T75" i="9"/>
  <c r="N75" i="7"/>
  <c r="T38" i="9"/>
  <c r="N38" i="7"/>
  <c r="T39" i="9"/>
  <c r="N39" i="7"/>
  <c r="T48" i="9"/>
  <c r="N48" i="7"/>
  <c r="T57" i="9"/>
  <c r="N57" i="7"/>
  <c r="T67" i="9"/>
  <c r="N67" i="7"/>
  <c r="T76" i="9"/>
  <c r="N76" i="7"/>
  <c r="T64" i="9"/>
  <c r="N64" i="7"/>
  <c r="T49" i="9"/>
  <c r="N49" i="7"/>
  <c r="T59" i="9"/>
  <c r="N59" i="7"/>
  <c r="T68" i="9"/>
  <c r="N68" i="7"/>
  <c r="T77" i="9"/>
  <c r="N77" i="7"/>
  <c r="T55" i="9"/>
  <c r="N55" i="7"/>
  <c r="T40" i="9"/>
  <c r="N40" i="7"/>
  <c r="T41" i="9"/>
  <c r="N41" i="7"/>
  <c r="T50" i="9"/>
  <c r="N50" i="7"/>
  <c r="T60" i="9"/>
  <c r="N60" i="7"/>
  <c r="T69" i="9"/>
  <c r="N69" i="7"/>
  <c r="T78" i="9"/>
  <c r="N78" i="7"/>
  <c r="T46" i="9"/>
  <c r="N46" i="7"/>
  <c r="T26" i="9"/>
  <c r="N26" i="7"/>
  <c r="T42" i="9"/>
  <c r="N42" i="7"/>
  <c r="T52" i="9"/>
  <c r="N52" i="7"/>
  <c r="T61" i="9"/>
  <c r="N61" i="7"/>
  <c r="T70" i="9"/>
  <c r="N70" i="7"/>
  <c r="T94" i="9"/>
  <c r="N94" i="7"/>
  <c r="AM94" i="6"/>
  <c r="T27" i="9"/>
  <c r="N27" i="7"/>
  <c r="T43" i="9"/>
  <c r="N43" i="7"/>
  <c r="T53" i="9"/>
  <c r="N53" i="7"/>
  <c r="T62" i="9"/>
  <c r="N62" i="7"/>
  <c r="T71" i="9"/>
  <c r="N71" i="7"/>
  <c r="T45" i="9"/>
  <c r="N45" i="7"/>
  <c r="T54" i="9"/>
  <c r="N54" i="7"/>
  <c r="T63" i="9"/>
  <c r="N63" i="7"/>
  <c r="T73" i="9"/>
  <c r="N73" i="7"/>
  <c r="T36" i="9"/>
  <c r="N36" i="7"/>
  <c r="T35" i="9"/>
  <c r="N35" i="7"/>
  <c r="N52" i="17"/>
  <c r="N58" i="17"/>
  <c r="N51" i="17"/>
  <c r="N36" i="17"/>
  <c r="N28" i="17"/>
  <c r="E69" i="5"/>
  <c r="N66" i="10"/>
  <c r="H78" i="6" s="1"/>
  <c r="I57" i="9"/>
  <c r="W57" i="6"/>
  <c r="I56" i="9"/>
  <c r="W56" i="6"/>
  <c r="H94" i="6"/>
  <c r="I35" i="9"/>
  <c r="W35" i="6"/>
  <c r="I62" i="9"/>
  <c r="W62" i="6"/>
  <c r="I54" i="9"/>
  <c r="W54" i="6"/>
  <c r="I36" i="9"/>
  <c r="W36" i="6"/>
  <c r="I55" i="9"/>
  <c r="W55" i="6"/>
  <c r="I52" i="9"/>
  <c r="W52" i="6"/>
  <c r="I61" i="9"/>
  <c r="W61" i="6"/>
  <c r="I64" i="9"/>
  <c r="Y64" i="9" s="1"/>
  <c r="W64" i="6"/>
  <c r="I63" i="9"/>
  <c r="W63" i="6"/>
  <c r="I53" i="9"/>
  <c r="W53" i="6"/>
  <c r="I60" i="9"/>
  <c r="W60" i="6"/>
  <c r="I59" i="9"/>
  <c r="W59" i="6"/>
  <c r="O52" i="9"/>
  <c r="AE52" i="9" s="1"/>
  <c r="AM52" i="9" s="1"/>
  <c r="AD52" i="6"/>
  <c r="AH52" i="6" s="1"/>
  <c r="O45" i="9"/>
  <c r="AD45" i="6"/>
  <c r="AH45" i="6" s="1"/>
  <c r="Q66" i="9"/>
  <c r="AE66" i="9" s="1"/>
  <c r="AM66" i="9" s="1"/>
  <c r="AD66" i="6"/>
  <c r="AH66" i="6" s="1"/>
  <c r="Q73" i="9"/>
  <c r="AE73" i="9" s="1"/>
  <c r="AM73" i="9" s="1"/>
  <c r="AD73" i="6"/>
  <c r="AH73" i="6" s="1"/>
  <c r="O59" i="9"/>
  <c r="AE59" i="9" s="1"/>
  <c r="AM59" i="9" s="1"/>
  <c r="AD59" i="6"/>
  <c r="AH59" i="6" s="1"/>
  <c r="F22" i="10"/>
  <c r="L18" i="29" s="1"/>
  <c r="N18" i="29" s="1"/>
  <c r="F21" i="10"/>
  <c r="L17" i="29" s="1"/>
  <c r="N17" i="29" s="1"/>
  <c r="AC37" i="6"/>
  <c r="AC44" i="6"/>
  <c r="AC31" i="6"/>
  <c r="AC79" i="6"/>
  <c r="AC22" i="6"/>
  <c r="AC65" i="6"/>
  <c r="AC28" i="6"/>
  <c r="AC51" i="6"/>
  <c r="AC72" i="6"/>
  <c r="U8" i="10"/>
  <c r="J40" i="10"/>
  <c r="D41" i="11" s="1"/>
  <c r="J64" i="10"/>
  <c r="D65" i="11" s="1"/>
  <c r="J59" i="10"/>
  <c r="D60" i="11" s="1"/>
  <c r="J33" i="10"/>
  <c r="D34" i="11" s="1"/>
  <c r="J39" i="10"/>
  <c r="D40" i="11" s="1"/>
  <c r="J41" i="10"/>
  <c r="D42" i="11" s="1"/>
  <c r="J18" i="10"/>
  <c r="D19" i="11" s="1"/>
  <c r="J56" i="10"/>
  <c r="D57" i="11" s="1"/>
  <c r="J35" i="10"/>
  <c r="D36" i="11" s="1"/>
  <c r="J42" i="10"/>
  <c r="D43" i="11" s="1"/>
  <c r="J17" i="10"/>
  <c r="D18" i="11" s="1"/>
  <c r="J55" i="10"/>
  <c r="D56" i="11" s="1"/>
  <c r="J62" i="10"/>
  <c r="D63" i="11" s="1"/>
  <c r="J32" i="10"/>
  <c r="D33" i="11" s="1"/>
  <c r="J65" i="10"/>
  <c r="D66" i="11" s="1"/>
  <c r="J16" i="10"/>
  <c r="D17" i="11" s="1"/>
  <c r="J15" i="10"/>
  <c r="D16" i="11" s="1"/>
  <c r="J57" i="10"/>
  <c r="D58" i="11" s="1"/>
  <c r="J61" i="10"/>
  <c r="D62" i="11" s="1"/>
  <c r="J37" i="10"/>
  <c r="D38" i="11" s="1"/>
  <c r="J38" i="10"/>
  <c r="D39" i="11" s="1"/>
  <c r="J23" i="10"/>
  <c r="D24" i="11" s="1"/>
  <c r="J31" i="10"/>
  <c r="D32" i="11" s="1"/>
  <c r="J58" i="10"/>
  <c r="D59" i="11" s="1"/>
  <c r="J60" i="10"/>
  <c r="D61" i="11" s="1"/>
  <c r="J20" i="10"/>
  <c r="D21" i="11" s="1"/>
  <c r="J34" i="10"/>
  <c r="D35" i="11" s="1"/>
  <c r="J36" i="10"/>
  <c r="D37" i="11" s="1"/>
  <c r="J63" i="10"/>
  <c r="D64" i="11" s="1"/>
  <c r="J19" i="10"/>
  <c r="D20" i="11" s="1"/>
  <c r="J24" i="10"/>
  <c r="D25" i="11" s="1"/>
  <c r="X22" i="6"/>
  <c r="D40" i="2"/>
  <c r="X28" i="6"/>
  <c r="X72" i="6"/>
  <c r="X37" i="6"/>
  <c r="X79" i="6"/>
  <c r="Y51" i="6"/>
  <c r="Y65" i="6"/>
  <c r="AD44" i="6"/>
  <c r="X51" i="6"/>
  <c r="X65" i="6"/>
  <c r="X58" i="6"/>
  <c r="AC93" i="6"/>
  <c r="BV29" i="12" l="1"/>
  <c r="V58" i="12"/>
  <c r="BV28" i="12"/>
  <c r="K73" i="12"/>
  <c r="I73" i="28"/>
  <c r="L62" i="11"/>
  <c r="T73" i="12" s="1"/>
  <c r="U79" i="12" s="1"/>
  <c r="K71" i="12"/>
  <c r="I71" i="28"/>
  <c r="L61" i="11"/>
  <c r="T71" i="12" s="1"/>
  <c r="K16" i="12"/>
  <c r="M16" i="12" s="1"/>
  <c r="BT45" i="12" s="1"/>
  <c r="I16" i="28"/>
  <c r="K16" i="28" s="1"/>
  <c r="L16" i="11"/>
  <c r="T16" i="12" s="1"/>
  <c r="U16" i="12" s="1"/>
  <c r="K42" i="12"/>
  <c r="I42" i="28"/>
  <c r="L36" i="11"/>
  <c r="T42" i="12" s="1"/>
  <c r="K48" i="12"/>
  <c r="I48" i="28"/>
  <c r="L41" i="11"/>
  <c r="T48" i="12" s="1"/>
  <c r="K18" i="12"/>
  <c r="I18" i="28"/>
  <c r="K18" i="28" s="1"/>
  <c r="L18" i="11"/>
  <c r="T18" i="12" s="1"/>
  <c r="U18" i="12" s="1"/>
  <c r="I50" i="28"/>
  <c r="L43" i="11"/>
  <c r="T50" i="12" s="1"/>
  <c r="K69" i="12"/>
  <c r="I69" i="28"/>
  <c r="L59" i="11"/>
  <c r="T69" i="12" s="1"/>
  <c r="K17" i="12"/>
  <c r="N17" i="12" s="1"/>
  <c r="I17" i="28"/>
  <c r="K17" i="28" s="1"/>
  <c r="L17" i="11"/>
  <c r="T17" i="12" s="1"/>
  <c r="U17" i="12" s="1"/>
  <c r="K67" i="12"/>
  <c r="I67" i="28"/>
  <c r="L57" i="11"/>
  <c r="T67" i="12" s="1"/>
  <c r="K70" i="12"/>
  <c r="I70" i="28"/>
  <c r="L60" i="11"/>
  <c r="T70" i="12" s="1"/>
  <c r="K68" i="12"/>
  <c r="I68" i="28"/>
  <c r="L58" i="11"/>
  <c r="T68" i="12" s="1"/>
  <c r="K27" i="12"/>
  <c r="I27" i="28"/>
  <c r="L25" i="11"/>
  <c r="T27" i="12" s="1"/>
  <c r="K38" i="12"/>
  <c r="I38" i="28"/>
  <c r="L32" i="11"/>
  <c r="T38" i="12" s="1"/>
  <c r="I77" i="28"/>
  <c r="L66" i="11"/>
  <c r="T77" i="12" s="1"/>
  <c r="K19" i="12"/>
  <c r="N19" i="12" s="1"/>
  <c r="I19" i="28"/>
  <c r="K19" i="28" s="1"/>
  <c r="L19" i="11"/>
  <c r="T19" i="12" s="1"/>
  <c r="U19" i="12" s="1"/>
  <c r="K20" i="12"/>
  <c r="I20" i="28"/>
  <c r="L20" i="11"/>
  <c r="T20" i="12" s="1"/>
  <c r="K26" i="12"/>
  <c r="I26" i="28"/>
  <c r="K28" i="28" s="1"/>
  <c r="K39" i="12"/>
  <c r="I39" i="28"/>
  <c r="L33" i="11"/>
  <c r="T39" i="12" s="1"/>
  <c r="K49" i="12"/>
  <c r="I49" i="28"/>
  <c r="L42" i="11"/>
  <c r="T49" i="12" s="1"/>
  <c r="K41" i="12"/>
  <c r="I41" i="28"/>
  <c r="L35" i="11"/>
  <c r="T41" i="12" s="1"/>
  <c r="K21" i="12"/>
  <c r="I21" i="28"/>
  <c r="L21" i="11"/>
  <c r="T21" i="12" s="1"/>
  <c r="K74" i="12"/>
  <c r="M79" i="12" s="1"/>
  <c r="BT60" i="12" s="1"/>
  <c r="I74" i="28"/>
  <c r="L63" i="11"/>
  <c r="T74" i="12" s="1"/>
  <c r="I76" i="28"/>
  <c r="L65" i="11"/>
  <c r="T76" i="12" s="1"/>
  <c r="K75" i="12"/>
  <c r="I75" i="28"/>
  <c r="L64" i="11"/>
  <c r="T75" i="12" s="1"/>
  <c r="K46" i="12"/>
  <c r="I46" i="28"/>
  <c r="L39" i="11"/>
  <c r="T46" i="12" s="1"/>
  <c r="K47" i="12"/>
  <c r="I47" i="28"/>
  <c r="L40" i="11"/>
  <c r="T47" i="12" s="1"/>
  <c r="K43" i="12"/>
  <c r="I43" i="28"/>
  <c r="L37" i="11"/>
  <c r="T43" i="12" s="1"/>
  <c r="K45" i="12"/>
  <c r="I45" i="28"/>
  <c r="L38" i="11"/>
  <c r="T45" i="12" s="1"/>
  <c r="K66" i="12"/>
  <c r="I66" i="28"/>
  <c r="L56" i="11"/>
  <c r="T66" i="12" s="1"/>
  <c r="K40" i="12"/>
  <c r="I40" i="28"/>
  <c r="L34" i="11"/>
  <c r="T40" i="12" s="1"/>
  <c r="M94" i="12"/>
  <c r="N94" i="12"/>
  <c r="L17" i="17"/>
  <c r="N17" i="17" s="1"/>
  <c r="L18" i="23"/>
  <c r="N18" i="23" s="1"/>
  <c r="L18" i="22"/>
  <c r="N18" i="22" s="1"/>
  <c r="L18" i="17"/>
  <c r="N18" i="17" s="1"/>
  <c r="L19" i="22"/>
  <c r="N19" i="22" s="1"/>
  <c r="L19" i="23"/>
  <c r="N19" i="23" s="1"/>
  <c r="AL45" i="19"/>
  <c r="AL51" i="19" s="1"/>
  <c r="AL3" i="19" s="1"/>
  <c r="AV5" i="19" s="1"/>
  <c r="AD51" i="19"/>
  <c r="AD3" i="19" s="1"/>
  <c r="Y59" i="9"/>
  <c r="Y62" i="9"/>
  <c r="Y63" i="9"/>
  <c r="Y56" i="9"/>
  <c r="Y60" i="9"/>
  <c r="AQ3" i="19"/>
  <c r="AS5" i="19" s="1"/>
  <c r="AV9" i="19" s="1"/>
  <c r="Y57" i="9"/>
  <c r="Y36" i="9"/>
  <c r="S94" i="7"/>
  <c r="Y54" i="9"/>
  <c r="Y35" i="9"/>
  <c r="Y61" i="9"/>
  <c r="N28" i="12"/>
  <c r="M28" i="12"/>
  <c r="BT51" i="12" s="1"/>
  <c r="N79" i="12"/>
  <c r="AR94" i="9"/>
  <c r="Y53" i="9"/>
  <c r="Y52" i="9"/>
  <c r="Y55" i="9"/>
  <c r="K77" i="12"/>
  <c r="K76" i="12"/>
  <c r="K50" i="12"/>
  <c r="N18" i="12"/>
  <c r="AI7" i="10"/>
  <c r="AE45" i="9"/>
  <c r="AM45" i="9" s="1"/>
  <c r="AM51" i="9" s="1"/>
  <c r="E58" i="5"/>
  <c r="N55" i="10"/>
  <c r="H66" i="6" s="1"/>
  <c r="E64" i="5"/>
  <c r="N61" i="10"/>
  <c r="H73" i="6" s="1"/>
  <c r="E34" i="5"/>
  <c r="N31" i="10"/>
  <c r="H38" i="6" s="1"/>
  <c r="E59" i="5"/>
  <c r="N56" i="10"/>
  <c r="H67" i="6" s="1"/>
  <c r="E66" i="5"/>
  <c r="N63" i="10"/>
  <c r="H75" i="6" s="1"/>
  <c r="E41" i="5"/>
  <c r="N38" i="10"/>
  <c r="H46" i="6" s="1"/>
  <c r="E65" i="5"/>
  <c r="N62" i="10"/>
  <c r="H74" i="6" s="1"/>
  <c r="E44" i="5"/>
  <c r="N41" i="10"/>
  <c r="H49" i="6" s="1"/>
  <c r="E40" i="5"/>
  <c r="N37" i="10"/>
  <c r="H45" i="6" s="1"/>
  <c r="E37" i="5"/>
  <c r="N34" i="10"/>
  <c r="H41" i="6" s="1"/>
  <c r="E23" i="5"/>
  <c r="N20" i="10"/>
  <c r="H21" i="6" s="1"/>
  <c r="E60" i="5"/>
  <c r="N57" i="10"/>
  <c r="H68" i="6" s="1"/>
  <c r="E62" i="5"/>
  <c r="N59" i="10"/>
  <c r="H70" i="6" s="1"/>
  <c r="E39" i="5"/>
  <c r="N36" i="10"/>
  <c r="H43" i="6" s="1"/>
  <c r="E63" i="5"/>
  <c r="N60" i="10"/>
  <c r="H71" i="6" s="1"/>
  <c r="E18" i="5"/>
  <c r="N15" i="10"/>
  <c r="E45" i="5"/>
  <c r="N42" i="10"/>
  <c r="H50" i="6" s="1"/>
  <c r="E67" i="5"/>
  <c r="N64" i="10"/>
  <c r="H76" i="6" s="1"/>
  <c r="E20" i="5"/>
  <c r="N17" i="10"/>
  <c r="H18" i="6" s="1"/>
  <c r="E61" i="5"/>
  <c r="N58" i="10"/>
  <c r="H69" i="6" s="1"/>
  <c r="E19" i="5"/>
  <c r="N16" i="10"/>
  <c r="H17" i="6" s="1"/>
  <c r="E38" i="5"/>
  <c r="N35" i="10"/>
  <c r="H42" i="6" s="1"/>
  <c r="E43" i="5"/>
  <c r="N40" i="10"/>
  <c r="H48" i="6" s="1"/>
  <c r="E36" i="5"/>
  <c r="N33" i="10"/>
  <c r="H40" i="6" s="1"/>
  <c r="I78" i="9"/>
  <c r="Y78" i="9" s="1"/>
  <c r="W78" i="6"/>
  <c r="E42" i="5"/>
  <c r="N39" i="10"/>
  <c r="H47" i="6" s="1"/>
  <c r="E27" i="5"/>
  <c r="N24" i="10"/>
  <c r="H27" i="6" s="1"/>
  <c r="E68" i="5"/>
  <c r="N65" i="10"/>
  <c r="H77" i="6" s="1"/>
  <c r="E22" i="5"/>
  <c r="N19" i="10"/>
  <c r="H20" i="6" s="1"/>
  <c r="E26" i="5"/>
  <c r="N23" i="10"/>
  <c r="H26" i="6" s="1"/>
  <c r="E35" i="5"/>
  <c r="N32" i="10"/>
  <c r="H39" i="6" s="1"/>
  <c r="E21" i="5"/>
  <c r="N18" i="10"/>
  <c r="H19" i="6" s="1"/>
  <c r="I94" i="9"/>
  <c r="Y94" i="9" s="1"/>
  <c r="W94" i="6"/>
  <c r="AM65" i="9"/>
  <c r="AE65" i="9"/>
  <c r="AM79" i="9"/>
  <c r="AE79" i="9"/>
  <c r="AM58" i="9"/>
  <c r="AE58" i="9"/>
  <c r="AM72" i="9"/>
  <c r="AE72" i="9"/>
  <c r="J21" i="10"/>
  <c r="D22" i="11" s="1"/>
  <c r="J22" i="10"/>
  <c r="D23" i="11" s="1"/>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U72" i="12" l="1"/>
  <c r="V72" i="12" s="1"/>
  <c r="M72" i="12"/>
  <c r="BT59" i="12" s="1"/>
  <c r="K72" i="28"/>
  <c r="N72" i="12"/>
  <c r="M22" i="12"/>
  <c r="BT49" i="12" s="1"/>
  <c r="N44" i="12"/>
  <c r="M19" i="12"/>
  <c r="BT48" i="12" s="1"/>
  <c r="N22" i="12"/>
  <c r="N16" i="12"/>
  <c r="BV16" i="12" s="1"/>
  <c r="M51" i="12"/>
  <c r="BT56" i="12" s="1"/>
  <c r="K22" i="28"/>
  <c r="K44" i="28"/>
  <c r="U22" i="12"/>
  <c r="U44" i="12"/>
  <c r="BV26" i="12" s="1"/>
  <c r="M44" i="12"/>
  <c r="BT55" i="12" s="1"/>
  <c r="K24" i="12"/>
  <c r="I24" i="28"/>
  <c r="L23" i="11"/>
  <c r="T24" i="12" s="1"/>
  <c r="K23" i="12"/>
  <c r="I23" i="28"/>
  <c r="L22" i="11"/>
  <c r="T23" i="12" s="1"/>
  <c r="N51" i="12"/>
  <c r="V94" i="12"/>
  <c r="BV34" i="12"/>
  <c r="U51" i="12"/>
  <c r="BT63" i="12"/>
  <c r="K51" i="28"/>
  <c r="K79" i="28"/>
  <c r="Y37" i="9"/>
  <c r="Z93" i="6"/>
  <c r="O74" i="4" s="1"/>
  <c r="Y65" i="9"/>
  <c r="Y3" i="6"/>
  <c r="X3" i="6"/>
  <c r="Y58" i="9"/>
  <c r="AE51" i="9"/>
  <c r="AE3" i="9" s="1"/>
  <c r="BV31" i="12"/>
  <c r="V79" i="12"/>
  <c r="V19" i="12"/>
  <c r="BV19" i="12"/>
  <c r="BV17" i="12"/>
  <c r="V17" i="12"/>
  <c r="V18" i="12"/>
  <c r="BV18" i="12"/>
  <c r="BU36" i="12"/>
  <c r="BY36" i="12"/>
  <c r="AM3" i="9"/>
  <c r="AW5" i="9" s="1"/>
  <c r="BW24" i="12"/>
  <c r="AG3" i="6"/>
  <c r="AR4" i="6" s="1"/>
  <c r="I48" i="9"/>
  <c r="Y48" i="9" s="1"/>
  <c r="W48" i="6"/>
  <c r="H16" i="6"/>
  <c r="I68" i="9"/>
  <c r="Y68" i="9" s="1"/>
  <c r="W68" i="6"/>
  <c r="I49" i="9"/>
  <c r="Y49" i="9" s="1"/>
  <c r="W49" i="6"/>
  <c r="W67" i="6"/>
  <c r="I67" i="9"/>
  <c r="Y67" i="9" s="1"/>
  <c r="I18" i="9"/>
  <c r="Y18" i="9" s="1"/>
  <c r="W18" i="6"/>
  <c r="Z18" i="6" s="1"/>
  <c r="O18" i="4" s="1"/>
  <c r="I38" i="9"/>
  <c r="Y38" i="9" s="1"/>
  <c r="W38" i="6"/>
  <c r="I26" i="9"/>
  <c r="Y26" i="9" s="1"/>
  <c r="W26" i="6"/>
  <c r="I47" i="9"/>
  <c r="Y47" i="9" s="1"/>
  <c r="W47" i="6"/>
  <c r="I42" i="9"/>
  <c r="Y42" i="9" s="1"/>
  <c r="W42" i="6"/>
  <c r="E24" i="5"/>
  <c r="N21" i="10"/>
  <c r="H23" i="6" s="1"/>
  <c r="I74" i="9"/>
  <c r="Y74" i="9" s="1"/>
  <c r="W74" i="6"/>
  <c r="I76" i="9"/>
  <c r="Y76" i="9" s="1"/>
  <c r="W76" i="6"/>
  <c r="I43" i="9"/>
  <c r="Y43" i="9" s="1"/>
  <c r="W43" i="6"/>
  <c r="I41" i="9"/>
  <c r="Y41" i="9" s="1"/>
  <c r="W41" i="6"/>
  <c r="W46" i="6"/>
  <c r="I46" i="9"/>
  <c r="Y46" i="9" s="1"/>
  <c r="I73" i="9"/>
  <c r="Y73" i="9" s="1"/>
  <c r="W73" i="6"/>
  <c r="I27" i="9"/>
  <c r="Y27" i="9" s="1"/>
  <c r="W27" i="6"/>
  <c r="I21" i="9"/>
  <c r="Y21" i="9" s="1"/>
  <c r="W21" i="6"/>
  <c r="I20" i="9"/>
  <c r="Y20" i="9" s="1"/>
  <c r="W20" i="6"/>
  <c r="I17" i="9"/>
  <c r="Y17" i="9" s="1"/>
  <c r="W17" i="6"/>
  <c r="Z17" i="6" s="1"/>
  <c r="O17" i="4" s="1"/>
  <c r="I39" i="9"/>
  <c r="Y39" i="9" s="1"/>
  <c r="W39" i="6"/>
  <c r="I71" i="9"/>
  <c r="Y71" i="9" s="1"/>
  <c r="W71" i="6"/>
  <c r="I50" i="9"/>
  <c r="Y50" i="9" s="1"/>
  <c r="W50" i="6"/>
  <c r="I70" i="9"/>
  <c r="Y70" i="9" s="1"/>
  <c r="W70" i="6"/>
  <c r="I45" i="9"/>
  <c r="Y45" i="9" s="1"/>
  <c r="W45" i="6"/>
  <c r="I75" i="9"/>
  <c r="Y75" i="9" s="1"/>
  <c r="W75" i="6"/>
  <c r="I66" i="9"/>
  <c r="Y66" i="9" s="1"/>
  <c r="W66" i="6"/>
  <c r="E25" i="5"/>
  <c r="N22" i="10"/>
  <c r="H24" i="6" s="1"/>
  <c r="I19" i="9"/>
  <c r="Y19" i="9" s="1"/>
  <c r="W19" i="6"/>
  <c r="Z19" i="6" s="1"/>
  <c r="O19" i="4" s="1"/>
  <c r="I77" i="9"/>
  <c r="Y77" i="9" s="1"/>
  <c r="W77" i="6"/>
  <c r="I40" i="9"/>
  <c r="Y40" i="9" s="1"/>
  <c r="W40" i="6"/>
  <c r="I69" i="9"/>
  <c r="Y69" i="9" s="1"/>
  <c r="W69" i="6"/>
  <c r="BV30" i="12" l="1"/>
  <c r="V16" i="12"/>
  <c r="K25" i="28"/>
  <c r="V22" i="12"/>
  <c r="BV20" i="12"/>
  <c r="N25" i="12"/>
  <c r="M25" i="12"/>
  <c r="BT50" i="12" s="1"/>
  <c r="V44" i="12"/>
  <c r="U25" i="12"/>
  <c r="V25" i="12" s="1"/>
  <c r="BV27" i="12"/>
  <c r="V51" i="12"/>
  <c r="G77" i="3"/>
  <c r="G20" i="3"/>
  <c r="G22" i="3"/>
  <c r="G21" i="3"/>
  <c r="Y22" i="9"/>
  <c r="I23" i="9"/>
  <c r="Y23" i="9" s="1"/>
  <c r="W23" i="6"/>
  <c r="I16" i="9"/>
  <c r="Y16" i="9" s="1"/>
  <c r="W16" i="6"/>
  <c r="Z16" i="6" s="1"/>
  <c r="I24" i="9"/>
  <c r="Y24" i="9" s="1"/>
  <c r="W24" i="6"/>
  <c r="Y31" i="9"/>
  <c r="Y72" i="9"/>
  <c r="B22" i="5"/>
  <c r="B26" i="5"/>
  <c r="B32" i="5"/>
  <c r="B34" i="5"/>
  <c r="B40" i="5"/>
  <c r="B46" i="5"/>
  <c r="B52" i="5"/>
  <c r="B58" i="5"/>
  <c r="B64" i="5"/>
  <c r="B82" i="5"/>
  <c r="B83" i="5"/>
  <c r="B84" i="5"/>
  <c r="B80" i="7"/>
  <c r="BV21" i="12" l="1"/>
  <c r="O16" i="4"/>
  <c r="W25" i="6"/>
  <c r="Z25" i="6" s="1"/>
  <c r="O22" i="4" s="1"/>
  <c r="Y25" i="9"/>
  <c r="Y28" i="9"/>
  <c r="B94" i="7"/>
  <c r="Y79" i="9"/>
  <c r="Y51" i="9"/>
  <c r="Y44" i="9"/>
  <c r="G25" i="3" l="1"/>
  <c r="G19" i="3"/>
  <c r="Y3" i="9"/>
  <c r="BW21" i="12"/>
  <c r="AD58" i="6" l="1"/>
  <c r="AH58" i="6"/>
  <c r="AD93" i="6"/>
  <c r="AH93" i="6"/>
  <c r="AD65" i="6"/>
  <c r="AH65" i="6"/>
  <c r="AH79" i="6"/>
  <c r="AD79" i="6"/>
  <c r="AH72" i="6"/>
  <c r="AD72" i="6"/>
  <c r="F80" i="4" l="1"/>
  <c r="E94" i="6"/>
  <c r="I94" i="6" s="1"/>
  <c r="AB94" i="6" s="1"/>
  <c r="O75" i="17"/>
  <c r="AE75" i="17" s="1"/>
  <c r="R79" i="10"/>
  <c r="F81" i="4"/>
  <c r="G81" i="4" s="1"/>
  <c r="E95" i="6"/>
  <c r="I95" i="6" s="1"/>
  <c r="AB95" i="6" s="1"/>
  <c r="O80" i="10"/>
  <c r="R80" i="10" s="1"/>
  <c r="O76" i="17"/>
  <c r="AE76" i="17" s="1"/>
  <c r="F82" i="4"/>
  <c r="G82" i="4" s="1"/>
  <c r="E96" i="6"/>
  <c r="I96" i="6" s="1"/>
  <c r="AB96" i="6" s="1"/>
  <c r="O77" i="17"/>
  <c r="AE77" i="17" s="1"/>
  <c r="O81" i="10"/>
  <c r="R81" i="10" s="1"/>
  <c r="AH51" i="6"/>
  <c r="AH3" i="6" s="1"/>
  <c r="AD51" i="6"/>
  <c r="AD3" i="6" s="1"/>
  <c r="K81" i="4" l="1"/>
  <c r="P81" i="4" s="1"/>
  <c r="X81" i="4"/>
  <c r="T80" i="10" s="1"/>
  <c r="T76" i="29" s="1"/>
  <c r="U81" i="4"/>
  <c r="K82" i="4"/>
  <c r="X82" i="4"/>
  <c r="T81" i="10" s="1"/>
  <c r="T77" i="29" s="1"/>
  <c r="U82" i="4"/>
  <c r="E94" i="9"/>
  <c r="H94" i="18"/>
  <c r="E96" i="9"/>
  <c r="J96" i="9" s="1"/>
  <c r="AC96" i="9" s="1"/>
  <c r="H96" i="18"/>
  <c r="AC81" i="10"/>
  <c r="AL77" i="29" s="1"/>
  <c r="R76" i="17"/>
  <c r="R75" i="17"/>
  <c r="H95" i="18"/>
  <c r="E95" i="9"/>
  <c r="J95" i="9" s="1"/>
  <c r="AC95" i="9" s="1"/>
  <c r="R77" i="17"/>
  <c r="AO95" i="6"/>
  <c r="H38" i="25" s="1"/>
  <c r="I38" i="25" s="1"/>
  <c r="AF95" i="6"/>
  <c r="F38" i="25" s="1"/>
  <c r="AF94" i="6"/>
  <c r="F37" i="25" s="1"/>
  <c r="AO94" i="6"/>
  <c r="H37" i="25" s="1"/>
  <c r="I37" i="25" s="1"/>
  <c r="AO96" i="6"/>
  <c r="H39" i="25" s="1"/>
  <c r="I39" i="25" s="1"/>
  <c r="AF96" i="6"/>
  <c r="F39" i="25" s="1"/>
  <c r="AR5" i="6"/>
  <c r="W65" i="6"/>
  <c r="Z65" i="6" s="1"/>
  <c r="O50" i="4" s="1"/>
  <c r="AY77" i="29" l="1"/>
  <c r="AG81" i="10"/>
  <c r="H82" i="4" s="1"/>
  <c r="I82" i="4" s="1"/>
  <c r="AJ82" i="4" s="1"/>
  <c r="S38" i="25"/>
  <c r="G38" i="25"/>
  <c r="G39" i="25"/>
  <c r="S39" i="25"/>
  <c r="G37" i="25"/>
  <c r="S37" i="25"/>
  <c r="AC96" i="12"/>
  <c r="S78" i="23"/>
  <c r="T77" i="17"/>
  <c r="S80" i="10"/>
  <c r="S76" i="29" s="1"/>
  <c r="F95" i="7"/>
  <c r="S81" i="10"/>
  <c r="S77" i="29" s="1"/>
  <c r="F96" i="7"/>
  <c r="S77" i="23"/>
  <c r="AC95" i="12"/>
  <c r="T76" i="17"/>
  <c r="H37" i="21"/>
  <c r="I37" i="21" s="1"/>
  <c r="G37" i="20"/>
  <c r="F38" i="20"/>
  <c r="F38" i="21"/>
  <c r="H38" i="21"/>
  <c r="I38" i="21" s="1"/>
  <c r="G38" i="20"/>
  <c r="F37" i="21"/>
  <c r="F37" i="20"/>
  <c r="R78" i="22"/>
  <c r="S78" i="22" s="1"/>
  <c r="V78" i="23"/>
  <c r="F39" i="20"/>
  <c r="F39" i="21"/>
  <c r="G39" i="20"/>
  <c r="H39" i="21"/>
  <c r="I39" i="21" s="1"/>
  <c r="E96" i="19"/>
  <c r="E96" i="18"/>
  <c r="I96" i="18" s="1"/>
  <c r="AB96" i="18" s="1"/>
  <c r="AL77" i="17"/>
  <c r="AY77" i="17" s="1"/>
  <c r="N82" i="11"/>
  <c r="I94" i="19"/>
  <c r="W94" i="18"/>
  <c r="I96" i="19"/>
  <c r="W96" i="18"/>
  <c r="I95" i="19"/>
  <c r="W95" i="18"/>
  <c r="H36" i="14"/>
  <c r="I36" i="14" s="1"/>
  <c r="G37" i="13"/>
  <c r="F37" i="14"/>
  <c r="F38" i="13"/>
  <c r="F36" i="14"/>
  <c r="F37" i="13"/>
  <c r="F38" i="14"/>
  <c r="F39" i="13"/>
  <c r="H37" i="14"/>
  <c r="I37" i="14" s="1"/>
  <c r="G38" i="13"/>
  <c r="H38" i="14"/>
  <c r="I38" i="14" s="1"/>
  <c r="G39" i="13"/>
  <c r="G53" i="3"/>
  <c r="AG82" i="4" l="1"/>
  <c r="AE81" i="10" s="1"/>
  <c r="AN77" i="29" s="1"/>
  <c r="AM82" i="4"/>
  <c r="AN82" i="4" s="1"/>
  <c r="L82" i="4"/>
  <c r="Q82" i="4" s="1"/>
  <c r="T38" i="25"/>
  <c r="W38" i="25"/>
  <c r="Y38" i="25" s="1"/>
  <c r="T37" i="25"/>
  <c r="W37" i="25"/>
  <c r="Y37" i="25" s="1"/>
  <c r="T39" i="25"/>
  <c r="W39" i="25"/>
  <c r="Y39" i="25" s="1"/>
  <c r="AD95" i="12"/>
  <c r="AG95" i="12"/>
  <c r="AH95" i="12" s="1"/>
  <c r="AD96" i="12"/>
  <c r="AG96" i="12"/>
  <c r="W96" i="7"/>
  <c r="J39" i="21" s="1"/>
  <c r="W95" i="7"/>
  <c r="J38" i="21" s="1"/>
  <c r="R77" i="23"/>
  <c r="Z95" i="12"/>
  <c r="AA95" i="12" s="1"/>
  <c r="AB95" i="12" s="1"/>
  <c r="S76" i="17"/>
  <c r="AF81" i="10"/>
  <c r="AO77" i="29" s="1"/>
  <c r="J96" i="7"/>
  <c r="AM96" i="7" s="1"/>
  <c r="R78" i="23"/>
  <c r="Z96" i="12"/>
  <c r="AA96" i="12" s="1"/>
  <c r="S77" i="17"/>
  <c r="AD81" i="10"/>
  <c r="K96" i="7"/>
  <c r="AQ96" i="7" s="1"/>
  <c r="AT39" i="25" s="1"/>
  <c r="K37" i="20"/>
  <c r="J37" i="20"/>
  <c r="H37" i="20"/>
  <c r="Q37" i="20" s="1"/>
  <c r="I37" i="20"/>
  <c r="R37" i="20" s="1"/>
  <c r="G37" i="21"/>
  <c r="S37" i="21"/>
  <c r="S39" i="21"/>
  <c r="G39" i="21"/>
  <c r="G38" i="21"/>
  <c r="S38" i="21"/>
  <c r="J39" i="20"/>
  <c r="K39" i="20"/>
  <c r="I39" i="20"/>
  <c r="R39" i="20" s="1"/>
  <c r="H39" i="20"/>
  <c r="Q39" i="20" s="1"/>
  <c r="J38" i="20"/>
  <c r="K38" i="20"/>
  <c r="I38" i="20"/>
  <c r="R38" i="20" s="1"/>
  <c r="H38" i="20"/>
  <c r="Q38" i="20" s="1"/>
  <c r="P38" i="14"/>
  <c r="Q38" i="14" s="1"/>
  <c r="Y95" i="12"/>
  <c r="Y94" i="12"/>
  <c r="G38" i="14"/>
  <c r="G37" i="14"/>
  <c r="P37" i="14"/>
  <c r="Q37" i="14" s="1"/>
  <c r="G36" i="14"/>
  <c r="P36" i="14"/>
  <c r="Q36" i="14" s="1"/>
  <c r="J39" i="13"/>
  <c r="H39" i="13"/>
  <c r="N39" i="13" s="1"/>
  <c r="H37" i="13"/>
  <c r="N37" i="13" s="1"/>
  <c r="J37" i="13"/>
  <c r="J38" i="13"/>
  <c r="H38" i="13"/>
  <c r="N38" i="13" s="1"/>
  <c r="AF96" i="18"/>
  <c r="AL39" i="25" s="1"/>
  <c r="AO96" i="18"/>
  <c r="X95" i="19"/>
  <c r="X94" i="19"/>
  <c r="X96" i="19"/>
  <c r="J96" i="19"/>
  <c r="AB96" i="19" s="1"/>
  <c r="K37" i="13"/>
  <c r="I37" i="13"/>
  <c r="O37" i="13" s="1"/>
  <c r="K39" i="13"/>
  <c r="I39" i="13"/>
  <c r="O39" i="13" s="1"/>
  <c r="K38" i="13"/>
  <c r="I38" i="13"/>
  <c r="O38" i="13" s="1"/>
  <c r="W28" i="6"/>
  <c r="Z28" i="6" s="1"/>
  <c r="O24" i="4" s="1"/>
  <c r="W58" i="6"/>
  <c r="Z58" i="6" s="1"/>
  <c r="O44" i="4" s="1"/>
  <c r="I18" i="1"/>
  <c r="I19" i="1"/>
  <c r="AM77" i="29" l="1"/>
  <c r="BC77" i="29" s="1"/>
  <c r="BD77" i="29" s="1"/>
  <c r="AH81" i="10"/>
  <c r="I96" i="7"/>
  <c r="AI96" i="7" s="1"/>
  <c r="AN39" i="25" s="1"/>
  <c r="L39" i="21"/>
  <c r="K39" i="21"/>
  <c r="AW39" i="25"/>
  <c r="AG37" i="21"/>
  <c r="AK37" i="25"/>
  <c r="U78" i="23"/>
  <c r="AF38" i="21"/>
  <c r="AJ38" i="25"/>
  <c r="L38" i="21"/>
  <c r="K38" i="21"/>
  <c r="AM39" i="21"/>
  <c r="AJ38" i="14" s="1"/>
  <c r="AQ39" i="25"/>
  <c r="AO77" i="17"/>
  <c r="Y78" i="23"/>
  <c r="U77" i="23"/>
  <c r="AG39" i="21"/>
  <c r="AK39" i="25"/>
  <c r="J37" i="14"/>
  <c r="J38" i="25"/>
  <c r="J38" i="14"/>
  <c r="J39" i="25"/>
  <c r="AG38" i="21"/>
  <c r="AK38" i="25"/>
  <c r="AF37" i="21"/>
  <c r="AJ37" i="25"/>
  <c r="AF39" i="21"/>
  <c r="AJ39" i="25"/>
  <c r="BA39" i="25" s="1"/>
  <c r="BC39" i="25" s="1"/>
  <c r="AN77" i="17"/>
  <c r="X78" i="23"/>
  <c r="AE95" i="12"/>
  <c r="AF38" i="14"/>
  <c r="AP39" i="21"/>
  <c r="F96" i="19"/>
  <c r="AF96" i="19" s="1"/>
  <c r="AJ96" i="19" s="1"/>
  <c r="O82" i="11"/>
  <c r="W78" i="23"/>
  <c r="AM77" i="17"/>
  <c r="T39" i="21"/>
  <c r="W39" i="21"/>
  <c r="Y39" i="21" s="1"/>
  <c r="T37" i="21"/>
  <c r="W37" i="21"/>
  <c r="Y37" i="21" s="1"/>
  <c r="S39" i="20"/>
  <c r="U39" i="20" s="1"/>
  <c r="AH39" i="21"/>
  <c r="W38" i="21"/>
  <c r="Y38" i="21" s="1"/>
  <c r="T38" i="21"/>
  <c r="U17" i="18"/>
  <c r="G17" i="12"/>
  <c r="U17" i="6"/>
  <c r="U18" i="18"/>
  <c r="G18" i="12"/>
  <c r="U18" i="6"/>
  <c r="AD38" i="14"/>
  <c r="P39" i="13"/>
  <c r="G27" i="3"/>
  <c r="G47" i="3"/>
  <c r="I84" i="1"/>
  <c r="AP77" i="29" l="1"/>
  <c r="AJ39" i="21"/>
  <c r="AH38" i="14" s="1"/>
  <c r="BC77" i="17"/>
  <c r="BE77" i="17" s="1"/>
  <c r="AV39" i="25"/>
  <c r="AM39" i="25"/>
  <c r="AX39" i="25" s="1"/>
  <c r="AR39" i="25"/>
  <c r="AS39" i="25"/>
  <c r="AN39" i="21"/>
  <c r="L39" i="25"/>
  <c r="K39" i="25"/>
  <c r="K38" i="14"/>
  <c r="AO39" i="21"/>
  <c r="AS39" i="21"/>
  <c r="AP39" i="25"/>
  <c r="AO39" i="25"/>
  <c r="K37" i="14"/>
  <c r="AQ39" i="21"/>
  <c r="L38" i="25"/>
  <c r="K38" i="25"/>
  <c r="AU39" i="25"/>
  <c r="AR39" i="21"/>
  <c r="AP77" i="17"/>
  <c r="T39" i="20"/>
  <c r="AW39" i="21"/>
  <c r="AI39" i="21"/>
  <c r="AT39" i="21" s="1"/>
  <c r="W39" i="20"/>
  <c r="V39" i="20"/>
  <c r="M18" i="12"/>
  <c r="BT47" i="12" s="1"/>
  <c r="M17" i="12"/>
  <c r="BT46" i="12" s="1"/>
  <c r="V18" i="19"/>
  <c r="W18" i="9"/>
  <c r="Q18" i="7"/>
  <c r="V17" i="19"/>
  <c r="W17" i="9"/>
  <c r="Q17" i="7"/>
  <c r="D9" i="11"/>
  <c r="AL39" i="21" l="1"/>
  <c r="AK39" i="21"/>
  <c r="AY39" i="21"/>
  <c r="A3" i="5"/>
  <c r="A1" i="5"/>
  <c r="M9" i="12"/>
  <c r="N9" i="12" s="1"/>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1" i="11"/>
  <c r="A9" i="1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 i="12"/>
  <c r="A10" i="12" s="1"/>
  <c r="A11" i="12" s="1"/>
  <c r="A12" i="12" s="1"/>
  <c r="A13" i="12" s="1"/>
  <c r="A14" i="12" s="1"/>
  <c r="A15" i="12" s="1"/>
  <c r="A16" i="12" s="1"/>
  <c r="A17" i="12" s="1"/>
  <c r="A18" i="12" l="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J86" i="5"/>
  <c r="W37" i="6" l="1"/>
  <c r="Z37" i="6" s="1"/>
  <c r="O30" i="4" s="1"/>
  <c r="G33" i="3" l="1"/>
  <c r="W72" i="6"/>
  <c r="Z72" i="6" s="1"/>
  <c r="O56" i="4" s="1"/>
  <c r="W79" i="6"/>
  <c r="Z79" i="6" s="1"/>
  <c r="O62" i="4" s="1"/>
  <c r="W22" i="6"/>
  <c r="Z22" i="6" s="1"/>
  <c r="W44" i="6"/>
  <c r="Z44" i="6" s="1"/>
  <c r="O32" i="4" s="1"/>
  <c r="W31" i="6"/>
  <c r="Z31" i="6" s="1"/>
  <c r="O26" i="4" s="1"/>
  <c r="W51" i="6"/>
  <c r="Z51" i="6" s="1"/>
  <c r="O38" i="4" s="1"/>
  <c r="G41" i="3" l="1"/>
  <c r="G35" i="3"/>
  <c r="G29" i="3"/>
  <c r="O20" i="4"/>
  <c r="AB84" i="4" s="1"/>
  <c r="AC24" i="4" s="1"/>
  <c r="Z3" i="6"/>
  <c r="W3" i="6"/>
  <c r="O84" i="4" l="1"/>
  <c r="G23" i="3"/>
  <c r="Z5" i="6"/>
  <c r="G97" i="12" l="1"/>
  <c r="AN31" i="6" l="1"/>
  <c r="AN28" i="6"/>
  <c r="AN37" i="6"/>
  <c r="AN65" i="6"/>
  <c r="AN22" i="6"/>
  <c r="AN58" i="6"/>
  <c r="A2" i="10"/>
  <c r="A2" i="6"/>
  <c r="A2" i="11"/>
  <c r="A2" i="5"/>
  <c r="AN44" i="6" l="1"/>
  <c r="AN72" i="6"/>
  <c r="AN51" i="6"/>
  <c r="AN79" i="6"/>
  <c r="AC62" i="4" l="1"/>
  <c r="G65" i="3"/>
  <c r="G59" i="3"/>
  <c r="G87" i="3" l="1"/>
  <c r="BC62" i="4"/>
  <c r="BD62" i="4"/>
  <c r="AC14" i="4"/>
  <c r="AC18" i="4"/>
  <c r="AC28" i="4"/>
  <c r="AC22" i="4"/>
  <c r="AC82" i="4"/>
  <c r="AC38" i="4"/>
  <c r="AC50" i="4"/>
  <c r="AC44" i="4"/>
  <c r="AC15" i="4"/>
  <c r="AC17" i="4"/>
  <c r="AC20" i="4"/>
  <c r="BD20" i="4" s="1"/>
  <c r="AC30" i="4"/>
  <c r="AC16" i="4"/>
  <c r="AC32" i="4"/>
  <c r="AC19" i="4"/>
  <c r="AC81" i="4"/>
  <c r="AC68" i="4"/>
  <c r="AC26" i="4"/>
  <c r="AC74" i="4"/>
  <c r="AC80" i="4"/>
  <c r="AC56" i="4"/>
  <c r="G95" i="7"/>
  <c r="AA95" i="7" s="1"/>
  <c r="AA5" i="9"/>
  <c r="M38" i="25" l="1"/>
  <c r="M38" i="21"/>
  <c r="L37" i="14"/>
  <c r="AD67" i="4"/>
  <c r="P66" i="10" s="1"/>
  <c r="P62" i="29" s="1"/>
  <c r="AD62" i="4"/>
  <c r="P61" i="10" s="1"/>
  <c r="P57" i="29" s="1"/>
  <c r="AD64" i="4"/>
  <c r="P63" i="10" s="1"/>
  <c r="P59" i="29" s="1"/>
  <c r="AD63" i="4"/>
  <c r="P62" i="10" s="1"/>
  <c r="P58" i="29" s="1"/>
  <c r="AD65" i="4"/>
  <c r="P64" i="10" s="1"/>
  <c r="P60" i="29" s="1"/>
  <c r="AD66" i="4"/>
  <c r="P65" i="10" s="1"/>
  <c r="P61" i="29" s="1"/>
  <c r="AD21" i="4"/>
  <c r="P20" i="10" s="1"/>
  <c r="P16" i="29" s="1"/>
  <c r="AD20" i="4"/>
  <c r="P19" i="10" s="1"/>
  <c r="P15" i="29" s="1"/>
  <c r="BD44" i="4"/>
  <c r="BC44" i="4"/>
  <c r="BD14" i="4"/>
  <c r="BC14" i="4"/>
  <c r="BD19" i="4"/>
  <c r="AD19" i="4" s="1"/>
  <c r="P18" i="10" s="1"/>
  <c r="P14" i="29" s="1"/>
  <c r="BC19" i="4"/>
  <c r="BD50" i="4"/>
  <c r="BC50" i="4"/>
  <c r="BC32" i="4"/>
  <c r="BD32" i="4"/>
  <c r="BD38" i="4"/>
  <c r="BC38" i="4"/>
  <c r="BD16" i="4"/>
  <c r="AD16" i="4" s="1"/>
  <c r="P15" i="10" s="1"/>
  <c r="P11" i="29" s="1"/>
  <c r="BC16" i="4"/>
  <c r="BD22" i="4"/>
  <c r="BC22" i="4"/>
  <c r="BD74" i="4"/>
  <c r="BC74" i="4"/>
  <c r="BC20" i="4"/>
  <c r="BD56" i="4"/>
  <c r="BC56" i="4"/>
  <c r="BC17" i="4"/>
  <c r="BD17" i="4"/>
  <c r="AD17" i="4" s="1"/>
  <c r="P16" i="10" s="1"/>
  <c r="P12" i="29" s="1"/>
  <c r="BD28" i="4"/>
  <c r="BC28" i="4"/>
  <c r="BD15" i="4"/>
  <c r="BC15" i="4"/>
  <c r="BD18" i="4"/>
  <c r="AD18" i="4" s="1"/>
  <c r="P17" i="10" s="1"/>
  <c r="P13" i="29" s="1"/>
  <c r="BC18" i="4"/>
  <c r="AC84" i="4"/>
  <c r="G96" i="7"/>
  <c r="N38" i="21" l="1"/>
  <c r="O38" i="21"/>
  <c r="O38" i="25"/>
  <c r="N38" i="25"/>
  <c r="AD79" i="4"/>
  <c r="P78" i="10" s="1"/>
  <c r="P74" i="29" s="1"/>
  <c r="M37" i="14"/>
  <c r="W16" i="12"/>
  <c r="X16" i="12" s="1"/>
  <c r="Y16" i="12" s="1"/>
  <c r="P12" i="23"/>
  <c r="P12" i="22"/>
  <c r="W77" i="12"/>
  <c r="P62" i="22"/>
  <c r="P62" i="23"/>
  <c r="W18" i="12"/>
  <c r="X18" i="12" s="1"/>
  <c r="Y18" i="12" s="1"/>
  <c r="P14" i="23"/>
  <c r="P14" i="22"/>
  <c r="W76" i="12"/>
  <c r="P61" i="22"/>
  <c r="P61" i="23"/>
  <c r="W21" i="12"/>
  <c r="P17" i="22"/>
  <c r="P17" i="23"/>
  <c r="W74" i="12"/>
  <c r="P59" i="23"/>
  <c r="P59" i="22"/>
  <c r="W19" i="12"/>
  <c r="X19" i="12" s="1"/>
  <c r="Y19" i="12" s="1"/>
  <c r="P15" i="22"/>
  <c r="P15" i="23"/>
  <c r="W75" i="12"/>
  <c r="P60" i="22"/>
  <c r="P60" i="23"/>
  <c r="W73" i="12"/>
  <c r="P58" i="23"/>
  <c r="P58" i="22"/>
  <c r="W17" i="12"/>
  <c r="X17" i="12" s="1"/>
  <c r="Y17" i="12" s="1"/>
  <c r="P13" i="22"/>
  <c r="P13" i="23"/>
  <c r="W78" i="12"/>
  <c r="P63" i="22"/>
  <c r="P63" i="23"/>
  <c r="W20" i="12"/>
  <c r="P16" i="22"/>
  <c r="P16" i="23"/>
  <c r="AD14" i="4"/>
  <c r="P13" i="10" s="1"/>
  <c r="P9" i="29" s="1"/>
  <c r="P12" i="17"/>
  <c r="AD75" i="4"/>
  <c r="P74" i="10" s="1"/>
  <c r="P70" i="29" s="1"/>
  <c r="AD76" i="4"/>
  <c r="P75" i="10" s="1"/>
  <c r="P71" i="29" s="1"/>
  <c r="AD77" i="4"/>
  <c r="P76" i="10" s="1"/>
  <c r="P72" i="29" s="1"/>
  <c r="AD78" i="4"/>
  <c r="P77" i="10" s="1"/>
  <c r="P73" i="29" s="1"/>
  <c r="AD74" i="4"/>
  <c r="P73" i="10" s="1"/>
  <c r="P69" i="29" s="1"/>
  <c r="AD43" i="4"/>
  <c r="P42" i="10" s="1"/>
  <c r="P38" i="29" s="1"/>
  <c r="AD38" i="4"/>
  <c r="P37" i="10" s="1"/>
  <c r="P33" i="29" s="1"/>
  <c r="AD39" i="4"/>
  <c r="P38" i="10" s="1"/>
  <c r="P34" i="29" s="1"/>
  <c r="AD40" i="4"/>
  <c r="P39" i="10" s="1"/>
  <c r="P35" i="29" s="1"/>
  <c r="AD41" i="4"/>
  <c r="P40" i="10" s="1"/>
  <c r="P36" i="29" s="1"/>
  <c r="AD42" i="4"/>
  <c r="P41" i="10" s="1"/>
  <c r="P37" i="29" s="1"/>
  <c r="P15" i="17"/>
  <c r="P13" i="17"/>
  <c r="AD33" i="4"/>
  <c r="P32" i="10" s="1"/>
  <c r="P28" i="29" s="1"/>
  <c r="AD34" i="4"/>
  <c r="P33" i="10" s="1"/>
  <c r="P29" i="29" s="1"/>
  <c r="AD36" i="4"/>
  <c r="P35" i="10" s="1"/>
  <c r="P31" i="29" s="1"/>
  <c r="AD35" i="4"/>
  <c r="P34" i="10" s="1"/>
  <c r="P30" i="29" s="1"/>
  <c r="AD37" i="4"/>
  <c r="P36" i="10" s="1"/>
  <c r="P32" i="29" s="1"/>
  <c r="AD32" i="4"/>
  <c r="P31" i="10" s="1"/>
  <c r="P27" i="29" s="1"/>
  <c r="P16" i="17"/>
  <c r="AD15" i="4"/>
  <c r="P14" i="10" s="1"/>
  <c r="P10" i="29" s="1"/>
  <c r="AD51" i="4"/>
  <c r="P50" i="10" s="1"/>
  <c r="P46" i="29" s="1"/>
  <c r="AD52" i="4"/>
  <c r="P51" i="10" s="1"/>
  <c r="P47" i="29" s="1"/>
  <c r="AD53" i="4"/>
  <c r="P52" i="10" s="1"/>
  <c r="P48" i="29" s="1"/>
  <c r="AD50" i="4"/>
  <c r="P49" i="10" s="1"/>
  <c r="P45" i="29" s="1"/>
  <c r="AD54" i="4"/>
  <c r="P53" i="10" s="1"/>
  <c r="P49" i="29" s="1"/>
  <c r="AD55" i="4"/>
  <c r="P54" i="10" s="1"/>
  <c r="P50" i="29" s="1"/>
  <c r="AD47" i="4"/>
  <c r="P46" i="10" s="1"/>
  <c r="P42" i="29" s="1"/>
  <c r="AD48" i="4"/>
  <c r="P47" i="10" s="1"/>
  <c r="P43" i="29" s="1"/>
  <c r="AD49" i="4"/>
  <c r="P48" i="10" s="1"/>
  <c r="P44" i="29" s="1"/>
  <c r="AD44" i="4"/>
  <c r="P43" i="10" s="1"/>
  <c r="P39" i="29" s="1"/>
  <c r="AD45" i="4"/>
  <c r="P44" i="10" s="1"/>
  <c r="P40" i="29" s="1"/>
  <c r="AD46" i="4"/>
  <c r="P45" i="10" s="1"/>
  <c r="P41" i="29" s="1"/>
  <c r="P60" i="17"/>
  <c r="P11" i="17"/>
  <c r="P61" i="17"/>
  <c r="AD23" i="4"/>
  <c r="P22" i="10" s="1"/>
  <c r="P18" i="29" s="1"/>
  <c r="AD22" i="4"/>
  <c r="P21" i="10" s="1"/>
  <c r="P17" i="29" s="1"/>
  <c r="P58" i="17"/>
  <c r="AD57" i="4"/>
  <c r="P56" i="10" s="1"/>
  <c r="P52" i="29" s="1"/>
  <c r="AD58" i="4"/>
  <c r="P57" i="10" s="1"/>
  <c r="P53" i="29" s="1"/>
  <c r="AD59" i="4"/>
  <c r="P58" i="10" s="1"/>
  <c r="P54" i="29" s="1"/>
  <c r="AD60" i="4"/>
  <c r="P59" i="10" s="1"/>
  <c r="P55" i="29" s="1"/>
  <c r="AD61" i="4"/>
  <c r="P60" i="10" s="1"/>
  <c r="P56" i="29" s="1"/>
  <c r="AD56" i="4"/>
  <c r="P55" i="10" s="1"/>
  <c r="P51" i="29" s="1"/>
  <c r="P14" i="17"/>
  <c r="P59" i="17"/>
  <c r="P57" i="17"/>
  <c r="AD29" i="4"/>
  <c r="P28" i="10" s="1"/>
  <c r="P24" i="29" s="1"/>
  <c r="AD28" i="4"/>
  <c r="P27" i="10" s="1"/>
  <c r="P23" i="29" s="1"/>
  <c r="P62" i="17"/>
  <c r="V37" i="14"/>
  <c r="X37" i="14" s="1"/>
  <c r="V36" i="14"/>
  <c r="X36" i="14" s="1"/>
  <c r="AA96" i="7"/>
  <c r="G80" i="4"/>
  <c r="M39" i="25" l="1"/>
  <c r="M39" i="21"/>
  <c r="X80" i="4"/>
  <c r="U80" i="4"/>
  <c r="K80" i="4"/>
  <c r="P80" i="4" s="1"/>
  <c r="X22" i="12"/>
  <c r="Y22" i="12" s="1"/>
  <c r="X79" i="12"/>
  <c r="Y79" i="12" s="1"/>
  <c r="L38" i="14"/>
  <c r="W15" i="12"/>
  <c r="X15" i="12" s="1"/>
  <c r="Y15" i="12" s="1"/>
  <c r="P11" i="23"/>
  <c r="P11" i="22"/>
  <c r="W32" i="12"/>
  <c r="P24" i="22"/>
  <c r="P24" i="23"/>
  <c r="W88" i="12"/>
  <c r="P71" i="22"/>
  <c r="P71" i="23"/>
  <c r="W33" i="12"/>
  <c r="P25" i="22"/>
  <c r="P25" i="23"/>
  <c r="W66" i="12"/>
  <c r="P52" i="23"/>
  <c r="P52" i="22"/>
  <c r="W54" i="12"/>
  <c r="P42" i="23"/>
  <c r="P42" i="22"/>
  <c r="W59" i="12"/>
  <c r="P46" i="22"/>
  <c r="P46" i="23"/>
  <c r="W40" i="12"/>
  <c r="P30" i="23"/>
  <c r="P30" i="22"/>
  <c r="W47" i="12"/>
  <c r="P36" i="22"/>
  <c r="P36" i="23"/>
  <c r="W62" i="12"/>
  <c r="P49" i="22"/>
  <c r="P49" i="23"/>
  <c r="W69" i="12"/>
  <c r="P55" i="23"/>
  <c r="P55" i="22"/>
  <c r="W57" i="12"/>
  <c r="P45" i="22"/>
  <c r="P45" i="23"/>
  <c r="W60" i="12"/>
  <c r="P47" i="22"/>
  <c r="P47" i="23"/>
  <c r="W50" i="12"/>
  <c r="P39" i="22"/>
  <c r="P39" i="23"/>
  <c r="W92" i="12"/>
  <c r="P75" i="23"/>
  <c r="P75" i="22"/>
  <c r="W14" i="12"/>
  <c r="P10" i="23"/>
  <c r="P10" i="22"/>
  <c r="W39" i="12"/>
  <c r="P29" i="22"/>
  <c r="P29" i="23"/>
  <c r="W70" i="12"/>
  <c r="P56" i="22"/>
  <c r="P56" i="23"/>
  <c r="W61" i="12"/>
  <c r="P48" i="23"/>
  <c r="P48" i="22"/>
  <c r="W45" i="12"/>
  <c r="P34" i="23"/>
  <c r="P34" i="22"/>
  <c r="W68" i="12"/>
  <c r="P54" i="23"/>
  <c r="P54" i="22"/>
  <c r="W56" i="12"/>
  <c r="P44" i="23"/>
  <c r="P44" i="22"/>
  <c r="W38" i="12"/>
  <c r="P28" i="23"/>
  <c r="P28" i="22"/>
  <c r="W91" i="12"/>
  <c r="P74" i="23"/>
  <c r="P74" i="22"/>
  <c r="W53" i="12"/>
  <c r="P41" i="22"/>
  <c r="P41" i="23"/>
  <c r="W46" i="12"/>
  <c r="P35" i="23"/>
  <c r="P35" i="22"/>
  <c r="W87" i="12"/>
  <c r="P70" i="22"/>
  <c r="P70" i="23"/>
  <c r="W67" i="12"/>
  <c r="P53" i="22"/>
  <c r="P53" i="23"/>
  <c r="W23" i="12"/>
  <c r="P18" i="23"/>
  <c r="P18" i="22"/>
  <c r="W55" i="12"/>
  <c r="P43" i="22"/>
  <c r="P43" i="23"/>
  <c r="W43" i="12"/>
  <c r="P33" i="22"/>
  <c r="P33" i="23"/>
  <c r="W90" i="12"/>
  <c r="P73" i="22"/>
  <c r="P73" i="23"/>
  <c r="W52" i="12"/>
  <c r="P40" i="22"/>
  <c r="P40" i="23"/>
  <c r="W24" i="12"/>
  <c r="P19" i="23"/>
  <c r="P19" i="22"/>
  <c r="W64" i="12"/>
  <c r="P51" i="23"/>
  <c r="P51" i="22"/>
  <c r="W41" i="12"/>
  <c r="P31" i="23"/>
  <c r="P31" i="22"/>
  <c r="W49" i="12"/>
  <c r="P38" i="23"/>
  <c r="P38" i="22"/>
  <c r="W89" i="12"/>
  <c r="P72" i="23"/>
  <c r="P72" i="22"/>
  <c r="W71" i="12"/>
  <c r="P57" i="22"/>
  <c r="P57" i="23"/>
  <c r="W63" i="12"/>
  <c r="P50" i="23"/>
  <c r="P50" i="22"/>
  <c r="W42" i="12"/>
  <c r="P32" i="22"/>
  <c r="P32" i="23"/>
  <c r="W48" i="12"/>
  <c r="P37" i="22"/>
  <c r="P37" i="23"/>
  <c r="F15" i="6"/>
  <c r="AM15" i="6" s="1"/>
  <c r="P52" i="17"/>
  <c r="P24" i="17"/>
  <c r="P54" i="17"/>
  <c r="P17" i="17"/>
  <c r="P39" i="17"/>
  <c r="P47" i="17"/>
  <c r="P10" i="17"/>
  <c r="P29" i="17"/>
  <c r="P36" i="17"/>
  <c r="P70" i="17"/>
  <c r="P53" i="17"/>
  <c r="P18" i="17"/>
  <c r="P44" i="17"/>
  <c r="P46" i="17"/>
  <c r="P28" i="17"/>
  <c r="P35" i="17"/>
  <c r="P34" i="17"/>
  <c r="AD31" i="4"/>
  <c r="P30" i="10" s="1"/>
  <c r="P26" i="29" s="1"/>
  <c r="AD30" i="4"/>
  <c r="P29" i="10" s="1"/>
  <c r="P25" i="29" s="1"/>
  <c r="P42" i="17"/>
  <c r="P33" i="17"/>
  <c r="P69" i="17"/>
  <c r="P43" i="17"/>
  <c r="AD25" i="4"/>
  <c r="P24" i="10" s="1"/>
  <c r="P20" i="29" s="1"/>
  <c r="AD24" i="4"/>
  <c r="P23" i="10" s="1"/>
  <c r="P19" i="29" s="1"/>
  <c r="P50" i="17"/>
  <c r="P27" i="17"/>
  <c r="P38" i="17"/>
  <c r="P74" i="17"/>
  <c r="AD26" i="4"/>
  <c r="P25" i="10" s="1"/>
  <c r="P21" i="29" s="1"/>
  <c r="AD27" i="4"/>
  <c r="P26" i="10" s="1"/>
  <c r="P22" i="29" s="1"/>
  <c r="P51" i="17"/>
  <c r="P49" i="17"/>
  <c r="P32" i="17"/>
  <c r="P73" i="17"/>
  <c r="P56" i="17"/>
  <c r="P41" i="17"/>
  <c r="P45" i="17"/>
  <c r="P30" i="17"/>
  <c r="P72" i="17"/>
  <c r="AD71" i="4"/>
  <c r="P70" i="10" s="1"/>
  <c r="P66" i="29" s="1"/>
  <c r="AD72" i="4"/>
  <c r="P71" i="10" s="1"/>
  <c r="P67" i="29" s="1"/>
  <c r="AD73" i="4"/>
  <c r="P72" i="10" s="1"/>
  <c r="P68" i="29" s="1"/>
  <c r="AD68" i="4"/>
  <c r="P67" i="10" s="1"/>
  <c r="P63" i="29" s="1"/>
  <c r="AD69" i="4"/>
  <c r="P68" i="10" s="1"/>
  <c r="P64" i="29" s="1"/>
  <c r="AD70" i="4"/>
  <c r="P69" i="10" s="1"/>
  <c r="P65" i="29" s="1"/>
  <c r="P23" i="17"/>
  <c r="P55" i="17"/>
  <c r="P40" i="17"/>
  <c r="P48" i="17"/>
  <c r="P31" i="17"/>
  <c r="P37" i="17"/>
  <c r="P71" i="17"/>
  <c r="F19" i="6"/>
  <c r="AM19" i="6" s="1"/>
  <c r="F17" i="6"/>
  <c r="AM17" i="6" s="1"/>
  <c r="N87" i="3"/>
  <c r="X14" i="12" l="1"/>
  <c r="Y14" i="12" s="1"/>
  <c r="N39" i="21"/>
  <c r="O39" i="21"/>
  <c r="O39" i="25"/>
  <c r="N39" i="25"/>
  <c r="S79" i="10"/>
  <c r="S75" i="29" s="1"/>
  <c r="F94" i="7"/>
  <c r="T79" i="10"/>
  <c r="T75" i="29" s="1"/>
  <c r="G94" i="7"/>
  <c r="AA94" i="7" s="1"/>
  <c r="M38" i="14"/>
  <c r="X25" i="12"/>
  <c r="Y25" i="12" s="1"/>
  <c r="X72" i="12"/>
  <c r="Y72" i="12" s="1"/>
  <c r="X65" i="12"/>
  <c r="Y65" i="12" s="1"/>
  <c r="X44" i="12"/>
  <c r="Y44" i="12" s="1"/>
  <c r="X51" i="12"/>
  <c r="Y51" i="12" s="1"/>
  <c r="X58" i="12"/>
  <c r="Y58" i="12" s="1"/>
  <c r="X34" i="12"/>
  <c r="Y34" i="12" s="1"/>
  <c r="X93" i="12"/>
  <c r="Y93" i="12" s="1"/>
  <c r="W36" i="12"/>
  <c r="P27" i="23"/>
  <c r="P27" i="22"/>
  <c r="W82" i="12"/>
  <c r="P66" i="22"/>
  <c r="P66" i="23"/>
  <c r="W30" i="12"/>
  <c r="P23" i="22"/>
  <c r="P23" i="23"/>
  <c r="W81" i="12"/>
  <c r="P65" i="22"/>
  <c r="P65" i="23"/>
  <c r="W29" i="12"/>
  <c r="X31" i="12" s="1"/>
  <c r="Y31" i="12" s="1"/>
  <c r="P22" i="23"/>
  <c r="P22" i="22"/>
  <c r="W83" i="12"/>
  <c r="P67" i="22"/>
  <c r="P67" i="23"/>
  <c r="W35" i="12"/>
  <c r="X37" i="12" s="1"/>
  <c r="Y37" i="12" s="1"/>
  <c r="P26" i="23"/>
  <c r="P26" i="22"/>
  <c r="W80" i="12"/>
  <c r="X86" i="12" s="1"/>
  <c r="Y86" i="12" s="1"/>
  <c r="P64" i="22"/>
  <c r="P64" i="23"/>
  <c r="W27" i="12"/>
  <c r="P21" i="22"/>
  <c r="P21" i="23"/>
  <c r="W85" i="12"/>
  <c r="P69" i="22"/>
  <c r="P69" i="23"/>
  <c r="W84" i="12"/>
  <c r="P68" i="23"/>
  <c r="P68" i="22"/>
  <c r="W26" i="12"/>
  <c r="X28" i="12" s="1"/>
  <c r="Y28" i="12" s="1"/>
  <c r="P20" i="23"/>
  <c r="P20" i="22"/>
  <c r="P19" i="17"/>
  <c r="P68" i="17"/>
  <c r="P67" i="17"/>
  <c r="P25" i="17"/>
  <c r="P66" i="17"/>
  <c r="P20" i="17"/>
  <c r="P65" i="17"/>
  <c r="P22" i="17"/>
  <c r="P64" i="17"/>
  <c r="P21" i="17"/>
  <c r="P26" i="17"/>
  <c r="P63" i="17"/>
  <c r="V38" i="14"/>
  <c r="X38" i="14" s="1"/>
  <c r="AN93" i="6"/>
  <c r="AN3" i="6" s="1"/>
  <c r="P87" i="3"/>
  <c r="M37" i="25" l="1"/>
  <c r="M37" i="21"/>
  <c r="W94" i="7"/>
  <c r="J37" i="25" s="1"/>
  <c r="L36" i="14"/>
  <c r="M36" i="14" s="1"/>
  <c r="S76" i="23"/>
  <c r="AC94" i="12"/>
  <c r="T75" i="17"/>
  <c r="R76" i="23"/>
  <c r="Z94" i="12"/>
  <c r="AA94" i="12" s="1"/>
  <c r="AB94" i="12" s="1"/>
  <c r="S75" i="17"/>
  <c r="F45" i="6"/>
  <c r="AM45" i="6" s="1"/>
  <c r="F66" i="6"/>
  <c r="AM66" i="6" s="1"/>
  <c r="F40" i="6"/>
  <c r="AM40" i="6" s="1"/>
  <c r="F16" i="6"/>
  <c r="AM16" i="6" s="1"/>
  <c r="F20" i="6"/>
  <c r="AM20" i="6" s="1"/>
  <c r="F30" i="6"/>
  <c r="AM30" i="6" s="1"/>
  <c r="F56" i="6"/>
  <c r="AM56" i="6" s="1"/>
  <c r="F50" i="6"/>
  <c r="AM50" i="6" s="1"/>
  <c r="F64" i="6"/>
  <c r="AM64" i="6" s="1"/>
  <c r="F67" i="6"/>
  <c r="AM67" i="6" s="1"/>
  <c r="F39" i="6"/>
  <c r="AM39" i="6" s="1"/>
  <c r="F71" i="6"/>
  <c r="AM71" i="6" s="1"/>
  <c r="F87" i="6"/>
  <c r="AM87" i="6" s="1"/>
  <c r="F82" i="6"/>
  <c r="AM82" i="6" s="1"/>
  <c r="F23" i="6"/>
  <c r="AM23" i="6" s="1"/>
  <c r="F46" i="6"/>
  <c r="AM46" i="6" s="1"/>
  <c r="F89" i="6"/>
  <c r="AM89" i="6" s="1"/>
  <c r="F74" i="6"/>
  <c r="AM74" i="6" s="1"/>
  <c r="F53" i="6"/>
  <c r="AM53" i="6" s="1"/>
  <c r="F62" i="6"/>
  <c r="AM62" i="6" s="1"/>
  <c r="F41" i="6"/>
  <c r="AM41" i="6" s="1"/>
  <c r="F18" i="6"/>
  <c r="AM18" i="6" s="1"/>
  <c r="F63" i="6"/>
  <c r="AM63" i="6" s="1"/>
  <c r="F91" i="6"/>
  <c r="AM91" i="6" s="1"/>
  <c r="F85" i="6"/>
  <c r="AM85" i="6" s="1"/>
  <c r="F49" i="6"/>
  <c r="AM49" i="6" s="1"/>
  <c r="F27" i="6"/>
  <c r="AM27" i="6" s="1"/>
  <c r="F26" i="6"/>
  <c r="AM26" i="6" s="1"/>
  <c r="F78" i="6"/>
  <c r="AM78" i="6" s="1"/>
  <c r="F38" i="6"/>
  <c r="AM38" i="6" s="1"/>
  <c r="F54" i="6"/>
  <c r="AM54" i="6" s="1"/>
  <c r="F43" i="6"/>
  <c r="AM43" i="6" s="1"/>
  <c r="F57" i="6"/>
  <c r="AM57" i="6" s="1"/>
  <c r="F73" i="6"/>
  <c r="AM73" i="6" s="1"/>
  <c r="F88" i="6"/>
  <c r="AM88" i="6" s="1"/>
  <c r="F83" i="6"/>
  <c r="AM83" i="6" s="1"/>
  <c r="F29" i="6"/>
  <c r="AM29" i="6" s="1"/>
  <c r="F61" i="6"/>
  <c r="AM61" i="6" s="1"/>
  <c r="F77" i="6"/>
  <c r="AM77" i="6" s="1"/>
  <c r="F42" i="6"/>
  <c r="AM42" i="6" s="1"/>
  <c r="F21" i="6"/>
  <c r="AM21" i="6" s="1"/>
  <c r="F60" i="6"/>
  <c r="AM60" i="6" s="1"/>
  <c r="F90" i="6"/>
  <c r="AM90" i="6" s="1"/>
  <c r="F81" i="6"/>
  <c r="AM81" i="6" s="1"/>
  <c r="F59" i="6"/>
  <c r="AM59" i="6" s="1"/>
  <c r="F70" i="6"/>
  <c r="AM70" i="6" s="1"/>
  <c r="F47" i="6"/>
  <c r="AM47" i="6" s="1"/>
  <c r="F24" i="6"/>
  <c r="AM24" i="6" s="1"/>
  <c r="F76" i="6"/>
  <c r="AM76" i="6" s="1"/>
  <c r="F69" i="6"/>
  <c r="AM69" i="6" s="1"/>
  <c r="F92" i="6"/>
  <c r="AM92" i="6" s="1"/>
  <c r="F80" i="6"/>
  <c r="AM80" i="6" s="1"/>
  <c r="F68" i="6"/>
  <c r="AM68" i="6" s="1"/>
  <c r="F48" i="6"/>
  <c r="AM48" i="6" s="1"/>
  <c r="F55" i="6"/>
  <c r="AM55" i="6" s="1"/>
  <c r="F75" i="6"/>
  <c r="AM75" i="6" s="1"/>
  <c r="F52" i="6"/>
  <c r="AM52" i="6" s="1"/>
  <c r="F84" i="6"/>
  <c r="AM84" i="6" s="1"/>
  <c r="S17" i="7"/>
  <c r="J94" i="9"/>
  <c r="AC94" i="9" s="1"/>
  <c r="S19" i="7"/>
  <c r="J36" i="14" l="1"/>
  <c r="K36" i="14" s="1"/>
  <c r="L37" i="25"/>
  <c r="K37" i="25"/>
  <c r="N37" i="21"/>
  <c r="O37" i="21"/>
  <c r="J37" i="21"/>
  <c r="O37" i="25"/>
  <c r="N37" i="25"/>
  <c r="U76" i="23"/>
  <c r="AD94" i="12"/>
  <c r="AG94" i="12"/>
  <c r="AH94" i="12" s="1"/>
  <c r="AM31" i="6"/>
  <c r="F33" i="6"/>
  <c r="AM33" i="6" s="1"/>
  <c r="F36" i="6"/>
  <c r="AM36" i="6" s="1"/>
  <c r="F32" i="6"/>
  <c r="AM32" i="6" s="1"/>
  <c r="F35" i="6"/>
  <c r="AM35" i="6" s="1"/>
  <c r="AM28" i="6"/>
  <c r="AM86" i="6"/>
  <c r="AM25" i="6"/>
  <c r="AM51" i="6"/>
  <c r="AM58" i="6"/>
  <c r="AM22" i="6"/>
  <c r="AM93" i="6"/>
  <c r="AM72" i="6"/>
  <c r="AM44" i="6"/>
  <c r="AM65" i="6"/>
  <c r="AM79" i="6"/>
  <c r="S21" i="7"/>
  <c r="S63" i="7"/>
  <c r="S59" i="7"/>
  <c r="S18" i="7"/>
  <c r="S73" i="7"/>
  <c r="S29" i="7"/>
  <c r="S87" i="7"/>
  <c r="S42" i="7"/>
  <c r="S38" i="7"/>
  <c r="S68" i="7"/>
  <c r="S43" i="7"/>
  <c r="S48" i="7"/>
  <c r="S41" i="7"/>
  <c r="S50" i="7"/>
  <c r="S20" i="7"/>
  <c r="S78" i="7"/>
  <c r="S77" i="7"/>
  <c r="S70" i="7"/>
  <c r="S57" i="7"/>
  <c r="S36" i="7"/>
  <c r="S64" i="7"/>
  <c r="S26" i="7"/>
  <c r="S56" i="7"/>
  <c r="S71" i="7"/>
  <c r="S35" i="7"/>
  <c r="S62" i="7"/>
  <c r="S45" i="7"/>
  <c r="S46" i="7"/>
  <c r="S74" i="7"/>
  <c r="S60" i="7"/>
  <c r="S40" i="7"/>
  <c r="S55" i="7"/>
  <c r="S61" i="7"/>
  <c r="S69" i="7"/>
  <c r="S52" i="7"/>
  <c r="S53" i="7"/>
  <c r="S75" i="7"/>
  <c r="S30" i="7"/>
  <c r="S76" i="7"/>
  <c r="S54" i="7"/>
  <c r="S39" i="7"/>
  <c r="S27" i="7"/>
  <c r="S89" i="7"/>
  <c r="S90" i="7"/>
  <c r="S92" i="7"/>
  <c r="S47" i="7"/>
  <c r="S67" i="7"/>
  <c r="S66" i="7"/>
  <c r="S49" i="7"/>
  <c r="L37" i="21" l="1"/>
  <c r="K37" i="21"/>
  <c r="AE94" i="12"/>
  <c r="AM34" i="6"/>
  <c r="AM37" i="6"/>
  <c r="S22" i="7"/>
  <c r="S88" i="7"/>
  <c r="S91" i="7"/>
  <c r="S31" i="7"/>
  <c r="S44" i="7"/>
  <c r="S28" i="7"/>
  <c r="S79" i="7"/>
  <c r="S72" i="7"/>
  <c r="S51" i="7"/>
  <c r="S58" i="7"/>
  <c r="S37" i="7"/>
  <c r="S65" i="7"/>
  <c r="S93" i="7" l="1"/>
  <c r="S3" i="7" l="1"/>
  <c r="U5" i="7" s="1"/>
  <c r="AR37" i="9" l="1"/>
  <c r="AR31" i="9" l="1"/>
  <c r="AR79" i="9"/>
  <c r="AR72" i="9"/>
  <c r="AR44" i="9"/>
  <c r="AR58" i="9"/>
  <c r="AR28" i="9"/>
  <c r="AR65" i="9"/>
  <c r="AR51" i="9"/>
  <c r="AR3" i="9" l="1"/>
  <c r="AT5" i="9" s="1"/>
  <c r="AW9" i="9" s="1"/>
  <c r="BW34" i="12" l="1"/>
  <c r="BW28" i="12" l="1"/>
  <c r="BW33" i="12"/>
  <c r="BW25" i="12"/>
  <c r="BW32" i="12"/>
  <c r="BW29" i="12" l="1"/>
  <c r="BW18" i="12" l="1"/>
  <c r="BW19" i="12"/>
  <c r="BW16" i="12"/>
  <c r="BW17" i="12"/>
  <c r="BW26" i="12" l="1"/>
  <c r="BW23" i="12"/>
  <c r="BW31" i="12"/>
  <c r="BW27" i="12"/>
  <c r="BW20" i="12"/>
  <c r="BW30" i="12"/>
  <c r="U40" i="14" l="1"/>
  <c r="P9" i="17"/>
  <c r="F14" i="6" l="1"/>
  <c r="AM14" i="6" s="1"/>
  <c r="AM3" i="6" l="1"/>
  <c r="AU96" i="7" l="1"/>
  <c r="AB38" i="14" l="1"/>
  <c r="AP38" i="14" s="1"/>
  <c r="S39" i="13"/>
  <c r="Q39" i="13"/>
  <c r="AE38" i="14" l="1"/>
  <c r="AR38" i="14"/>
  <c r="AC38" i="14"/>
  <c r="T39" i="13"/>
  <c r="R39" i="13"/>
  <c r="AK38" i="14" l="1"/>
  <c r="AI38" i="14"/>
  <c r="AG38" i="14"/>
  <c r="AB37" i="14"/>
  <c r="AB36" i="14"/>
  <c r="AC37" i="14" l="1"/>
  <c r="AC36" i="14" l="1"/>
  <c r="AR12" i="6" l="1"/>
  <c r="L4" i="10" l="1"/>
  <c r="D25" i="2"/>
  <c r="Z64" i="2"/>
  <c r="Y64" i="2"/>
  <c r="AZ3" i="9"/>
  <c r="AZ13" i="9" s="1"/>
  <c r="O5" i="17" l="1"/>
  <c r="O5" i="29"/>
  <c r="V78" i="2"/>
  <c r="V64" i="2"/>
  <c r="R64" i="2"/>
  <c r="R78" i="2"/>
  <c r="F78" i="2"/>
  <c r="L14" i="10" s="1"/>
  <c r="O10" i="29" s="1"/>
  <c r="F64" i="2"/>
  <c r="T64" i="2"/>
  <c r="T78" i="2"/>
  <c r="W64" i="2"/>
  <c r="I78" i="2"/>
  <c r="L17" i="10" s="1"/>
  <c r="O13" i="29" s="1"/>
  <c r="I64" i="2"/>
  <c r="H78" i="2"/>
  <c r="L16" i="10" s="1"/>
  <c r="O12" i="29" s="1"/>
  <c r="H64" i="2"/>
  <c r="L64" i="2"/>
  <c r="L78" i="2"/>
  <c r="X64" i="2"/>
  <c r="X78" i="2"/>
  <c r="Q78" i="2"/>
  <c r="Q64" i="2"/>
  <c r="P64" i="2"/>
  <c r="N64" i="2"/>
  <c r="U64" i="2"/>
  <c r="U78" i="2"/>
  <c r="E64" i="2"/>
  <c r="E78" i="2"/>
  <c r="L13" i="10" s="1"/>
  <c r="O9" i="29" s="1"/>
  <c r="D49" i="2"/>
  <c r="D78" i="2" s="1"/>
  <c r="M64" i="2"/>
  <c r="O64" i="2"/>
  <c r="O78" i="2"/>
  <c r="J64" i="2"/>
  <c r="J78" i="2"/>
  <c r="L18" i="10" s="1"/>
  <c r="O14" i="29" s="1"/>
  <c r="K64" i="2"/>
  <c r="K78" i="2"/>
  <c r="S64" i="2"/>
  <c r="S78" i="2"/>
  <c r="G64" i="2"/>
  <c r="G78" i="2"/>
  <c r="L15" i="10" s="1"/>
  <c r="O11" i="29" s="1"/>
  <c r="R14" i="29" l="1"/>
  <c r="AE14" i="29"/>
  <c r="R10" i="29"/>
  <c r="AE10" i="29"/>
  <c r="AE12" i="29"/>
  <c r="R12" i="29"/>
  <c r="R11" i="29"/>
  <c r="AE11" i="29"/>
  <c r="AE13" i="29"/>
  <c r="R13" i="29"/>
  <c r="R9" i="29"/>
  <c r="AE9" i="29"/>
  <c r="O13" i="10"/>
  <c r="R13" i="10" s="1"/>
  <c r="O13" i="23"/>
  <c r="Q13" i="23" s="1"/>
  <c r="O13" i="22"/>
  <c r="Q13" i="22" s="1"/>
  <c r="O15" i="23"/>
  <c r="Q15" i="23" s="1"/>
  <c r="O15" i="22"/>
  <c r="Q15" i="22" s="1"/>
  <c r="O11" i="23"/>
  <c r="Q11" i="23" s="1"/>
  <c r="O11" i="22"/>
  <c r="Q11" i="22" s="1"/>
  <c r="O10" i="23"/>
  <c r="Q10" i="23" s="1"/>
  <c r="O10" i="22"/>
  <c r="Q10" i="22" s="1"/>
  <c r="O14" i="23"/>
  <c r="Q14" i="23" s="1"/>
  <c r="O14" i="22"/>
  <c r="Q14" i="22" s="1"/>
  <c r="O12" i="23"/>
  <c r="Q12" i="23" s="1"/>
  <c r="O12" i="22"/>
  <c r="Q12" i="22" s="1"/>
  <c r="O11" i="17"/>
  <c r="AE11" i="17" s="1"/>
  <c r="E16" i="11"/>
  <c r="O15" i="10"/>
  <c r="R15" i="10" s="1"/>
  <c r="F16" i="4"/>
  <c r="E16" i="6"/>
  <c r="I16" i="6" s="1"/>
  <c r="AB16" i="6" s="1"/>
  <c r="O9" i="17"/>
  <c r="AE9" i="17" s="1"/>
  <c r="E14" i="11"/>
  <c r="E14" i="6"/>
  <c r="I14" i="6" s="1"/>
  <c r="AB14" i="6" s="1"/>
  <c r="F14" i="4"/>
  <c r="L53" i="10"/>
  <c r="O49" i="29" s="1"/>
  <c r="L52" i="10"/>
  <c r="O48" i="29" s="1"/>
  <c r="L50" i="10"/>
  <c r="O46" i="29" s="1"/>
  <c r="L54" i="10"/>
  <c r="O50" i="29" s="1"/>
  <c r="L51" i="10"/>
  <c r="O47" i="29" s="1"/>
  <c r="L49" i="10"/>
  <c r="O45" i="29" s="1"/>
  <c r="O18" i="10"/>
  <c r="R18" i="10" s="1"/>
  <c r="E19" i="6"/>
  <c r="I19" i="6" s="1"/>
  <c r="AB19" i="6" s="1"/>
  <c r="E19" i="11"/>
  <c r="O14" i="17"/>
  <c r="AE14" i="17" s="1"/>
  <c r="F19" i="4"/>
  <c r="F15" i="4"/>
  <c r="O14" i="10"/>
  <c r="R14" i="10" s="1"/>
  <c r="E15" i="6"/>
  <c r="I15" i="6" s="1"/>
  <c r="AB15" i="6" s="1"/>
  <c r="O10" i="17"/>
  <c r="AE10" i="17" s="1"/>
  <c r="E15" i="11"/>
  <c r="L75" i="10"/>
  <c r="O71" i="29" s="1"/>
  <c r="L73" i="10"/>
  <c r="O69" i="29" s="1"/>
  <c r="L76" i="10"/>
  <c r="O72" i="29" s="1"/>
  <c r="L74" i="10"/>
  <c r="O70" i="29" s="1"/>
  <c r="L77" i="10"/>
  <c r="O73" i="29" s="1"/>
  <c r="L78" i="10"/>
  <c r="O74" i="29" s="1"/>
  <c r="L28" i="10"/>
  <c r="O24" i="29" s="1"/>
  <c r="L27" i="10"/>
  <c r="O23" i="29" s="1"/>
  <c r="L22" i="10"/>
  <c r="O18" i="29" s="1"/>
  <c r="L21" i="10"/>
  <c r="O17" i="29" s="1"/>
  <c r="L39" i="10"/>
  <c r="O35" i="29" s="1"/>
  <c r="L40" i="10"/>
  <c r="O36" i="29" s="1"/>
  <c r="L41" i="10"/>
  <c r="O37" i="29" s="1"/>
  <c r="L42" i="10"/>
  <c r="O38" i="29" s="1"/>
  <c r="L38" i="10"/>
  <c r="O34" i="29" s="1"/>
  <c r="L37" i="10"/>
  <c r="O33" i="29" s="1"/>
  <c r="L33" i="10"/>
  <c r="O29" i="29" s="1"/>
  <c r="L31" i="10"/>
  <c r="O27" i="29" s="1"/>
  <c r="L34" i="10"/>
  <c r="O30" i="29" s="1"/>
  <c r="L36" i="10"/>
  <c r="O32" i="29" s="1"/>
  <c r="L32" i="10"/>
  <c r="O28" i="29" s="1"/>
  <c r="L35" i="10"/>
  <c r="O31" i="29" s="1"/>
  <c r="L58" i="10"/>
  <c r="O54" i="29" s="1"/>
  <c r="L55" i="10"/>
  <c r="O51" i="29" s="1"/>
  <c r="L60" i="10"/>
  <c r="O56" i="29" s="1"/>
  <c r="L57" i="10"/>
  <c r="O53" i="29" s="1"/>
  <c r="L59" i="10"/>
  <c r="O55" i="29" s="1"/>
  <c r="L56" i="10"/>
  <c r="O52" i="29" s="1"/>
  <c r="L44" i="10"/>
  <c r="O40" i="29" s="1"/>
  <c r="L47" i="10"/>
  <c r="O43" i="29" s="1"/>
  <c r="L46" i="10"/>
  <c r="O42" i="29" s="1"/>
  <c r="L48" i="10"/>
  <c r="O44" i="29" s="1"/>
  <c r="L45" i="10"/>
  <c r="O41" i="29" s="1"/>
  <c r="L43" i="10"/>
  <c r="O39" i="29" s="1"/>
  <c r="O17" i="10"/>
  <c r="R17" i="10" s="1"/>
  <c r="E18" i="11"/>
  <c r="E18" i="6"/>
  <c r="I18" i="6" s="1"/>
  <c r="AB18" i="6" s="1"/>
  <c r="O13" i="17"/>
  <c r="AE13" i="17" s="1"/>
  <c r="F18" i="4"/>
  <c r="D64" i="2"/>
  <c r="F66" i="2" s="1"/>
  <c r="F69" i="2" s="1"/>
  <c r="L20" i="10"/>
  <c r="O16" i="29" s="1"/>
  <c r="L19" i="10"/>
  <c r="O15" i="29" s="1"/>
  <c r="F17" i="4"/>
  <c r="E17" i="6"/>
  <c r="I17" i="6" s="1"/>
  <c r="AB17" i="6" s="1"/>
  <c r="O16" i="10"/>
  <c r="R16" i="10" s="1"/>
  <c r="O12" i="17"/>
  <c r="AE12" i="17" s="1"/>
  <c r="E17" i="11"/>
  <c r="L61" i="10"/>
  <c r="O57" i="29" s="1"/>
  <c r="L63" i="10"/>
  <c r="O59" i="29" s="1"/>
  <c r="L62" i="10"/>
  <c r="O58" i="29" s="1"/>
  <c r="L65" i="10"/>
  <c r="O61" i="29" s="1"/>
  <c r="L64" i="10"/>
  <c r="O60" i="29" s="1"/>
  <c r="L66" i="10"/>
  <c r="O62" i="29" s="1"/>
  <c r="AE43" i="29" l="1"/>
  <c r="R43" i="29"/>
  <c r="R31" i="29"/>
  <c r="AE31" i="29"/>
  <c r="R38" i="29"/>
  <c r="AE38" i="29"/>
  <c r="AE74" i="29"/>
  <c r="R74" i="29"/>
  <c r="AE45" i="29"/>
  <c r="R45" i="29"/>
  <c r="R62" i="29"/>
  <c r="AE62" i="29"/>
  <c r="R40" i="29"/>
  <c r="AE40" i="29"/>
  <c r="AE28" i="29"/>
  <c r="R28" i="29"/>
  <c r="AE37" i="29"/>
  <c r="R37" i="29"/>
  <c r="AE73" i="29"/>
  <c r="R73" i="29"/>
  <c r="AE47" i="29"/>
  <c r="R47" i="29"/>
  <c r="R52" i="29"/>
  <c r="AE52" i="29"/>
  <c r="AE32" i="29"/>
  <c r="R32" i="29"/>
  <c r="R36" i="29"/>
  <c r="AE36" i="29"/>
  <c r="R70" i="29"/>
  <c r="AE70" i="29"/>
  <c r="R50" i="29"/>
  <c r="AE50" i="29"/>
  <c r="AE61" i="29"/>
  <c r="R61" i="29"/>
  <c r="AE55" i="29"/>
  <c r="R55" i="29"/>
  <c r="R30" i="29"/>
  <c r="AE30" i="29"/>
  <c r="R35" i="29"/>
  <c r="AE35" i="29"/>
  <c r="R72" i="29"/>
  <c r="AE72" i="29"/>
  <c r="AE46" i="29"/>
  <c r="R46" i="29"/>
  <c r="R15" i="29"/>
  <c r="AE15" i="29"/>
  <c r="AE39" i="29"/>
  <c r="R39" i="29"/>
  <c r="R53" i="29"/>
  <c r="AE53" i="29"/>
  <c r="R27" i="29"/>
  <c r="AE27" i="29"/>
  <c r="AE17" i="29"/>
  <c r="R17" i="29"/>
  <c r="R69" i="29"/>
  <c r="AE69" i="29"/>
  <c r="R48" i="29"/>
  <c r="AE48" i="29"/>
  <c r="R60" i="29"/>
  <c r="AE60" i="29"/>
  <c r="R16" i="29"/>
  <c r="AE16" i="29"/>
  <c r="R41" i="29"/>
  <c r="AE41" i="29"/>
  <c r="AE56" i="29"/>
  <c r="R56" i="29"/>
  <c r="AE29" i="29"/>
  <c r="R29" i="29"/>
  <c r="R18" i="29"/>
  <c r="AE18" i="29"/>
  <c r="AE71" i="29"/>
  <c r="R71" i="29"/>
  <c r="R49" i="29"/>
  <c r="AE49" i="29"/>
  <c r="AE59" i="29"/>
  <c r="R59" i="29"/>
  <c r="R44" i="29"/>
  <c r="AE44" i="29"/>
  <c r="R51" i="29"/>
  <c r="AE51" i="29"/>
  <c r="AE33" i="29"/>
  <c r="R33" i="29"/>
  <c r="R23" i="29"/>
  <c r="AE23" i="29"/>
  <c r="R58" i="29"/>
  <c r="AE58" i="29"/>
  <c r="R57" i="29"/>
  <c r="AE57" i="29"/>
  <c r="AE42" i="29"/>
  <c r="R42" i="29"/>
  <c r="AE54" i="29"/>
  <c r="R54" i="29"/>
  <c r="AE34" i="29"/>
  <c r="R34" i="29"/>
  <c r="R24" i="29"/>
  <c r="AE24" i="29"/>
  <c r="G16" i="4"/>
  <c r="K16" i="4" s="1"/>
  <c r="G14" i="4"/>
  <c r="G15" i="4"/>
  <c r="G18" i="4"/>
  <c r="K18" i="4" s="1"/>
  <c r="G17" i="4"/>
  <c r="G19" i="4"/>
  <c r="O51" i="22"/>
  <c r="Q51" i="22" s="1"/>
  <c r="O51" i="23"/>
  <c r="Q51" i="23" s="1"/>
  <c r="O16" i="23"/>
  <c r="Q16" i="23" s="1"/>
  <c r="O16" i="22"/>
  <c r="Q16" i="22" s="1"/>
  <c r="O40" i="23"/>
  <c r="Q40" i="23" s="1"/>
  <c r="O40" i="22"/>
  <c r="Q40" i="22" s="1"/>
  <c r="O53" i="22"/>
  <c r="Q53" i="22" s="1"/>
  <c r="O53" i="23"/>
  <c r="Q53" i="23" s="1"/>
  <c r="O33" i="23"/>
  <c r="Q33" i="23" s="1"/>
  <c r="O33" i="22"/>
  <c r="Q33" i="22" s="1"/>
  <c r="O38" i="23"/>
  <c r="Q38" i="23" s="1"/>
  <c r="O38" i="22"/>
  <c r="Q38" i="22" s="1"/>
  <c r="O25" i="23"/>
  <c r="Q25" i="23" s="1"/>
  <c r="O25" i="22"/>
  <c r="Q25" i="22" s="1"/>
  <c r="O47" i="22"/>
  <c r="Q47" i="22" s="1"/>
  <c r="O47" i="23"/>
  <c r="Q47" i="23" s="1"/>
  <c r="O29" i="23"/>
  <c r="Q29" i="23" s="1"/>
  <c r="O29" i="22"/>
  <c r="Q29" i="22" s="1"/>
  <c r="O17" i="23"/>
  <c r="Q17" i="23" s="1"/>
  <c r="O17" i="22"/>
  <c r="Q17" i="22" s="1"/>
  <c r="O56" i="23"/>
  <c r="Q56" i="23" s="1"/>
  <c r="O56" i="22"/>
  <c r="Q56" i="22" s="1"/>
  <c r="O31" i="23"/>
  <c r="Q31" i="23" s="1"/>
  <c r="O31" i="22"/>
  <c r="Q31" i="22" s="1"/>
  <c r="O37" i="23"/>
  <c r="Q37" i="23" s="1"/>
  <c r="O37" i="22"/>
  <c r="Q37" i="22" s="1"/>
  <c r="O75" i="22"/>
  <c r="Q75" i="22" s="1"/>
  <c r="O75" i="23"/>
  <c r="Q75" i="23" s="1"/>
  <c r="O49" i="23"/>
  <c r="Q49" i="23" s="1"/>
  <c r="O49" i="22"/>
  <c r="Q49" i="22" s="1"/>
  <c r="O42" i="23"/>
  <c r="Q42" i="23" s="1"/>
  <c r="O42" i="22"/>
  <c r="Q42" i="22" s="1"/>
  <c r="O45" i="22"/>
  <c r="Q45" i="22" s="1"/>
  <c r="O45" i="23"/>
  <c r="Q45" i="23" s="1"/>
  <c r="O54" i="23"/>
  <c r="Q54" i="23" s="1"/>
  <c r="O54" i="22"/>
  <c r="Q54" i="22" s="1"/>
  <c r="O28" i="23"/>
  <c r="Q28" i="23" s="1"/>
  <c r="O28" i="22"/>
  <c r="Q28" i="22" s="1"/>
  <c r="O36" i="23"/>
  <c r="Q36" i="23" s="1"/>
  <c r="O36" i="22"/>
  <c r="Q36" i="22" s="1"/>
  <c r="O74" i="23"/>
  <c r="Q74" i="23" s="1"/>
  <c r="O74" i="22"/>
  <c r="Q74" i="22" s="1"/>
  <c r="O50" i="23"/>
  <c r="Q50" i="23" s="1"/>
  <c r="O50" i="22"/>
  <c r="Q50" i="22" s="1"/>
  <c r="O61" i="23"/>
  <c r="Q61" i="23" s="1"/>
  <c r="O61" i="22"/>
  <c r="Q61" i="22" s="1"/>
  <c r="O43" i="23"/>
  <c r="Q43" i="23" s="1"/>
  <c r="O43" i="22"/>
  <c r="Q43" i="22" s="1"/>
  <c r="O57" i="22"/>
  <c r="Q57" i="22" s="1"/>
  <c r="O57" i="23"/>
  <c r="Q57" i="23" s="1"/>
  <c r="O30" i="23"/>
  <c r="Q30" i="23" s="1"/>
  <c r="O30" i="22"/>
  <c r="Q30" i="22" s="1"/>
  <c r="O71" i="22"/>
  <c r="Q71" i="22" s="1"/>
  <c r="O71" i="23"/>
  <c r="Q71" i="23" s="1"/>
  <c r="O24" i="23"/>
  <c r="Q24" i="23" s="1"/>
  <c r="O24" i="22"/>
  <c r="Q24" i="22" s="1"/>
  <c r="R9" i="17"/>
  <c r="O63" i="22"/>
  <c r="Q63" i="22" s="1"/>
  <c r="O63" i="23"/>
  <c r="Q63" i="23" s="1"/>
  <c r="O62" i="23"/>
  <c r="Q62" i="23" s="1"/>
  <c r="O62" i="22"/>
  <c r="Q62" i="22" s="1"/>
  <c r="O44" i="23"/>
  <c r="Q44" i="23" s="1"/>
  <c r="O44" i="22"/>
  <c r="Q44" i="22" s="1"/>
  <c r="O52" i="23"/>
  <c r="Q52" i="23" s="1"/>
  <c r="O52" i="22"/>
  <c r="Q52" i="22" s="1"/>
  <c r="O18" i="23"/>
  <c r="Q18" i="23" s="1"/>
  <c r="O18" i="22"/>
  <c r="Q18" i="22" s="1"/>
  <c r="O73" i="23"/>
  <c r="Q73" i="23" s="1"/>
  <c r="O73" i="22"/>
  <c r="Q73" i="22" s="1"/>
  <c r="O59" i="22"/>
  <c r="Q59" i="22" s="1"/>
  <c r="O59" i="23"/>
  <c r="Q59" i="23" s="1"/>
  <c r="O41" i="23"/>
  <c r="Q41" i="23" s="1"/>
  <c r="O41" i="22"/>
  <c r="Q41" i="22" s="1"/>
  <c r="O55" i="23"/>
  <c r="Q55" i="23" s="1"/>
  <c r="O55" i="22"/>
  <c r="Q55" i="22" s="1"/>
  <c r="O34" i="23"/>
  <c r="Q34" i="23" s="1"/>
  <c r="O34" i="22"/>
  <c r="Q34" i="22" s="1"/>
  <c r="O19" i="23"/>
  <c r="Q19" i="23" s="1"/>
  <c r="O19" i="22"/>
  <c r="Q19" i="22" s="1"/>
  <c r="O70" i="23"/>
  <c r="Q70" i="23" s="1"/>
  <c r="O70" i="22"/>
  <c r="Q70" i="22" s="1"/>
  <c r="O46" i="23"/>
  <c r="Q46" i="23" s="1"/>
  <c r="O46" i="22"/>
  <c r="Q46" i="22" s="1"/>
  <c r="O58" i="23"/>
  <c r="Q58" i="23" s="1"/>
  <c r="O58" i="22"/>
  <c r="Q58" i="22" s="1"/>
  <c r="O39" i="23"/>
  <c r="Q39" i="23" s="1"/>
  <c r="O39" i="22"/>
  <c r="Q39" i="22" s="1"/>
  <c r="O60" i="23"/>
  <c r="Q60" i="23" s="1"/>
  <c r="O60" i="22"/>
  <c r="Q60" i="22" s="1"/>
  <c r="O32" i="23"/>
  <c r="Q32" i="23" s="1"/>
  <c r="O32" i="22"/>
  <c r="Q32" i="22" s="1"/>
  <c r="O35" i="23"/>
  <c r="Q35" i="23" s="1"/>
  <c r="O35" i="22"/>
  <c r="Q35" i="22" s="1"/>
  <c r="O72" i="23"/>
  <c r="Q72" i="23" s="1"/>
  <c r="O72" i="22"/>
  <c r="Q72" i="22" s="1"/>
  <c r="O48" i="23"/>
  <c r="Q48" i="23" s="1"/>
  <c r="O48" i="22"/>
  <c r="Q48" i="22" s="1"/>
  <c r="V66" i="2"/>
  <c r="V69" i="2" s="1"/>
  <c r="R66" i="2"/>
  <c r="R69" i="2" s="1"/>
  <c r="L66" i="2"/>
  <c r="L69" i="2" s="1"/>
  <c r="S66" i="2"/>
  <c r="T66" i="2"/>
  <c r="W66" i="2"/>
  <c r="P66" i="2"/>
  <c r="N66" i="2"/>
  <c r="N69" i="2" s="1"/>
  <c r="X66" i="2"/>
  <c r="U66" i="2"/>
  <c r="E66" i="2"/>
  <c r="O23" i="17"/>
  <c r="AE23" i="17" s="1"/>
  <c r="E32" i="6"/>
  <c r="I32" i="6" s="1"/>
  <c r="AB32" i="6" s="1"/>
  <c r="O27" i="10"/>
  <c r="R27" i="10" s="1"/>
  <c r="F28" i="4"/>
  <c r="G28" i="4" s="1"/>
  <c r="E28" i="11"/>
  <c r="R12" i="17"/>
  <c r="F62" i="4"/>
  <c r="G62" i="4" s="1"/>
  <c r="E62" i="11"/>
  <c r="O61" i="10"/>
  <c r="R61" i="10" s="1"/>
  <c r="E73" i="6"/>
  <c r="I73" i="6" s="1"/>
  <c r="AB73" i="6" s="1"/>
  <c r="O57" i="17"/>
  <c r="AE57" i="17" s="1"/>
  <c r="AO17" i="6"/>
  <c r="H20" i="25" s="1"/>
  <c r="I20" i="25" s="1"/>
  <c r="AF17" i="6"/>
  <c r="F20" i="25" s="1"/>
  <c r="AF18" i="6"/>
  <c r="F21" i="25" s="1"/>
  <c r="AO18" i="6"/>
  <c r="H21" i="25" s="1"/>
  <c r="I21" i="25" s="1"/>
  <c r="O53" i="17"/>
  <c r="AE53" i="17" s="1"/>
  <c r="O57" i="10"/>
  <c r="R57" i="10" s="1"/>
  <c r="E68" i="6"/>
  <c r="I68" i="6" s="1"/>
  <c r="AB68" i="6" s="1"/>
  <c r="F58" i="4"/>
  <c r="G58" i="4" s="1"/>
  <c r="E58" i="11"/>
  <c r="E32" i="11"/>
  <c r="O27" i="17"/>
  <c r="AE27" i="17" s="1"/>
  <c r="F32" i="4"/>
  <c r="G32" i="4" s="1"/>
  <c r="O31" i="10"/>
  <c r="R31" i="10" s="1"/>
  <c r="E38" i="6"/>
  <c r="I38" i="6" s="1"/>
  <c r="AB38" i="6" s="1"/>
  <c r="E41" i="11"/>
  <c r="O40" i="10"/>
  <c r="R40" i="10" s="1"/>
  <c r="O36" i="17"/>
  <c r="AE36" i="17" s="1"/>
  <c r="F41" i="4"/>
  <c r="G41" i="4" s="1"/>
  <c r="E48" i="6"/>
  <c r="I48" i="6" s="1"/>
  <c r="AB48" i="6" s="1"/>
  <c r="O71" i="17"/>
  <c r="AE71" i="17" s="1"/>
  <c r="F76" i="4"/>
  <c r="G76" i="4" s="1"/>
  <c r="O75" i="10"/>
  <c r="R75" i="10" s="1"/>
  <c r="E89" i="6"/>
  <c r="I89" i="6" s="1"/>
  <c r="AB89" i="6" s="1"/>
  <c r="E76" i="11"/>
  <c r="E63" i="6"/>
  <c r="I63" i="6" s="1"/>
  <c r="AB63" i="6" s="1"/>
  <c r="E54" i="11"/>
  <c r="O49" i="17"/>
  <c r="AE49" i="17" s="1"/>
  <c r="F54" i="4"/>
  <c r="G54" i="4" s="1"/>
  <c r="O53" i="10"/>
  <c r="R53" i="10" s="1"/>
  <c r="H16" i="18"/>
  <c r="E16" i="9"/>
  <c r="J16" i="9" s="1"/>
  <c r="AC16" i="9" s="1"/>
  <c r="H66" i="2"/>
  <c r="H69" i="2" s="1"/>
  <c r="AA66" i="2"/>
  <c r="AA69" i="2" s="1"/>
  <c r="Y66" i="2"/>
  <c r="Y69" i="2" s="1"/>
  <c r="Z66" i="2"/>
  <c r="Z69" i="2" s="1"/>
  <c r="H18" i="18"/>
  <c r="E18" i="9"/>
  <c r="J18" i="9" s="1"/>
  <c r="AC18" i="9" s="1"/>
  <c r="E52" i="6"/>
  <c r="I52" i="6" s="1"/>
  <c r="AB52" i="6" s="1"/>
  <c r="E44" i="11"/>
  <c r="F44" i="4"/>
  <c r="G44" i="4" s="1"/>
  <c r="O43" i="10"/>
  <c r="R43" i="10" s="1"/>
  <c r="O39" i="17"/>
  <c r="AE39" i="17" s="1"/>
  <c r="O55" i="10"/>
  <c r="R55" i="10" s="1"/>
  <c r="E66" i="6"/>
  <c r="I66" i="6" s="1"/>
  <c r="AB66" i="6" s="1"/>
  <c r="E56" i="11"/>
  <c r="F56" i="4"/>
  <c r="G56" i="4" s="1"/>
  <c r="O51" i="17"/>
  <c r="AE51" i="17" s="1"/>
  <c r="I66" i="2"/>
  <c r="I69" i="2" s="1"/>
  <c r="F29" i="4"/>
  <c r="G29" i="4" s="1"/>
  <c r="E33" i="6"/>
  <c r="I33" i="6" s="1"/>
  <c r="AB33" i="6" s="1"/>
  <c r="O24" i="17"/>
  <c r="AE24" i="17" s="1"/>
  <c r="E29" i="11"/>
  <c r="O28" i="10"/>
  <c r="R28" i="10" s="1"/>
  <c r="E19" i="9"/>
  <c r="J19" i="9" s="1"/>
  <c r="AC19" i="9" s="1"/>
  <c r="H19" i="18"/>
  <c r="Q66" i="2"/>
  <c r="Q69" i="2" s="1"/>
  <c r="R11" i="17"/>
  <c r="F40" i="4"/>
  <c r="G40" i="4" s="1"/>
  <c r="O35" i="17"/>
  <c r="AE35" i="17" s="1"/>
  <c r="E40" i="11"/>
  <c r="O39" i="10"/>
  <c r="R39" i="10" s="1"/>
  <c r="E47" i="6"/>
  <c r="I47" i="6" s="1"/>
  <c r="AB47" i="6" s="1"/>
  <c r="AO19" i="6"/>
  <c r="H22" i="25" s="1"/>
  <c r="I22" i="25" s="1"/>
  <c r="AF19" i="6"/>
  <c r="F22" i="25" s="1"/>
  <c r="E14" i="9"/>
  <c r="J14" i="9" s="1"/>
  <c r="AC14" i="9" s="1"/>
  <c r="H14" i="18"/>
  <c r="F67" i="4"/>
  <c r="G67" i="4" s="1"/>
  <c r="O62" i="17"/>
  <c r="AE62" i="17" s="1"/>
  <c r="O66" i="10"/>
  <c r="R66" i="10" s="1"/>
  <c r="E67" i="11"/>
  <c r="E78" i="6"/>
  <c r="I78" i="6" s="1"/>
  <c r="AB78" i="6" s="1"/>
  <c r="O41" i="17"/>
  <c r="AE41" i="17" s="1"/>
  <c r="O45" i="10"/>
  <c r="R45" i="10" s="1"/>
  <c r="E46" i="11"/>
  <c r="E54" i="6"/>
  <c r="I54" i="6" s="1"/>
  <c r="AB54" i="6" s="1"/>
  <c r="F46" i="4"/>
  <c r="G46" i="4" s="1"/>
  <c r="O58" i="10"/>
  <c r="R58" i="10" s="1"/>
  <c r="E69" i="6"/>
  <c r="I69" i="6" s="1"/>
  <c r="AB69" i="6" s="1"/>
  <c r="F59" i="4"/>
  <c r="G59" i="4" s="1"/>
  <c r="E59" i="11"/>
  <c r="O54" i="17"/>
  <c r="AE54" i="17" s="1"/>
  <c r="G66" i="2"/>
  <c r="G69" i="2" s="1"/>
  <c r="G106" i="2" s="1"/>
  <c r="O74" i="17"/>
  <c r="AE74" i="17" s="1"/>
  <c r="E92" i="6"/>
  <c r="I92" i="6" s="1"/>
  <c r="AB92" i="6" s="1"/>
  <c r="O78" i="10"/>
  <c r="R78" i="10" s="1"/>
  <c r="E79" i="11"/>
  <c r="F79" i="4"/>
  <c r="G79" i="4" s="1"/>
  <c r="R10" i="17"/>
  <c r="J66" i="2"/>
  <c r="J69" i="2" s="1"/>
  <c r="E50" i="11"/>
  <c r="F50" i="4"/>
  <c r="G50" i="4" s="1"/>
  <c r="O49" i="10"/>
  <c r="R49" i="10" s="1"/>
  <c r="O45" i="17"/>
  <c r="AE45" i="17" s="1"/>
  <c r="E59" i="6"/>
  <c r="I59" i="6" s="1"/>
  <c r="AB59" i="6" s="1"/>
  <c r="K66" i="2"/>
  <c r="K69" i="2" s="1"/>
  <c r="F34" i="4"/>
  <c r="G34" i="4" s="1"/>
  <c r="O29" i="17"/>
  <c r="AE29" i="17" s="1"/>
  <c r="E40" i="6"/>
  <c r="I40" i="6" s="1"/>
  <c r="AB40" i="6" s="1"/>
  <c r="O33" i="10"/>
  <c r="R33" i="10" s="1"/>
  <c r="E34" i="11"/>
  <c r="F65" i="4"/>
  <c r="G65" i="4" s="1"/>
  <c r="E65" i="11"/>
  <c r="O64" i="10"/>
  <c r="R64" i="10" s="1"/>
  <c r="E76" i="6"/>
  <c r="I76" i="6" s="1"/>
  <c r="AB76" i="6" s="1"/>
  <c r="O60" i="17"/>
  <c r="AE60" i="17" s="1"/>
  <c r="O48" i="10"/>
  <c r="R48" i="10" s="1"/>
  <c r="E57" i="6"/>
  <c r="I57" i="6" s="1"/>
  <c r="AB57" i="6" s="1"/>
  <c r="O44" i="17"/>
  <c r="AE44" i="17" s="1"/>
  <c r="F49" i="4"/>
  <c r="G49" i="4" s="1"/>
  <c r="E49" i="11"/>
  <c r="E42" i="6"/>
  <c r="I42" i="6" s="1"/>
  <c r="AB42" i="6" s="1"/>
  <c r="E36" i="11"/>
  <c r="F36" i="4"/>
  <c r="G36" i="4" s="1"/>
  <c r="O31" i="17"/>
  <c r="AE31" i="17" s="1"/>
  <c r="O35" i="10"/>
  <c r="R35" i="10" s="1"/>
  <c r="E45" i="6"/>
  <c r="I45" i="6" s="1"/>
  <c r="AB45" i="6" s="1"/>
  <c r="F38" i="4"/>
  <c r="G38" i="4" s="1"/>
  <c r="E38" i="11"/>
  <c r="O33" i="17"/>
  <c r="AE33" i="17" s="1"/>
  <c r="O37" i="10"/>
  <c r="R37" i="10" s="1"/>
  <c r="E23" i="6"/>
  <c r="I23" i="6" s="1"/>
  <c r="AB23" i="6" s="1"/>
  <c r="O17" i="17"/>
  <c r="AE17" i="17" s="1"/>
  <c r="E22" i="11"/>
  <c r="O21" i="10"/>
  <c r="R21" i="10" s="1"/>
  <c r="F22" i="4"/>
  <c r="G22" i="4" s="1"/>
  <c r="O77" i="10"/>
  <c r="R77" i="10" s="1"/>
  <c r="E91" i="6"/>
  <c r="I91" i="6" s="1"/>
  <c r="AB91" i="6" s="1"/>
  <c r="F78" i="4"/>
  <c r="G78" i="4" s="1"/>
  <c r="E78" i="11"/>
  <c r="O73" i="17"/>
  <c r="AE73" i="17" s="1"/>
  <c r="AO15" i="6"/>
  <c r="H18" i="25" s="1"/>
  <c r="I18" i="25" s="1"/>
  <c r="AF15" i="6"/>
  <c r="F18" i="25" s="1"/>
  <c r="E52" i="11"/>
  <c r="O51" i="10"/>
  <c r="R51" i="10" s="1"/>
  <c r="F52" i="4"/>
  <c r="G52" i="4" s="1"/>
  <c r="E61" i="6"/>
  <c r="I61" i="6" s="1"/>
  <c r="AB61" i="6" s="1"/>
  <c r="O47" i="17"/>
  <c r="AE47" i="17" s="1"/>
  <c r="O56" i="17"/>
  <c r="AE56" i="17" s="1"/>
  <c r="O60" i="10"/>
  <c r="R60" i="10" s="1"/>
  <c r="E71" i="6"/>
  <c r="I71" i="6" s="1"/>
  <c r="AB71" i="6" s="1"/>
  <c r="F61" i="4"/>
  <c r="G61" i="4" s="1"/>
  <c r="E61" i="11"/>
  <c r="O15" i="17"/>
  <c r="AE15" i="17" s="1"/>
  <c r="O19" i="10"/>
  <c r="R19" i="10" s="1"/>
  <c r="E20" i="11"/>
  <c r="F20" i="4"/>
  <c r="G20" i="4" s="1"/>
  <c r="E20" i="6"/>
  <c r="I20" i="6" s="1"/>
  <c r="AB20" i="6" s="1"/>
  <c r="O42" i="17"/>
  <c r="AE42" i="17" s="1"/>
  <c r="O46" i="10"/>
  <c r="R46" i="10" s="1"/>
  <c r="E55" i="6"/>
  <c r="I55" i="6" s="1"/>
  <c r="AB55" i="6" s="1"/>
  <c r="E47" i="11"/>
  <c r="F47" i="4"/>
  <c r="G47" i="4" s="1"/>
  <c r="F33" i="4"/>
  <c r="G33" i="4" s="1"/>
  <c r="O32" i="10"/>
  <c r="R32" i="10" s="1"/>
  <c r="E39" i="6"/>
  <c r="I39" i="6" s="1"/>
  <c r="AB39" i="6" s="1"/>
  <c r="E33" i="11"/>
  <c r="O28" i="17"/>
  <c r="AE28" i="17" s="1"/>
  <c r="O38" i="10"/>
  <c r="R38" i="10" s="1"/>
  <c r="E46" i="6"/>
  <c r="I46" i="6" s="1"/>
  <c r="AB46" i="6" s="1"/>
  <c r="E39" i="11"/>
  <c r="F39" i="4"/>
  <c r="G39" i="4" s="1"/>
  <c r="O34" i="17"/>
  <c r="AE34" i="17" s="1"/>
  <c r="F23" i="4"/>
  <c r="G23" i="4" s="1"/>
  <c r="O18" i="17"/>
  <c r="AE18" i="17" s="1"/>
  <c r="E24" i="6"/>
  <c r="I24" i="6" s="1"/>
  <c r="AB24" i="6" s="1"/>
  <c r="O22" i="10"/>
  <c r="R22" i="10" s="1"/>
  <c r="E23" i="11"/>
  <c r="F75" i="4"/>
  <c r="G75" i="4" s="1"/>
  <c r="O70" i="17"/>
  <c r="AE70" i="17" s="1"/>
  <c r="O74" i="10"/>
  <c r="R74" i="10" s="1"/>
  <c r="E88" i="6"/>
  <c r="I88" i="6" s="1"/>
  <c r="AB88" i="6" s="1"/>
  <c r="E75" i="11"/>
  <c r="H15" i="18"/>
  <c r="E15" i="9"/>
  <c r="J15" i="9" s="1"/>
  <c r="AC15" i="9" s="1"/>
  <c r="E64" i="6"/>
  <c r="I64" i="6" s="1"/>
  <c r="AB64" i="6" s="1"/>
  <c r="E55" i="11"/>
  <c r="F55" i="4"/>
  <c r="G55" i="4" s="1"/>
  <c r="O50" i="17"/>
  <c r="AE50" i="17" s="1"/>
  <c r="O54" i="10"/>
  <c r="R54" i="10" s="1"/>
  <c r="AF14" i="6"/>
  <c r="F17" i="25" s="1"/>
  <c r="AO14" i="6"/>
  <c r="H17" i="25" s="1"/>
  <c r="AO16" i="6"/>
  <c r="H19" i="25" s="1"/>
  <c r="I19" i="25" s="1"/>
  <c r="AF16" i="6"/>
  <c r="F19" i="25" s="1"/>
  <c r="H17" i="18"/>
  <c r="E17" i="9"/>
  <c r="J17" i="9" s="1"/>
  <c r="AC17" i="9" s="1"/>
  <c r="E56" i="6"/>
  <c r="I56" i="6" s="1"/>
  <c r="AB56" i="6" s="1"/>
  <c r="O43" i="17"/>
  <c r="AE43" i="17" s="1"/>
  <c r="E48" i="11"/>
  <c r="O47" i="10"/>
  <c r="R47" i="10" s="1"/>
  <c r="F48" i="4"/>
  <c r="G48" i="4" s="1"/>
  <c r="O56" i="10"/>
  <c r="R56" i="10" s="1"/>
  <c r="F57" i="4"/>
  <c r="G57" i="4" s="1"/>
  <c r="E67" i="6"/>
  <c r="I67" i="6" s="1"/>
  <c r="AB67" i="6" s="1"/>
  <c r="O52" i="17"/>
  <c r="AE52" i="17" s="1"/>
  <c r="E57" i="11"/>
  <c r="O32" i="17"/>
  <c r="AE32" i="17" s="1"/>
  <c r="O36" i="10"/>
  <c r="R36" i="10" s="1"/>
  <c r="E43" i="6"/>
  <c r="I43" i="6" s="1"/>
  <c r="AB43" i="6" s="1"/>
  <c r="F37" i="4"/>
  <c r="G37" i="4" s="1"/>
  <c r="E37" i="11"/>
  <c r="E50" i="6"/>
  <c r="I50" i="6" s="1"/>
  <c r="AB50" i="6" s="1"/>
  <c r="F43" i="4"/>
  <c r="G43" i="4" s="1"/>
  <c r="O42" i="10"/>
  <c r="R42" i="10" s="1"/>
  <c r="O38" i="17"/>
  <c r="AE38" i="17" s="1"/>
  <c r="E43" i="11"/>
  <c r="E90" i="6"/>
  <c r="I90" i="6" s="1"/>
  <c r="AB90" i="6" s="1"/>
  <c r="O76" i="10"/>
  <c r="R76" i="10" s="1"/>
  <c r="O72" i="17"/>
  <c r="AE72" i="17" s="1"/>
  <c r="F77" i="4"/>
  <c r="G77" i="4" s="1"/>
  <c r="E77" i="11"/>
  <c r="O50" i="10"/>
  <c r="R50" i="10" s="1"/>
  <c r="E51" i="11"/>
  <c r="O46" i="17"/>
  <c r="AE46" i="17" s="1"/>
  <c r="F51" i="4"/>
  <c r="G51" i="4" s="1"/>
  <c r="E60" i="6"/>
  <c r="I60" i="6" s="1"/>
  <c r="AB60" i="6" s="1"/>
  <c r="M66" i="2"/>
  <c r="M69" i="2" s="1"/>
  <c r="O61" i="17"/>
  <c r="AE61" i="17" s="1"/>
  <c r="O65" i="10"/>
  <c r="R65" i="10" s="1"/>
  <c r="F66" i="4"/>
  <c r="G66" i="4" s="1"/>
  <c r="E66" i="11"/>
  <c r="E77" i="6"/>
  <c r="I77" i="6" s="1"/>
  <c r="AB77" i="6" s="1"/>
  <c r="E74" i="6"/>
  <c r="I74" i="6" s="1"/>
  <c r="AB74" i="6" s="1"/>
  <c r="O62" i="10"/>
  <c r="R62" i="10" s="1"/>
  <c r="F63" i="4"/>
  <c r="G63" i="4" s="1"/>
  <c r="O58" i="17"/>
  <c r="AE58" i="17" s="1"/>
  <c r="E63" i="11"/>
  <c r="E21" i="6"/>
  <c r="I21" i="6" s="1"/>
  <c r="AB21" i="6" s="1"/>
  <c r="O16" i="17"/>
  <c r="AE16" i="17" s="1"/>
  <c r="F21" i="4"/>
  <c r="G21" i="4" s="1"/>
  <c r="O20" i="10"/>
  <c r="R20" i="10" s="1"/>
  <c r="E21" i="11"/>
  <c r="E64" i="11"/>
  <c r="O59" i="17"/>
  <c r="AE59" i="17" s="1"/>
  <c r="O63" i="10"/>
  <c r="R63" i="10" s="1"/>
  <c r="E75" i="6"/>
  <c r="I75" i="6" s="1"/>
  <c r="AB75" i="6" s="1"/>
  <c r="F64" i="4"/>
  <c r="G64" i="4" s="1"/>
  <c r="R13" i="17"/>
  <c r="O44" i="10"/>
  <c r="R44" i="10" s="1"/>
  <c r="E53" i="6"/>
  <c r="I53" i="6" s="1"/>
  <c r="AB53" i="6" s="1"/>
  <c r="F45" i="4"/>
  <c r="G45" i="4" s="1"/>
  <c r="E45" i="11"/>
  <c r="O40" i="17"/>
  <c r="AE40" i="17" s="1"/>
  <c r="E60" i="11"/>
  <c r="E70" i="6"/>
  <c r="I70" i="6" s="1"/>
  <c r="AB70" i="6" s="1"/>
  <c r="O55" i="17"/>
  <c r="AE55" i="17" s="1"/>
  <c r="F60" i="4"/>
  <c r="G60" i="4" s="1"/>
  <c r="O59" i="10"/>
  <c r="R59" i="10" s="1"/>
  <c r="O30" i="17"/>
  <c r="AE30" i="17" s="1"/>
  <c r="O34" i="10"/>
  <c r="R34" i="10" s="1"/>
  <c r="F35" i="4"/>
  <c r="G35" i="4" s="1"/>
  <c r="E41" i="6"/>
  <c r="I41" i="6" s="1"/>
  <c r="AB41" i="6" s="1"/>
  <c r="E35" i="11"/>
  <c r="F42" i="4"/>
  <c r="G42" i="4" s="1"/>
  <c r="O41" i="10"/>
  <c r="R41" i="10" s="1"/>
  <c r="E49" i="6"/>
  <c r="I49" i="6" s="1"/>
  <c r="AB49" i="6" s="1"/>
  <c r="E42" i="11"/>
  <c r="O37" i="17"/>
  <c r="AE37" i="17" s="1"/>
  <c r="O66" i="2"/>
  <c r="O69" i="2" s="1"/>
  <c r="O69" i="17"/>
  <c r="AE69" i="17" s="1"/>
  <c r="E74" i="11"/>
  <c r="F74" i="4"/>
  <c r="G74" i="4" s="1"/>
  <c r="E87" i="6"/>
  <c r="I87" i="6" s="1"/>
  <c r="AB87" i="6" s="1"/>
  <c r="O73" i="10"/>
  <c r="R73" i="10" s="1"/>
  <c r="R14" i="17"/>
  <c r="E62" i="6"/>
  <c r="I62" i="6" s="1"/>
  <c r="AB62" i="6" s="1"/>
  <c r="O48" i="17"/>
  <c r="AE48" i="17" s="1"/>
  <c r="F53" i="4"/>
  <c r="G53" i="4" s="1"/>
  <c r="O52" i="10"/>
  <c r="R52" i="10" s="1"/>
  <c r="E53" i="11"/>
  <c r="S17" i="25" l="1"/>
  <c r="G17" i="25"/>
  <c r="G18" i="25"/>
  <c r="S18" i="25"/>
  <c r="I17" i="25"/>
  <c r="S21" i="25"/>
  <c r="G21" i="25"/>
  <c r="G20" i="25"/>
  <c r="S20" i="25"/>
  <c r="G19" i="25"/>
  <c r="S19" i="25"/>
  <c r="S22" i="25"/>
  <c r="G22" i="25"/>
  <c r="K19" i="4"/>
  <c r="P19" i="4" s="1"/>
  <c r="K17" i="4"/>
  <c r="P17" i="4" s="1"/>
  <c r="K15" i="4"/>
  <c r="P15" i="4" s="1"/>
  <c r="K14" i="4"/>
  <c r="P14" i="4" s="1"/>
  <c r="P16" i="4"/>
  <c r="P18" i="4"/>
  <c r="K60" i="4"/>
  <c r="K66" i="4"/>
  <c r="K51" i="4"/>
  <c r="K75" i="4"/>
  <c r="K39" i="4"/>
  <c r="K61" i="4"/>
  <c r="K52" i="4"/>
  <c r="K34" i="4"/>
  <c r="K46" i="4"/>
  <c r="K40" i="4"/>
  <c r="K62" i="4"/>
  <c r="K43" i="4"/>
  <c r="K78" i="4"/>
  <c r="K41" i="4"/>
  <c r="K56" i="4"/>
  <c r="K44" i="4"/>
  <c r="K54" i="4"/>
  <c r="K35" i="4"/>
  <c r="K63" i="4"/>
  <c r="K37" i="4"/>
  <c r="K33" i="4"/>
  <c r="K20" i="4"/>
  <c r="K36" i="4"/>
  <c r="K65" i="4"/>
  <c r="K58" i="4"/>
  <c r="K42" i="4"/>
  <c r="K79" i="4"/>
  <c r="K67" i="4"/>
  <c r="K76" i="4"/>
  <c r="K64" i="4"/>
  <c r="K21" i="4"/>
  <c r="K47" i="4"/>
  <c r="K22" i="4"/>
  <c r="K38" i="4"/>
  <c r="K28" i="4"/>
  <c r="K53" i="4"/>
  <c r="K74" i="4"/>
  <c r="K48" i="4"/>
  <c r="K55" i="4"/>
  <c r="K50" i="4"/>
  <c r="K59" i="4"/>
  <c r="K57" i="4"/>
  <c r="K45" i="4"/>
  <c r="K77" i="4"/>
  <c r="K23" i="4"/>
  <c r="K49" i="4"/>
  <c r="K29" i="4"/>
  <c r="K32" i="4"/>
  <c r="Z77" i="2"/>
  <c r="AC80" i="10"/>
  <c r="AL76" i="29" s="1"/>
  <c r="Y77" i="2"/>
  <c r="AC79" i="10"/>
  <c r="AL75" i="29" s="1"/>
  <c r="M106" i="2"/>
  <c r="M80" i="2"/>
  <c r="W69" i="2"/>
  <c r="W92" i="2" s="1"/>
  <c r="T69" i="2"/>
  <c r="T74" i="2" s="1"/>
  <c r="T75" i="2" s="1"/>
  <c r="S69" i="2"/>
  <c r="S76" i="2" s="1"/>
  <c r="E69" i="2"/>
  <c r="E76" i="2" s="1"/>
  <c r="X69" i="2"/>
  <c r="X76" i="2" s="1"/>
  <c r="U69" i="2"/>
  <c r="U77" i="2" s="1"/>
  <c r="P69" i="2"/>
  <c r="P76" i="2" s="1"/>
  <c r="L80" i="2"/>
  <c r="F18" i="21"/>
  <c r="F18" i="20"/>
  <c r="G18" i="20"/>
  <c r="H18" i="21"/>
  <c r="I18" i="21" s="1"/>
  <c r="H21" i="21"/>
  <c r="I21" i="21" s="1"/>
  <c r="G21" i="20"/>
  <c r="F19" i="20"/>
  <c r="F19" i="21"/>
  <c r="F21" i="21"/>
  <c r="F21" i="20"/>
  <c r="G19" i="20"/>
  <c r="H19" i="21"/>
  <c r="I19" i="21" s="1"/>
  <c r="H20" i="21"/>
  <c r="I20" i="21" s="1"/>
  <c r="G20" i="20"/>
  <c r="G17" i="20"/>
  <c r="H17" i="21"/>
  <c r="F22" i="20"/>
  <c r="F22" i="21"/>
  <c r="F17" i="20"/>
  <c r="F17" i="21"/>
  <c r="H22" i="21"/>
  <c r="I22" i="21" s="1"/>
  <c r="G22" i="20"/>
  <c r="F20" i="21"/>
  <c r="F20" i="20"/>
  <c r="L74" i="2"/>
  <c r="L75" i="2" s="1"/>
  <c r="L76" i="2"/>
  <c r="L77" i="2"/>
  <c r="L92" i="2"/>
  <c r="D66" i="2"/>
  <c r="AF88" i="6"/>
  <c r="AK88" i="6" s="1"/>
  <c r="AO88" i="6"/>
  <c r="AF42" i="6"/>
  <c r="AO42" i="6"/>
  <c r="H69" i="18"/>
  <c r="E69" i="9"/>
  <c r="J69" i="9" s="1"/>
  <c r="AC69" i="9" s="1"/>
  <c r="R57" i="17"/>
  <c r="AR12" i="18"/>
  <c r="D29" i="2"/>
  <c r="AY3" i="19"/>
  <c r="R37" i="17"/>
  <c r="AO70" i="6"/>
  <c r="AF70" i="6"/>
  <c r="AK70" i="6" s="1"/>
  <c r="AK71" i="6" s="1"/>
  <c r="N76" i="2"/>
  <c r="N74" i="2"/>
  <c r="N77" i="2"/>
  <c r="N92" i="2"/>
  <c r="AF74" i="6"/>
  <c r="AK74" i="6" s="1"/>
  <c r="AO74" i="6"/>
  <c r="AF77" i="6"/>
  <c r="AK77" i="6" s="1"/>
  <c r="AK78" i="6" s="1"/>
  <c r="AO77" i="6"/>
  <c r="R46" i="17"/>
  <c r="AO90" i="6"/>
  <c r="AF90" i="6"/>
  <c r="AK90" i="6" s="1"/>
  <c r="AF67" i="6"/>
  <c r="AK67" i="6" s="1"/>
  <c r="AO67" i="6"/>
  <c r="R43" i="17"/>
  <c r="E24" i="9"/>
  <c r="J24" i="9" s="1"/>
  <c r="AC24" i="9" s="1"/>
  <c r="H24" i="18"/>
  <c r="H46" i="18"/>
  <c r="E46" i="9"/>
  <c r="J46" i="9" s="1"/>
  <c r="AC46" i="9" s="1"/>
  <c r="E71" i="9"/>
  <c r="J71" i="9" s="1"/>
  <c r="AC71" i="9" s="1"/>
  <c r="H71" i="18"/>
  <c r="F17" i="14"/>
  <c r="F18" i="13"/>
  <c r="AF57" i="6"/>
  <c r="AO57" i="6"/>
  <c r="R60" i="17"/>
  <c r="AO40" i="6"/>
  <c r="AF40" i="6"/>
  <c r="AK40" i="6" s="1"/>
  <c r="H92" i="18"/>
  <c r="E92" i="9"/>
  <c r="J92" i="9" s="1"/>
  <c r="AC92" i="9" s="1"/>
  <c r="AO69" i="6"/>
  <c r="AF69" i="6"/>
  <c r="AK69" i="6" s="1"/>
  <c r="H33" i="18"/>
  <c r="E33" i="9"/>
  <c r="J33" i="9" s="1"/>
  <c r="AC33" i="9" s="1"/>
  <c r="AA77" i="2"/>
  <c r="AA74" i="2"/>
  <c r="AA76" i="2"/>
  <c r="AF48" i="6"/>
  <c r="AK48" i="6" s="1"/>
  <c r="AK49" i="6" s="1"/>
  <c r="AK50" i="6" s="1"/>
  <c r="AO48" i="6"/>
  <c r="R53" i="17"/>
  <c r="H19" i="14"/>
  <c r="I19" i="14" s="1"/>
  <c r="G20" i="13"/>
  <c r="G18" i="13"/>
  <c r="H17" i="14"/>
  <c r="I17" i="14" s="1"/>
  <c r="F22" i="13"/>
  <c r="F21" i="14"/>
  <c r="AK19" i="6"/>
  <c r="AJ19" i="6"/>
  <c r="AO66" i="6"/>
  <c r="AF66" i="6"/>
  <c r="AB72" i="6"/>
  <c r="F80" i="2"/>
  <c r="F77" i="2"/>
  <c r="F74" i="2"/>
  <c r="F92" i="2"/>
  <c r="F76" i="2"/>
  <c r="H62" i="18"/>
  <c r="E62" i="9"/>
  <c r="J62" i="9" s="1"/>
  <c r="AC62" i="9" s="1"/>
  <c r="AO87" i="6"/>
  <c r="AF87" i="6"/>
  <c r="AB93" i="6"/>
  <c r="R30" i="17"/>
  <c r="R40" i="17"/>
  <c r="H75" i="18"/>
  <c r="E75" i="9"/>
  <c r="J75" i="9" s="1"/>
  <c r="AC75" i="9" s="1"/>
  <c r="AF43" i="6"/>
  <c r="AO43" i="6"/>
  <c r="H18" i="14"/>
  <c r="I18" i="14" s="1"/>
  <c r="G19" i="13"/>
  <c r="AO64" i="6"/>
  <c r="AF64" i="6"/>
  <c r="AK64" i="6" s="1"/>
  <c r="E88" i="9"/>
  <c r="J88" i="9" s="1"/>
  <c r="AC88" i="9" s="1"/>
  <c r="H88" i="18"/>
  <c r="R18" i="17"/>
  <c r="R28" i="17"/>
  <c r="R47" i="17"/>
  <c r="R73" i="17"/>
  <c r="H23" i="18"/>
  <c r="E23" i="9"/>
  <c r="J23" i="9" s="1"/>
  <c r="AC23" i="9" s="1"/>
  <c r="AB51" i="6"/>
  <c r="AO45" i="6"/>
  <c r="AF45" i="6"/>
  <c r="E76" i="9"/>
  <c r="J76" i="9" s="1"/>
  <c r="AC76" i="9" s="1"/>
  <c r="H76" i="18"/>
  <c r="R74" i="17"/>
  <c r="R62" i="17"/>
  <c r="H21" i="14"/>
  <c r="I21" i="14" s="1"/>
  <c r="G22" i="13"/>
  <c r="W19" i="18"/>
  <c r="I19" i="19"/>
  <c r="X19" i="19" s="1"/>
  <c r="R24" i="17"/>
  <c r="R36" i="17"/>
  <c r="AO73" i="6"/>
  <c r="AF73" i="6"/>
  <c r="AB79" i="6"/>
  <c r="E87" i="9"/>
  <c r="J87" i="9" s="1"/>
  <c r="AC87" i="9" s="1"/>
  <c r="H87" i="18"/>
  <c r="R16" i="17"/>
  <c r="AO76" i="6"/>
  <c r="AF76" i="6"/>
  <c r="AK76" i="6" s="1"/>
  <c r="H78" i="18"/>
  <c r="E78" i="9"/>
  <c r="J78" i="9" s="1"/>
  <c r="AC78" i="9" s="1"/>
  <c r="AB58" i="6"/>
  <c r="AO52" i="6"/>
  <c r="AF52" i="6"/>
  <c r="AO49" i="6"/>
  <c r="AF49" i="6"/>
  <c r="R59" i="17"/>
  <c r="AF21" i="6"/>
  <c r="AK21" i="6" s="1"/>
  <c r="AO21" i="6"/>
  <c r="E77" i="9"/>
  <c r="J77" i="9" s="1"/>
  <c r="AC77" i="9" s="1"/>
  <c r="H77" i="18"/>
  <c r="H60" i="18"/>
  <c r="E60" i="9"/>
  <c r="J60" i="9" s="1"/>
  <c r="AC60" i="9" s="1"/>
  <c r="H43" i="18"/>
  <c r="E43" i="9"/>
  <c r="J43" i="9" s="1"/>
  <c r="AC43" i="9" s="1"/>
  <c r="E67" i="9"/>
  <c r="J67" i="9" s="1"/>
  <c r="AC67" i="9" s="1"/>
  <c r="H67" i="18"/>
  <c r="G17" i="13"/>
  <c r="H16" i="14"/>
  <c r="AF55" i="6"/>
  <c r="AK55" i="6" s="1"/>
  <c r="AO55" i="6"/>
  <c r="R15" i="17"/>
  <c r="AO61" i="6"/>
  <c r="AF61" i="6"/>
  <c r="AK61" i="6" s="1"/>
  <c r="AO54" i="6"/>
  <c r="AF54" i="6"/>
  <c r="AK54" i="6" s="1"/>
  <c r="AO47" i="6"/>
  <c r="AF47" i="6"/>
  <c r="AK47" i="6" s="1"/>
  <c r="AO33" i="6"/>
  <c r="AF33" i="6"/>
  <c r="AK33" i="6" s="1"/>
  <c r="E66" i="9"/>
  <c r="J66" i="9" s="1"/>
  <c r="AC66" i="9" s="1"/>
  <c r="H66" i="18"/>
  <c r="W18" i="18"/>
  <c r="I18" i="19"/>
  <c r="X18" i="19" s="1"/>
  <c r="AO89" i="6"/>
  <c r="AF89" i="6"/>
  <c r="AK89" i="6" s="1"/>
  <c r="H48" i="18"/>
  <c r="E48" i="9"/>
  <c r="J48" i="9" s="1"/>
  <c r="AC48" i="9" s="1"/>
  <c r="H20" i="14"/>
  <c r="I20" i="14" s="1"/>
  <c r="G21" i="13"/>
  <c r="H73" i="18"/>
  <c r="E73" i="9"/>
  <c r="J73" i="9" s="1"/>
  <c r="AC73" i="9" s="1"/>
  <c r="F18" i="14"/>
  <c r="F19" i="13"/>
  <c r="AK16" i="6"/>
  <c r="AJ16" i="6"/>
  <c r="E20" i="9"/>
  <c r="J20" i="9" s="1"/>
  <c r="AC20" i="9" s="1"/>
  <c r="H20" i="18"/>
  <c r="AO92" i="6"/>
  <c r="AF92" i="6"/>
  <c r="AK92" i="6" s="1"/>
  <c r="R48" i="17"/>
  <c r="H49" i="18"/>
  <c r="E49" i="9"/>
  <c r="J49" i="9" s="1"/>
  <c r="AC49" i="9" s="1"/>
  <c r="R38" i="17"/>
  <c r="F16" i="14"/>
  <c r="F17" i="13"/>
  <c r="R70" i="17"/>
  <c r="R34" i="17"/>
  <c r="AO39" i="6"/>
  <c r="AF39" i="6"/>
  <c r="AK39" i="6" s="1"/>
  <c r="E55" i="9"/>
  <c r="J55" i="9" s="1"/>
  <c r="AC55" i="9" s="1"/>
  <c r="H55" i="18"/>
  <c r="R17" i="17"/>
  <c r="H42" i="18"/>
  <c r="E42" i="9"/>
  <c r="J42" i="9" s="1"/>
  <c r="AC42" i="9" s="1"/>
  <c r="R77" i="2"/>
  <c r="R92" i="2"/>
  <c r="R74" i="2"/>
  <c r="R76" i="2"/>
  <c r="R80" i="2"/>
  <c r="AO59" i="6"/>
  <c r="AB65" i="6"/>
  <c r="AF59" i="6"/>
  <c r="R54" i="17"/>
  <c r="H47" i="18"/>
  <c r="E47" i="9"/>
  <c r="J47" i="9" s="1"/>
  <c r="AC47" i="9" s="1"/>
  <c r="R39" i="17"/>
  <c r="R49" i="17"/>
  <c r="E89" i="9"/>
  <c r="J89" i="9" s="1"/>
  <c r="AC89" i="9" s="1"/>
  <c r="H89" i="18"/>
  <c r="F20" i="14"/>
  <c r="AK18" i="6"/>
  <c r="AJ18" i="6"/>
  <c r="F21" i="13"/>
  <c r="E32" i="9"/>
  <c r="J32" i="9" s="1"/>
  <c r="AC32" i="9" s="1"/>
  <c r="H32" i="18"/>
  <c r="AF56" i="6"/>
  <c r="AK56" i="6" s="1"/>
  <c r="AK57" i="6" s="1"/>
  <c r="AO56" i="6"/>
  <c r="R27" i="17"/>
  <c r="H70" i="18"/>
  <c r="E70" i="9"/>
  <c r="J70" i="9" s="1"/>
  <c r="AC70" i="9" s="1"/>
  <c r="R58" i="17"/>
  <c r="I17" i="19"/>
  <c r="X17" i="19" s="1"/>
  <c r="W17" i="18"/>
  <c r="H39" i="18"/>
  <c r="E39" i="9"/>
  <c r="J39" i="9" s="1"/>
  <c r="AC39" i="9" s="1"/>
  <c r="R42" i="17"/>
  <c r="AF91" i="6"/>
  <c r="AK91" i="6" s="1"/>
  <c r="AO91" i="6"/>
  <c r="AF23" i="6"/>
  <c r="AO23" i="6"/>
  <c r="AB25" i="6"/>
  <c r="R31" i="17"/>
  <c r="R45" i="17"/>
  <c r="H54" i="18"/>
  <c r="E54" i="9"/>
  <c r="J54" i="9" s="1"/>
  <c r="AC54" i="9" s="1"/>
  <c r="H52" i="18"/>
  <c r="E52" i="9"/>
  <c r="J52" i="9" s="1"/>
  <c r="AC52" i="9" s="1"/>
  <c r="Z76" i="2"/>
  <c r="Z74" i="2"/>
  <c r="Z92" i="2"/>
  <c r="I16" i="19"/>
  <c r="X16" i="19" s="1"/>
  <c r="W16" i="18"/>
  <c r="AF38" i="6"/>
  <c r="AO38" i="6"/>
  <c r="AB44" i="6"/>
  <c r="AF68" i="6"/>
  <c r="AK68" i="6" s="1"/>
  <c r="AO68" i="6"/>
  <c r="AB34" i="6"/>
  <c r="AF32" i="6"/>
  <c r="AO32" i="6"/>
  <c r="AO75" i="6"/>
  <c r="AF75" i="6"/>
  <c r="AK75" i="6" s="1"/>
  <c r="R29" i="17"/>
  <c r="E63" i="9"/>
  <c r="J63" i="9" s="1"/>
  <c r="AC63" i="9" s="1"/>
  <c r="H63" i="18"/>
  <c r="R69" i="17"/>
  <c r="R61" i="17"/>
  <c r="H50" i="18"/>
  <c r="E50" i="9"/>
  <c r="J50" i="9" s="1"/>
  <c r="AC50" i="9" s="1"/>
  <c r="AF62" i="6"/>
  <c r="AK62" i="6" s="1"/>
  <c r="AO62" i="6"/>
  <c r="H53" i="18"/>
  <c r="E53" i="9"/>
  <c r="J53" i="9" s="1"/>
  <c r="AC53" i="9" s="1"/>
  <c r="AF60" i="6"/>
  <c r="AK60" i="6" s="1"/>
  <c r="AO60" i="6"/>
  <c r="R72" i="17"/>
  <c r="E56" i="9"/>
  <c r="J56" i="9" s="1"/>
  <c r="AC56" i="9" s="1"/>
  <c r="H56" i="18"/>
  <c r="E64" i="9"/>
  <c r="J64" i="9" s="1"/>
  <c r="AC64" i="9" s="1"/>
  <c r="H64" i="18"/>
  <c r="W15" i="18"/>
  <c r="I15" i="19"/>
  <c r="X15" i="19" s="1"/>
  <c r="AF20" i="6"/>
  <c r="AO20" i="6"/>
  <c r="AB22" i="6"/>
  <c r="AF71" i="6"/>
  <c r="AO71" i="6"/>
  <c r="E61" i="9"/>
  <c r="J61" i="9" s="1"/>
  <c r="AC61" i="9" s="1"/>
  <c r="H61" i="18"/>
  <c r="H45" i="18"/>
  <c r="E45" i="9"/>
  <c r="J45" i="9" s="1"/>
  <c r="AC45" i="9" s="1"/>
  <c r="R44" i="17"/>
  <c r="H59" i="18"/>
  <c r="E59" i="9"/>
  <c r="J59" i="9" s="1"/>
  <c r="AC59" i="9" s="1"/>
  <c r="AF78" i="6"/>
  <c r="AO78" i="6"/>
  <c r="W14" i="18"/>
  <c r="I14" i="19"/>
  <c r="X14" i="19" s="1"/>
  <c r="R35" i="17"/>
  <c r="R51" i="17"/>
  <c r="AO63" i="6"/>
  <c r="AF63" i="6"/>
  <c r="AK63" i="6" s="1"/>
  <c r="R71" i="17"/>
  <c r="H38" i="18"/>
  <c r="E38" i="9"/>
  <c r="J38" i="9" s="1"/>
  <c r="AC38" i="9" s="1"/>
  <c r="R23" i="17"/>
  <c r="E41" i="9"/>
  <c r="J41" i="9" s="1"/>
  <c r="AC41" i="9" s="1"/>
  <c r="H41" i="18"/>
  <c r="AF24" i="6"/>
  <c r="AK24" i="6" s="1"/>
  <c r="AO24" i="6"/>
  <c r="R56" i="17"/>
  <c r="E57" i="9"/>
  <c r="J57" i="9" s="1"/>
  <c r="AC57" i="9" s="1"/>
  <c r="H57" i="18"/>
  <c r="AF53" i="6"/>
  <c r="AK53" i="6" s="1"/>
  <c r="AO53" i="6"/>
  <c r="V74" i="2"/>
  <c r="V77" i="2"/>
  <c r="V92" i="2"/>
  <c r="V80" i="2"/>
  <c r="V76" i="2"/>
  <c r="R32" i="17"/>
  <c r="AO41" i="6"/>
  <c r="AF41" i="6"/>
  <c r="AK41" i="6" s="1"/>
  <c r="AK42" i="6" s="1"/>
  <c r="AK43" i="6" s="1"/>
  <c r="R55" i="17"/>
  <c r="H21" i="18"/>
  <c r="E21" i="9"/>
  <c r="J21" i="9" s="1"/>
  <c r="AC21" i="9" s="1"/>
  <c r="E74" i="9"/>
  <c r="J74" i="9" s="1"/>
  <c r="AC74" i="9" s="1"/>
  <c r="H74" i="18"/>
  <c r="H90" i="18"/>
  <c r="E90" i="9"/>
  <c r="J90" i="9" s="1"/>
  <c r="AC90" i="9" s="1"/>
  <c r="AF50" i="6"/>
  <c r="AO50" i="6"/>
  <c r="R52" i="17"/>
  <c r="R50" i="17"/>
  <c r="AO46" i="6"/>
  <c r="AF46" i="6"/>
  <c r="AK46" i="6" s="1"/>
  <c r="H91" i="18"/>
  <c r="E91" i="9"/>
  <c r="J91" i="9" s="1"/>
  <c r="AC91" i="9" s="1"/>
  <c r="R33" i="17"/>
  <c r="H40" i="18"/>
  <c r="E40" i="9"/>
  <c r="J40" i="9" s="1"/>
  <c r="AC40" i="9" s="1"/>
  <c r="R41" i="17"/>
  <c r="H68" i="18"/>
  <c r="E68" i="9"/>
  <c r="J68" i="9" s="1"/>
  <c r="AC68" i="9" s="1"/>
  <c r="AJ17" i="6"/>
  <c r="F20" i="13"/>
  <c r="F19" i="14"/>
  <c r="AK17" i="6"/>
  <c r="S77" i="2" l="1"/>
  <c r="AY13" i="19"/>
  <c r="AY12" i="19"/>
  <c r="T20" i="25"/>
  <c r="W20" i="25"/>
  <c r="Y20" i="25" s="1"/>
  <c r="T18" i="25"/>
  <c r="W18" i="25"/>
  <c r="Y18" i="25" s="1"/>
  <c r="T22" i="25"/>
  <c r="W22" i="25"/>
  <c r="Y22" i="25" s="1"/>
  <c r="P28" i="4"/>
  <c r="T21" i="25"/>
  <c r="W21" i="25"/>
  <c r="Y21" i="25" s="1"/>
  <c r="T19" i="25"/>
  <c r="W19" i="25"/>
  <c r="Y19" i="25" s="1"/>
  <c r="T17" i="25"/>
  <c r="W17" i="25"/>
  <c r="P62" i="4"/>
  <c r="P20" i="4"/>
  <c r="P22" i="4"/>
  <c r="P74" i="4"/>
  <c r="P38" i="4"/>
  <c r="P32" i="4"/>
  <c r="P50" i="4"/>
  <c r="P44" i="4"/>
  <c r="S80" i="2"/>
  <c r="W74" i="2"/>
  <c r="W75" i="2" s="1"/>
  <c r="W77" i="2"/>
  <c r="P56" i="4"/>
  <c r="AG79" i="10"/>
  <c r="V76" i="23"/>
  <c r="E94" i="19"/>
  <c r="J94" i="19" s="1"/>
  <c r="AB94" i="19" s="1"/>
  <c r="E94" i="18"/>
  <c r="I94" i="18" s="1"/>
  <c r="AB94" i="18" s="1"/>
  <c r="AL75" i="17"/>
  <c r="AY75" i="17" s="1"/>
  <c r="N80" i="11"/>
  <c r="R76" i="22"/>
  <c r="S76" i="22" s="1"/>
  <c r="AG80" i="10"/>
  <c r="N81" i="11"/>
  <c r="R77" i="22"/>
  <c r="S77" i="22" s="1"/>
  <c r="E95" i="19"/>
  <c r="J95" i="19" s="1"/>
  <c r="AB95" i="19" s="1"/>
  <c r="AL76" i="17"/>
  <c r="AY76" i="17" s="1"/>
  <c r="V77" i="23"/>
  <c r="E95" i="18"/>
  <c r="I95" i="18" s="1"/>
  <c r="AB95" i="18" s="1"/>
  <c r="T77" i="2"/>
  <c r="T76" i="2"/>
  <c r="T80" i="2"/>
  <c r="S92" i="2"/>
  <c r="U76" i="2"/>
  <c r="U92" i="2"/>
  <c r="P92" i="2"/>
  <c r="X77" i="2"/>
  <c r="X80" i="2"/>
  <c r="X74" i="2"/>
  <c r="X75" i="2" s="1"/>
  <c r="X92" i="2"/>
  <c r="U74" i="2"/>
  <c r="U75" i="2" s="1"/>
  <c r="W76" i="2"/>
  <c r="D69" i="2"/>
  <c r="P74" i="2"/>
  <c r="P75" i="2" s="1"/>
  <c r="P77" i="2"/>
  <c r="E77" i="2"/>
  <c r="E74" i="2"/>
  <c r="E75" i="2" s="1"/>
  <c r="E92" i="2"/>
  <c r="S74" i="2"/>
  <c r="S75" i="2" s="1"/>
  <c r="U80" i="2"/>
  <c r="T92" i="2"/>
  <c r="E80" i="2"/>
  <c r="Z14" i="18"/>
  <c r="AO22" i="6"/>
  <c r="AO34" i="6"/>
  <c r="G21" i="21"/>
  <c r="S21" i="21"/>
  <c r="I17" i="20"/>
  <c r="R17" i="20" s="1"/>
  <c r="K17" i="20"/>
  <c r="H17" i="20"/>
  <c r="Q17" i="20" s="1"/>
  <c r="J17" i="20"/>
  <c r="G19" i="21"/>
  <c r="S19" i="21"/>
  <c r="I18" i="20"/>
  <c r="R18" i="20" s="1"/>
  <c r="J18" i="20"/>
  <c r="H18" i="20"/>
  <c r="Q18" i="20" s="1"/>
  <c r="K18" i="20"/>
  <c r="G17" i="21"/>
  <c r="S17" i="21"/>
  <c r="H19" i="20"/>
  <c r="Q19" i="20" s="1"/>
  <c r="J19" i="20"/>
  <c r="I19" i="20"/>
  <c r="R19" i="20" s="1"/>
  <c r="K19" i="20"/>
  <c r="G18" i="21"/>
  <c r="S18" i="21"/>
  <c r="P16" i="14"/>
  <c r="J20" i="20"/>
  <c r="K20" i="20"/>
  <c r="I20" i="20"/>
  <c r="R20" i="20" s="1"/>
  <c r="H20" i="20"/>
  <c r="Q20" i="20" s="1"/>
  <c r="I17" i="21"/>
  <c r="G20" i="21"/>
  <c r="S20" i="21"/>
  <c r="G22" i="21"/>
  <c r="S22" i="21"/>
  <c r="J22" i="20"/>
  <c r="I22" i="20"/>
  <c r="R22" i="20" s="1"/>
  <c r="K22" i="20"/>
  <c r="H22" i="20"/>
  <c r="Q22" i="20" s="1"/>
  <c r="K21" i="20"/>
  <c r="I21" i="20"/>
  <c r="R21" i="20" s="1"/>
  <c r="J21" i="20"/>
  <c r="H21" i="20"/>
  <c r="Q21" i="20" s="1"/>
  <c r="AO25" i="6"/>
  <c r="AO51" i="6"/>
  <c r="H30" i="25" s="1"/>
  <c r="I30" i="25" s="1"/>
  <c r="AC65" i="9"/>
  <c r="I42" i="19"/>
  <c r="X42" i="19" s="1"/>
  <c r="W42" i="18"/>
  <c r="AK52" i="6"/>
  <c r="AF58" i="6"/>
  <c r="F31" i="25" s="1"/>
  <c r="J80" i="2"/>
  <c r="J77" i="2"/>
  <c r="J76" i="2"/>
  <c r="Z19" i="18" s="1"/>
  <c r="J92" i="2"/>
  <c r="J74" i="2"/>
  <c r="AA75" i="2"/>
  <c r="AA102" i="2"/>
  <c r="AA103" i="2" s="1"/>
  <c r="Q92" i="2"/>
  <c r="Q76" i="2"/>
  <c r="Q77" i="2"/>
  <c r="Q80" i="2"/>
  <c r="Q74" i="2"/>
  <c r="W68" i="18"/>
  <c r="I68" i="19"/>
  <c r="X68" i="19" s="1"/>
  <c r="I40" i="19"/>
  <c r="X40" i="19" s="1"/>
  <c r="W40" i="18"/>
  <c r="Y92" i="2"/>
  <c r="Y76" i="2"/>
  <c r="Y74" i="2"/>
  <c r="W63" i="18"/>
  <c r="I63" i="19"/>
  <c r="X63" i="19" s="1"/>
  <c r="AC58" i="9"/>
  <c r="I32" i="19"/>
  <c r="X32" i="19" s="1"/>
  <c r="W32" i="18"/>
  <c r="P20" i="14"/>
  <c r="G20" i="14"/>
  <c r="W55" i="18"/>
  <c r="I55" i="19"/>
  <c r="X55" i="19" s="1"/>
  <c r="H19" i="13"/>
  <c r="N19" i="13" s="1"/>
  <c r="K19" i="13"/>
  <c r="J19" i="13"/>
  <c r="I19" i="13"/>
  <c r="O19" i="13" s="1"/>
  <c r="K76" i="2"/>
  <c r="K92" i="2"/>
  <c r="K80" i="2"/>
  <c r="K77" i="2"/>
  <c r="K74" i="2"/>
  <c r="M77" i="2"/>
  <c r="M76" i="2"/>
  <c r="M92" i="2"/>
  <c r="M74" i="2"/>
  <c r="AF51" i="6"/>
  <c r="F30" i="25" s="1"/>
  <c r="AK45" i="6"/>
  <c r="F75" i="2"/>
  <c r="AA105" i="2"/>
  <c r="AA104" i="2"/>
  <c r="K18" i="13"/>
  <c r="I18" i="13"/>
  <c r="O18" i="13" s="1"/>
  <c r="J18" i="13"/>
  <c r="H18" i="13"/>
  <c r="N18" i="13" s="1"/>
  <c r="R75" i="2"/>
  <c r="G16" i="14"/>
  <c r="AC79" i="9"/>
  <c r="I66" i="19"/>
  <c r="X66" i="19" s="1"/>
  <c r="W66" i="18"/>
  <c r="I16" i="14"/>
  <c r="W43" i="18"/>
  <c r="I43" i="19"/>
  <c r="X43" i="19" s="1"/>
  <c r="AO58" i="6"/>
  <c r="H31" i="25" s="1"/>
  <c r="I31" i="25" s="1"/>
  <c r="AO72" i="6"/>
  <c r="H33" i="25" s="1"/>
  <c r="I33" i="25" s="1"/>
  <c r="W33" i="18"/>
  <c r="I33" i="19"/>
  <c r="X33" i="19" s="1"/>
  <c r="W92" i="18"/>
  <c r="I92" i="19"/>
  <c r="X92" i="19" s="1"/>
  <c r="W46" i="18"/>
  <c r="I46" i="19"/>
  <c r="X46" i="19" s="1"/>
  <c r="I41" i="19"/>
  <c r="X41" i="19" s="1"/>
  <c r="W41" i="18"/>
  <c r="W70" i="18"/>
  <c r="I70" i="19"/>
  <c r="X70" i="19" s="1"/>
  <c r="G17" i="14"/>
  <c r="P17" i="14"/>
  <c r="I59" i="19"/>
  <c r="X59" i="19" s="1"/>
  <c r="W59" i="18"/>
  <c r="W56" i="18"/>
  <c r="I56" i="19"/>
  <c r="X56" i="19" s="1"/>
  <c r="AK23" i="6"/>
  <c r="AF25" i="6"/>
  <c r="F24" i="25" s="1"/>
  <c r="G19" i="14"/>
  <c r="P19" i="14"/>
  <c r="AC51" i="9"/>
  <c r="I20" i="19"/>
  <c r="X20" i="19" s="1"/>
  <c r="W20" i="18"/>
  <c r="I73" i="19"/>
  <c r="X73" i="19" s="1"/>
  <c r="W73" i="18"/>
  <c r="I48" i="19"/>
  <c r="X48" i="19" s="1"/>
  <c r="W48" i="18"/>
  <c r="AC72" i="9"/>
  <c r="AK73" i="6"/>
  <c r="AF79" i="6"/>
  <c r="F34" i="25" s="1"/>
  <c r="W88" i="18"/>
  <c r="I88" i="19"/>
  <c r="X88" i="19" s="1"/>
  <c r="W71" i="18"/>
  <c r="I71" i="19"/>
  <c r="X71" i="19" s="1"/>
  <c r="N75" i="2"/>
  <c r="I57" i="19"/>
  <c r="X57" i="19" s="1"/>
  <c r="W57" i="18"/>
  <c r="H20" i="13"/>
  <c r="N20" i="13" s="1"/>
  <c r="K20" i="13"/>
  <c r="J20" i="13"/>
  <c r="I20" i="13"/>
  <c r="O20" i="13" s="1"/>
  <c r="W45" i="18"/>
  <c r="I45" i="19"/>
  <c r="X45" i="19" s="1"/>
  <c r="AO44" i="6"/>
  <c r="H29" i="25" s="1"/>
  <c r="I29" i="25" s="1"/>
  <c r="Z75" i="2"/>
  <c r="I89" i="19"/>
  <c r="X89" i="19" s="1"/>
  <c r="W89" i="18"/>
  <c r="AK59" i="6"/>
  <c r="AF65" i="6"/>
  <c r="F32" i="25" s="1"/>
  <c r="AC22" i="9"/>
  <c r="W77" i="18"/>
  <c r="I77" i="19"/>
  <c r="X77" i="19" s="1"/>
  <c r="AO79" i="6"/>
  <c r="H34" i="25" s="1"/>
  <c r="I34" i="25" s="1"/>
  <c r="AC25" i="9"/>
  <c r="I75" i="19"/>
  <c r="X75" i="19" s="1"/>
  <c r="W75" i="18"/>
  <c r="AV12" i="19"/>
  <c r="I47" i="19"/>
  <c r="X47" i="19" s="1"/>
  <c r="W47" i="18"/>
  <c r="I17" i="13"/>
  <c r="J17" i="13"/>
  <c r="K17" i="13"/>
  <c r="H17" i="13"/>
  <c r="P18" i="14"/>
  <c r="G18" i="14"/>
  <c r="AF72" i="6"/>
  <c r="F33" i="25" s="1"/>
  <c r="AK66" i="6"/>
  <c r="AF44" i="6"/>
  <c r="F29" i="25" s="1"/>
  <c r="AK38" i="6"/>
  <c r="I80" i="2"/>
  <c r="I74" i="2"/>
  <c r="I77" i="2"/>
  <c r="I92" i="2"/>
  <c r="I76" i="2"/>
  <c r="Z18" i="18" s="1"/>
  <c r="K21" i="13"/>
  <c r="J21" i="13"/>
  <c r="H21" i="13"/>
  <c r="N21" i="13" s="1"/>
  <c r="I21" i="13"/>
  <c r="O21" i="13" s="1"/>
  <c r="W67" i="18"/>
  <c r="I67" i="19"/>
  <c r="X67" i="19" s="1"/>
  <c r="I87" i="19"/>
  <c r="X87" i="19" s="1"/>
  <c r="W87" i="18"/>
  <c r="W76" i="18"/>
  <c r="I76" i="19"/>
  <c r="X76" i="19" s="1"/>
  <c r="I23" i="19"/>
  <c r="X23" i="19" s="1"/>
  <c r="W23" i="18"/>
  <c r="AK87" i="6"/>
  <c r="AF93" i="6"/>
  <c r="F36" i="25" s="1"/>
  <c r="Z15" i="18"/>
  <c r="H92" i="2"/>
  <c r="H77" i="2"/>
  <c r="H74" i="2"/>
  <c r="H80" i="2"/>
  <c r="H76" i="2"/>
  <c r="Z17" i="18" s="1"/>
  <c r="G21" i="14"/>
  <c r="P21" i="14"/>
  <c r="W24" i="18"/>
  <c r="I24" i="19"/>
  <c r="X24" i="19" s="1"/>
  <c r="D31" i="2"/>
  <c r="AC34" i="9"/>
  <c r="I74" i="19"/>
  <c r="X74" i="19" s="1"/>
  <c r="W74" i="18"/>
  <c r="W38" i="18"/>
  <c r="I38" i="19"/>
  <c r="X38" i="19" s="1"/>
  <c r="V75" i="2"/>
  <c r="I91" i="19"/>
  <c r="X91" i="19" s="1"/>
  <c r="W91" i="18"/>
  <c r="I90" i="19"/>
  <c r="X90" i="19" s="1"/>
  <c r="W90" i="18"/>
  <c r="AK20" i="6"/>
  <c r="AF22" i="6"/>
  <c r="F23" i="25" s="1"/>
  <c r="I64" i="19"/>
  <c r="X64" i="19" s="1"/>
  <c r="W64" i="18"/>
  <c r="AK32" i="6"/>
  <c r="AF34" i="6"/>
  <c r="F27" i="25" s="1"/>
  <c r="AO65" i="6"/>
  <c r="H32" i="25" s="1"/>
  <c r="I32" i="25" s="1"/>
  <c r="W60" i="18"/>
  <c r="I60" i="19"/>
  <c r="X60" i="19" s="1"/>
  <c r="I78" i="19"/>
  <c r="X78" i="19" s="1"/>
  <c r="W78" i="18"/>
  <c r="AC93" i="9"/>
  <c r="AO93" i="6"/>
  <c r="H36" i="25" s="1"/>
  <c r="I36" i="25" s="1"/>
  <c r="J22" i="13"/>
  <c r="H22" i="13"/>
  <c r="N22" i="13" s="1"/>
  <c r="K22" i="13"/>
  <c r="I22" i="13"/>
  <c r="O22" i="13" s="1"/>
  <c r="W69" i="18"/>
  <c r="I69" i="19"/>
  <c r="X69" i="19" s="1"/>
  <c r="AC44" i="9"/>
  <c r="I52" i="19"/>
  <c r="X52" i="19" s="1"/>
  <c r="W52" i="18"/>
  <c r="I39" i="19"/>
  <c r="X39" i="19" s="1"/>
  <c r="W39" i="18"/>
  <c r="W62" i="18"/>
  <c r="I62" i="19"/>
  <c r="X62" i="19" s="1"/>
  <c r="O77" i="2"/>
  <c r="O76" i="2"/>
  <c r="O92" i="2"/>
  <c r="O80" i="2"/>
  <c r="O74" i="2"/>
  <c r="I21" i="19"/>
  <c r="X21" i="19" s="1"/>
  <c r="W21" i="18"/>
  <c r="W61" i="18"/>
  <c r="I61" i="19"/>
  <c r="X61" i="19" s="1"/>
  <c r="I53" i="19"/>
  <c r="X53" i="19" s="1"/>
  <c r="W53" i="18"/>
  <c r="I50" i="19"/>
  <c r="X50" i="19" s="1"/>
  <c r="W50" i="18"/>
  <c r="I54" i="19"/>
  <c r="X54" i="19" s="1"/>
  <c r="W54" i="18"/>
  <c r="I49" i="19"/>
  <c r="X49" i="19" s="1"/>
  <c r="W49" i="18"/>
  <c r="G80" i="2"/>
  <c r="G77" i="2"/>
  <c r="G74" i="2"/>
  <c r="G76" i="2"/>
  <c r="Z16" i="18" s="1"/>
  <c r="G92" i="2"/>
  <c r="D92" i="2" l="1"/>
  <c r="D74" i="2"/>
  <c r="D75" i="2" s="1"/>
  <c r="H27" i="21"/>
  <c r="I27" i="21" s="1"/>
  <c r="H27" i="25"/>
  <c r="I27" i="25" s="1"/>
  <c r="AG22" i="21"/>
  <c r="AK22" i="25"/>
  <c r="AG21" i="21"/>
  <c r="AK21" i="25"/>
  <c r="AF20" i="21"/>
  <c r="AJ20" i="25"/>
  <c r="S34" i="25"/>
  <c r="G34" i="25"/>
  <c r="AF18" i="21"/>
  <c r="AJ18" i="25"/>
  <c r="G30" i="25"/>
  <c r="S30" i="25"/>
  <c r="H23" i="14"/>
  <c r="I23" i="14" s="1"/>
  <c r="H24" i="25"/>
  <c r="I24" i="25" s="1"/>
  <c r="H22" i="14"/>
  <c r="I22" i="14" s="1"/>
  <c r="H23" i="25"/>
  <c r="S23" i="25" s="1"/>
  <c r="AF21" i="21"/>
  <c r="AJ21" i="25"/>
  <c r="Y17" i="25"/>
  <c r="AF22" i="21"/>
  <c r="AJ22" i="25"/>
  <c r="G29" i="25"/>
  <c r="S29" i="25"/>
  <c r="AG18" i="21"/>
  <c r="AK18" i="25"/>
  <c r="AG19" i="21"/>
  <c r="AK19" i="25"/>
  <c r="G31" i="25"/>
  <c r="S31" i="25"/>
  <c r="G27" i="25"/>
  <c r="G23" i="25"/>
  <c r="S33" i="25"/>
  <c r="G33" i="25"/>
  <c r="G24" i="25"/>
  <c r="G32" i="25"/>
  <c r="S32" i="25"/>
  <c r="AG20" i="21"/>
  <c r="AK20" i="25"/>
  <c r="AF19" i="21"/>
  <c r="AJ19" i="25"/>
  <c r="S36" i="25"/>
  <c r="G36" i="25"/>
  <c r="AF95" i="18"/>
  <c r="AL38" i="25" s="1"/>
  <c r="AO95" i="18"/>
  <c r="AF94" i="18"/>
  <c r="AL37" i="25" s="1"/>
  <c r="AO94" i="18"/>
  <c r="H81" i="4"/>
  <c r="I81" i="4" s="1"/>
  <c r="H80" i="4"/>
  <c r="I80" i="4" s="1"/>
  <c r="D77" i="2"/>
  <c r="D76" i="2"/>
  <c r="D80" i="2"/>
  <c r="H26" i="14"/>
  <c r="I26" i="14" s="1"/>
  <c r="G23" i="13"/>
  <c r="H23" i="21"/>
  <c r="I23" i="21" s="1"/>
  <c r="G27" i="13"/>
  <c r="Y105" i="2"/>
  <c r="T106" i="2"/>
  <c r="N105" i="2"/>
  <c r="Q104" i="2"/>
  <c r="O104" i="2"/>
  <c r="K104" i="2"/>
  <c r="G27" i="20"/>
  <c r="G23" i="20"/>
  <c r="F27" i="21"/>
  <c r="F27" i="20"/>
  <c r="H34" i="21"/>
  <c r="I34" i="21" s="1"/>
  <c r="G34" i="20"/>
  <c r="F30" i="20"/>
  <c r="F30" i="21"/>
  <c r="W17" i="21"/>
  <c r="Y17" i="21" s="1"/>
  <c r="T17" i="21"/>
  <c r="F29" i="21"/>
  <c r="F29" i="20"/>
  <c r="G31" i="20"/>
  <c r="H31" i="21"/>
  <c r="I31" i="21" s="1"/>
  <c r="F31" i="21"/>
  <c r="F31" i="20"/>
  <c r="H36" i="21"/>
  <c r="I36" i="21" s="1"/>
  <c r="G36" i="20"/>
  <c r="F36" i="20"/>
  <c r="F36" i="21"/>
  <c r="F32" i="21"/>
  <c r="F32" i="20"/>
  <c r="F34" i="21"/>
  <c r="F34" i="20"/>
  <c r="F33" i="20"/>
  <c r="F33" i="21"/>
  <c r="W22" i="21"/>
  <c r="Y22" i="21" s="1"/>
  <c r="T22" i="21"/>
  <c r="T18" i="21"/>
  <c r="W18" i="21"/>
  <c r="Y18" i="21" s="1"/>
  <c r="H29" i="21"/>
  <c r="I29" i="21" s="1"/>
  <c r="G29" i="20"/>
  <c r="H32" i="21"/>
  <c r="I32" i="21" s="1"/>
  <c r="G32" i="20"/>
  <c r="G30" i="13"/>
  <c r="H30" i="21"/>
  <c r="I30" i="21" s="1"/>
  <c r="G30" i="20"/>
  <c r="T21" i="21"/>
  <c r="W21" i="21"/>
  <c r="Y21" i="21" s="1"/>
  <c r="H33" i="21"/>
  <c r="I33" i="21" s="1"/>
  <c r="G33" i="20"/>
  <c r="W20" i="21"/>
  <c r="Y20" i="21" s="1"/>
  <c r="T20" i="21"/>
  <c r="W19" i="21"/>
  <c r="Y19" i="21" s="1"/>
  <c r="T19" i="21"/>
  <c r="G24" i="13"/>
  <c r="G24" i="20"/>
  <c r="H24" i="21"/>
  <c r="I24" i="21" s="1"/>
  <c r="F23" i="21"/>
  <c r="F23" i="20"/>
  <c r="F24" i="21"/>
  <c r="F24" i="20"/>
  <c r="H29" i="14"/>
  <c r="I29" i="14" s="1"/>
  <c r="W93" i="18"/>
  <c r="Z93" i="18" s="1"/>
  <c r="W44" i="18"/>
  <c r="Z44" i="18" s="1"/>
  <c r="W22" i="18"/>
  <c r="Z22" i="18" s="1"/>
  <c r="J75" i="2"/>
  <c r="W78" i="2"/>
  <c r="P78" i="2"/>
  <c r="N78" i="2"/>
  <c r="W80" i="2"/>
  <c r="P80" i="2"/>
  <c r="N80" i="2"/>
  <c r="G36" i="13"/>
  <c r="H35" i="14"/>
  <c r="I35" i="14" s="1"/>
  <c r="X58" i="19"/>
  <c r="X44" i="19"/>
  <c r="I102" i="2"/>
  <c r="I103" i="2" s="1"/>
  <c r="H75" i="2"/>
  <c r="AJ72" i="6"/>
  <c r="F32" i="14"/>
  <c r="AK72" i="6"/>
  <c r="F33" i="13"/>
  <c r="X79" i="19"/>
  <c r="AC18" i="14"/>
  <c r="AJ34" i="6"/>
  <c r="AK34" i="6"/>
  <c r="F27" i="13"/>
  <c r="F26" i="14"/>
  <c r="Q21" i="14"/>
  <c r="V21" i="14"/>
  <c r="X21" i="14" s="1"/>
  <c r="X93" i="19"/>
  <c r="I75" i="2"/>
  <c r="O17" i="13"/>
  <c r="W51" i="18"/>
  <c r="Z51" i="18" s="1"/>
  <c r="AB19" i="14"/>
  <c r="F33" i="14"/>
  <c r="F34" i="13"/>
  <c r="AJ79" i="6"/>
  <c r="AK79" i="6"/>
  <c r="X22" i="19"/>
  <c r="W72" i="18"/>
  <c r="Z72" i="18" s="1"/>
  <c r="AB17" i="14"/>
  <c r="Y75" i="2"/>
  <c r="AJ58" i="6"/>
  <c r="F30" i="14"/>
  <c r="F31" i="13"/>
  <c r="AK58" i="6"/>
  <c r="H33" i="14"/>
  <c r="I33" i="14" s="1"/>
  <c r="G34" i="13"/>
  <c r="Q19" i="14"/>
  <c r="V19" i="14"/>
  <c r="X19" i="14" s="1"/>
  <c r="X72" i="19"/>
  <c r="V16" i="14"/>
  <c r="Q16" i="14"/>
  <c r="AB18" i="14"/>
  <c r="W34" i="18"/>
  <c r="Z34" i="18" s="1"/>
  <c r="G104" i="2"/>
  <c r="AK93" i="6"/>
  <c r="AJ93" i="6"/>
  <c r="F36" i="13"/>
  <c r="F35" i="14"/>
  <c r="V18" i="14"/>
  <c r="X18" i="14" s="1"/>
  <c r="Q18" i="14"/>
  <c r="W65" i="18"/>
  <c r="Z65" i="18" s="1"/>
  <c r="AC17" i="14"/>
  <c r="M75" i="2"/>
  <c r="X34" i="19"/>
  <c r="H31" i="14"/>
  <c r="I31" i="14" s="1"/>
  <c r="G32" i="13"/>
  <c r="Q20" i="14"/>
  <c r="V20" i="14"/>
  <c r="O75" i="2"/>
  <c r="AC21" i="14"/>
  <c r="AC20" i="14"/>
  <c r="F29" i="13"/>
  <c r="AK44" i="6"/>
  <c r="AJ44" i="6"/>
  <c r="F28" i="14"/>
  <c r="AK65" i="6"/>
  <c r="F32" i="13"/>
  <c r="AJ65" i="6"/>
  <c r="F31" i="14"/>
  <c r="X65" i="19"/>
  <c r="H30" i="14"/>
  <c r="I30" i="14" s="1"/>
  <c r="G31" i="13"/>
  <c r="Q75" i="2"/>
  <c r="F23" i="13"/>
  <c r="AK22" i="6"/>
  <c r="AJ22" i="6"/>
  <c r="F22" i="14"/>
  <c r="W25" i="18"/>
  <c r="Z25" i="18" s="1"/>
  <c r="AB20" i="14"/>
  <c r="AJ25" i="6"/>
  <c r="AK25" i="6"/>
  <c r="F23" i="14"/>
  <c r="F24" i="13"/>
  <c r="Q17" i="14"/>
  <c r="V17" i="14"/>
  <c r="X17" i="14" s="1"/>
  <c r="AK51" i="6"/>
  <c r="F29" i="14"/>
  <c r="AJ51" i="6"/>
  <c r="F30" i="13"/>
  <c r="X51" i="19"/>
  <c r="G75" i="2"/>
  <c r="W58" i="18"/>
  <c r="Z58" i="18" s="1"/>
  <c r="AB21" i="14"/>
  <c r="X25" i="19"/>
  <c r="N17" i="13"/>
  <c r="H28" i="14"/>
  <c r="I28" i="14" s="1"/>
  <c r="G29" i="13"/>
  <c r="AC19" i="14"/>
  <c r="W79" i="18"/>
  <c r="Z79" i="18" s="1"/>
  <c r="G33" i="13"/>
  <c r="H32" i="14"/>
  <c r="I32" i="14" s="1"/>
  <c r="K75" i="2"/>
  <c r="S27" i="25" l="1"/>
  <c r="T27" i="25" s="1"/>
  <c r="S24" i="25"/>
  <c r="T24" i="25" s="1"/>
  <c r="AM38" i="25"/>
  <c r="AX38" i="25" s="1"/>
  <c r="AW38" i="25"/>
  <c r="BA38" i="25"/>
  <c r="BC38" i="25" s="1"/>
  <c r="T30" i="25"/>
  <c r="W30" i="25"/>
  <c r="Y30" i="25" s="1"/>
  <c r="AF17" i="21"/>
  <c r="AJ17" i="25"/>
  <c r="T33" i="25"/>
  <c r="W33" i="25"/>
  <c r="Y33" i="25" s="1"/>
  <c r="T29" i="25"/>
  <c r="W29" i="25"/>
  <c r="Y29" i="25" s="1"/>
  <c r="AM37" i="25"/>
  <c r="AX37" i="25" s="1"/>
  <c r="AW37" i="25"/>
  <c r="BA37" i="25"/>
  <c r="BC37" i="25" s="1"/>
  <c r="T32" i="25"/>
  <c r="W32" i="25"/>
  <c r="Y32" i="25" s="1"/>
  <c r="T31" i="25"/>
  <c r="W31" i="25"/>
  <c r="Y31" i="25" s="1"/>
  <c r="I23" i="25"/>
  <c r="T36" i="25"/>
  <c r="W36" i="25"/>
  <c r="Y36" i="25" s="1"/>
  <c r="T23" i="25"/>
  <c r="W23" i="25"/>
  <c r="AG17" i="21"/>
  <c r="AK17" i="25"/>
  <c r="T34" i="25"/>
  <c r="W34" i="25"/>
  <c r="Y34" i="25" s="1"/>
  <c r="L80" i="4"/>
  <c r="Q80" i="4" s="1"/>
  <c r="AM80" i="4"/>
  <c r="AJ80" i="4"/>
  <c r="AG80" i="4"/>
  <c r="L81" i="4"/>
  <c r="Q81" i="4" s="1"/>
  <c r="AM81" i="4"/>
  <c r="AJ81" i="4"/>
  <c r="AN81" i="4" s="1"/>
  <c r="AG81" i="4"/>
  <c r="AH38" i="21"/>
  <c r="AS38" i="21" s="1"/>
  <c r="AD37" i="14"/>
  <c r="S38" i="20"/>
  <c r="P38" i="13"/>
  <c r="AD36" i="14"/>
  <c r="P37" i="13"/>
  <c r="S37" i="20"/>
  <c r="AH37" i="21"/>
  <c r="AS37" i="21" s="1"/>
  <c r="Q102" i="2"/>
  <c r="Q103" i="2" s="1"/>
  <c r="N104" i="2"/>
  <c r="N102" i="2"/>
  <c r="N103" i="2" s="1"/>
  <c r="O102" i="2"/>
  <c r="O103" i="2" s="1"/>
  <c r="G102" i="2"/>
  <c r="G103" i="2" s="1"/>
  <c r="J23" i="20"/>
  <c r="H23" i="20"/>
  <c r="Q23" i="20" s="1"/>
  <c r="I23" i="20"/>
  <c r="R23" i="20" s="1"/>
  <c r="K23" i="20"/>
  <c r="I34" i="20"/>
  <c r="R34" i="20" s="1"/>
  <c r="K34" i="20"/>
  <c r="J34" i="20"/>
  <c r="H34" i="20"/>
  <c r="Q34" i="20" s="1"/>
  <c r="I31" i="20"/>
  <c r="R31" i="20" s="1"/>
  <c r="H31" i="20"/>
  <c r="Q31" i="20" s="1"/>
  <c r="J31" i="20"/>
  <c r="K31" i="20"/>
  <c r="G30" i="21"/>
  <c r="S30" i="21"/>
  <c r="K106" i="2"/>
  <c r="AC19" i="10" s="1"/>
  <c r="AL15" i="29" s="1"/>
  <c r="G34" i="21"/>
  <c r="S34" i="21"/>
  <c r="G31" i="21"/>
  <c r="S31" i="21"/>
  <c r="J30" i="20"/>
  <c r="H30" i="20"/>
  <c r="Q30" i="20" s="1"/>
  <c r="I30" i="20"/>
  <c r="R30" i="20" s="1"/>
  <c r="K30" i="20"/>
  <c r="K105" i="2"/>
  <c r="K32" i="20"/>
  <c r="J32" i="20"/>
  <c r="H32" i="20"/>
  <c r="Q32" i="20" s="1"/>
  <c r="I32" i="20"/>
  <c r="R32" i="20" s="1"/>
  <c r="J24" i="20"/>
  <c r="K24" i="20"/>
  <c r="I24" i="20"/>
  <c r="R24" i="20" s="1"/>
  <c r="H24" i="20"/>
  <c r="Q24" i="20" s="1"/>
  <c r="G32" i="21"/>
  <c r="S32" i="21"/>
  <c r="G23" i="21"/>
  <c r="S23" i="21"/>
  <c r="G24" i="21"/>
  <c r="S24" i="21"/>
  <c r="G33" i="21"/>
  <c r="S33" i="21"/>
  <c r="G36" i="21"/>
  <c r="S36" i="21"/>
  <c r="H29" i="20"/>
  <c r="Q29" i="20" s="1"/>
  <c r="K29" i="20"/>
  <c r="J29" i="20"/>
  <c r="I29" i="20"/>
  <c r="R29" i="20" s="1"/>
  <c r="J27" i="20"/>
  <c r="H27" i="20"/>
  <c r="Q27" i="20" s="1"/>
  <c r="K27" i="20"/>
  <c r="I27" i="20"/>
  <c r="R27" i="20" s="1"/>
  <c r="K102" i="2"/>
  <c r="K103" i="2" s="1"/>
  <c r="I33" i="20"/>
  <c r="R33" i="20" s="1"/>
  <c r="J33" i="20"/>
  <c r="K33" i="20"/>
  <c r="H33" i="20"/>
  <c r="Q33" i="20" s="1"/>
  <c r="I36" i="20"/>
  <c r="R36" i="20" s="1"/>
  <c r="K36" i="20"/>
  <c r="H36" i="20"/>
  <c r="Q36" i="20" s="1"/>
  <c r="J36" i="20"/>
  <c r="G29" i="21"/>
  <c r="S29" i="21"/>
  <c r="G27" i="21"/>
  <c r="S27" i="21"/>
  <c r="T104" i="2"/>
  <c r="T102" i="2"/>
  <c r="T103" i="2" s="1"/>
  <c r="T105" i="2"/>
  <c r="Y104" i="2"/>
  <c r="AC52" i="10"/>
  <c r="AL48" i="29" s="1"/>
  <c r="AC53" i="10"/>
  <c r="AL49" i="29" s="1"/>
  <c r="AC51" i="10"/>
  <c r="AL47" i="29" s="1"/>
  <c r="AC54" i="10"/>
  <c r="AL50" i="29" s="1"/>
  <c r="AC50" i="10"/>
  <c r="AL46" i="29" s="1"/>
  <c r="AC49" i="10"/>
  <c r="AL45" i="29" s="1"/>
  <c r="K30" i="13"/>
  <c r="I30" i="13"/>
  <c r="O30" i="13" s="1"/>
  <c r="H30" i="13"/>
  <c r="N30" i="13" s="1"/>
  <c r="J30" i="13"/>
  <c r="I24" i="13"/>
  <c r="O24" i="13" s="1"/>
  <c r="J24" i="13"/>
  <c r="H24" i="13"/>
  <c r="N24" i="13" s="1"/>
  <c r="K24" i="13"/>
  <c r="I23" i="13"/>
  <c r="H23" i="13"/>
  <c r="K23" i="13"/>
  <c r="J23" i="13"/>
  <c r="AC16" i="14"/>
  <c r="F105" i="2"/>
  <c r="F106" i="2"/>
  <c r="AC14" i="10" s="1"/>
  <c r="AL10" i="29" s="1"/>
  <c r="F104" i="2"/>
  <c r="F102" i="2"/>
  <c r="F103" i="2" s="1"/>
  <c r="G32" i="14"/>
  <c r="P32" i="14"/>
  <c r="J106" i="2"/>
  <c r="AC18" i="10" s="1"/>
  <c r="AL14" i="29" s="1"/>
  <c r="J105" i="2"/>
  <c r="Z105" i="2"/>
  <c r="Z102" i="2"/>
  <c r="Z103" i="2" s="1"/>
  <c r="Z104" i="2"/>
  <c r="G29" i="14"/>
  <c r="P29" i="14"/>
  <c r="P31" i="14"/>
  <c r="G31" i="14"/>
  <c r="H34" i="13"/>
  <c r="N34" i="13" s="1"/>
  <c r="J34" i="13"/>
  <c r="I34" i="13"/>
  <c r="O34" i="13" s="1"/>
  <c r="K34" i="13"/>
  <c r="U105" i="2"/>
  <c r="U106" i="2"/>
  <c r="U102" i="2"/>
  <c r="U103" i="2" s="1"/>
  <c r="U104" i="2"/>
  <c r="L26" i="10"/>
  <c r="O22" i="29" s="1"/>
  <c r="L25" i="10"/>
  <c r="O21" i="29" s="1"/>
  <c r="P105" i="2"/>
  <c r="P104" i="2"/>
  <c r="P102" i="2"/>
  <c r="P103" i="2" s="1"/>
  <c r="W105" i="2"/>
  <c r="W102" i="2"/>
  <c r="W103" i="2" s="1"/>
  <c r="W104" i="2"/>
  <c r="L106" i="2"/>
  <c r="L105" i="2"/>
  <c r="L104" i="2"/>
  <c r="L102" i="2"/>
  <c r="L103" i="2" s="1"/>
  <c r="P28" i="14"/>
  <c r="G28" i="14"/>
  <c r="V106" i="2"/>
  <c r="V105" i="2"/>
  <c r="V102" i="2"/>
  <c r="V103" i="2" s="1"/>
  <c r="V104" i="2"/>
  <c r="H31" i="13"/>
  <c r="N31" i="13" s="1"/>
  <c r="J31" i="13"/>
  <c r="I31" i="13"/>
  <c r="O31" i="13" s="1"/>
  <c r="K31" i="13"/>
  <c r="P33" i="14"/>
  <c r="G33" i="14"/>
  <c r="Q105" i="2"/>
  <c r="Q106" i="2"/>
  <c r="L24" i="10"/>
  <c r="O20" i="29" s="1"/>
  <c r="L23" i="10"/>
  <c r="O19" i="29" s="1"/>
  <c r="M105" i="2"/>
  <c r="AB16" i="14"/>
  <c r="J32" i="13"/>
  <c r="H32" i="13"/>
  <c r="N32" i="13" s="1"/>
  <c r="I32" i="13"/>
  <c r="O32" i="13" s="1"/>
  <c r="K32" i="13"/>
  <c r="O105" i="2"/>
  <c r="O106" i="2"/>
  <c r="P30" i="14"/>
  <c r="G30" i="14"/>
  <c r="G26" i="14"/>
  <c r="P26" i="14"/>
  <c r="L29" i="10"/>
  <c r="O25" i="29" s="1"/>
  <c r="L30" i="10"/>
  <c r="O26" i="29" s="1"/>
  <c r="X20" i="14"/>
  <c r="AC15" i="10"/>
  <c r="G105" i="2"/>
  <c r="X53" i="14"/>
  <c r="W64" i="14" s="1"/>
  <c r="X16" i="14"/>
  <c r="K27" i="13"/>
  <c r="J27" i="13"/>
  <c r="H27" i="13"/>
  <c r="N27" i="13" s="1"/>
  <c r="I27" i="13"/>
  <c r="O27" i="13" s="1"/>
  <c r="L71" i="10"/>
  <c r="O67" i="29" s="1"/>
  <c r="L69" i="10"/>
  <c r="O65" i="29" s="1"/>
  <c r="L70" i="10"/>
  <c r="O66" i="29" s="1"/>
  <c r="L67" i="10"/>
  <c r="O63" i="29" s="1"/>
  <c r="L72" i="10"/>
  <c r="O68" i="29" s="1"/>
  <c r="L68" i="10"/>
  <c r="O64" i="29" s="1"/>
  <c r="I105" i="2"/>
  <c r="I106" i="2"/>
  <c r="AC17" i="10" s="1"/>
  <c r="AL13" i="29" s="1"/>
  <c r="G22" i="14"/>
  <c r="P22" i="14"/>
  <c r="J29" i="13"/>
  <c r="K29" i="13"/>
  <c r="H29" i="13"/>
  <c r="N29" i="13" s="1"/>
  <c r="I29" i="13"/>
  <c r="O29" i="13" s="1"/>
  <c r="H106" i="2"/>
  <c r="AC16" i="10" s="1"/>
  <c r="AL12" i="29" s="1"/>
  <c r="H105" i="2"/>
  <c r="M102" i="2"/>
  <c r="M103" i="2" s="1"/>
  <c r="G35" i="14"/>
  <c r="P35" i="14"/>
  <c r="S106" i="2"/>
  <c r="S105" i="2"/>
  <c r="S104" i="2"/>
  <c r="S102" i="2"/>
  <c r="S103" i="2" s="1"/>
  <c r="J104" i="2"/>
  <c r="H104" i="2"/>
  <c r="H102" i="2"/>
  <c r="H103" i="2" s="1"/>
  <c r="J102" i="2"/>
  <c r="J103" i="2" s="1"/>
  <c r="P23" i="14"/>
  <c r="G23" i="14"/>
  <c r="I104" i="2"/>
  <c r="M104" i="2"/>
  <c r="R106" i="2"/>
  <c r="R105" i="2"/>
  <c r="R102" i="2"/>
  <c r="R103" i="2" s="1"/>
  <c r="R104" i="2"/>
  <c r="K36" i="13"/>
  <c r="I36" i="13"/>
  <c r="O36" i="13" s="1"/>
  <c r="J36" i="13"/>
  <c r="H36" i="13"/>
  <c r="N36" i="13" s="1"/>
  <c r="X106" i="2"/>
  <c r="X105" i="2"/>
  <c r="X104" i="2"/>
  <c r="X102" i="2"/>
  <c r="X103" i="2" s="1"/>
  <c r="E105" i="2"/>
  <c r="E106" i="2"/>
  <c r="AC13" i="10" s="1"/>
  <c r="D95" i="2"/>
  <c r="E102" i="2"/>
  <c r="E103" i="2" s="1"/>
  <c r="E104" i="2"/>
  <c r="Y102" i="2"/>
  <c r="Y103" i="2" s="1"/>
  <c r="K33" i="13"/>
  <c r="I33" i="13"/>
  <c r="O33" i="13" s="1"/>
  <c r="J33" i="13"/>
  <c r="H33" i="13"/>
  <c r="N33" i="13" s="1"/>
  <c r="AN80" i="4" l="1"/>
  <c r="AL11" i="29"/>
  <c r="AL11" i="17"/>
  <c r="W24" i="25"/>
  <c r="Y24" i="25" s="1"/>
  <c r="W27" i="25"/>
  <c r="Y27" i="25" s="1"/>
  <c r="AL9" i="29"/>
  <c r="N14" i="11"/>
  <c r="AE67" i="29"/>
  <c r="R67" i="29"/>
  <c r="R19" i="29"/>
  <c r="AE19" i="29"/>
  <c r="R20" i="29"/>
  <c r="AE20" i="29"/>
  <c r="R26" i="29"/>
  <c r="AE26" i="29"/>
  <c r="R21" i="29"/>
  <c r="AE21" i="29"/>
  <c r="R65" i="29"/>
  <c r="AE65" i="29"/>
  <c r="R64" i="29"/>
  <c r="AE64" i="29"/>
  <c r="R25" i="29"/>
  <c r="AE25" i="29"/>
  <c r="R22" i="29"/>
  <c r="AE22" i="29"/>
  <c r="AE68" i="29"/>
  <c r="R68" i="29"/>
  <c r="R63" i="29"/>
  <c r="AE63" i="29"/>
  <c r="AE66" i="29"/>
  <c r="R66" i="29"/>
  <c r="AG13" i="10"/>
  <c r="H14" i="4" s="1"/>
  <c r="I14" i="4" s="1"/>
  <c r="AF33" i="21"/>
  <c r="AJ33" i="25"/>
  <c r="AG36" i="21"/>
  <c r="AK36" i="25"/>
  <c r="AF29" i="21"/>
  <c r="AJ29" i="25"/>
  <c r="AF32" i="21"/>
  <c r="AJ32" i="25"/>
  <c r="AG29" i="21"/>
  <c r="AK29" i="25"/>
  <c r="AG32" i="21"/>
  <c r="AK32" i="25"/>
  <c r="AF34" i="21"/>
  <c r="AJ34" i="25"/>
  <c r="AG30" i="21"/>
  <c r="AK30" i="25"/>
  <c r="AF30" i="21"/>
  <c r="AJ30" i="25"/>
  <c r="AG33" i="21"/>
  <c r="AK33" i="25"/>
  <c r="AG31" i="21"/>
  <c r="AK31" i="25"/>
  <c r="Y23" i="25"/>
  <c r="AG27" i="21"/>
  <c r="AK27" i="25"/>
  <c r="AF31" i="21"/>
  <c r="AJ31" i="25"/>
  <c r="AG34" i="21"/>
  <c r="AK34" i="25"/>
  <c r="AF24" i="21"/>
  <c r="AJ24" i="25"/>
  <c r="AG24" i="21"/>
  <c r="AK24" i="25"/>
  <c r="AF36" i="21"/>
  <c r="AJ36" i="25"/>
  <c r="AF27" i="21"/>
  <c r="AJ27" i="25"/>
  <c r="AD80" i="10"/>
  <c r="K95" i="7"/>
  <c r="AE79" i="10"/>
  <c r="AN75" i="29" s="1"/>
  <c r="I94" i="7"/>
  <c r="AI94" i="7" s="1"/>
  <c r="J94" i="7"/>
  <c r="AM94" i="7" s="1"/>
  <c r="AF79" i="10"/>
  <c r="AO75" i="29" s="1"/>
  <c r="I95" i="7"/>
  <c r="AI95" i="7" s="1"/>
  <c r="AE80" i="10"/>
  <c r="AN76" i="29" s="1"/>
  <c r="AD79" i="10"/>
  <c r="K94" i="7"/>
  <c r="AF80" i="10"/>
  <c r="AO76" i="29" s="1"/>
  <c r="J95" i="7"/>
  <c r="AM95" i="7" s="1"/>
  <c r="AW38" i="21"/>
  <c r="AY38" i="21" s="1"/>
  <c r="AI38" i="21"/>
  <c r="AT38" i="21" s="1"/>
  <c r="Q37" i="13"/>
  <c r="S37" i="13"/>
  <c r="R37" i="13"/>
  <c r="T37" i="13"/>
  <c r="AP36" i="14"/>
  <c r="AR36" i="14" s="1"/>
  <c r="AE36" i="14"/>
  <c r="AW37" i="21"/>
  <c r="AY37" i="21" s="1"/>
  <c r="AI37" i="21"/>
  <c r="AT37" i="21" s="1"/>
  <c r="W37" i="20"/>
  <c r="U37" i="20"/>
  <c r="T37" i="20"/>
  <c r="V37" i="20"/>
  <c r="AP37" i="14"/>
  <c r="AR37" i="14" s="1"/>
  <c r="AE37" i="14"/>
  <c r="S38" i="13"/>
  <c r="Q38" i="13"/>
  <c r="T38" i="13"/>
  <c r="R38" i="13"/>
  <c r="V38" i="20"/>
  <c r="T38" i="20"/>
  <c r="U38" i="20"/>
  <c r="W38" i="20"/>
  <c r="AG51" i="10"/>
  <c r="H52" i="4" s="1"/>
  <c r="I52" i="4" s="1"/>
  <c r="AG50" i="10"/>
  <c r="H51" i="4" s="1"/>
  <c r="I51" i="4" s="1"/>
  <c r="AG53" i="10"/>
  <c r="H54" i="4" s="1"/>
  <c r="I54" i="4" s="1"/>
  <c r="AG14" i="10"/>
  <c r="H15" i="4" s="1"/>
  <c r="I15" i="4" s="1"/>
  <c r="AG52" i="10"/>
  <c r="H53" i="4" s="1"/>
  <c r="I53" i="4" s="1"/>
  <c r="AG54" i="10"/>
  <c r="H55" i="4" s="1"/>
  <c r="I55" i="4" s="1"/>
  <c r="AG15" i="10"/>
  <c r="H16" i="4" s="1"/>
  <c r="I16" i="4" s="1"/>
  <c r="AG18" i="10"/>
  <c r="H19" i="4" s="1"/>
  <c r="I19" i="4" s="1"/>
  <c r="AG19" i="10"/>
  <c r="H20" i="4" s="1"/>
  <c r="I20" i="4" s="1"/>
  <c r="AG16" i="10"/>
  <c r="H17" i="4" s="1"/>
  <c r="I17" i="4" s="1"/>
  <c r="AG17" i="10"/>
  <c r="H18" i="4" s="1"/>
  <c r="I18" i="4" s="1"/>
  <c r="AG49" i="10"/>
  <c r="H50" i="4" s="1"/>
  <c r="I50" i="4" s="1"/>
  <c r="O27" i="23"/>
  <c r="Q27" i="23" s="1"/>
  <c r="O27" i="22"/>
  <c r="Q27" i="22" s="1"/>
  <c r="W23" i="21"/>
  <c r="Y23" i="21" s="1"/>
  <c r="T23" i="21"/>
  <c r="O66" i="23"/>
  <c r="Q66" i="23" s="1"/>
  <c r="O66" i="22"/>
  <c r="Q66" i="22" s="1"/>
  <c r="O26" i="23"/>
  <c r="Q26" i="23" s="1"/>
  <c r="O26" i="22"/>
  <c r="Q26" i="22" s="1"/>
  <c r="T30" i="21"/>
  <c r="W30" i="21"/>
  <c r="Y30" i="21" s="1"/>
  <c r="O20" i="23"/>
  <c r="Q20" i="23" s="1"/>
  <c r="O20" i="22"/>
  <c r="Q20" i="22" s="1"/>
  <c r="O25" i="10"/>
  <c r="R25" i="10" s="1"/>
  <c r="O22" i="23"/>
  <c r="Q22" i="23" s="1"/>
  <c r="O22" i="22"/>
  <c r="Q22" i="22" s="1"/>
  <c r="T29" i="21"/>
  <c r="W29" i="21"/>
  <c r="Y29" i="21" s="1"/>
  <c r="T32" i="21"/>
  <c r="W32" i="21"/>
  <c r="Y32" i="21" s="1"/>
  <c r="W31" i="21"/>
  <c r="Y31" i="21" s="1"/>
  <c r="T31" i="21"/>
  <c r="O68" i="23"/>
  <c r="Q68" i="23" s="1"/>
  <c r="O68" i="22"/>
  <c r="Q68" i="22" s="1"/>
  <c r="AC20" i="10"/>
  <c r="AL16" i="29" s="1"/>
  <c r="O21" i="23"/>
  <c r="Q21" i="23" s="1"/>
  <c r="O21" i="22"/>
  <c r="Q21" i="22" s="1"/>
  <c r="O23" i="23"/>
  <c r="Q23" i="23" s="1"/>
  <c r="O23" i="22"/>
  <c r="Q23" i="22" s="1"/>
  <c r="O65" i="22"/>
  <c r="Q65" i="22" s="1"/>
  <c r="O65" i="23"/>
  <c r="Q65" i="23" s="1"/>
  <c r="W24" i="21"/>
  <c r="Y24" i="21" s="1"/>
  <c r="T24" i="21"/>
  <c r="W34" i="21"/>
  <c r="Y34" i="21" s="1"/>
  <c r="T34" i="21"/>
  <c r="T33" i="21"/>
  <c r="W33" i="21"/>
  <c r="Y33" i="21" s="1"/>
  <c r="O69" i="22"/>
  <c r="Q69" i="22" s="1"/>
  <c r="O69" i="23"/>
  <c r="Q69" i="23" s="1"/>
  <c r="O67" i="23"/>
  <c r="Q67" i="23" s="1"/>
  <c r="O67" i="22"/>
  <c r="Q67" i="22" s="1"/>
  <c r="O64" i="23"/>
  <c r="Q64" i="23" s="1"/>
  <c r="O64" i="22"/>
  <c r="Q64" i="22" s="1"/>
  <c r="W27" i="21"/>
  <c r="Y27" i="21" s="1"/>
  <c r="T27" i="21"/>
  <c r="W36" i="21"/>
  <c r="Y36" i="21" s="1"/>
  <c r="T36" i="21"/>
  <c r="V14" i="23"/>
  <c r="R14" i="22"/>
  <c r="S14" i="22" s="1"/>
  <c r="V15" i="23"/>
  <c r="R15" i="22"/>
  <c r="S15" i="22" s="1"/>
  <c r="V47" i="23"/>
  <c r="R47" i="22"/>
  <c r="S47" i="22" s="1"/>
  <c r="R46" i="22"/>
  <c r="S46" i="22" s="1"/>
  <c r="V46" i="23"/>
  <c r="V16" i="23"/>
  <c r="R16" i="22"/>
  <c r="S16" i="22" s="1"/>
  <c r="R51" i="22"/>
  <c r="S51" i="22" s="1"/>
  <c r="V51" i="23"/>
  <c r="R12" i="22"/>
  <c r="S12" i="22" s="1"/>
  <c r="V12" i="23"/>
  <c r="V48" i="23"/>
  <c r="R48" i="22"/>
  <c r="S48" i="22" s="1"/>
  <c r="R50" i="22"/>
  <c r="S50" i="22" s="1"/>
  <c r="V50" i="23"/>
  <c r="V10" i="23"/>
  <c r="R10" i="22"/>
  <c r="S10" i="22" s="1"/>
  <c r="V49" i="23"/>
  <c r="R49" i="22"/>
  <c r="S49" i="22" s="1"/>
  <c r="V13" i="23"/>
  <c r="R13" i="22"/>
  <c r="S13" i="22" s="1"/>
  <c r="R11" i="22"/>
  <c r="S11" i="22" s="1"/>
  <c r="V11" i="23"/>
  <c r="AB64" i="14"/>
  <c r="AG64" i="14" s="1"/>
  <c r="E17" i="18"/>
  <c r="I17" i="18" s="1"/>
  <c r="AB17" i="18" s="1"/>
  <c r="N17" i="11"/>
  <c r="AL12" i="17"/>
  <c r="AY12" i="17" s="1"/>
  <c r="E17" i="19"/>
  <c r="J17" i="19" s="1"/>
  <c r="AB17" i="19" s="1"/>
  <c r="Y53" i="14"/>
  <c r="AC32" i="14"/>
  <c r="AB35" i="14"/>
  <c r="V22" i="14"/>
  <c r="Q22" i="14"/>
  <c r="E70" i="11"/>
  <c r="F70" i="4"/>
  <c r="G70" i="4" s="1"/>
  <c r="E82" i="6"/>
  <c r="I82" i="6" s="1"/>
  <c r="AB82" i="6" s="1"/>
  <c r="O65" i="17"/>
  <c r="AE65" i="17" s="1"/>
  <c r="O69" i="10"/>
  <c r="R69" i="10" s="1"/>
  <c r="AC33" i="14"/>
  <c r="Q32" i="14"/>
  <c r="V32" i="14"/>
  <c r="X32" i="14" s="1"/>
  <c r="AC23" i="14"/>
  <c r="E61" i="18"/>
  <c r="I61" i="18" s="1"/>
  <c r="AB61" i="18" s="1"/>
  <c r="E61" i="19"/>
  <c r="J61" i="19" s="1"/>
  <c r="AB61" i="19" s="1"/>
  <c r="AL47" i="17"/>
  <c r="AY47" i="17" s="1"/>
  <c r="N52" i="11"/>
  <c r="AC39" i="10"/>
  <c r="AL35" i="29" s="1"/>
  <c r="AC40" i="10"/>
  <c r="AL36" i="29" s="1"/>
  <c r="AC41" i="10"/>
  <c r="AL37" i="29" s="1"/>
  <c r="AC42" i="10"/>
  <c r="AL38" i="29" s="1"/>
  <c r="AC37" i="10"/>
  <c r="AL33" i="29" s="1"/>
  <c r="AC38" i="10"/>
  <c r="AL34" i="29" s="1"/>
  <c r="AC35" i="14"/>
  <c r="AC28" i="14"/>
  <c r="Q33" i="14"/>
  <c r="V33" i="14"/>
  <c r="X33" i="14" s="1"/>
  <c r="AC64" i="10"/>
  <c r="AL60" i="29" s="1"/>
  <c r="AC66" i="10"/>
  <c r="AL62" i="29" s="1"/>
  <c r="AC65" i="10"/>
  <c r="AL61" i="29" s="1"/>
  <c r="AC61" i="10"/>
  <c r="AL57" i="29" s="1"/>
  <c r="AC62" i="10"/>
  <c r="AL58" i="29" s="1"/>
  <c r="AC63" i="10"/>
  <c r="AL59" i="29" s="1"/>
  <c r="E30" i="6"/>
  <c r="I30" i="6" s="1"/>
  <c r="AB30" i="6" s="1"/>
  <c r="E27" i="11"/>
  <c r="O26" i="10"/>
  <c r="R26" i="10" s="1"/>
  <c r="O22" i="17"/>
  <c r="AE22" i="17" s="1"/>
  <c r="F27" i="4"/>
  <c r="G27" i="4" s="1"/>
  <c r="AB33" i="14"/>
  <c r="Q31" i="14"/>
  <c r="V31" i="14"/>
  <c r="X31" i="14" s="1"/>
  <c r="AB29" i="14"/>
  <c r="N53" i="11"/>
  <c r="E62" i="18"/>
  <c r="I62" i="18" s="1"/>
  <c r="AB62" i="18" s="1"/>
  <c r="E62" i="19"/>
  <c r="J62" i="19" s="1"/>
  <c r="AB62" i="19" s="1"/>
  <c r="AL48" i="17"/>
  <c r="AY48" i="17" s="1"/>
  <c r="V26" i="14"/>
  <c r="Q26" i="14"/>
  <c r="AC22" i="10"/>
  <c r="AL18" i="29" s="1"/>
  <c r="AC21" i="10"/>
  <c r="AL17" i="29" s="1"/>
  <c r="N54" i="11"/>
  <c r="E63" i="19"/>
  <c r="J63" i="19" s="1"/>
  <c r="AB63" i="19" s="1"/>
  <c r="E63" i="18"/>
  <c r="I63" i="18" s="1"/>
  <c r="AB63" i="18" s="1"/>
  <c r="AL49" i="17"/>
  <c r="AY49" i="17" s="1"/>
  <c r="AB32" i="14"/>
  <c r="AC46" i="10"/>
  <c r="AL42" i="29" s="1"/>
  <c r="AC43" i="10"/>
  <c r="AL39" i="29" s="1"/>
  <c r="AC45" i="10"/>
  <c r="AL41" i="29" s="1"/>
  <c r="AC44" i="10"/>
  <c r="AL40" i="29" s="1"/>
  <c r="AC47" i="10"/>
  <c r="AL43" i="29" s="1"/>
  <c r="AC48" i="10"/>
  <c r="AL44" i="29" s="1"/>
  <c r="AB28" i="14"/>
  <c r="AY11" i="17"/>
  <c r="E16" i="18"/>
  <c r="I16" i="18" s="1"/>
  <c r="AB16" i="18" s="1"/>
  <c r="E16" i="19"/>
  <c r="J16" i="19" s="1"/>
  <c r="AB16" i="19" s="1"/>
  <c r="N16" i="11"/>
  <c r="E36" i="6"/>
  <c r="I36" i="6" s="1"/>
  <c r="AB36" i="6" s="1"/>
  <c r="E31" i="11"/>
  <c r="F31" i="4"/>
  <c r="G31" i="4" s="1"/>
  <c r="O26" i="17"/>
  <c r="AE26" i="17" s="1"/>
  <c r="O30" i="10"/>
  <c r="R30" i="10" s="1"/>
  <c r="AC31" i="14"/>
  <c r="N23" i="13"/>
  <c r="AC29" i="14"/>
  <c r="O67" i="17"/>
  <c r="AE67" i="17" s="1"/>
  <c r="F72" i="4"/>
  <c r="G72" i="4" s="1"/>
  <c r="E84" i="6"/>
  <c r="I84" i="6" s="1"/>
  <c r="AB84" i="6" s="1"/>
  <c r="E72" i="11"/>
  <c r="O71" i="10"/>
  <c r="R71" i="10" s="1"/>
  <c r="Q30" i="14"/>
  <c r="V30" i="14"/>
  <c r="X30" i="14" s="1"/>
  <c r="E20" i="19"/>
  <c r="J20" i="19" s="1"/>
  <c r="AB20" i="19" s="1"/>
  <c r="E20" i="18"/>
  <c r="I20" i="18" s="1"/>
  <c r="AB20" i="18" s="1"/>
  <c r="AL15" i="17"/>
  <c r="AY15" i="17" s="1"/>
  <c r="N20" i="11"/>
  <c r="Q35" i="14"/>
  <c r="V35" i="14"/>
  <c r="X35" i="14" s="1"/>
  <c r="E69" i="11"/>
  <c r="F69" i="4"/>
  <c r="G69" i="4" s="1"/>
  <c r="E81" i="6"/>
  <c r="I81" i="6" s="1"/>
  <c r="AB81" i="6" s="1"/>
  <c r="O64" i="17"/>
  <c r="AE64" i="17" s="1"/>
  <c r="O68" i="10"/>
  <c r="R68" i="10" s="1"/>
  <c r="E35" i="6"/>
  <c r="I35" i="6" s="1"/>
  <c r="AB35" i="6" s="1"/>
  <c r="F30" i="4"/>
  <c r="G30" i="4" s="1"/>
  <c r="E30" i="11"/>
  <c r="O29" i="10"/>
  <c r="R29" i="10" s="1"/>
  <c r="O25" i="17"/>
  <c r="AE25" i="17" s="1"/>
  <c r="AC27" i="10"/>
  <c r="AL23" i="29" s="1"/>
  <c r="AC28" i="10"/>
  <c r="AL24" i="29" s="1"/>
  <c r="AB31" i="14"/>
  <c r="AC30" i="14"/>
  <c r="O23" i="13"/>
  <c r="E73" i="11"/>
  <c r="F73" i="4"/>
  <c r="G73" i="4" s="1"/>
  <c r="E85" i="6"/>
  <c r="I85" i="6" s="1"/>
  <c r="AB85" i="6" s="1"/>
  <c r="O68" i="17"/>
  <c r="AE68" i="17" s="1"/>
  <c r="O72" i="10"/>
  <c r="R72" i="10" s="1"/>
  <c r="O19" i="17"/>
  <c r="E26" i="6"/>
  <c r="I26" i="6" s="1"/>
  <c r="AB26" i="6" s="1"/>
  <c r="E24" i="11"/>
  <c r="O23" i="10"/>
  <c r="R23" i="10" s="1"/>
  <c r="F24" i="4"/>
  <c r="G24" i="4" s="1"/>
  <c r="Q28" i="14"/>
  <c r="V28" i="14"/>
  <c r="X28" i="14" s="1"/>
  <c r="AC59" i="10"/>
  <c r="AL55" i="29" s="1"/>
  <c r="AC57" i="10"/>
  <c r="AL53" i="29" s="1"/>
  <c r="AC58" i="10"/>
  <c r="AL54" i="29" s="1"/>
  <c r="AC56" i="10"/>
  <c r="AL52" i="29" s="1"/>
  <c r="AC60" i="10"/>
  <c r="AL56" i="29" s="1"/>
  <c r="AC55" i="10"/>
  <c r="AL51" i="29" s="1"/>
  <c r="AL10" i="17"/>
  <c r="AY10" i="17" s="1"/>
  <c r="E15" i="18"/>
  <c r="I15" i="18" s="1"/>
  <c r="AB15" i="18" s="1"/>
  <c r="E15" i="19"/>
  <c r="J15" i="19" s="1"/>
  <c r="AB15" i="19" s="1"/>
  <c r="N15" i="11"/>
  <c r="E59" i="19"/>
  <c r="J59" i="19" s="1"/>
  <c r="AB59" i="19" s="1"/>
  <c r="AL45" i="17"/>
  <c r="AY45" i="17" s="1"/>
  <c r="E59" i="18"/>
  <c r="I59" i="18" s="1"/>
  <c r="AB59" i="18" s="1"/>
  <c r="N50" i="11"/>
  <c r="F26" i="4"/>
  <c r="G26" i="4" s="1"/>
  <c r="O21" i="17"/>
  <c r="AE21" i="17" s="1"/>
  <c r="E26" i="11"/>
  <c r="E29" i="6"/>
  <c r="I29" i="6" s="1"/>
  <c r="AB29" i="6" s="1"/>
  <c r="D106" i="2"/>
  <c r="D105" i="2"/>
  <c r="D102" i="2"/>
  <c r="D103" i="2" s="1"/>
  <c r="D104" i="2"/>
  <c r="E18" i="19"/>
  <c r="J18" i="19" s="1"/>
  <c r="AB18" i="19" s="1"/>
  <c r="E18" i="18"/>
  <c r="I18" i="18" s="1"/>
  <c r="AB18" i="18" s="1"/>
  <c r="AL13" i="17"/>
  <c r="AY13" i="17" s="1"/>
  <c r="N18" i="11"/>
  <c r="AC26" i="14"/>
  <c r="O24" i="10"/>
  <c r="R24" i="10" s="1"/>
  <c r="O20" i="17"/>
  <c r="AE20" i="17" s="1"/>
  <c r="E27" i="6"/>
  <c r="I27" i="6" s="1"/>
  <c r="AB27" i="6" s="1"/>
  <c r="F25" i="4"/>
  <c r="G25" i="4" s="1"/>
  <c r="E25" i="11"/>
  <c r="AC35" i="10"/>
  <c r="AL31" i="29" s="1"/>
  <c r="AC32" i="10"/>
  <c r="AL28" i="29" s="1"/>
  <c r="AC33" i="10"/>
  <c r="AL29" i="29" s="1"/>
  <c r="AC36" i="10"/>
  <c r="AL32" i="29" s="1"/>
  <c r="AC31" i="10"/>
  <c r="AL27" i="29" s="1"/>
  <c r="AC34" i="10"/>
  <c r="AL30" i="29" s="1"/>
  <c r="AB30" i="14"/>
  <c r="AL14" i="17"/>
  <c r="AY14" i="17" s="1"/>
  <c r="E19" i="19"/>
  <c r="J19" i="19" s="1"/>
  <c r="AB19" i="19" s="1"/>
  <c r="E19" i="18"/>
  <c r="I19" i="18" s="1"/>
  <c r="AB19" i="18" s="1"/>
  <c r="N19" i="11"/>
  <c r="AB23" i="14"/>
  <c r="E60" i="19"/>
  <c r="J60" i="19" s="1"/>
  <c r="AB60" i="19" s="1"/>
  <c r="AL46" i="17"/>
  <c r="AY46" i="17" s="1"/>
  <c r="N51" i="11"/>
  <c r="E60" i="18"/>
  <c r="I60" i="18" s="1"/>
  <c r="AB60" i="18" s="1"/>
  <c r="E80" i="6"/>
  <c r="I80" i="6" s="1"/>
  <c r="AB80" i="6" s="1"/>
  <c r="O63" i="17"/>
  <c r="AE63" i="17" s="1"/>
  <c r="O67" i="10"/>
  <c r="R67" i="10" s="1"/>
  <c r="E68" i="11"/>
  <c r="F68" i="4"/>
  <c r="G68" i="4" s="1"/>
  <c r="E14" i="19"/>
  <c r="J14" i="19" s="1"/>
  <c r="AB14" i="19" s="1"/>
  <c r="E14" i="18"/>
  <c r="I14" i="18" s="1"/>
  <c r="AB14" i="18" s="1"/>
  <c r="AL9" i="17"/>
  <c r="AY9" i="17" s="1"/>
  <c r="AC73" i="10"/>
  <c r="AL69" i="29" s="1"/>
  <c r="AC76" i="10"/>
  <c r="AL72" i="29" s="1"/>
  <c r="AC77" i="10"/>
  <c r="AL73" i="29" s="1"/>
  <c r="AC75" i="10"/>
  <c r="AL71" i="29" s="1"/>
  <c r="AC74" i="10"/>
  <c r="AL70" i="29" s="1"/>
  <c r="AC78" i="10"/>
  <c r="AL74" i="29" s="1"/>
  <c r="Q23" i="14"/>
  <c r="V23" i="14"/>
  <c r="F71" i="4"/>
  <c r="G71" i="4" s="1"/>
  <c r="E83" i="6"/>
  <c r="I83" i="6" s="1"/>
  <c r="AB83" i="6" s="1"/>
  <c r="E71" i="11"/>
  <c r="O66" i="17"/>
  <c r="AE66" i="17" s="1"/>
  <c r="O70" i="10"/>
  <c r="R70" i="10" s="1"/>
  <c r="AB26" i="14"/>
  <c r="Q29" i="14"/>
  <c r="V29" i="14"/>
  <c r="X29" i="14" s="1"/>
  <c r="E64" i="18"/>
  <c r="I64" i="18" s="1"/>
  <c r="AB64" i="18" s="1"/>
  <c r="E64" i="19"/>
  <c r="J64" i="19" s="1"/>
  <c r="AB64" i="19" s="1"/>
  <c r="AL50" i="17"/>
  <c r="AY50" i="17" s="1"/>
  <c r="N55" i="11"/>
  <c r="AM75" i="29" l="1"/>
  <c r="AP75" i="29" s="1"/>
  <c r="AH79" i="10"/>
  <c r="AM76" i="29"/>
  <c r="AP76" i="29" s="1"/>
  <c r="AH80" i="10"/>
  <c r="BD76" i="29"/>
  <c r="AM37" i="21"/>
  <c r="AJ36" i="14" s="1"/>
  <c r="AK36" i="14" s="1"/>
  <c r="AQ37" i="25"/>
  <c r="AM38" i="21"/>
  <c r="AJ37" i="14" s="1"/>
  <c r="AK37" i="14" s="1"/>
  <c r="AQ38" i="25"/>
  <c r="AJ37" i="21"/>
  <c r="AH36" i="14" s="1"/>
  <c r="AN37" i="25"/>
  <c r="AO76" i="17"/>
  <c r="Y77" i="23"/>
  <c r="AN75" i="17"/>
  <c r="X76" i="23"/>
  <c r="AN76" i="17"/>
  <c r="X77" i="23"/>
  <c r="AG23" i="21"/>
  <c r="AK23" i="25"/>
  <c r="AJ38" i="21"/>
  <c r="AH37" i="14" s="1"/>
  <c r="AN38" i="25"/>
  <c r="AF23" i="21"/>
  <c r="AJ23" i="25"/>
  <c r="AO75" i="17"/>
  <c r="Y76" i="23"/>
  <c r="K72" i="4"/>
  <c r="K71" i="4"/>
  <c r="K73" i="4"/>
  <c r="L50" i="4"/>
  <c r="L53" i="4"/>
  <c r="K70" i="4"/>
  <c r="L18" i="4"/>
  <c r="Q18" i="4" s="1"/>
  <c r="L15" i="4"/>
  <c r="Q15" i="4" s="1"/>
  <c r="K24" i="4"/>
  <c r="L17" i="4"/>
  <c r="Q17" i="4" s="1"/>
  <c r="L54" i="4"/>
  <c r="K31" i="4"/>
  <c r="K27" i="4"/>
  <c r="L20" i="4"/>
  <c r="L51" i="4"/>
  <c r="L55" i="4"/>
  <c r="L19" i="4"/>
  <c r="Q19" i="4" s="1"/>
  <c r="L52" i="4"/>
  <c r="AQ94" i="7"/>
  <c r="AT37" i="25" s="1"/>
  <c r="AU94" i="7"/>
  <c r="K68" i="4"/>
  <c r="K26" i="4"/>
  <c r="L16" i="4"/>
  <c r="Q16" i="4" s="1"/>
  <c r="F94" i="19"/>
  <c r="AF94" i="19" s="1"/>
  <c r="AJ94" i="19" s="1"/>
  <c r="O80" i="11"/>
  <c r="W76" i="23"/>
  <c r="AM75" i="17"/>
  <c r="AQ95" i="7"/>
  <c r="AT38" i="25" s="1"/>
  <c r="AU95" i="7"/>
  <c r="K25" i="4"/>
  <c r="K30" i="4"/>
  <c r="K69" i="4"/>
  <c r="L14" i="4"/>
  <c r="Q14" i="4" s="1"/>
  <c r="F95" i="19"/>
  <c r="AF95" i="19" s="1"/>
  <c r="AJ95" i="19" s="1"/>
  <c r="O81" i="11"/>
  <c r="W77" i="23"/>
  <c r="AM76" i="17"/>
  <c r="AG55" i="10"/>
  <c r="H56" i="4" s="1"/>
  <c r="I56" i="4" s="1"/>
  <c r="AG45" i="10"/>
  <c r="H46" i="4" s="1"/>
  <c r="I46" i="4" s="1"/>
  <c r="AG21" i="10"/>
  <c r="H22" i="4" s="1"/>
  <c r="I22" i="4" s="1"/>
  <c r="AG40" i="10"/>
  <c r="H41" i="4" s="1"/>
  <c r="I41" i="4" s="1"/>
  <c r="AG20" i="10"/>
  <c r="H21" i="4" s="1"/>
  <c r="I21" i="4" s="1"/>
  <c r="AG64" i="10"/>
  <c r="H65" i="4" s="1"/>
  <c r="I65" i="4" s="1"/>
  <c r="AG77" i="10"/>
  <c r="H78" i="4" s="1"/>
  <c r="I78" i="4" s="1"/>
  <c r="AG31" i="10"/>
  <c r="H32" i="4" s="1"/>
  <c r="I32" i="4" s="1"/>
  <c r="AG56" i="10"/>
  <c r="H57" i="4" s="1"/>
  <c r="I57" i="4" s="1"/>
  <c r="AG46" i="10"/>
  <c r="H47" i="4" s="1"/>
  <c r="I47" i="4" s="1"/>
  <c r="AG63" i="10"/>
  <c r="H64" i="4" s="1"/>
  <c r="I64" i="4" s="1"/>
  <c r="AG44" i="10"/>
  <c r="H45" i="4" s="1"/>
  <c r="I45" i="4" s="1"/>
  <c r="AG34" i="10"/>
  <c r="H35" i="4" s="1"/>
  <c r="I35" i="4" s="1"/>
  <c r="AG39" i="10"/>
  <c r="H40" i="4" s="1"/>
  <c r="I40" i="4" s="1"/>
  <c r="AG73" i="10"/>
  <c r="H74" i="4" s="1"/>
  <c r="I74" i="4" s="1"/>
  <c r="AG36" i="10"/>
  <c r="H37" i="4" s="1"/>
  <c r="I37" i="4" s="1"/>
  <c r="AG58" i="10"/>
  <c r="H59" i="4" s="1"/>
  <c r="I59" i="4" s="1"/>
  <c r="AG28" i="10"/>
  <c r="H29" i="4" s="1"/>
  <c r="I29" i="4" s="1"/>
  <c r="AG62" i="10"/>
  <c r="H63" i="4" s="1"/>
  <c r="I63" i="4" s="1"/>
  <c r="AG75" i="10"/>
  <c r="H76" i="4" s="1"/>
  <c r="I76" i="4" s="1"/>
  <c r="AG76" i="10"/>
  <c r="H77" i="4" s="1"/>
  <c r="I77" i="4" s="1"/>
  <c r="AG43" i="10"/>
  <c r="H44" i="4" s="1"/>
  <c r="I44" i="4" s="1"/>
  <c r="AG33" i="10"/>
  <c r="H34" i="4" s="1"/>
  <c r="I34" i="4" s="1"/>
  <c r="AG57" i="10"/>
  <c r="H58" i="4" s="1"/>
  <c r="I58" i="4" s="1"/>
  <c r="AG27" i="10"/>
  <c r="H28" i="4" s="1"/>
  <c r="I28" i="4" s="1"/>
  <c r="AG61" i="10"/>
  <c r="H62" i="4" s="1"/>
  <c r="I62" i="4" s="1"/>
  <c r="AG38" i="10"/>
  <c r="H39" i="4" s="1"/>
  <c r="I39" i="4" s="1"/>
  <c r="AG22" i="10"/>
  <c r="H23" i="4" s="1"/>
  <c r="I23" i="4" s="1"/>
  <c r="AG32" i="10"/>
  <c r="H33" i="4" s="1"/>
  <c r="I33" i="4" s="1"/>
  <c r="AG59" i="10"/>
  <c r="H60" i="4" s="1"/>
  <c r="I60" i="4" s="1"/>
  <c r="AG48" i="10"/>
  <c r="H49" i="4" s="1"/>
  <c r="I49" i="4" s="1"/>
  <c r="AG65" i="10"/>
  <c r="H66" i="4" s="1"/>
  <c r="I66" i="4" s="1"/>
  <c r="AG37" i="10"/>
  <c r="H38" i="4" s="1"/>
  <c r="I38" i="4" s="1"/>
  <c r="AG41" i="10"/>
  <c r="H42" i="4" s="1"/>
  <c r="I42" i="4" s="1"/>
  <c r="AG60" i="10"/>
  <c r="H61" i="4" s="1"/>
  <c r="I61" i="4" s="1"/>
  <c r="AG78" i="10"/>
  <c r="H79" i="4" s="1"/>
  <c r="I79" i="4" s="1"/>
  <c r="AG74" i="10"/>
  <c r="H75" i="4" s="1"/>
  <c r="I75" i="4" s="1"/>
  <c r="AG35" i="10"/>
  <c r="H36" i="4" s="1"/>
  <c r="I36" i="4" s="1"/>
  <c r="AG47" i="10"/>
  <c r="H48" i="4" s="1"/>
  <c r="I48" i="4" s="1"/>
  <c r="AG66" i="10"/>
  <c r="H67" i="4" s="1"/>
  <c r="I67" i="4" s="1"/>
  <c r="AG42" i="10"/>
  <c r="H43" i="4" s="1"/>
  <c r="I43" i="4" s="1"/>
  <c r="E21" i="19"/>
  <c r="J21" i="19" s="1"/>
  <c r="AB21" i="19" s="1"/>
  <c r="AB22" i="19" s="1"/>
  <c r="AL16" i="17"/>
  <c r="AY16" i="17" s="1"/>
  <c r="N21" i="11"/>
  <c r="R17" i="22"/>
  <c r="S17" i="22" s="1"/>
  <c r="E21" i="18"/>
  <c r="I21" i="18" s="1"/>
  <c r="AB21" i="18" s="1"/>
  <c r="AO21" i="18" s="1"/>
  <c r="V17" i="23"/>
  <c r="V73" i="23"/>
  <c r="R73" i="22"/>
  <c r="S73" i="22" s="1"/>
  <c r="R70" i="22"/>
  <c r="S70" i="22" s="1"/>
  <c r="V70" i="23"/>
  <c r="R28" i="22"/>
  <c r="S28" i="22" s="1"/>
  <c r="V28" i="23"/>
  <c r="V60" i="23"/>
  <c r="R60" i="22"/>
  <c r="S60" i="22" s="1"/>
  <c r="R59" i="22"/>
  <c r="S59" i="22" s="1"/>
  <c r="V59" i="23"/>
  <c r="V30" i="23"/>
  <c r="R30" i="22"/>
  <c r="S30" i="22" s="1"/>
  <c r="R52" i="22"/>
  <c r="S52" i="22" s="1"/>
  <c r="V52" i="23"/>
  <c r="R44" i="22"/>
  <c r="S44" i="22" s="1"/>
  <c r="V44" i="23"/>
  <c r="V58" i="23"/>
  <c r="R58" i="22"/>
  <c r="S58" i="22" s="1"/>
  <c r="R35" i="22"/>
  <c r="S35" i="22" s="1"/>
  <c r="V35" i="23"/>
  <c r="R75" i="22"/>
  <c r="S75" i="22" s="1"/>
  <c r="V75" i="23"/>
  <c r="R57" i="22"/>
  <c r="S57" i="22" s="1"/>
  <c r="V57" i="23"/>
  <c r="V41" i="23"/>
  <c r="R41" i="22"/>
  <c r="S41" i="22" s="1"/>
  <c r="V62" i="23"/>
  <c r="R62" i="22"/>
  <c r="S62" i="22" s="1"/>
  <c r="V34" i="23"/>
  <c r="R34" i="22"/>
  <c r="S34" i="22" s="1"/>
  <c r="R32" i="22"/>
  <c r="S32" i="22" s="1"/>
  <c r="V32" i="23"/>
  <c r="V53" i="23"/>
  <c r="R53" i="22"/>
  <c r="S53" i="22" s="1"/>
  <c r="V42" i="23"/>
  <c r="R42" i="22"/>
  <c r="S42" i="22" s="1"/>
  <c r="R63" i="22"/>
  <c r="S63" i="22" s="1"/>
  <c r="V63" i="23"/>
  <c r="V39" i="23"/>
  <c r="R39" i="22"/>
  <c r="S39" i="22" s="1"/>
  <c r="R45" i="22"/>
  <c r="S45" i="22" s="1"/>
  <c r="V45" i="23"/>
  <c r="V55" i="23"/>
  <c r="R55" i="22"/>
  <c r="S55" i="22" s="1"/>
  <c r="V25" i="23"/>
  <c r="R25" i="22"/>
  <c r="S25" i="22" s="1"/>
  <c r="V40" i="23"/>
  <c r="R40" i="22"/>
  <c r="S40" i="22" s="1"/>
  <c r="R18" i="22"/>
  <c r="S18" i="22" s="1"/>
  <c r="V18" i="23"/>
  <c r="V61" i="23"/>
  <c r="R61" i="22"/>
  <c r="S61" i="22" s="1"/>
  <c r="R38" i="22"/>
  <c r="S38" i="22" s="1"/>
  <c r="V38" i="23"/>
  <c r="V29" i="23"/>
  <c r="R29" i="22"/>
  <c r="S29" i="22" s="1"/>
  <c r="R72" i="22"/>
  <c r="S72" i="22" s="1"/>
  <c r="V72" i="23"/>
  <c r="V74" i="23"/>
  <c r="R74" i="22"/>
  <c r="S74" i="22" s="1"/>
  <c r="V54" i="23"/>
  <c r="R54" i="22"/>
  <c r="S54" i="22" s="1"/>
  <c r="R24" i="22"/>
  <c r="S24" i="22" s="1"/>
  <c r="V24" i="23"/>
  <c r="R43" i="22"/>
  <c r="S43" i="22" s="1"/>
  <c r="V43" i="23"/>
  <c r="R19" i="22"/>
  <c r="S19" i="22" s="1"/>
  <c r="V19" i="23"/>
  <c r="R37" i="22"/>
  <c r="S37" i="22" s="1"/>
  <c r="V37" i="23"/>
  <c r="V33" i="23"/>
  <c r="R33" i="22"/>
  <c r="S33" i="22" s="1"/>
  <c r="V71" i="23"/>
  <c r="R71" i="22"/>
  <c r="S71" i="22" s="1"/>
  <c r="R31" i="22"/>
  <c r="S31" i="22" s="1"/>
  <c r="V31" i="23"/>
  <c r="R56" i="22"/>
  <c r="S56" i="22" s="1"/>
  <c r="V56" i="23"/>
  <c r="V36" i="23"/>
  <c r="R36" i="22"/>
  <c r="S36" i="22" s="1"/>
  <c r="AB66" i="14"/>
  <c r="AG66" i="14" s="1"/>
  <c r="AC53" i="14"/>
  <c r="AL72" i="17"/>
  <c r="AY72" i="17" s="1"/>
  <c r="N77" i="11"/>
  <c r="E90" i="19"/>
  <c r="J90" i="19" s="1"/>
  <c r="AB90" i="19" s="1"/>
  <c r="E90" i="18"/>
  <c r="I90" i="18" s="1"/>
  <c r="AB90" i="18" s="1"/>
  <c r="E40" i="19"/>
  <c r="J40" i="19" s="1"/>
  <c r="AB40" i="19" s="1"/>
  <c r="E40" i="18"/>
  <c r="I40" i="18" s="1"/>
  <c r="AB40" i="18" s="1"/>
  <c r="AL29" i="17"/>
  <c r="AY29" i="17" s="1"/>
  <c r="N34" i="11"/>
  <c r="N106" i="2"/>
  <c r="AC26" i="10" s="1"/>
  <c r="AL22" i="29" s="1"/>
  <c r="P106" i="2"/>
  <c r="AC29" i="10" s="1"/>
  <c r="AL25" i="29" s="1"/>
  <c r="AC24" i="10"/>
  <c r="AL20" i="29" s="1"/>
  <c r="W106" i="2"/>
  <c r="AC67" i="10" s="1"/>
  <c r="AL63" i="29" s="1"/>
  <c r="AO15" i="18"/>
  <c r="AF15" i="18"/>
  <c r="AL18" i="25" s="1"/>
  <c r="H85" i="18"/>
  <c r="E85" i="9"/>
  <c r="J85" i="9" s="1"/>
  <c r="AC85" i="9" s="1"/>
  <c r="H30" i="18"/>
  <c r="E30" i="9"/>
  <c r="J30" i="9" s="1"/>
  <c r="AC30" i="9" s="1"/>
  <c r="N65" i="11"/>
  <c r="E76" i="18"/>
  <c r="I76" i="18" s="1"/>
  <c r="AB76" i="18" s="1"/>
  <c r="E76" i="19"/>
  <c r="J76" i="19" s="1"/>
  <c r="AB76" i="19" s="1"/>
  <c r="AL60" i="17"/>
  <c r="AY60" i="17" s="1"/>
  <c r="E45" i="19"/>
  <c r="J45" i="19" s="1"/>
  <c r="AB45" i="19" s="1"/>
  <c r="E45" i="18"/>
  <c r="I45" i="18" s="1"/>
  <c r="AB45" i="18" s="1"/>
  <c r="AL33" i="17"/>
  <c r="AY33" i="17" s="1"/>
  <c r="N38" i="11"/>
  <c r="N33" i="11"/>
  <c r="AL28" i="17"/>
  <c r="AY28" i="17" s="1"/>
  <c r="E39" i="18"/>
  <c r="I39" i="18" s="1"/>
  <c r="AB39" i="18" s="1"/>
  <c r="E39" i="19"/>
  <c r="J39" i="19" s="1"/>
  <c r="AB39" i="19" s="1"/>
  <c r="AO59" i="18"/>
  <c r="AB65" i="18"/>
  <c r="AF59" i="18"/>
  <c r="R68" i="17"/>
  <c r="E33" i="18"/>
  <c r="I33" i="18" s="1"/>
  <c r="AB33" i="18" s="1"/>
  <c r="E33" i="19"/>
  <c r="J33" i="19" s="1"/>
  <c r="AB33" i="19" s="1"/>
  <c r="N29" i="11"/>
  <c r="AL24" i="17"/>
  <c r="AY24" i="17" s="1"/>
  <c r="R67" i="17"/>
  <c r="AO36" i="6"/>
  <c r="AF36" i="6"/>
  <c r="AK36" i="6" s="1"/>
  <c r="E57" i="19"/>
  <c r="J57" i="19" s="1"/>
  <c r="AB57" i="19" s="1"/>
  <c r="E57" i="18"/>
  <c r="I57" i="18" s="1"/>
  <c r="AB57" i="18" s="1"/>
  <c r="AL44" i="17"/>
  <c r="AY44" i="17" s="1"/>
  <c r="N49" i="11"/>
  <c r="X26" i="14"/>
  <c r="E50" i="18"/>
  <c r="I50" i="18" s="1"/>
  <c r="AB50" i="18" s="1"/>
  <c r="AL38" i="17"/>
  <c r="AY38" i="17" s="1"/>
  <c r="E50" i="19"/>
  <c r="J50" i="19" s="1"/>
  <c r="AB50" i="19" s="1"/>
  <c r="N43" i="11"/>
  <c r="AO61" i="18"/>
  <c r="AF61" i="18"/>
  <c r="AK61" i="18" s="1"/>
  <c r="E42" i="18"/>
  <c r="I42" i="18" s="1"/>
  <c r="AB42" i="18" s="1"/>
  <c r="N36" i="11"/>
  <c r="AL31" i="17"/>
  <c r="AY31" i="17" s="1"/>
  <c r="E42" i="19"/>
  <c r="J42" i="19" s="1"/>
  <c r="AB42" i="19" s="1"/>
  <c r="AF18" i="18"/>
  <c r="AL21" i="25" s="1"/>
  <c r="AO18" i="18"/>
  <c r="E29" i="9"/>
  <c r="J29" i="9" s="1"/>
  <c r="AC29" i="9" s="1"/>
  <c r="H29" i="18"/>
  <c r="E66" i="19"/>
  <c r="J66" i="19" s="1"/>
  <c r="AB66" i="19" s="1"/>
  <c r="E66" i="18"/>
  <c r="I66" i="18" s="1"/>
  <c r="AB66" i="18" s="1"/>
  <c r="AL51" i="17"/>
  <c r="N56" i="11"/>
  <c r="AF85" i="6"/>
  <c r="AO85" i="6"/>
  <c r="E32" i="18"/>
  <c r="I32" i="18" s="1"/>
  <c r="AB32" i="18" s="1"/>
  <c r="N28" i="11"/>
  <c r="E32" i="19"/>
  <c r="J32" i="19" s="1"/>
  <c r="AB32" i="19" s="1"/>
  <c r="AL23" i="17"/>
  <c r="AY23" i="17" s="1"/>
  <c r="E56" i="19"/>
  <c r="J56" i="19" s="1"/>
  <c r="AB56" i="19" s="1"/>
  <c r="E56" i="18"/>
  <c r="I56" i="18" s="1"/>
  <c r="AB56" i="18" s="1"/>
  <c r="AL43" i="17"/>
  <c r="AY43" i="17" s="1"/>
  <c r="N48" i="11"/>
  <c r="AO63" i="18"/>
  <c r="AF63" i="18"/>
  <c r="AK63" i="18" s="1"/>
  <c r="AF30" i="6"/>
  <c r="AK30" i="6" s="1"/>
  <c r="AO30" i="6"/>
  <c r="N42" i="11"/>
  <c r="E49" i="19"/>
  <c r="J49" i="19" s="1"/>
  <c r="AB49" i="19" s="1"/>
  <c r="AL37" i="17"/>
  <c r="AY37" i="17" s="1"/>
  <c r="E49" i="18"/>
  <c r="I49" i="18" s="1"/>
  <c r="AB49" i="18" s="1"/>
  <c r="H82" i="18"/>
  <c r="E82" i="9"/>
  <c r="J82" i="9" s="1"/>
  <c r="AC82" i="9" s="1"/>
  <c r="X54" i="14"/>
  <c r="W65" i="14" s="1"/>
  <c r="X22" i="14"/>
  <c r="Z53" i="14"/>
  <c r="E80" i="9"/>
  <c r="J80" i="9" s="1"/>
  <c r="AC80" i="9" s="1"/>
  <c r="H80" i="18"/>
  <c r="X23" i="14"/>
  <c r="X55" i="14"/>
  <c r="AF64" i="18"/>
  <c r="AK64" i="18" s="1"/>
  <c r="AO64" i="18"/>
  <c r="R63" i="17"/>
  <c r="AB65" i="19"/>
  <c r="AL56" i="17"/>
  <c r="N61" i="11"/>
  <c r="E71" i="19"/>
  <c r="J71" i="19" s="1"/>
  <c r="AB71" i="19" s="1"/>
  <c r="E71" i="18"/>
  <c r="I71" i="18" s="1"/>
  <c r="AB71" i="18" s="1"/>
  <c r="R25" i="17"/>
  <c r="E81" i="9"/>
  <c r="J81" i="9" s="1"/>
  <c r="AC81" i="9" s="1"/>
  <c r="H81" i="18"/>
  <c r="E53" i="19"/>
  <c r="J53" i="19" s="1"/>
  <c r="AB53" i="19" s="1"/>
  <c r="E53" i="18"/>
  <c r="I53" i="18" s="1"/>
  <c r="AB53" i="18" s="1"/>
  <c r="N45" i="11"/>
  <c r="AL40" i="17"/>
  <c r="AY40" i="17" s="1"/>
  <c r="E75" i="18"/>
  <c r="I75" i="18" s="1"/>
  <c r="AB75" i="18" s="1"/>
  <c r="E75" i="19"/>
  <c r="J75" i="19" s="1"/>
  <c r="AB75" i="19" s="1"/>
  <c r="AL59" i="17"/>
  <c r="AY59" i="17" s="1"/>
  <c r="N64" i="11"/>
  <c r="E48" i="18"/>
  <c r="I48" i="18" s="1"/>
  <c r="AB48" i="18" s="1"/>
  <c r="E48" i="19"/>
  <c r="J48" i="19" s="1"/>
  <c r="AB48" i="19" s="1"/>
  <c r="AL36" i="17"/>
  <c r="AY36" i="17" s="1"/>
  <c r="N41" i="11"/>
  <c r="R65" i="17"/>
  <c r="E87" i="19"/>
  <c r="J87" i="19" s="1"/>
  <c r="AB87" i="19" s="1"/>
  <c r="E87" i="18"/>
  <c r="I87" i="18" s="1"/>
  <c r="AB87" i="18" s="1"/>
  <c r="AL69" i="17"/>
  <c r="AY69" i="17" s="1"/>
  <c r="N74" i="11"/>
  <c r="H83" i="18"/>
  <c r="E83" i="9"/>
  <c r="J83" i="9" s="1"/>
  <c r="AC83" i="9" s="1"/>
  <c r="N79" i="11"/>
  <c r="E92" i="18"/>
  <c r="I92" i="18" s="1"/>
  <c r="AB92" i="18" s="1"/>
  <c r="E92" i="19"/>
  <c r="J92" i="19" s="1"/>
  <c r="AB92" i="19" s="1"/>
  <c r="AL74" i="17"/>
  <c r="AY74" i="17" s="1"/>
  <c r="AF14" i="18"/>
  <c r="AL17" i="25" s="1"/>
  <c r="AO14" i="18"/>
  <c r="AO80" i="6"/>
  <c r="AF80" i="6"/>
  <c r="AB86" i="6"/>
  <c r="AF29" i="6"/>
  <c r="AB31" i="6"/>
  <c r="AO29" i="6"/>
  <c r="E67" i="19"/>
  <c r="J67" i="19" s="1"/>
  <c r="AB67" i="19" s="1"/>
  <c r="N57" i="11"/>
  <c r="E67" i="18"/>
  <c r="I67" i="18" s="1"/>
  <c r="AB67" i="18" s="1"/>
  <c r="AL52" i="17"/>
  <c r="E26" i="9"/>
  <c r="J26" i="9" s="1"/>
  <c r="AC26" i="9" s="1"/>
  <c r="H26" i="18"/>
  <c r="H35" i="18"/>
  <c r="E35" i="9"/>
  <c r="J35" i="9" s="1"/>
  <c r="AC35" i="9" s="1"/>
  <c r="R64" i="17"/>
  <c r="E36" i="9"/>
  <c r="J36" i="9" s="1"/>
  <c r="AC36" i="9" s="1"/>
  <c r="H36" i="18"/>
  <c r="AO16" i="18"/>
  <c r="AF16" i="18"/>
  <c r="AL19" i="25" s="1"/>
  <c r="AL41" i="17"/>
  <c r="AY41" i="17" s="1"/>
  <c r="N46" i="11"/>
  <c r="E54" i="19"/>
  <c r="J54" i="19" s="1"/>
  <c r="AB54" i="19" s="1"/>
  <c r="E54" i="18"/>
  <c r="I54" i="18" s="1"/>
  <c r="AB54" i="18" s="1"/>
  <c r="E74" i="18"/>
  <c r="I74" i="18" s="1"/>
  <c r="AB74" i="18" s="1"/>
  <c r="AL58" i="17"/>
  <c r="AY58" i="17" s="1"/>
  <c r="N63" i="11"/>
  <c r="E74" i="19"/>
  <c r="J74" i="19" s="1"/>
  <c r="AB74" i="19" s="1"/>
  <c r="E47" i="19"/>
  <c r="J47" i="19" s="1"/>
  <c r="AB47" i="19" s="1"/>
  <c r="AL35" i="17"/>
  <c r="AY35" i="17" s="1"/>
  <c r="E47" i="18"/>
  <c r="I47" i="18" s="1"/>
  <c r="AB47" i="18" s="1"/>
  <c r="N40" i="11"/>
  <c r="AO82" i="6"/>
  <c r="AF82" i="6"/>
  <c r="AK82" i="6" s="1"/>
  <c r="R66" i="17"/>
  <c r="AL30" i="17"/>
  <c r="AY30" i="17" s="1"/>
  <c r="E41" i="19"/>
  <c r="J41" i="19" s="1"/>
  <c r="AB41" i="19" s="1"/>
  <c r="N35" i="11"/>
  <c r="E41" i="18"/>
  <c r="I41" i="18" s="1"/>
  <c r="AB41" i="18" s="1"/>
  <c r="E69" i="18"/>
  <c r="I69" i="18" s="1"/>
  <c r="AB69" i="18" s="1"/>
  <c r="E69" i="19"/>
  <c r="J69" i="19" s="1"/>
  <c r="AB69" i="19" s="1"/>
  <c r="N59" i="11"/>
  <c r="AL54" i="17"/>
  <c r="AO81" i="6"/>
  <c r="AF81" i="6"/>
  <c r="AK81" i="6" s="1"/>
  <c r="AF20" i="18"/>
  <c r="AO20" i="18"/>
  <c r="E84" i="9"/>
  <c r="J84" i="9" s="1"/>
  <c r="AC84" i="9" s="1"/>
  <c r="H84" i="18"/>
  <c r="AB22" i="14"/>
  <c r="R26" i="17"/>
  <c r="AL39" i="17"/>
  <c r="AY39" i="17" s="1"/>
  <c r="N44" i="11"/>
  <c r="E52" i="19"/>
  <c r="J52" i="19" s="1"/>
  <c r="AB52" i="19" s="1"/>
  <c r="E52" i="18"/>
  <c r="I52" i="18" s="1"/>
  <c r="AB52" i="18" s="1"/>
  <c r="AO62" i="18"/>
  <c r="AF62" i="18"/>
  <c r="AK62" i="18" s="1"/>
  <c r="N62" i="11"/>
  <c r="E73" i="18"/>
  <c r="I73" i="18" s="1"/>
  <c r="AB73" i="18" s="1"/>
  <c r="AL57" i="17"/>
  <c r="AY57" i="17" s="1"/>
  <c r="E73" i="19"/>
  <c r="J73" i="19" s="1"/>
  <c r="AB73" i="19" s="1"/>
  <c r="AF27" i="6"/>
  <c r="AK27" i="6" s="1"/>
  <c r="AO27" i="6"/>
  <c r="E89" i="18"/>
  <c r="I89" i="18" s="1"/>
  <c r="AB89" i="18" s="1"/>
  <c r="AL71" i="17"/>
  <c r="AY71" i="17" s="1"/>
  <c r="E89" i="19"/>
  <c r="J89" i="19" s="1"/>
  <c r="AB89" i="19" s="1"/>
  <c r="N76" i="11"/>
  <c r="N32" i="11"/>
  <c r="E38" i="19"/>
  <c r="J38" i="19" s="1"/>
  <c r="AB38" i="19" s="1"/>
  <c r="E38" i="18"/>
  <c r="I38" i="18" s="1"/>
  <c r="AB38" i="18" s="1"/>
  <c r="AL27" i="17"/>
  <c r="AY27" i="17" s="1"/>
  <c r="R20" i="17"/>
  <c r="R21" i="17"/>
  <c r="E68" i="19"/>
  <c r="J68" i="19" s="1"/>
  <c r="AB68" i="19" s="1"/>
  <c r="AL53" i="17"/>
  <c r="E68" i="18"/>
  <c r="I68" i="18" s="1"/>
  <c r="AB68" i="18" s="1"/>
  <c r="N58" i="11"/>
  <c r="AF26" i="6"/>
  <c r="AO26" i="6"/>
  <c r="AB28" i="6"/>
  <c r="N47" i="11"/>
  <c r="E55" i="19"/>
  <c r="J55" i="19" s="1"/>
  <c r="AB55" i="19" s="1"/>
  <c r="AL42" i="17"/>
  <c r="AY42" i="17" s="1"/>
  <c r="E55" i="18"/>
  <c r="I55" i="18" s="1"/>
  <c r="AB55" i="18" s="1"/>
  <c r="AL17" i="17"/>
  <c r="AY17" i="17" s="1"/>
  <c r="N22" i="11"/>
  <c r="E23" i="18"/>
  <c r="I23" i="18" s="1"/>
  <c r="AB23" i="18" s="1"/>
  <c r="E23" i="19"/>
  <c r="J23" i="19" s="1"/>
  <c r="AB23" i="19" s="1"/>
  <c r="AL61" i="17"/>
  <c r="AY61" i="17" s="1"/>
  <c r="N66" i="11"/>
  <c r="E77" i="19"/>
  <c r="J77" i="19" s="1"/>
  <c r="AB77" i="19" s="1"/>
  <c r="E77" i="18"/>
  <c r="I77" i="18" s="1"/>
  <c r="AB77" i="18" s="1"/>
  <c r="N75" i="11"/>
  <c r="E88" i="19"/>
  <c r="J88" i="19" s="1"/>
  <c r="AB88" i="19" s="1"/>
  <c r="E88" i="18"/>
  <c r="I88" i="18" s="1"/>
  <c r="AB88" i="18" s="1"/>
  <c r="AL70" i="17"/>
  <c r="AY70" i="17" s="1"/>
  <c r="AF60" i="18"/>
  <c r="AK60" i="18" s="1"/>
  <c r="AO60" i="18"/>
  <c r="AF83" i="6"/>
  <c r="AK83" i="6" s="1"/>
  <c r="AO83" i="6"/>
  <c r="N78" i="11"/>
  <c r="E91" i="18"/>
  <c r="I91" i="18" s="1"/>
  <c r="AB91" i="18" s="1"/>
  <c r="AL73" i="17"/>
  <c r="AY73" i="17" s="1"/>
  <c r="E91" i="19"/>
  <c r="J91" i="19" s="1"/>
  <c r="AB91" i="19" s="1"/>
  <c r="AO19" i="18"/>
  <c r="AF19" i="18"/>
  <c r="AL22" i="25" s="1"/>
  <c r="E43" i="19"/>
  <c r="J43" i="19" s="1"/>
  <c r="AB43" i="19" s="1"/>
  <c r="E43" i="18"/>
  <c r="I43" i="18" s="1"/>
  <c r="AB43" i="18" s="1"/>
  <c r="N37" i="11"/>
  <c r="AL32" i="17"/>
  <c r="AY32" i="17" s="1"/>
  <c r="E27" i="9"/>
  <c r="J27" i="9" s="1"/>
  <c r="AC27" i="9" s="1"/>
  <c r="H27" i="18"/>
  <c r="AL55" i="17"/>
  <c r="N60" i="11"/>
  <c r="E70" i="18"/>
  <c r="I70" i="18" s="1"/>
  <c r="AB70" i="18" s="1"/>
  <c r="E70" i="19"/>
  <c r="J70" i="19" s="1"/>
  <c r="AB70" i="19" s="1"/>
  <c r="R19" i="17"/>
  <c r="AC22" i="14"/>
  <c r="AF35" i="6"/>
  <c r="AO35" i="6"/>
  <c r="AB37" i="6"/>
  <c r="AF84" i="6"/>
  <c r="AK84" i="6" s="1"/>
  <c r="AK85" i="6" s="1"/>
  <c r="AO84" i="6"/>
  <c r="AL18" i="17"/>
  <c r="AY18" i="17" s="1"/>
  <c r="N23" i="11"/>
  <c r="E24" i="19"/>
  <c r="J24" i="19" s="1"/>
  <c r="AB24" i="19" s="1"/>
  <c r="E24" i="18"/>
  <c r="I24" i="18" s="1"/>
  <c r="AB24" i="18" s="1"/>
  <c r="R22" i="17"/>
  <c r="N67" i="11"/>
  <c r="E78" i="19"/>
  <c r="J78" i="19" s="1"/>
  <c r="AB78" i="19" s="1"/>
  <c r="E78" i="18"/>
  <c r="I78" i="18" s="1"/>
  <c r="AB78" i="18" s="1"/>
  <c r="AL62" i="17"/>
  <c r="AY62" i="17" s="1"/>
  <c r="N39" i="11"/>
  <c r="E46" i="19"/>
  <c r="J46" i="19" s="1"/>
  <c r="AB46" i="19" s="1"/>
  <c r="E46" i="18"/>
  <c r="I46" i="18" s="1"/>
  <c r="AB46" i="18" s="1"/>
  <c r="AL34" i="17"/>
  <c r="AY34" i="17" s="1"/>
  <c r="AO17" i="18"/>
  <c r="AF17" i="18"/>
  <c r="AL20" i="25" s="1"/>
  <c r="AY53" i="17" l="1"/>
  <c r="AY54" i="17"/>
  <c r="AY52" i="17"/>
  <c r="AY56" i="17"/>
  <c r="AY55" i="17"/>
  <c r="AY51" i="17"/>
  <c r="BD75" i="29"/>
  <c r="BC75" i="17"/>
  <c r="BE75" i="17" s="1"/>
  <c r="BC76" i="17"/>
  <c r="BE76" i="17" s="1"/>
  <c r="AG67" i="10"/>
  <c r="H68" i="4" s="1"/>
  <c r="I68" i="4" s="1"/>
  <c r="L68" i="4" s="1"/>
  <c r="AG24" i="10"/>
  <c r="H25" i="4" s="1"/>
  <c r="I25" i="4" s="1"/>
  <c r="L25" i="4" s="1"/>
  <c r="AG29" i="10"/>
  <c r="H30" i="4" s="1"/>
  <c r="I30" i="4" s="1"/>
  <c r="L30" i="4" s="1"/>
  <c r="AG26" i="10"/>
  <c r="H27" i="4" s="1"/>
  <c r="I27" i="4" s="1"/>
  <c r="L27" i="4" s="1"/>
  <c r="AM20" i="25"/>
  <c r="AX20" i="25" s="1"/>
  <c r="AW20" i="25"/>
  <c r="BA20" i="25"/>
  <c r="BC20" i="25" s="1"/>
  <c r="AV37" i="25"/>
  <c r="AU37" i="25"/>
  <c r="AP38" i="25"/>
  <c r="AO38" i="25"/>
  <c r="AL37" i="21"/>
  <c r="AK37" i="21"/>
  <c r="AP37" i="25"/>
  <c r="AO37" i="25"/>
  <c r="AL38" i="21"/>
  <c r="AK38" i="21"/>
  <c r="AR38" i="25"/>
  <c r="AS38" i="25"/>
  <c r="AW21" i="25"/>
  <c r="AM21" i="25"/>
  <c r="AX21" i="25" s="1"/>
  <c r="BA21" i="25"/>
  <c r="BC21" i="25" s="1"/>
  <c r="AO38" i="21"/>
  <c r="AN38" i="21"/>
  <c r="AW17" i="25"/>
  <c r="AM17" i="25"/>
  <c r="AX17" i="25" s="1"/>
  <c r="BA17" i="25"/>
  <c r="AV38" i="25"/>
  <c r="AU38" i="25"/>
  <c r="AM22" i="25"/>
  <c r="AX22" i="25" s="1"/>
  <c r="AW22" i="25"/>
  <c r="BA22" i="25"/>
  <c r="BC22" i="25" s="1"/>
  <c r="AM19" i="25"/>
  <c r="AX19" i="25" s="1"/>
  <c r="AW19" i="25"/>
  <c r="BA19" i="25"/>
  <c r="BC19" i="25" s="1"/>
  <c r="AR37" i="25"/>
  <c r="AS37" i="25"/>
  <c r="AM18" i="25"/>
  <c r="AX18" i="25" s="1"/>
  <c r="AW18" i="25"/>
  <c r="BA18" i="25"/>
  <c r="BC18" i="25" s="1"/>
  <c r="AO37" i="21"/>
  <c r="AN37" i="21"/>
  <c r="AI37" i="14"/>
  <c r="AI36" i="14"/>
  <c r="P30" i="4"/>
  <c r="P24" i="4"/>
  <c r="K84" i="4"/>
  <c r="P68" i="4"/>
  <c r="L76" i="4"/>
  <c r="L61" i="4"/>
  <c r="L39" i="4"/>
  <c r="L63" i="4"/>
  <c r="L64" i="4"/>
  <c r="L22" i="4"/>
  <c r="AF37" i="14"/>
  <c r="AP38" i="21"/>
  <c r="AQ38" i="21" s="1"/>
  <c r="L42" i="4"/>
  <c r="L62" i="4"/>
  <c r="L29" i="4"/>
  <c r="L47" i="4"/>
  <c r="L46" i="4"/>
  <c r="L41" i="4"/>
  <c r="L43" i="4"/>
  <c r="L38" i="4"/>
  <c r="L28" i="4"/>
  <c r="L59" i="4"/>
  <c r="L57" i="4"/>
  <c r="L56" i="4"/>
  <c r="AP76" i="17"/>
  <c r="L79" i="4"/>
  <c r="L67" i="4"/>
  <c r="L66" i="4"/>
  <c r="L58" i="4"/>
  <c r="L37" i="4"/>
  <c r="L32" i="4"/>
  <c r="L45" i="4"/>
  <c r="L48" i="4"/>
  <c r="L49" i="4"/>
  <c r="L34" i="4"/>
  <c r="L74" i="4"/>
  <c r="L78" i="4"/>
  <c r="P26" i="4"/>
  <c r="AF36" i="14"/>
  <c r="AP37" i="21"/>
  <c r="AQ37" i="21" s="1"/>
  <c r="Q50" i="4"/>
  <c r="L23" i="4"/>
  <c r="L36" i="4"/>
  <c r="L60" i="4"/>
  <c r="L44" i="4"/>
  <c r="L40" i="4"/>
  <c r="L65" i="4"/>
  <c r="AP75" i="17"/>
  <c r="L75" i="4"/>
  <c r="L33" i="4"/>
  <c r="L77" i="4"/>
  <c r="L35" i="4"/>
  <c r="L21" i="4"/>
  <c r="Q20" i="4" s="1"/>
  <c r="AC72" i="10"/>
  <c r="AL68" i="29" s="1"/>
  <c r="AC23" i="10"/>
  <c r="AL19" i="29" s="1"/>
  <c r="AO37" i="6"/>
  <c r="AB22" i="18"/>
  <c r="AF21" i="18"/>
  <c r="AK21" i="18" s="1"/>
  <c r="AC25" i="10"/>
  <c r="AL21" i="29" s="1"/>
  <c r="AB65" i="14"/>
  <c r="AG65" i="14" s="1"/>
  <c r="AO28" i="6"/>
  <c r="AO31" i="6"/>
  <c r="AO22" i="18"/>
  <c r="AC70" i="10"/>
  <c r="AL66" i="29" s="1"/>
  <c r="V23" i="23"/>
  <c r="R23" i="22"/>
  <c r="S23" i="22" s="1"/>
  <c r="V26" i="23"/>
  <c r="R26" i="22"/>
  <c r="S26" i="22" s="1"/>
  <c r="AH20" i="21"/>
  <c r="AS20" i="21" s="1"/>
  <c r="S20" i="20"/>
  <c r="S18" i="20"/>
  <c r="AH18" i="21"/>
  <c r="AS18" i="21" s="1"/>
  <c r="AH19" i="21"/>
  <c r="AS19" i="21" s="1"/>
  <c r="S19" i="20"/>
  <c r="AH17" i="21"/>
  <c r="AS17" i="21" s="1"/>
  <c r="S17" i="20"/>
  <c r="AH22" i="21"/>
  <c r="AS22" i="21" s="1"/>
  <c r="S22" i="20"/>
  <c r="R64" i="22"/>
  <c r="S64" i="22" s="1"/>
  <c r="V64" i="23"/>
  <c r="AH21" i="21"/>
  <c r="AS21" i="21" s="1"/>
  <c r="S21" i="20"/>
  <c r="R21" i="22"/>
  <c r="S21" i="22" s="1"/>
  <c r="V21" i="23"/>
  <c r="Y55" i="14"/>
  <c r="Z55" i="14" s="1"/>
  <c r="W66" i="14"/>
  <c r="AC71" i="10"/>
  <c r="AL67" i="29" s="1"/>
  <c r="AB3" i="6"/>
  <c r="AD5" i="6" s="1"/>
  <c r="AC68" i="10"/>
  <c r="AL64" i="29" s="1"/>
  <c r="AC69" i="10"/>
  <c r="AL65" i="29" s="1"/>
  <c r="AB58" i="19"/>
  <c r="I83" i="19"/>
  <c r="X83" i="19" s="1"/>
  <c r="W83" i="18"/>
  <c r="AF24" i="18"/>
  <c r="AK24" i="18" s="1"/>
  <c r="AO24" i="18"/>
  <c r="AF77" i="18"/>
  <c r="AK77" i="18" s="1"/>
  <c r="AK78" i="18" s="1"/>
  <c r="AO77" i="18"/>
  <c r="AO91" i="18"/>
  <c r="AF91" i="18"/>
  <c r="AK91" i="18" s="1"/>
  <c r="AJ17" i="18"/>
  <c r="AK17" i="18"/>
  <c r="AD19" i="14"/>
  <c r="P20" i="13"/>
  <c r="AF70" i="18"/>
  <c r="AK70" i="18" s="1"/>
  <c r="AK71" i="18" s="1"/>
  <c r="AO70" i="18"/>
  <c r="AO73" i="18"/>
  <c r="AF73" i="18"/>
  <c r="AB79" i="18"/>
  <c r="AF69" i="18"/>
  <c r="AK69" i="18" s="1"/>
  <c r="AO69" i="18"/>
  <c r="AF54" i="18"/>
  <c r="AK54" i="18" s="1"/>
  <c r="AO54" i="18"/>
  <c r="I36" i="19"/>
  <c r="X36" i="19" s="1"/>
  <c r="W36" i="18"/>
  <c r="I35" i="19"/>
  <c r="W35" i="18"/>
  <c r="AF53" i="18"/>
  <c r="AK53" i="18" s="1"/>
  <c r="AO53" i="18"/>
  <c r="I81" i="19"/>
  <c r="X81" i="19" s="1"/>
  <c r="W81" i="18"/>
  <c r="AB51" i="19"/>
  <c r="E80" i="18"/>
  <c r="I80" i="18" s="1"/>
  <c r="AB80" i="18" s="1"/>
  <c r="AL63" i="17"/>
  <c r="AY63" i="17" s="1"/>
  <c r="E80" i="19"/>
  <c r="N68" i="11"/>
  <c r="AO50" i="18"/>
  <c r="AF50" i="18"/>
  <c r="AK59" i="18"/>
  <c r="AF65" i="18"/>
  <c r="AL32" i="25" s="1"/>
  <c r="E27" i="19"/>
  <c r="E27" i="18"/>
  <c r="I27" i="18" s="1"/>
  <c r="AB27" i="18" s="1"/>
  <c r="AL20" i="17"/>
  <c r="AY20" i="17" s="1"/>
  <c r="N25" i="11"/>
  <c r="AF40" i="18"/>
  <c r="AK40" i="18" s="1"/>
  <c r="AO40" i="18"/>
  <c r="P17" i="13"/>
  <c r="AD16" i="14"/>
  <c r="AP16" i="14" s="1"/>
  <c r="AO49" i="18"/>
  <c r="AF49" i="18"/>
  <c r="W29" i="18"/>
  <c r="I29" i="19"/>
  <c r="AF57" i="18"/>
  <c r="AO57" i="18"/>
  <c r="W85" i="18"/>
  <c r="I85" i="19"/>
  <c r="X85" i="19" s="1"/>
  <c r="E35" i="18"/>
  <c r="I35" i="18" s="1"/>
  <c r="AB35" i="18" s="1"/>
  <c r="N30" i="11"/>
  <c r="E35" i="19"/>
  <c r="AL25" i="17"/>
  <c r="AY25" i="17" s="1"/>
  <c r="AK35" i="6"/>
  <c r="AF37" i="6"/>
  <c r="F28" i="25" s="1"/>
  <c r="AO46" i="18"/>
  <c r="AF46" i="18"/>
  <c r="AK46" i="18" s="1"/>
  <c r="AO55" i="18"/>
  <c r="AF55" i="18"/>
  <c r="AK55" i="18" s="1"/>
  <c r="AK26" i="6"/>
  <c r="AF28" i="6"/>
  <c r="F25" i="25" s="1"/>
  <c r="AF47" i="18"/>
  <c r="AK47" i="18" s="1"/>
  <c r="AO47" i="18"/>
  <c r="I26" i="19"/>
  <c r="X26" i="19" s="1"/>
  <c r="W26" i="18"/>
  <c r="Y54" i="14"/>
  <c r="AC31" i="9"/>
  <c r="AO65" i="18"/>
  <c r="AL22" i="17"/>
  <c r="AY22" i="17" s="1"/>
  <c r="E30" i="18"/>
  <c r="I30" i="18" s="1"/>
  <c r="AB30" i="18" s="1"/>
  <c r="E30" i="19"/>
  <c r="N27" i="11"/>
  <c r="AO90" i="18"/>
  <c r="AF90" i="18"/>
  <c r="AK90" i="18" s="1"/>
  <c r="AO43" i="18"/>
  <c r="AF43" i="18"/>
  <c r="AF88" i="18"/>
  <c r="AK88" i="18" s="1"/>
  <c r="AO88" i="18"/>
  <c r="I84" i="19"/>
  <c r="X84" i="19" s="1"/>
  <c r="W84" i="18"/>
  <c r="AO41" i="18"/>
  <c r="AF41" i="18"/>
  <c r="AK41" i="18" s="1"/>
  <c r="AK42" i="18" s="1"/>
  <c r="AK43" i="18" s="1"/>
  <c r="AF74" i="18"/>
  <c r="AK74" i="18" s="1"/>
  <c r="AO74" i="18"/>
  <c r="AC28" i="9"/>
  <c r="AO92" i="18"/>
  <c r="AF92" i="18"/>
  <c r="AK92" i="18" s="1"/>
  <c r="AO75" i="18"/>
  <c r="AF75" i="18"/>
  <c r="AK75" i="18" s="1"/>
  <c r="W80" i="18"/>
  <c r="I80" i="19"/>
  <c r="AB34" i="19"/>
  <c r="AF76" i="18"/>
  <c r="AK76" i="18" s="1"/>
  <c r="AO76" i="18"/>
  <c r="P18" i="13"/>
  <c r="AD17" i="14"/>
  <c r="AB25" i="19"/>
  <c r="AF68" i="18"/>
  <c r="AK68" i="18" s="1"/>
  <c r="AO68" i="18"/>
  <c r="AO89" i="18"/>
  <c r="AF89" i="18"/>
  <c r="AK89" i="18" s="1"/>
  <c r="AD18" i="14"/>
  <c r="AJ16" i="18"/>
  <c r="AK16" i="18"/>
  <c r="P19" i="13"/>
  <c r="AF31" i="6"/>
  <c r="F26" i="25" s="1"/>
  <c r="AK29" i="6"/>
  <c r="AB93" i="18"/>
  <c r="AO87" i="18"/>
  <c r="AF87" i="18"/>
  <c r="AC86" i="9"/>
  <c r="AO66" i="18"/>
  <c r="AF66" i="18"/>
  <c r="AB72" i="18"/>
  <c r="AF33" i="18"/>
  <c r="AK33" i="18" s="1"/>
  <c r="AO33" i="18"/>
  <c r="AF39" i="18"/>
  <c r="AK39" i="18" s="1"/>
  <c r="AO39" i="18"/>
  <c r="AF38" i="18"/>
  <c r="AO38" i="18"/>
  <c r="AB44" i="18"/>
  <c r="AK20" i="18"/>
  <c r="I27" i="19"/>
  <c r="W27" i="18"/>
  <c r="AB79" i="19"/>
  <c r="AK80" i="6"/>
  <c r="AF86" i="6"/>
  <c r="F35" i="25" s="1"/>
  <c r="AO71" i="18"/>
  <c r="AF71" i="18"/>
  <c r="W82" i="18"/>
  <c r="I82" i="19"/>
  <c r="AO56" i="18"/>
  <c r="AF56" i="18"/>
  <c r="AK56" i="18" s="1"/>
  <c r="AK57" i="18" s="1"/>
  <c r="AB34" i="18"/>
  <c r="AF32" i="18"/>
  <c r="AO32" i="18"/>
  <c r="AF42" i="18"/>
  <c r="AO42" i="18"/>
  <c r="AO78" i="18"/>
  <c r="AF78" i="18"/>
  <c r="AB44" i="19"/>
  <c r="P22" i="13"/>
  <c r="AJ19" i="18"/>
  <c r="AD21" i="14"/>
  <c r="AK19" i="18"/>
  <c r="AF23" i="18"/>
  <c r="AO23" i="18"/>
  <c r="AB25" i="18"/>
  <c r="AB58" i="18"/>
  <c r="AF52" i="18"/>
  <c r="AO52" i="18"/>
  <c r="AC30" i="10"/>
  <c r="AL26" i="29" s="1"/>
  <c r="AC37" i="9"/>
  <c r="AO67" i="18"/>
  <c r="AF67" i="18"/>
  <c r="AK67" i="18" s="1"/>
  <c r="AO86" i="6"/>
  <c r="H35" i="25" s="1"/>
  <c r="I35" i="25" s="1"/>
  <c r="AB93" i="19"/>
  <c r="AO48" i="18"/>
  <c r="AF48" i="18"/>
  <c r="AK48" i="18" s="1"/>
  <c r="AK49" i="18" s="1"/>
  <c r="AK50" i="18" s="1"/>
  <c r="AD53" i="14"/>
  <c r="AB72" i="19"/>
  <c r="P21" i="13"/>
  <c r="AJ18" i="18"/>
  <c r="AK18" i="18"/>
  <c r="AD20" i="14"/>
  <c r="AF45" i="18"/>
  <c r="AB51" i="18"/>
  <c r="AO45" i="18"/>
  <c r="I30" i="19"/>
  <c r="W30" i="18"/>
  <c r="AG71" i="10" l="1"/>
  <c r="H72" i="4" s="1"/>
  <c r="I72" i="4" s="1"/>
  <c r="L72" i="4" s="1"/>
  <c r="AG23" i="10"/>
  <c r="H24" i="4" s="1"/>
  <c r="I24" i="4" s="1"/>
  <c r="AG30" i="10"/>
  <c r="H31" i="4" s="1"/>
  <c r="I31" i="4" s="1"/>
  <c r="L31" i="4" s="1"/>
  <c r="Q30" i="4" s="1"/>
  <c r="AG72" i="10"/>
  <c r="H73" i="4" s="1"/>
  <c r="I73" i="4" s="1"/>
  <c r="L73" i="4" s="1"/>
  <c r="AG69" i="10"/>
  <c r="H70" i="4" s="1"/>
  <c r="I70" i="4" s="1"/>
  <c r="L70" i="4" s="1"/>
  <c r="AG68" i="10"/>
  <c r="H69" i="4" s="1"/>
  <c r="I69" i="4" s="1"/>
  <c r="L69" i="4" s="1"/>
  <c r="AG70" i="10"/>
  <c r="H71" i="4" s="1"/>
  <c r="I71" i="4" s="1"/>
  <c r="L71" i="4" s="1"/>
  <c r="K85" i="4"/>
  <c r="AA73" i="4"/>
  <c r="AA72" i="4"/>
  <c r="AA71" i="4"/>
  <c r="AA25" i="4"/>
  <c r="AA70" i="4"/>
  <c r="AA69" i="4"/>
  <c r="U25" i="4"/>
  <c r="AA31" i="4"/>
  <c r="AA27" i="4"/>
  <c r="E85" i="18"/>
  <c r="I85" i="18" s="1"/>
  <c r="AB85" i="18" s="1"/>
  <c r="AO85" i="18" s="1"/>
  <c r="G35" i="25"/>
  <c r="S35" i="25"/>
  <c r="G26" i="25"/>
  <c r="G28" i="13"/>
  <c r="H28" i="25"/>
  <c r="I28" i="25" s="1"/>
  <c r="G25" i="25"/>
  <c r="F41" i="25"/>
  <c r="G41" i="25" s="1"/>
  <c r="G28" i="25"/>
  <c r="H25" i="14"/>
  <c r="I25" i="14" s="1"/>
  <c r="H26" i="25"/>
  <c r="I26" i="25" s="1"/>
  <c r="H24" i="14"/>
  <c r="I24" i="14" s="1"/>
  <c r="H25" i="25"/>
  <c r="AW32" i="25"/>
  <c r="AM32" i="25"/>
  <c r="AX32" i="25" s="1"/>
  <c r="BA32" i="25"/>
  <c r="BC32" i="25" s="1"/>
  <c r="BC17" i="25"/>
  <c r="AR37" i="21"/>
  <c r="AR38" i="21"/>
  <c r="Q28" i="4"/>
  <c r="P84" i="4"/>
  <c r="P85" i="4" s="1"/>
  <c r="Y84" i="4"/>
  <c r="Q22" i="4"/>
  <c r="E85" i="19"/>
  <c r="J85" i="19" s="1"/>
  <c r="AB85" i="19" s="1"/>
  <c r="N73" i="11"/>
  <c r="S84" i="4"/>
  <c r="T30" i="4" s="1"/>
  <c r="V69" i="23"/>
  <c r="R69" i="22"/>
  <c r="S69" i="22" s="1"/>
  <c r="Q38" i="4"/>
  <c r="AL68" i="17"/>
  <c r="AY68" i="17" s="1"/>
  <c r="AG36" i="14"/>
  <c r="Q62" i="4"/>
  <c r="V84" i="4"/>
  <c r="W16" i="4" s="1"/>
  <c r="Q44" i="4"/>
  <c r="Q74" i="4"/>
  <c r="Q32" i="4"/>
  <c r="Q56" i="4"/>
  <c r="AG37" i="14"/>
  <c r="E26" i="19"/>
  <c r="J26" i="19" s="1"/>
  <c r="AB26" i="19" s="1"/>
  <c r="N24" i="11"/>
  <c r="AL19" i="17"/>
  <c r="AY19" i="17" s="1"/>
  <c r="V20" i="23"/>
  <c r="E26" i="18"/>
  <c r="I26" i="18" s="1"/>
  <c r="AB26" i="18" s="1"/>
  <c r="AO26" i="18" s="1"/>
  <c r="R20" i="22"/>
  <c r="S20" i="22" s="1"/>
  <c r="AL21" i="17"/>
  <c r="AY21" i="17" s="1"/>
  <c r="AG25" i="10"/>
  <c r="H26" i="4" s="1"/>
  <c r="I26" i="4" s="1"/>
  <c r="AO25" i="18"/>
  <c r="E29" i="18"/>
  <c r="I29" i="18" s="1"/>
  <c r="AB29" i="18" s="1"/>
  <c r="AB31" i="18" s="1"/>
  <c r="E29" i="19"/>
  <c r="J29" i="19" s="1"/>
  <c r="AB29" i="19" s="1"/>
  <c r="N26" i="11"/>
  <c r="H28" i="21"/>
  <c r="I28" i="21" s="1"/>
  <c r="G28" i="20"/>
  <c r="G25" i="13"/>
  <c r="H27" i="14"/>
  <c r="I27" i="14" s="1"/>
  <c r="AF22" i="18"/>
  <c r="AL65" i="17"/>
  <c r="AY65" i="17" s="1"/>
  <c r="AL64" i="17"/>
  <c r="AY64" i="17" s="1"/>
  <c r="V22" i="23"/>
  <c r="V67" i="23"/>
  <c r="E84" i="19"/>
  <c r="J84" i="19" s="1"/>
  <c r="AB84" i="19" s="1"/>
  <c r="AP19" i="14"/>
  <c r="AP17" i="14"/>
  <c r="AR16" i="14"/>
  <c r="AP20" i="14"/>
  <c r="AP21" i="14"/>
  <c r="AP18" i="14"/>
  <c r="R22" i="22"/>
  <c r="S22" i="22" s="1"/>
  <c r="N72" i="11"/>
  <c r="AL67" i="17"/>
  <c r="AY67" i="17" s="1"/>
  <c r="E84" i="18"/>
  <c r="I84" i="18" s="1"/>
  <c r="AB84" i="18" s="1"/>
  <c r="AF84" i="18" s="1"/>
  <c r="AK84" i="18" s="1"/>
  <c r="AK85" i="18" s="1"/>
  <c r="N71" i="11"/>
  <c r="AW19" i="21"/>
  <c r="AW21" i="21"/>
  <c r="AW22" i="21"/>
  <c r="AW18" i="21"/>
  <c r="AW20" i="21"/>
  <c r="AW17" i="21"/>
  <c r="F35" i="21"/>
  <c r="F35" i="20"/>
  <c r="AL66" i="17"/>
  <c r="AY66" i="17" s="1"/>
  <c r="F25" i="21"/>
  <c r="F25" i="20"/>
  <c r="AO3" i="6"/>
  <c r="AO5" i="6" s="1"/>
  <c r="AR9" i="6" s="1"/>
  <c r="H35" i="21"/>
  <c r="I35" i="21" s="1"/>
  <c r="G35" i="20"/>
  <c r="G26" i="20"/>
  <c r="G26" i="13"/>
  <c r="H26" i="21"/>
  <c r="I26" i="21" s="1"/>
  <c r="H25" i="21"/>
  <c r="I25" i="21" s="1"/>
  <c r="G25" i="20"/>
  <c r="E83" i="19"/>
  <c r="J83" i="19" s="1"/>
  <c r="AB83" i="19" s="1"/>
  <c r="R67" i="22"/>
  <c r="S67" i="22" s="1"/>
  <c r="E83" i="18"/>
  <c r="I83" i="18" s="1"/>
  <c r="AB83" i="18" s="1"/>
  <c r="AO83" i="18" s="1"/>
  <c r="F28" i="21"/>
  <c r="F28" i="20"/>
  <c r="W20" i="20"/>
  <c r="V20" i="20"/>
  <c r="T20" i="20"/>
  <c r="U20" i="20"/>
  <c r="AI17" i="21"/>
  <c r="AT17" i="21" s="1"/>
  <c r="AI20" i="21"/>
  <c r="AT20" i="21" s="1"/>
  <c r="W19" i="20"/>
  <c r="V19" i="20"/>
  <c r="T19" i="20"/>
  <c r="U19" i="20"/>
  <c r="W17" i="20"/>
  <c r="V17" i="20"/>
  <c r="T17" i="20"/>
  <c r="U17" i="20"/>
  <c r="F26" i="21"/>
  <c r="F26" i="20"/>
  <c r="E82" i="18"/>
  <c r="I82" i="18" s="1"/>
  <c r="AB82" i="18" s="1"/>
  <c r="AO82" i="18" s="1"/>
  <c r="R66" i="22"/>
  <c r="S66" i="22" s="1"/>
  <c r="V66" i="23"/>
  <c r="V21" i="20"/>
  <c r="U21" i="20"/>
  <c r="W21" i="20"/>
  <c r="T21" i="20"/>
  <c r="W22" i="20"/>
  <c r="V22" i="20"/>
  <c r="U22" i="20"/>
  <c r="T22" i="20"/>
  <c r="AI19" i="21"/>
  <c r="AT19" i="21" s="1"/>
  <c r="N69" i="11"/>
  <c r="R65" i="22"/>
  <c r="S65" i="22" s="1"/>
  <c r="V65" i="23"/>
  <c r="AI21" i="21"/>
  <c r="AT21" i="21" s="1"/>
  <c r="AI22" i="21"/>
  <c r="AT22" i="21" s="1"/>
  <c r="AC55" i="14"/>
  <c r="AD55" i="14" s="1"/>
  <c r="AE55" i="14" s="1"/>
  <c r="R68" i="22"/>
  <c r="S68" i="22" s="1"/>
  <c r="V68" i="23"/>
  <c r="AI18" i="21"/>
  <c r="AT18" i="21" s="1"/>
  <c r="R27" i="22"/>
  <c r="S27" i="22" s="1"/>
  <c r="V27" i="23"/>
  <c r="AH32" i="21"/>
  <c r="AS32" i="21" s="1"/>
  <c r="S32" i="20"/>
  <c r="V18" i="20"/>
  <c r="W18" i="20"/>
  <c r="T18" i="20"/>
  <c r="U18" i="20"/>
  <c r="N70" i="11"/>
  <c r="E82" i="19"/>
  <c r="J82" i="19" s="1"/>
  <c r="AB82" i="19" s="1"/>
  <c r="E81" i="18"/>
  <c r="I81" i="18" s="1"/>
  <c r="AB81" i="18" s="1"/>
  <c r="AF81" i="18" s="1"/>
  <c r="AK81" i="18" s="1"/>
  <c r="AO51" i="18"/>
  <c r="E81" i="19"/>
  <c r="J81" i="19" s="1"/>
  <c r="AB81" i="19" s="1"/>
  <c r="AC64" i="14"/>
  <c r="AO72" i="18"/>
  <c r="AC3" i="9"/>
  <c r="AE5" i="9" s="1"/>
  <c r="F35" i="13"/>
  <c r="AJ86" i="6"/>
  <c r="AK86" i="6"/>
  <c r="F34" i="14"/>
  <c r="AL26" i="17"/>
  <c r="AY26" i="17" s="1"/>
  <c r="N31" i="11"/>
  <c r="E36" i="18"/>
  <c r="I36" i="18" s="1"/>
  <c r="AB36" i="18" s="1"/>
  <c r="AB37" i="18" s="1"/>
  <c r="E36" i="19"/>
  <c r="J36" i="19" s="1"/>
  <c r="AB36" i="19" s="1"/>
  <c r="AF30" i="18"/>
  <c r="AK30" i="18" s="1"/>
  <c r="AO30" i="18"/>
  <c r="X30" i="19"/>
  <c r="J30" i="19"/>
  <c r="AB30" i="19" s="1"/>
  <c r="AE20" i="14"/>
  <c r="T19" i="13"/>
  <c r="S19" i="13"/>
  <c r="Q19" i="13"/>
  <c r="R19" i="13"/>
  <c r="AJ37" i="6"/>
  <c r="F27" i="14"/>
  <c r="F28" i="13"/>
  <c r="AK37" i="6"/>
  <c r="AF35" i="18"/>
  <c r="AO35" i="18"/>
  <c r="J35" i="19"/>
  <c r="AB35" i="19" s="1"/>
  <c r="X35" i="19"/>
  <c r="X37" i="19" s="1"/>
  <c r="W31" i="18"/>
  <c r="Z31" i="18" s="1"/>
  <c r="S17" i="13"/>
  <c r="T17" i="13"/>
  <c r="Q17" i="13"/>
  <c r="R17" i="13"/>
  <c r="AO79" i="18"/>
  <c r="S20" i="13"/>
  <c r="T20" i="13"/>
  <c r="Q20" i="13"/>
  <c r="R20" i="13"/>
  <c r="S21" i="13"/>
  <c r="T21" i="13"/>
  <c r="Q21" i="13"/>
  <c r="R21" i="13"/>
  <c r="AF25" i="18"/>
  <c r="AL24" i="25" s="1"/>
  <c r="AK23" i="18"/>
  <c r="X27" i="19"/>
  <c r="X28" i="19" s="1"/>
  <c r="J27" i="19"/>
  <c r="AB27" i="19" s="1"/>
  <c r="AO44" i="18"/>
  <c r="AE18" i="14"/>
  <c r="AE19" i="14"/>
  <c r="AK87" i="18"/>
  <c r="AF93" i="18"/>
  <c r="AL36" i="25" s="1"/>
  <c r="AE17" i="14"/>
  <c r="S18" i="13"/>
  <c r="T18" i="13"/>
  <c r="Q18" i="13"/>
  <c r="R18" i="13"/>
  <c r="AO58" i="18"/>
  <c r="AF44" i="18"/>
  <c r="AL29" i="25" s="1"/>
  <c r="AK38" i="18"/>
  <c r="F25" i="13"/>
  <c r="F24" i="14"/>
  <c r="AK28" i="6"/>
  <c r="AJ28" i="6"/>
  <c r="AF3" i="6"/>
  <c r="AO27" i="18"/>
  <c r="AF27" i="18"/>
  <c r="AK27" i="18" s="1"/>
  <c r="AF79" i="18"/>
  <c r="AL34" i="25" s="1"/>
  <c r="AK73" i="18"/>
  <c r="AO93" i="18"/>
  <c r="AK52" i="18"/>
  <c r="AF58" i="18"/>
  <c r="AL31" i="25" s="1"/>
  <c r="AE21" i="14"/>
  <c r="AO34" i="18"/>
  <c r="X80" i="19"/>
  <c r="J80" i="19"/>
  <c r="AB80" i="19" s="1"/>
  <c r="Z54" i="14"/>
  <c r="AC54" i="14"/>
  <c r="X29" i="19"/>
  <c r="AE16" i="14"/>
  <c r="G35" i="13"/>
  <c r="H34" i="14"/>
  <c r="I34" i="14" s="1"/>
  <c r="X82" i="19"/>
  <c r="AK45" i="18"/>
  <c r="AF51" i="18"/>
  <c r="AL30" i="25" s="1"/>
  <c r="AK32" i="18"/>
  <c r="AF34" i="18"/>
  <c r="AL27" i="25" s="1"/>
  <c r="AK66" i="18"/>
  <c r="AF72" i="18"/>
  <c r="AL33" i="25" s="1"/>
  <c r="W86" i="18"/>
  <c r="Z86" i="18" s="1"/>
  <c r="W28" i="18"/>
  <c r="AD31" i="14"/>
  <c r="P32" i="13"/>
  <c r="AJ65" i="18"/>
  <c r="AK65" i="18"/>
  <c r="AO80" i="18"/>
  <c r="AF80" i="18"/>
  <c r="AE53" i="14"/>
  <c r="T22" i="13"/>
  <c r="S22" i="13"/>
  <c r="Q22" i="13"/>
  <c r="R22" i="13"/>
  <c r="F26" i="13"/>
  <c r="AK31" i="6"/>
  <c r="AJ31" i="6"/>
  <c r="F25" i="14"/>
  <c r="W37" i="18"/>
  <c r="Z37" i="18" s="1"/>
  <c r="L24" i="4" l="1"/>
  <c r="Q24" i="4" s="1"/>
  <c r="AJ24" i="4"/>
  <c r="AF85" i="18"/>
  <c r="AB28" i="18"/>
  <c r="S26" i="25"/>
  <c r="T26" i="25" s="1"/>
  <c r="AW31" i="25"/>
  <c r="AM31" i="25"/>
  <c r="AX31" i="25" s="1"/>
  <c r="BA31" i="25"/>
  <c r="BC31" i="25" s="1"/>
  <c r="I25" i="25"/>
  <c r="H41" i="25"/>
  <c r="I41" i="25" s="1"/>
  <c r="AW27" i="25"/>
  <c r="AM27" i="25"/>
  <c r="AX27" i="25" s="1"/>
  <c r="BA27" i="25"/>
  <c r="BC27" i="25" s="1"/>
  <c r="P23" i="13"/>
  <c r="R23" i="13" s="1"/>
  <c r="AL23" i="25"/>
  <c r="S25" i="25"/>
  <c r="AM30" i="25"/>
  <c r="AX30" i="25" s="1"/>
  <c r="AW30" i="25"/>
  <c r="BA30" i="25"/>
  <c r="BC30" i="25" s="1"/>
  <c r="AM34" i="25"/>
  <c r="AX34" i="25" s="1"/>
  <c r="AW34" i="25"/>
  <c r="BA34" i="25"/>
  <c r="BC34" i="25" s="1"/>
  <c r="AW36" i="25"/>
  <c r="AM36" i="25"/>
  <c r="AX36" i="25" s="1"/>
  <c r="BA36" i="25"/>
  <c r="BC36" i="25" s="1"/>
  <c r="AW24" i="25"/>
  <c r="AM24" i="25"/>
  <c r="AX24" i="25" s="1"/>
  <c r="BA24" i="25"/>
  <c r="BC24" i="25" s="1"/>
  <c r="S28" i="25"/>
  <c r="AM29" i="25"/>
  <c r="AX29" i="25" s="1"/>
  <c r="AW29" i="25"/>
  <c r="BA29" i="25"/>
  <c r="BC29" i="25" s="1"/>
  <c r="T35" i="25"/>
  <c r="W35" i="25"/>
  <c r="Y35" i="25" s="1"/>
  <c r="AW33" i="25"/>
  <c r="AM33" i="25"/>
  <c r="AX33" i="25" s="1"/>
  <c r="BA33" i="25"/>
  <c r="BC33" i="25" s="1"/>
  <c r="Z81" i="4"/>
  <c r="AA81" i="4" s="1"/>
  <c r="Z82" i="4"/>
  <c r="AA82" i="4" s="1"/>
  <c r="Z80" i="4"/>
  <c r="AA80" i="4" s="1"/>
  <c r="Z17" i="4"/>
  <c r="Z15" i="4"/>
  <c r="Z28" i="4"/>
  <c r="Z14" i="4"/>
  <c r="Z20" i="4"/>
  <c r="Z62" i="4"/>
  <c r="Z18" i="4"/>
  <c r="Z16" i="4"/>
  <c r="Z22" i="4"/>
  <c r="Z19" i="4"/>
  <c r="Z44" i="4"/>
  <c r="Z38" i="4"/>
  <c r="Z50" i="4"/>
  <c r="Z32" i="4"/>
  <c r="Z74" i="4"/>
  <c r="Z56" i="4"/>
  <c r="Z30" i="4"/>
  <c r="AA30" i="4" s="1"/>
  <c r="Z24" i="4"/>
  <c r="AA24" i="4" s="1"/>
  <c r="Z68" i="4"/>
  <c r="AA68" i="4" s="1"/>
  <c r="Z26" i="4"/>
  <c r="AA26" i="4" s="1"/>
  <c r="T80" i="4"/>
  <c r="T38" i="4"/>
  <c r="AR38" i="4" s="1"/>
  <c r="T44" i="4"/>
  <c r="AR44" i="4" s="1"/>
  <c r="T74" i="4"/>
  <c r="AR74" i="4" s="1"/>
  <c r="T17" i="4"/>
  <c r="AQ17" i="4" s="1"/>
  <c r="T68" i="4"/>
  <c r="T19" i="4"/>
  <c r="AQ19" i="4" s="1"/>
  <c r="T56" i="4"/>
  <c r="AQ56" i="4" s="1"/>
  <c r="T26" i="4"/>
  <c r="T18" i="4"/>
  <c r="AQ18" i="4" s="1"/>
  <c r="T32" i="4"/>
  <c r="AQ32" i="4" s="1"/>
  <c r="T15" i="4"/>
  <c r="AR15" i="4" s="1"/>
  <c r="U15" i="4" s="1"/>
  <c r="AU16" i="4"/>
  <c r="AV16" i="4"/>
  <c r="X16" i="4" s="1"/>
  <c r="T24" i="4"/>
  <c r="U24" i="4" s="1"/>
  <c r="T50" i="4"/>
  <c r="AQ50" i="4" s="1"/>
  <c r="T16" i="4"/>
  <c r="AQ16" i="4" s="1"/>
  <c r="T22" i="4"/>
  <c r="AR22" i="4" s="1"/>
  <c r="T14" i="4"/>
  <c r="AR14" i="4" s="1"/>
  <c r="U14" i="4" s="1"/>
  <c r="T28" i="4"/>
  <c r="AQ28" i="4" s="1"/>
  <c r="T82" i="4"/>
  <c r="Q68" i="4"/>
  <c r="T62" i="4"/>
  <c r="AQ62" i="4" s="1"/>
  <c r="T20" i="4"/>
  <c r="AQ20" i="4" s="1"/>
  <c r="T81" i="4"/>
  <c r="L26" i="4"/>
  <c r="W80" i="4"/>
  <c r="W82" i="4"/>
  <c r="W81" i="4"/>
  <c r="W14" i="4"/>
  <c r="W18" i="4"/>
  <c r="W19" i="4"/>
  <c r="W15" i="4"/>
  <c r="W17" i="4"/>
  <c r="W28" i="4"/>
  <c r="W56" i="4"/>
  <c r="W22" i="4"/>
  <c r="W50" i="4"/>
  <c r="W74" i="4"/>
  <c r="W32" i="4"/>
  <c r="W38" i="4"/>
  <c r="W44" i="4"/>
  <c r="W62" i="4"/>
  <c r="W20" i="4"/>
  <c r="W24" i="4"/>
  <c r="W68" i="4"/>
  <c r="W30" i="4"/>
  <c r="W26" i="4"/>
  <c r="AF26" i="18"/>
  <c r="AK26" i="18" s="1"/>
  <c r="AF29" i="18"/>
  <c r="AF31" i="18" s="1"/>
  <c r="AL26" i="25" s="1"/>
  <c r="AO29" i="18"/>
  <c r="AO31" i="18" s="1"/>
  <c r="AO84" i="18"/>
  <c r="AJ22" i="18"/>
  <c r="AD22" i="14"/>
  <c r="S23" i="20"/>
  <c r="W23" i="20" s="1"/>
  <c r="AK22" i="18"/>
  <c r="AH23" i="21"/>
  <c r="AS23" i="21" s="1"/>
  <c r="AP31" i="14"/>
  <c r="G41" i="13"/>
  <c r="AF83" i="18"/>
  <c r="AK83" i="18" s="1"/>
  <c r="AB86" i="18"/>
  <c r="G41" i="20"/>
  <c r="AW32" i="21"/>
  <c r="I25" i="20"/>
  <c r="R25" i="20" s="1"/>
  <c r="K25" i="20"/>
  <c r="J25" i="20"/>
  <c r="H25" i="20"/>
  <c r="Q25" i="20" s="1"/>
  <c r="J35" i="20"/>
  <c r="H35" i="20"/>
  <c r="Q35" i="20" s="1"/>
  <c r="K35" i="20"/>
  <c r="I35" i="20"/>
  <c r="R35" i="20" s="1"/>
  <c r="G35" i="21"/>
  <c r="S35" i="21"/>
  <c r="H41" i="21"/>
  <c r="I41" i="21" s="1"/>
  <c r="G28" i="21"/>
  <c r="S28" i="21"/>
  <c r="G25" i="21"/>
  <c r="S25" i="21"/>
  <c r="AO81" i="18"/>
  <c r="AF82" i="18"/>
  <c r="AK82" i="18" s="1"/>
  <c r="H28" i="20"/>
  <c r="Q28" i="20" s="1"/>
  <c r="I28" i="20"/>
  <c r="R28" i="20" s="1"/>
  <c r="J28" i="20"/>
  <c r="K28" i="20"/>
  <c r="AI32" i="21"/>
  <c r="AT32" i="21" s="1"/>
  <c r="AY20" i="21"/>
  <c r="AH29" i="21"/>
  <c r="AS29" i="21" s="1"/>
  <c r="S29" i="20"/>
  <c r="S24" i="20"/>
  <c r="AH24" i="21"/>
  <c r="AS24" i="21" s="1"/>
  <c r="K26" i="20"/>
  <c r="H26" i="20"/>
  <c r="I26" i="20"/>
  <c r="F41" i="20"/>
  <c r="J26" i="20"/>
  <c r="AY22" i="21"/>
  <c r="S26" i="21"/>
  <c r="F41" i="21"/>
  <c r="G41" i="21" s="1"/>
  <c r="G26" i="21"/>
  <c r="AH36" i="21"/>
  <c r="AS36" i="21" s="1"/>
  <c r="S36" i="20"/>
  <c r="AH30" i="21"/>
  <c r="AS30" i="21" s="1"/>
  <c r="S30" i="20"/>
  <c r="AH34" i="21"/>
  <c r="AS34" i="21" s="1"/>
  <c r="S34" i="20"/>
  <c r="AY21" i="21"/>
  <c r="AH33" i="21"/>
  <c r="AS33" i="21" s="1"/>
  <c r="S33" i="20"/>
  <c r="AY18" i="21"/>
  <c r="AY19" i="21"/>
  <c r="AH27" i="21"/>
  <c r="AS27" i="21" s="1"/>
  <c r="S27" i="20"/>
  <c r="AH31" i="21"/>
  <c r="AS31" i="21" s="1"/>
  <c r="S31" i="20"/>
  <c r="W32" i="20"/>
  <c r="U32" i="20"/>
  <c r="V32" i="20"/>
  <c r="T32" i="20"/>
  <c r="F41" i="13"/>
  <c r="H40" i="14"/>
  <c r="I40" i="14" s="1"/>
  <c r="X86" i="19"/>
  <c r="P33" i="13"/>
  <c r="AJ72" i="18"/>
  <c r="AD32" i="14"/>
  <c r="AK72" i="18"/>
  <c r="AK79" i="18"/>
  <c r="AJ79" i="18"/>
  <c r="P34" i="13"/>
  <c r="AD33" i="14"/>
  <c r="K35" i="13"/>
  <c r="I35" i="13"/>
  <c r="O35" i="13" s="1"/>
  <c r="J35" i="13"/>
  <c r="H35" i="13"/>
  <c r="N35" i="13" s="1"/>
  <c r="G25" i="14"/>
  <c r="P25" i="14"/>
  <c r="AB28" i="19"/>
  <c r="Z28" i="18"/>
  <c r="Z3" i="18" s="1"/>
  <c r="W3" i="18"/>
  <c r="H25" i="13"/>
  <c r="I25" i="13"/>
  <c r="K25" i="13"/>
  <c r="J25" i="13"/>
  <c r="AK58" i="18"/>
  <c r="P31" i="13"/>
  <c r="AD30" i="14"/>
  <c r="AJ58" i="18"/>
  <c r="AR19" i="14"/>
  <c r="AB37" i="19"/>
  <c r="AK35" i="18"/>
  <c r="AE31" i="14"/>
  <c r="AK80" i="18"/>
  <c r="AK51" i="18"/>
  <c r="AD29" i="14"/>
  <c r="P30" i="13"/>
  <c r="AJ51" i="18"/>
  <c r="AD54" i="14"/>
  <c r="AR3" i="6"/>
  <c r="AR7" i="6" s="1"/>
  <c r="AR10" i="6" s="1"/>
  <c r="AR13" i="6" s="1"/>
  <c r="AH5" i="6"/>
  <c r="AR21" i="14"/>
  <c r="AJ93" i="18"/>
  <c r="P36" i="13"/>
  <c r="AK93" i="18"/>
  <c r="AD35" i="14"/>
  <c r="X31" i="19"/>
  <c r="AD28" i="14"/>
  <c r="P29" i="13"/>
  <c r="AK44" i="18"/>
  <c r="AJ44" i="18"/>
  <c r="H28" i="13"/>
  <c r="N28" i="13" s="1"/>
  <c r="K28" i="13"/>
  <c r="I28" i="13"/>
  <c r="O28" i="13" s="1"/>
  <c r="J28" i="13"/>
  <c r="AO36" i="18"/>
  <c r="AO37" i="18" s="1"/>
  <c r="AF36" i="18"/>
  <c r="AK36" i="18" s="1"/>
  <c r="J26" i="13"/>
  <c r="I26" i="13"/>
  <c r="O26" i="13" s="1"/>
  <c r="H26" i="13"/>
  <c r="N26" i="13" s="1"/>
  <c r="K26" i="13"/>
  <c r="P27" i="13"/>
  <c r="AD26" i="14"/>
  <c r="AJ34" i="18"/>
  <c r="AK34" i="18"/>
  <c r="AB31" i="19"/>
  <c r="AR18" i="14"/>
  <c r="P24" i="13"/>
  <c r="AJ25" i="18"/>
  <c r="AD23" i="14"/>
  <c r="AK25" i="18"/>
  <c r="AO28" i="18"/>
  <c r="G27" i="14"/>
  <c r="P27" i="14"/>
  <c r="P34" i="14"/>
  <c r="G34" i="14"/>
  <c r="S32" i="13"/>
  <c r="T32" i="13"/>
  <c r="Q32" i="13"/>
  <c r="R32" i="13"/>
  <c r="AB86" i="19"/>
  <c r="P24" i="14"/>
  <c r="G24" i="14"/>
  <c r="F40" i="14"/>
  <c r="G40" i="14" s="1"/>
  <c r="T23" i="13" l="1"/>
  <c r="S23" i="13"/>
  <c r="Q23" i="13"/>
  <c r="AB3" i="18"/>
  <c r="AD5" i="18" s="1"/>
  <c r="W26" i="25"/>
  <c r="Y26" i="25" s="1"/>
  <c r="H94" i="7"/>
  <c r="AE94" i="7" s="1"/>
  <c r="U79" i="10"/>
  <c r="U75" i="29" s="1"/>
  <c r="U81" i="10"/>
  <c r="U77" i="29" s="1"/>
  <c r="H96" i="7"/>
  <c r="AE96" i="7" s="1"/>
  <c r="U80" i="10"/>
  <c r="U76" i="29" s="1"/>
  <c r="H95" i="7"/>
  <c r="AE95" i="7" s="1"/>
  <c r="AQ74" i="4"/>
  <c r="AR32" i="4"/>
  <c r="U33" i="4" s="1"/>
  <c r="AQ44" i="4"/>
  <c r="AR19" i="4"/>
  <c r="U19" i="4" s="1"/>
  <c r="S18" i="10" s="1"/>
  <c r="S14" i="29" s="1"/>
  <c r="AR17" i="4"/>
  <c r="U17" i="4" s="1"/>
  <c r="S16" i="10" s="1"/>
  <c r="S12" i="29" s="1"/>
  <c r="AQ14" i="4"/>
  <c r="AR28" i="4"/>
  <c r="U29" i="4" s="1"/>
  <c r="AF28" i="21"/>
  <c r="AJ28" i="25"/>
  <c r="T25" i="25"/>
  <c r="W25" i="25"/>
  <c r="S41" i="25"/>
  <c r="T41" i="25" s="1"/>
  <c r="AW23" i="25"/>
  <c r="AM23" i="25"/>
  <c r="AX23" i="25" s="1"/>
  <c r="BA23" i="25"/>
  <c r="AF26" i="21"/>
  <c r="AJ26" i="25"/>
  <c r="BA26" i="25" s="1"/>
  <c r="BC26" i="25" s="1"/>
  <c r="AW26" i="25"/>
  <c r="AG26" i="21"/>
  <c r="AK26" i="25"/>
  <c r="AF35" i="21"/>
  <c r="AJ35" i="25"/>
  <c r="T28" i="25"/>
  <c r="W28" i="25"/>
  <c r="Y28" i="25" s="1"/>
  <c r="AG28" i="21"/>
  <c r="AK28" i="25"/>
  <c r="AG35" i="21"/>
  <c r="AK35" i="25"/>
  <c r="AR62" i="4"/>
  <c r="U64" i="4" s="1"/>
  <c r="AY14" i="4"/>
  <c r="AZ14" i="4"/>
  <c r="AA14" i="4" s="1"/>
  <c r="AZ44" i="4"/>
  <c r="AY44" i="4"/>
  <c r="AZ28" i="4"/>
  <c r="AY28" i="4"/>
  <c r="AY19" i="4"/>
  <c r="AZ19" i="4"/>
  <c r="AA19" i="4" s="1"/>
  <c r="AY15" i="4"/>
  <c r="AZ15" i="4"/>
  <c r="AA15" i="4" s="1"/>
  <c r="AR56" i="4"/>
  <c r="U58" i="4" s="1"/>
  <c r="AY22" i="4"/>
  <c r="AZ22" i="4"/>
  <c r="AY17" i="4"/>
  <c r="AZ17" i="4"/>
  <c r="AA17" i="4" s="1"/>
  <c r="AY56" i="4"/>
  <c r="AZ56" i="4"/>
  <c r="AZ16" i="4"/>
  <c r="AA16" i="4" s="1"/>
  <c r="AY16" i="4"/>
  <c r="AY20" i="4"/>
  <c r="AZ20" i="4"/>
  <c r="AZ38" i="4"/>
  <c r="AY38" i="4"/>
  <c r="AY74" i="4"/>
  <c r="AZ74" i="4"/>
  <c r="AZ18" i="4"/>
  <c r="AA18" i="4" s="1"/>
  <c r="AY18" i="4"/>
  <c r="AZ50" i="4"/>
  <c r="AY50" i="4"/>
  <c r="AZ32" i="4"/>
  <c r="AY32" i="4"/>
  <c r="AZ62" i="4"/>
  <c r="AY62" i="4"/>
  <c r="AR16" i="4"/>
  <c r="U16" i="4" s="1"/>
  <c r="S15" i="10" s="1"/>
  <c r="S11" i="29" s="1"/>
  <c r="AQ38" i="4"/>
  <c r="AF28" i="18"/>
  <c r="AL25" i="25" s="1"/>
  <c r="T84" i="4"/>
  <c r="Z84" i="4"/>
  <c r="AR18" i="4"/>
  <c r="U18" i="4" s="1"/>
  <c r="S17" i="10" s="1"/>
  <c r="S13" i="29" s="1"/>
  <c r="AR20" i="4"/>
  <c r="U21" i="4" s="1"/>
  <c r="AQ22" i="4"/>
  <c r="AR50" i="4"/>
  <c r="U53" i="4" s="1"/>
  <c r="AQ15" i="4"/>
  <c r="AV20" i="4"/>
  <c r="AU20" i="4"/>
  <c r="AU56" i="4"/>
  <c r="AV56" i="4"/>
  <c r="U22" i="4"/>
  <c r="U23" i="4"/>
  <c r="AU62" i="4"/>
  <c r="AV62" i="4"/>
  <c r="AU28" i="4"/>
  <c r="AV28" i="4"/>
  <c r="AU14" i="4"/>
  <c r="AV14" i="4"/>
  <c r="X14" i="4" s="1"/>
  <c r="W84" i="4"/>
  <c r="AU44" i="4"/>
  <c r="AV44" i="4"/>
  <c r="L84" i="4"/>
  <c r="Q26" i="4"/>
  <c r="AV38" i="4"/>
  <c r="AU38" i="4"/>
  <c r="AV17" i="4"/>
  <c r="X17" i="4" s="1"/>
  <c r="AU17" i="4"/>
  <c r="AV32" i="4"/>
  <c r="AU32" i="4"/>
  <c r="AU15" i="4"/>
  <c r="AV15" i="4"/>
  <c r="X15" i="4" s="1"/>
  <c r="S14" i="10"/>
  <c r="S10" i="29" s="1"/>
  <c r="F15" i="7"/>
  <c r="AU74" i="4"/>
  <c r="AV74" i="4"/>
  <c r="AU19" i="4"/>
  <c r="AV19" i="4"/>
  <c r="X19" i="4" s="1"/>
  <c r="S13" i="10"/>
  <c r="F14" i="7"/>
  <c r="U43" i="4"/>
  <c r="U39" i="4"/>
  <c r="U41" i="4"/>
  <c r="U40" i="4"/>
  <c r="U42" i="4"/>
  <c r="U38" i="4"/>
  <c r="AV22" i="4"/>
  <c r="AU22" i="4"/>
  <c r="AU50" i="4"/>
  <c r="AV50" i="4"/>
  <c r="AU18" i="4"/>
  <c r="AV18" i="4"/>
  <c r="X18" i="4" s="1"/>
  <c r="U75" i="4"/>
  <c r="U74" i="4"/>
  <c r="U79" i="4"/>
  <c r="U78" i="4"/>
  <c r="U76" i="4"/>
  <c r="U77" i="4"/>
  <c r="U47" i="4"/>
  <c r="U44" i="4"/>
  <c r="U48" i="4"/>
  <c r="U49" i="4"/>
  <c r="U46" i="4"/>
  <c r="U45" i="4"/>
  <c r="AW23" i="21"/>
  <c r="AY23" i="21" s="1"/>
  <c r="AK29" i="18"/>
  <c r="AI23" i="21"/>
  <c r="AT23" i="21" s="1"/>
  <c r="T23" i="20"/>
  <c r="U23" i="20"/>
  <c r="AO86" i="18"/>
  <c r="AO3" i="18" s="1"/>
  <c r="AO5" i="18" s="1"/>
  <c r="AR9" i="18" s="1"/>
  <c r="V23" i="20"/>
  <c r="AE22" i="14"/>
  <c r="AP22" i="14"/>
  <c r="AR22" i="14" s="1"/>
  <c r="AP26" i="14"/>
  <c r="AP32" i="14"/>
  <c r="AP23" i="14"/>
  <c r="AP30" i="14"/>
  <c r="AP29" i="14"/>
  <c r="AP33" i="14"/>
  <c r="AC65" i="14"/>
  <c r="AP28" i="14"/>
  <c r="AP35" i="14"/>
  <c r="AF86" i="18"/>
  <c r="AW34" i="21"/>
  <c r="AW24" i="21"/>
  <c r="AW30" i="21"/>
  <c r="AW29" i="21"/>
  <c r="AW31" i="21"/>
  <c r="AW33" i="21"/>
  <c r="AW27" i="21"/>
  <c r="AW36" i="21"/>
  <c r="T25" i="21"/>
  <c r="W25" i="21"/>
  <c r="Y25" i="21" s="1"/>
  <c r="AC66" i="14"/>
  <c r="T35" i="21"/>
  <c r="W35" i="21"/>
  <c r="Y35" i="21" s="1"/>
  <c r="W28" i="21"/>
  <c r="Y28" i="21" s="1"/>
  <c r="T28" i="21"/>
  <c r="W31" i="20"/>
  <c r="U31" i="20"/>
  <c r="T31" i="20"/>
  <c r="V31" i="20"/>
  <c r="V34" i="20"/>
  <c r="W34" i="20"/>
  <c r="T34" i="20"/>
  <c r="U34" i="20"/>
  <c r="AI34" i="21"/>
  <c r="AT34" i="21" s="1"/>
  <c r="T26" i="21"/>
  <c r="W26" i="21"/>
  <c r="S41" i="21"/>
  <c r="T41" i="21" s="1"/>
  <c r="W27" i="20"/>
  <c r="V27" i="20"/>
  <c r="T27" i="20"/>
  <c r="U27" i="20"/>
  <c r="W33" i="20"/>
  <c r="V33" i="20"/>
  <c r="U33" i="20"/>
  <c r="T33" i="20"/>
  <c r="V30" i="20"/>
  <c r="T30" i="20"/>
  <c r="W30" i="20"/>
  <c r="U30" i="20"/>
  <c r="AI24" i="21"/>
  <c r="AT24" i="21" s="1"/>
  <c r="AI27" i="21"/>
  <c r="AT27" i="21" s="1"/>
  <c r="AI33" i="21"/>
  <c r="AT33" i="21" s="1"/>
  <c r="AI30" i="21"/>
  <c r="AT30" i="21" s="1"/>
  <c r="AY17" i="21"/>
  <c r="J41" i="20"/>
  <c r="K41" i="20"/>
  <c r="V24" i="20"/>
  <c r="W24" i="20"/>
  <c r="U24" i="20"/>
  <c r="T24" i="20"/>
  <c r="R26" i="20"/>
  <c r="I41" i="20"/>
  <c r="W29" i="20"/>
  <c r="V29" i="20"/>
  <c r="T29" i="20"/>
  <c r="U29" i="20"/>
  <c r="Q26" i="20"/>
  <c r="H41" i="20"/>
  <c r="AI29" i="21"/>
  <c r="AT29" i="21" s="1"/>
  <c r="AI31" i="21"/>
  <c r="AT31" i="21" s="1"/>
  <c r="V36" i="20"/>
  <c r="W36" i="20"/>
  <c r="T36" i="20"/>
  <c r="U36" i="20"/>
  <c r="AH26" i="21"/>
  <c r="AS26" i="21" s="1"/>
  <c r="S26" i="20"/>
  <c r="AI36" i="21"/>
  <c r="AT36" i="21" s="1"/>
  <c r="AY32" i="21"/>
  <c r="X3" i="19"/>
  <c r="Z5" i="19" s="1"/>
  <c r="AR20" i="14"/>
  <c r="X64" i="14"/>
  <c r="Y64" i="14" s="1"/>
  <c r="AR17" i="14"/>
  <c r="Z5" i="18"/>
  <c r="V25" i="14"/>
  <c r="X25" i="14" s="1"/>
  <c r="Q25" i="14"/>
  <c r="Q24" i="14"/>
  <c r="V24" i="14"/>
  <c r="P40" i="14"/>
  <c r="Q40" i="14" s="1"/>
  <c r="T24" i="13"/>
  <c r="S24" i="13"/>
  <c r="R24" i="13"/>
  <c r="Q24" i="13"/>
  <c r="AB25" i="14"/>
  <c r="AE54" i="14"/>
  <c r="AR31" i="14"/>
  <c r="J41" i="13"/>
  <c r="K41" i="13"/>
  <c r="T34" i="13"/>
  <c r="S34" i="13"/>
  <c r="Q34" i="13"/>
  <c r="R34" i="13"/>
  <c r="AC27" i="14"/>
  <c r="AE35" i="14"/>
  <c r="AB34" i="14"/>
  <c r="O25" i="13"/>
  <c r="I41" i="13"/>
  <c r="AB3" i="19"/>
  <c r="AD5" i="19" s="1"/>
  <c r="AE32" i="14"/>
  <c r="AK31" i="18"/>
  <c r="P26" i="13"/>
  <c r="Q26" i="13" s="1"/>
  <c r="AD25" i="14"/>
  <c r="AJ31" i="18"/>
  <c r="S29" i="13"/>
  <c r="T29" i="13"/>
  <c r="Q29" i="13"/>
  <c r="R29" i="13"/>
  <c r="T36" i="13"/>
  <c r="S36" i="13"/>
  <c r="R36" i="13"/>
  <c r="Q36" i="13"/>
  <c r="S30" i="13"/>
  <c r="T30" i="13"/>
  <c r="Q30" i="13"/>
  <c r="R30" i="13"/>
  <c r="N25" i="13"/>
  <c r="H41" i="13"/>
  <c r="AC34" i="14"/>
  <c r="AE33" i="14"/>
  <c r="Q27" i="14"/>
  <c r="V27" i="14"/>
  <c r="Q34" i="14"/>
  <c r="V34" i="14"/>
  <c r="X34" i="14" s="1"/>
  <c r="AE26" i="14"/>
  <c r="AE28" i="14"/>
  <c r="AE29" i="14"/>
  <c r="AE30" i="14"/>
  <c r="T33" i="13"/>
  <c r="S33" i="13"/>
  <c r="R33" i="13"/>
  <c r="Q33" i="13"/>
  <c r="AC25" i="14"/>
  <c r="AB27" i="14"/>
  <c r="AE23" i="14"/>
  <c r="T27" i="13"/>
  <c r="S27" i="13"/>
  <c r="R27" i="13"/>
  <c r="Q27" i="13"/>
  <c r="AF37" i="18"/>
  <c r="AL28" i="25" s="1"/>
  <c r="T31" i="13"/>
  <c r="S31" i="13"/>
  <c r="Q31" i="13"/>
  <c r="R31" i="13"/>
  <c r="S9" i="29" l="1"/>
  <c r="F19" i="7"/>
  <c r="W19" i="7" s="1"/>
  <c r="J22" i="25" s="1"/>
  <c r="U36" i="4"/>
  <c r="F42" i="7" s="1"/>
  <c r="L85" i="4"/>
  <c r="AG25" i="4"/>
  <c r="AI76" i="29"/>
  <c r="AJ76" i="29" s="1"/>
  <c r="V76" i="29"/>
  <c r="AI77" i="29"/>
  <c r="AJ77" i="29" s="1"/>
  <c r="V77" i="29"/>
  <c r="AI75" i="29"/>
  <c r="AJ75" i="29" s="1"/>
  <c r="V75" i="29"/>
  <c r="U56" i="4"/>
  <c r="S55" i="10" s="1"/>
  <c r="S51" i="29" s="1"/>
  <c r="U61" i="4"/>
  <c r="S60" i="10" s="1"/>
  <c r="S56" i="29" s="1"/>
  <c r="U37" i="4"/>
  <c r="S36" i="10" s="1"/>
  <c r="S32" i="29" s="1"/>
  <c r="U35" i="4"/>
  <c r="F41" i="7" s="1"/>
  <c r="P38" i="25"/>
  <c r="N37" i="14"/>
  <c r="P38" i="21"/>
  <c r="U34" i="4"/>
  <c r="F40" i="7" s="1"/>
  <c r="AF95" i="12"/>
  <c r="U76" i="17"/>
  <c r="T77" i="23"/>
  <c r="Z77" i="23" s="1"/>
  <c r="F83" i="5"/>
  <c r="G83" i="5" s="1"/>
  <c r="H83" i="5" s="1"/>
  <c r="K83" i="5" s="1"/>
  <c r="V80" i="10"/>
  <c r="U32" i="4"/>
  <c r="S31" i="10" s="1"/>
  <c r="S27" i="29" s="1"/>
  <c r="P39" i="25"/>
  <c r="N38" i="14"/>
  <c r="P39" i="21"/>
  <c r="AF96" i="12"/>
  <c r="U77" i="17"/>
  <c r="T78" i="23"/>
  <c r="Z78" i="23" s="1"/>
  <c r="V81" i="10"/>
  <c r="F84" i="5"/>
  <c r="G84" i="5" s="1"/>
  <c r="H84" i="5" s="1"/>
  <c r="K84" i="5" s="1"/>
  <c r="T76" i="23"/>
  <c r="Z76" i="23" s="1"/>
  <c r="AF94" i="12"/>
  <c r="U75" i="17"/>
  <c r="V79" i="10"/>
  <c r="F82" i="5"/>
  <c r="G82" i="5" s="1"/>
  <c r="H82" i="5" s="1"/>
  <c r="K82" i="5" s="1"/>
  <c r="P37" i="21"/>
  <c r="N36" i="14"/>
  <c r="P37" i="25"/>
  <c r="U57" i="4"/>
  <c r="F67" i="7" s="1"/>
  <c r="F17" i="7"/>
  <c r="W17" i="7" s="1"/>
  <c r="U28" i="4"/>
  <c r="S27" i="10" s="1"/>
  <c r="S23" i="29" s="1"/>
  <c r="AH25" i="21"/>
  <c r="AS25" i="21" s="1"/>
  <c r="AJ28" i="18"/>
  <c r="U59" i="4"/>
  <c r="F69" i="7" s="1"/>
  <c r="U60" i="4"/>
  <c r="S59" i="10" s="1"/>
  <c r="S55" i="29" s="1"/>
  <c r="U66" i="4"/>
  <c r="S65" i="10" s="1"/>
  <c r="S61" i="29" s="1"/>
  <c r="U65" i="4"/>
  <c r="S64" i="10" s="1"/>
  <c r="S60" i="29" s="1"/>
  <c r="AM26" i="25"/>
  <c r="AX26" i="25" s="1"/>
  <c r="BA28" i="25"/>
  <c r="BC28" i="25" s="1"/>
  <c r="AD24" i="14"/>
  <c r="U62" i="4"/>
  <c r="F73" i="7" s="1"/>
  <c r="AG25" i="21"/>
  <c r="AG41" i="21" s="1"/>
  <c r="AK25" i="25"/>
  <c r="P25" i="13"/>
  <c r="T25" i="13" s="1"/>
  <c r="U63" i="4"/>
  <c r="S62" i="10" s="1"/>
  <c r="S58" i="29" s="1"/>
  <c r="AW25" i="25"/>
  <c r="U67" i="4"/>
  <c r="S66" i="10" s="1"/>
  <c r="S62" i="29" s="1"/>
  <c r="Y25" i="25"/>
  <c r="W41" i="25"/>
  <c r="Y41" i="25" s="1"/>
  <c r="S25" i="20"/>
  <c r="T25" i="20" s="1"/>
  <c r="AF25" i="21"/>
  <c r="AF41" i="21" s="1"/>
  <c r="AJ25" i="25"/>
  <c r="AW28" i="25"/>
  <c r="AM28" i="25"/>
  <c r="AX28" i="25" s="1"/>
  <c r="AK28" i="18"/>
  <c r="P35" i="13"/>
  <c r="Q35" i="13" s="1"/>
  <c r="AL35" i="25"/>
  <c r="BC23" i="25"/>
  <c r="H17" i="7"/>
  <c r="AE17" i="7" s="1"/>
  <c r="U16" i="10"/>
  <c r="H19" i="7"/>
  <c r="AE19" i="7" s="1"/>
  <c r="U18" i="10"/>
  <c r="H18" i="7"/>
  <c r="AE18" i="7" s="1"/>
  <c r="U17" i="10"/>
  <c r="U13" i="29" s="1"/>
  <c r="U15" i="10"/>
  <c r="U11" i="29" s="1"/>
  <c r="H16" i="7"/>
  <c r="AE16" i="7" s="1"/>
  <c r="U14" i="10"/>
  <c r="U10" i="29" s="1"/>
  <c r="H15" i="7"/>
  <c r="AE15" i="7" s="1"/>
  <c r="U13" i="10"/>
  <c r="U9" i="29" s="1"/>
  <c r="H14" i="7"/>
  <c r="AE14" i="7" s="1"/>
  <c r="W15" i="7"/>
  <c r="J18" i="25" s="1"/>
  <c r="W14" i="7"/>
  <c r="AA63" i="4"/>
  <c r="AA64" i="4"/>
  <c r="AA65" i="4"/>
  <c r="AA67" i="4"/>
  <c r="AA62" i="4"/>
  <c r="AA66" i="4"/>
  <c r="F18" i="7"/>
  <c r="AA33" i="4"/>
  <c r="AA37" i="4"/>
  <c r="AA35" i="4"/>
  <c r="AA32" i="4"/>
  <c r="AA36" i="4"/>
  <c r="AA34" i="4"/>
  <c r="AA38" i="4"/>
  <c r="AA43" i="4"/>
  <c r="AA42" i="4"/>
  <c r="AA39" i="4"/>
  <c r="AA40" i="4"/>
  <c r="AA41" i="4"/>
  <c r="U20" i="4"/>
  <c r="S19" i="10" s="1"/>
  <c r="S15" i="29" s="1"/>
  <c r="AA20" i="4"/>
  <c r="AA21" i="4"/>
  <c r="AA23" i="4"/>
  <c r="AA22" i="4"/>
  <c r="AA28" i="4"/>
  <c r="AA29" i="4"/>
  <c r="AA50" i="4"/>
  <c r="AA55" i="4"/>
  <c r="AA51" i="4"/>
  <c r="AA52" i="4"/>
  <c r="AA54" i="4"/>
  <c r="AA53" i="4"/>
  <c r="AA45" i="4"/>
  <c r="AA49" i="4"/>
  <c r="AA48" i="4"/>
  <c r="AA47" i="4"/>
  <c r="AA46" i="4"/>
  <c r="AA44" i="4"/>
  <c r="U51" i="4"/>
  <c r="S50" i="10" s="1"/>
  <c r="S46" i="29" s="1"/>
  <c r="AA77" i="4"/>
  <c r="AA74" i="4"/>
  <c r="AA75" i="4"/>
  <c r="AA78" i="4"/>
  <c r="AA79" i="4"/>
  <c r="AA76" i="4"/>
  <c r="AA58" i="4"/>
  <c r="AA57" i="4"/>
  <c r="AA56" i="4"/>
  <c r="AA60" i="4"/>
  <c r="AA59" i="4"/>
  <c r="AA61" i="4"/>
  <c r="U52" i="4"/>
  <c r="S51" i="10" s="1"/>
  <c r="S47" i="29" s="1"/>
  <c r="U55" i="4"/>
  <c r="F64" i="7" s="1"/>
  <c r="F16" i="7"/>
  <c r="U54" i="4"/>
  <c r="S53" i="10" s="1"/>
  <c r="S49" i="29" s="1"/>
  <c r="U50" i="4"/>
  <c r="S49" i="10" s="1"/>
  <c r="S45" i="29" s="1"/>
  <c r="S44" i="10"/>
  <c r="S40" i="29" s="1"/>
  <c r="F53" i="7"/>
  <c r="S77" i="10"/>
  <c r="S73" i="29" s="1"/>
  <c r="F91" i="7"/>
  <c r="S38" i="10"/>
  <c r="S34" i="29" s="1"/>
  <c r="F46" i="7"/>
  <c r="U26" i="4"/>
  <c r="U27" i="4"/>
  <c r="S45" i="10"/>
  <c r="S41" i="29" s="1"/>
  <c r="F54" i="7"/>
  <c r="S78" i="10"/>
  <c r="S74" i="29" s="1"/>
  <c r="F92" i="7"/>
  <c r="X22" i="4"/>
  <c r="X23" i="4"/>
  <c r="S42" i="10"/>
  <c r="S38" i="29" s="1"/>
  <c r="F50" i="7"/>
  <c r="X35" i="4"/>
  <c r="X32" i="4"/>
  <c r="X33" i="4"/>
  <c r="X34" i="4"/>
  <c r="X36" i="4"/>
  <c r="X37" i="4"/>
  <c r="X40" i="4"/>
  <c r="X39" i="4"/>
  <c r="X41" i="4"/>
  <c r="X43" i="4"/>
  <c r="X42" i="4"/>
  <c r="X38" i="4"/>
  <c r="X44" i="4"/>
  <c r="X47" i="4"/>
  <c r="X48" i="4"/>
  <c r="X49" i="4"/>
  <c r="X46" i="4"/>
  <c r="X45" i="4"/>
  <c r="S21" i="10"/>
  <c r="S17" i="29" s="1"/>
  <c r="F23" i="7"/>
  <c r="S35" i="10"/>
  <c r="S31" i="29" s="1"/>
  <c r="S48" i="10"/>
  <c r="S44" i="29" s="1"/>
  <c r="F57" i="7"/>
  <c r="S73" i="10"/>
  <c r="S69" i="29" s="1"/>
  <c r="F87" i="7"/>
  <c r="T13" i="10"/>
  <c r="T9" i="29" s="1"/>
  <c r="G14" i="7"/>
  <c r="AA14" i="7" s="1"/>
  <c r="S20" i="10"/>
  <c r="S16" i="29" s="1"/>
  <c r="F21" i="7"/>
  <c r="X58" i="4"/>
  <c r="X57" i="4"/>
  <c r="X60" i="4"/>
  <c r="X61" i="4"/>
  <c r="X59" i="4"/>
  <c r="X56" i="4"/>
  <c r="T15" i="10"/>
  <c r="T11" i="29" s="1"/>
  <c r="G16" i="7"/>
  <c r="AA16" i="7" s="1"/>
  <c r="S47" i="10"/>
  <c r="S43" i="29" s="1"/>
  <c r="F56" i="7"/>
  <c r="S74" i="10"/>
  <c r="S70" i="29" s="1"/>
  <c r="F88" i="7"/>
  <c r="R15" i="23"/>
  <c r="Z19" i="12"/>
  <c r="AA19" i="12" s="1"/>
  <c r="AB19" i="12" s="1"/>
  <c r="S14" i="17"/>
  <c r="Z16" i="12"/>
  <c r="AA16" i="12" s="1"/>
  <c r="AB16" i="12" s="1"/>
  <c r="R12" i="23"/>
  <c r="S11" i="17"/>
  <c r="Z17" i="12"/>
  <c r="AA17" i="12" s="1"/>
  <c r="AB17" i="12" s="1"/>
  <c r="R13" i="23"/>
  <c r="S12" i="17"/>
  <c r="S43" i="10"/>
  <c r="S39" i="29" s="1"/>
  <c r="F52" i="7"/>
  <c r="T17" i="10"/>
  <c r="T13" i="29" s="1"/>
  <c r="G18" i="7"/>
  <c r="AA18" i="7" s="1"/>
  <c r="S37" i="10"/>
  <c r="S33" i="29" s="1"/>
  <c r="F45" i="7"/>
  <c r="S52" i="10"/>
  <c r="S48" i="29" s="1"/>
  <c r="F62" i="7"/>
  <c r="S63" i="10"/>
  <c r="S59" i="29" s="1"/>
  <c r="F75" i="7"/>
  <c r="X66" i="4"/>
  <c r="X65" i="4"/>
  <c r="X67" i="4"/>
  <c r="X63" i="4"/>
  <c r="X62" i="4"/>
  <c r="X64" i="4"/>
  <c r="S46" i="10"/>
  <c r="S42" i="29" s="1"/>
  <c r="F55" i="7"/>
  <c r="S41" i="10"/>
  <c r="S37" i="29" s="1"/>
  <c r="F49" i="7"/>
  <c r="R10" i="23"/>
  <c r="Z14" i="12"/>
  <c r="AA14" i="12" s="1"/>
  <c r="AB14" i="12" s="1"/>
  <c r="S9" i="17"/>
  <c r="Z15" i="12"/>
  <c r="AA15" i="12" s="1"/>
  <c r="AB15" i="12" s="1"/>
  <c r="R11" i="23"/>
  <c r="S10" i="17"/>
  <c r="AH84" i="4"/>
  <c r="AI16" i="4" s="1"/>
  <c r="AE84" i="4"/>
  <c r="AK84" i="4"/>
  <c r="Q84" i="4"/>
  <c r="Q85" i="4" s="1"/>
  <c r="Z18" i="12"/>
  <c r="AA18" i="12" s="1"/>
  <c r="AB18" i="12" s="1"/>
  <c r="R14" i="23"/>
  <c r="S13" i="17"/>
  <c r="S22" i="10"/>
  <c r="S18" i="29" s="1"/>
  <c r="F24" i="7"/>
  <c r="X21" i="4"/>
  <c r="X20" i="4"/>
  <c r="S76" i="10"/>
  <c r="S72" i="29" s="1"/>
  <c r="F90" i="7"/>
  <c r="X51" i="4"/>
  <c r="X53" i="4"/>
  <c r="X50" i="4"/>
  <c r="X52" i="4"/>
  <c r="X54" i="4"/>
  <c r="X55" i="4"/>
  <c r="S39" i="10"/>
  <c r="S35" i="29" s="1"/>
  <c r="F47" i="7"/>
  <c r="T18" i="10"/>
  <c r="T14" i="29" s="1"/>
  <c r="G19" i="7"/>
  <c r="AA19" i="7" s="1"/>
  <c r="T14" i="10"/>
  <c r="T10" i="29" s="1"/>
  <c r="G15" i="7"/>
  <c r="AA15" i="7" s="1"/>
  <c r="S57" i="10"/>
  <c r="S53" i="29" s="1"/>
  <c r="F68" i="7"/>
  <c r="X28" i="4"/>
  <c r="X29" i="4"/>
  <c r="U31" i="4"/>
  <c r="U30" i="4"/>
  <c r="S28" i="10"/>
  <c r="S24" i="29" s="1"/>
  <c r="F33" i="7"/>
  <c r="X79" i="4"/>
  <c r="X76" i="4"/>
  <c r="X77" i="4"/>
  <c r="X78" i="4"/>
  <c r="X74" i="4"/>
  <c r="X75" i="4"/>
  <c r="S32" i="10"/>
  <c r="S28" i="29" s="1"/>
  <c r="F39" i="7"/>
  <c r="S75" i="10"/>
  <c r="S71" i="29" s="1"/>
  <c r="F89" i="7"/>
  <c r="S40" i="10"/>
  <c r="S36" i="29" s="1"/>
  <c r="F48" i="7"/>
  <c r="T16" i="10"/>
  <c r="T12" i="29" s="1"/>
  <c r="G17" i="7"/>
  <c r="AA17" i="7" s="1"/>
  <c r="U73" i="4"/>
  <c r="U68" i="4"/>
  <c r="U72" i="4"/>
  <c r="U69" i="4"/>
  <c r="U71" i="4"/>
  <c r="U70" i="4"/>
  <c r="AP25" i="14"/>
  <c r="AJ86" i="18"/>
  <c r="AK86" i="18"/>
  <c r="S35" i="20"/>
  <c r="W35" i="20" s="1"/>
  <c r="AH35" i="21"/>
  <c r="AS35" i="21" s="1"/>
  <c r="AD34" i="14"/>
  <c r="AW26" i="21"/>
  <c r="AY27" i="21"/>
  <c r="T26" i="20"/>
  <c r="Q41" i="20"/>
  <c r="W26" i="20"/>
  <c r="V26" i="20"/>
  <c r="Y26" i="21"/>
  <c r="W41" i="21"/>
  <c r="Y41" i="21" s="1"/>
  <c r="AY30" i="21"/>
  <c r="AY36" i="21"/>
  <c r="AY31" i="21"/>
  <c r="U26" i="20"/>
  <c r="R41" i="20"/>
  <c r="AY33" i="21"/>
  <c r="AY34" i="21"/>
  <c r="AH28" i="21"/>
  <c r="AS28" i="21" s="1"/>
  <c r="S28" i="20"/>
  <c r="AI26" i="21"/>
  <c r="AT26" i="21" s="1"/>
  <c r="AY29" i="21"/>
  <c r="R26" i="13"/>
  <c r="AB68" i="14"/>
  <c r="AG68" i="14" s="1"/>
  <c r="Z64" i="14"/>
  <c r="AJ37" i="18"/>
  <c r="AD27" i="14"/>
  <c r="AK37" i="18"/>
  <c r="P28" i="13"/>
  <c r="AF3" i="18"/>
  <c r="AC24" i="14"/>
  <c r="O41" i="13"/>
  <c r="X27" i="14"/>
  <c r="X57" i="14"/>
  <c r="AE25" i="14"/>
  <c r="AR35" i="14"/>
  <c r="AB24" i="14"/>
  <c r="N41" i="13"/>
  <c r="S26" i="13"/>
  <c r="T26" i="13"/>
  <c r="AR28" i="14"/>
  <c r="AR33" i="14"/>
  <c r="X24" i="14"/>
  <c r="X56" i="14"/>
  <c r="W67" i="14" s="1"/>
  <c r="V40" i="14"/>
  <c r="X40" i="14" s="1"/>
  <c r="AR30" i="14"/>
  <c r="AR29" i="14"/>
  <c r="AR32" i="14"/>
  <c r="F32" i="7" l="1"/>
  <c r="W32" i="7" s="1"/>
  <c r="AI13" i="29"/>
  <c r="AJ13" i="29" s="1"/>
  <c r="U25" i="20"/>
  <c r="V25" i="20"/>
  <c r="W25" i="20"/>
  <c r="AI11" i="29"/>
  <c r="AJ11" i="29" s="1"/>
  <c r="V13" i="10"/>
  <c r="W13" i="10" s="1"/>
  <c r="AA13" i="10" s="1"/>
  <c r="S34" i="10"/>
  <c r="S30" i="29" s="1"/>
  <c r="AI10" i="29"/>
  <c r="AJ10" i="29" s="1"/>
  <c r="F78" i="7"/>
  <c r="S58" i="10"/>
  <c r="S54" i="29" s="1"/>
  <c r="AI9" i="29"/>
  <c r="AJ9" i="29" s="1"/>
  <c r="J18" i="21"/>
  <c r="L18" i="21" s="1"/>
  <c r="F66" i="7"/>
  <c r="W66" i="7" s="1"/>
  <c r="AI75" i="17"/>
  <c r="AJ75" i="17" s="1"/>
  <c r="S56" i="10"/>
  <c r="S52" i="29" s="1"/>
  <c r="V13" i="29"/>
  <c r="V11" i="29"/>
  <c r="F21" i="5"/>
  <c r="G21" i="5" s="1"/>
  <c r="H21" i="5" s="1"/>
  <c r="K21" i="5" s="1"/>
  <c r="U14" i="29"/>
  <c r="AI14" i="29" s="1"/>
  <c r="AJ14" i="29" s="1"/>
  <c r="V10" i="29"/>
  <c r="F19" i="5"/>
  <c r="G19" i="5" s="1"/>
  <c r="H19" i="5" s="1"/>
  <c r="K19" i="5" s="1"/>
  <c r="U12" i="29"/>
  <c r="AI12" i="29" s="1"/>
  <c r="AJ12" i="29" s="1"/>
  <c r="V9" i="29"/>
  <c r="F43" i="7"/>
  <c r="F20" i="7"/>
  <c r="W20" i="7" s="1"/>
  <c r="S33" i="10"/>
  <c r="S29" i="29" s="1"/>
  <c r="F71" i="7"/>
  <c r="W71" i="7" s="1"/>
  <c r="J17" i="14"/>
  <c r="K17" i="14" s="1"/>
  <c r="AW25" i="21"/>
  <c r="AY25" i="21" s="1"/>
  <c r="F70" i="7"/>
  <c r="W70" i="7" s="1"/>
  <c r="F38" i="7"/>
  <c r="W38" i="7" s="1"/>
  <c r="T15" i="23"/>
  <c r="T10" i="23"/>
  <c r="T13" i="17"/>
  <c r="T13" i="23"/>
  <c r="T11" i="23"/>
  <c r="T12" i="23"/>
  <c r="T14" i="23"/>
  <c r="V75" i="17"/>
  <c r="Q39" i="21"/>
  <c r="R39" i="21"/>
  <c r="U39" i="21"/>
  <c r="AU39" i="21"/>
  <c r="T35" i="13"/>
  <c r="O38" i="14"/>
  <c r="R38" i="14"/>
  <c r="AL38" i="14"/>
  <c r="F20" i="5"/>
  <c r="G20" i="5" s="1"/>
  <c r="H20" i="5" s="1"/>
  <c r="K20" i="5" s="1"/>
  <c r="R39" i="25"/>
  <c r="Q39" i="25"/>
  <c r="U39" i="25"/>
  <c r="AY39" i="25"/>
  <c r="Q38" i="21"/>
  <c r="R38" i="21"/>
  <c r="U38" i="21"/>
  <c r="AU38" i="21"/>
  <c r="R37" i="25"/>
  <c r="Q37" i="25"/>
  <c r="U37" i="25"/>
  <c r="AY37" i="25"/>
  <c r="O37" i="14"/>
  <c r="R37" i="14"/>
  <c r="AL37" i="14"/>
  <c r="V76" i="17"/>
  <c r="AI76" i="17"/>
  <c r="S35" i="13"/>
  <c r="AI25" i="21"/>
  <c r="AT25" i="21" s="1"/>
  <c r="O36" i="14"/>
  <c r="R36" i="14"/>
  <c r="AL36" i="14"/>
  <c r="F82" i="11"/>
  <c r="H82" i="11" s="1"/>
  <c r="F96" i="9"/>
  <c r="AG96" i="9" s="1"/>
  <c r="AK96" i="9" s="1"/>
  <c r="W81" i="10"/>
  <c r="AA81" i="10" s="1"/>
  <c r="AI81" i="10" s="1"/>
  <c r="AN81" i="10" s="1"/>
  <c r="BG77" i="17" s="1"/>
  <c r="F81" i="11"/>
  <c r="H81" i="11" s="1"/>
  <c r="M81" i="11" s="1"/>
  <c r="F95" i="9"/>
  <c r="AG95" i="9" s="1"/>
  <c r="AK95" i="9" s="1"/>
  <c r="W80" i="10"/>
  <c r="AA80" i="10" s="1"/>
  <c r="AI80" i="10" s="1"/>
  <c r="R38" i="25"/>
  <c r="Q38" i="25"/>
  <c r="U38" i="25"/>
  <c r="AY38" i="25"/>
  <c r="AP24" i="14"/>
  <c r="R35" i="13"/>
  <c r="Q37" i="21"/>
  <c r="R37" i="21"/>
  <c r="U37" i="21"/>
  <c r="AU37" i="21"/>
  <c r="W79" i="10"/>
  <c r="AA79" i="10" s="1"/>
  <c r="AI79" i="10" s="1"/>
  <c r="F80" i="11"/>
  <c r="H80" i="11" s="1"/>
  <c r="M80" i="11" s="1"/>
  <c r="F94" i="9"/>
  <c r="AG94" i="9" s="1"/>
  <c r="AK94" i="9" s="1"/>
  <c r="V77" i="17"/>
  <c r="AI77" i="17"/>
  <c r="AJ77" i="17" s="1"/>
  <c r="S54" i="10"/>
  <c r="R51" i="23" s="1"/>
  <c r="F77" i="7"/>
  <c r="W77" i="7" s="1"/>
  <c r="F76" i="7"/>
  <c r="W76" i="7" s="1"/>
  <c r="V15" i="10"/>
  <c r="F16" i="11" s="1"/>
  <c r="F60" i="7"/>
  <c r="W60" i="7" s="1"/>
  <c r="F17" i="5"/>
  <c r="G17" i="5" s="1"/>
  <c r="H17" i="5" s="1"/>
  <c r="K17" i="5" s="1"/>
  <c r="V14" i="10"/>
  <c r="W14" i="10" s="1"/>
  <c r="AA14" i="10" s="1"/>
  <c r="S25" i="13"/>
  <c r="Q25" i="13"/>
  <c r="V16" i="10"/>
  <c r="F17" i="11" s="1"/>
  <c r="H17" i="11" s="1"/>
  <c r="R25" i="13"/>
  <c r="F74" i="7"/>
  <c r="W74" i="7" s="1"/>
  <c r="M20" i="25"/>
  <c r="M20" i="21"/>
  <c r="K22" i="25"/>
  <c r="L22" i="25"/>
  <c r="S61" i="10"/>
  <c r="S57" i="29" s="1"/>
  <c r="J21" i="14"/>
  <c r="K21" i="14" s="1"/>
  <c r="L18" i="25"/>
  <c r="K18" i="25"/>
  <c r="N20" i="14"/>
  <c r="O20" i="14" s="1"/>
  <c r="P21" i="25"/>
  <c r="P21" i="21"/>
  <c r="AW35" i="25"/>
  <c r="AM35" i="25"/>
  <c r="AX35" i="25" s="1"/>
  <c r="BA35" i="25"/>
  <c r="BC35" i="25" s="1"/>
  <c r="M22" i="25"/>
  <c r="M22" i="21"/>
  <c r="M21" i="25"/>
  <c r="M21" i="21"/>
  <c r="M19" i="25"/>
  <c r="M19" i="21"/>
  <c r="N16" i="14"/>
  <c r="O16" i="14" s="1"/>
  <c r="P17" i="25"/>
  <c r="P17" i="21"/>
  <c r="F18" i="5"/>
  <c r="G18" i="5" s="1"/>
  <c r="H18" i="5" s="1"/>
  <c r="K18" i="5" s="1"/>
  <c r="M17" i="25"/>
  <c r="M17" i="21"/>
  <c r="N17" i="14"/>
  <c r="O17" i="14" s="1"/>
  <c r="P18" i="25"/>
  <c r="P18" i="21"/>
  <c r="AK41" i="25"/>
  <c r="N21" i="14"/>
  <c r="O21" i="14" s="1"/>
  <c r="P22" i="25"/>
  <c r="P22" i="21"/>
  <c r="F16" i="5"/>
  <c r="G16" i="5" s="1"/>
  <c r="H16" i="5" s="1"/>
  <c r="K16" i="5" s="1"/>
  <c r="N19" i="14"/>
  <c r="O19" i="14" s="1"/>
  <c r="P20" i="25"/>
  <c r="P20" i="21"/>
  <c r="J20" i="21"/>
  <c r="J20" i="25"/>
  <c r="N18" i="14"/>
  <c r="O18" i="14" s="1"/>
  <c r="P19" i="25"/>
  <c r="P19" i="21"/>
  <c r="BA25" i="25"/>
  <c r="AJ41" i="25"/>
  <c r="AM25" i="25"/>
  <c r="AX25" i="25" s="1"/>
  <c r="M18" i="25"/>
  <c r="M18" i="21"/>
  <c r="J22" i="21"/>
  <c r="J16" i="14"/>
  <c r="K16" i="14" s="1"/>
  <c r="J17" i="25"/>
  <c r="AL41" i="25"/>
  <c r="F59" i="7"/>
  <c r="W59" i="7" s="1"/>
  <c r="F63" i="7"/>
  <c r="W63" i="7" s="1"/>
  <c r="J17" i="21"/>
  <c r="V17" i="10"/>
  <c r="F18" i="11" s="1"/>
  <c r="H18" i="11" s="1"/>
  <c r="U32" i="10"/>
  <c r="U28" i="29" s="1"/>
  <c r="H39" i="7"/>
  <c r="AE39" i="7" s="1"/>
  <c r="H89" i="7"/>
  <c r="AE89" i="7" s="1"/>
  <c r="U75" i="10"/>
  <c r="U71" i="29" s="1"/>
  <c r="H54" i="7"/>
  <c r="AE54" i="7" s="1"/>
  <c r="U45" i="10"/>
  <c r="U41" i="29" s="1"/>
  <c r="H63" i="7"/>
  <c r="AE63" i="7" s="1"/>
  <c r="U53" i="10"/>
  <c r="U49" i="29" s="1"/>
  <c r="U22" i="10"/>
  <c r="U18" i="29" s="1"/>
  <c r="H24" i="7"/>
  <c r="AE24" i="7" s="1"/>
  <c r="H50" i="7"/>
  <c r="AE50" i="7" s="1"/>
  <c r="U42" i="10"/>
  <c r="U38" i="29" s="1"/>
  <c r="AF16" i="12"/>
  <c r="AG16" i="12" s="1"/>
  <c r="AH16" i="12" s="1"/>
  <c r="U11" i="17"/>
  <c r="H92" i="7"/>
  <c r="AE92" i="7" s="1"/>
  <c r="U78" i="10"/>
  <c r="U74" i="29" s="1"/>
  <c r="H55" i="7"/>
  <c r="AE55" i="7" s="1"/>
  <c r="U46" i="10"/>
  <c r="U42" i="29" s="1"/>
  <c r="H61" i="7"/>
  <c r="AE61" i="7" s="1"/>
  <c r="U51" i="10"/>
  <c r="U47" i="29" s="1"/>
  <c r="U20" i="10"/>
  <c r="U16" i="29" s="1"/>
  <c r="H21" i="7"/>
  <c r="AE21" i="7" s="1"/>
  <c r="H45" i="7"/>
  <c r="AE45" i="7" s="1"/>
  <c r="U37" i="10"/>
  <c r="U33" i="29" s="1"/>
  <c r="U65" i="10"/>
  <c r="U61" i="29" s="1"/>
  <c r="H77" i="7"/>
  <c r="AE77" i="7" s="1"/>
  <c r="AF18" i="12"/>
  <c r="AG18" i="12" s="1"/>
  <c r="AH18" i="12" s="1"/>
  <c r="U13" i="17"/>
  <c r="U43" i="10"/>
  <c r="U39" i="29" s="1"/>
  <c r="H52" i="7"/>
  <c r="AE52" i="7" s="1"/>
  <c r="J19" i="14"/>
  <c r="K19" i="14" s="1"/>
  <c r="U60" i="10"/>
  <c r="U56" i="29" s="1"/>
  <c r="H71" i="7"/>
  <c r="AE71" i="7" s="1"/>
  <c r="H91" i="7"/>
  <c r="AE91" i="7" s="1"/>
  <c r="U77" i="10"/>
  <c r="H56" i="7"/>
  <c r="AE56" i="7" s="1"/>
  <c r="U47" i="10"/>
  <c r="U43" i="29" s="1"/>
  <c r="H60" i="7"/>
  <c r="AE60" i="7" s="1"/>
  <c r="U50" i="10"/>
  <c r="U46" i="29" s="1"/>
  <c r="H20" i="7"/>
  <c r="AE20" i="7" s="1"/>
  <c r="U19" i="10"/>
  <c r="U15" i="29" s="1"/>
  <c r="U33" i="10"/>
  <c r="U29" i="29" s="1"/>
  <c r="H40" i="7"/>
  <c r="AE40" i="7" s="1"/>
  <c r="H73" i="7"/>
  <c r="AE73" i="7" s="1"/>
  <c r="U61" i="10"/>
  <c r="U57" i="29" s="1"/>
  <c r="U21" i="10"/>
  <c r="U17" i="29" s="1"/>
  <c r="H23" i="7"/>
  <c r="AE23" i="7" s="1"/>
  <c r="U58" i="10"/>
  <c r="H69" i="7"/>
  <c r="AE69" i="7" s="1"/>
  <c r="H88" i="7"/>
  <c r="AE88" i="7" s="1"/>
  <c r="U74" i="10"/>
  <c r="U70" i="29" s="1"/>
  <c r="U48" i="10"/>
  <c r="U44" i="29" s="1"/>
  <c r="H57" i="7"/>
  <c r="AE57" i="7" s="1"/>
  <c r="H64" i="7"/>
  <c r="AE64" i="7" s="1"/>
  <c r="U54" i="10"/>
  <c r="U50" i="29" s="1"/>
  <c r="U35" i="10"/>
  <c r="U31" i="29" s="1"/>
  <c r="H42" i="7"/>
  <c r="AE42" i="7" s="1"/>
  <c r="H78" i="7"/>
  <c r="AE78" i="7" s="1"/>
  <c r="U66" i="10"/>
  <c r="U62" i="29" s="1"/>
  <c r="AF19" i="12"/>
  <c r="AG19" i="12" s="1"/>
  <c r="AH19" i="12" s="1"/>
  <c r="U14" i="17"/>
  <c r="U41" i="10"/>
  <c r="U37" i="29" s="1"/>
  <c r="H49" i="7"/>
  <c r="AE49" i="7" s="1"/>
  <c r="U59" i="10"/>
  <c r="U55" i="29" s="1"/>
  <c r="H70" i="7"/>
  <c r="AE70" i="7" s="1"/>
  <c r="U73" i="10"/>
  <c r="U69" i="29" s="1"/>
  <c r="H87" i="7"/>
  <c r="AE87" i="7" s="1"/>
  <c r="U44" i="10"/>
  <c r="U40" i="29" s="1"/>
  <c r="H53" i="7"/>
  <c r="AE53" i="7" s="1"/>
  <c r="U49" i="10"/>
  <c r="U45" i="29" s="1"/>
  <c r="H59" i="7"/>
  <c r="AE59" i="7" s="1"/>
  <c r="U40" i="10"/>
  <c r="U36" i="29" s="1"/>
  <c r="H48" i="7"/>
  <c r="AE48" i="7" s="1"/>
  <c r="H38" i="7"/>
  <c r="AE38" i="7" s="1"/>
  <c r="U31" i="10"/>
  <c r="U27" i="29" s="1"/>
  <c r="U64" i="10"/>
  <c r="H76" i="7"/>
  <c r="AE76" i="7" s="1"/>
  <c r="AF14" i="12"/>
  <c r="AG14" i="12" s="1"/>
  <c r="AH14" i="12" s="1"/>
  <c r="U9" i="17"/>
  <c r="U57" i="10"/>
  <c r="H68" i="7"/>
  <c r="AE68" i="7" s="1"/>
  <c r="H66" i="7"/>
  <c r="AE66" i="7" s="1"/>
  <c r="U55" i="10"/>
  <c r="U51" i="29" s="1"/>
  <c r="H90" i="7"/>
  <c r="AE90" i="7" s="1"/>
  <c r="U76" i="10"/>
  <c r="U72" i="29" s="1"/>
  <c r="H33" i="7"/>
  <c r="AE33" i="7" s="1"/>
  <c r="U28" i="10"/>
  <c r="U24" i="29" s="1"/>
  <c r="U39" i="10"/>
  <c r="U35" i="29" s="1"/>
  <c r="H47" i="7"/>
  <c r="AE47" i="7" s="1"/>
  <c r="U34" i="10"/>
  <c r="U30" i="29" s="1"/>
  <c r="H41" i="7"/>
  <c r="AE41" i="7" s="1"/>
  <c r="U63" i="10"/>
  <c r="U59" i="29" s="1"/>
  <c r="H75" i="7"/>
  <c r="AE75" i="7" s="1"/>
  <c r="AF17" i="12"/>
  <c r="AG17" i="12" s="1"/>
  <c r="AH17" i="12" s="1"/>
  <c r="U12" i="17"/>
  <c r="H62" i="7"/>
  <c r="AE62" i="7" s="1"/>
  <c r="U52" i="10"/>
  <c r="U48" i="29" s="1"/>
  <c r="U56" i="10"/>
  <c r="U52" i="29" s="1"/>
  <c r="H67" i="7"/>
  <c r="AE67" i="7" s="1"/>
  <c r="U27" i="10"/>
  <c r="U23" i="29" s="1"/>
  <c r="H32" i="7"/>
  <c r="AE32" i="7" s="1"/>
  <c r="H46" i="7"/>
  <c r="AE46" i="7" s="1"/>
  <c r="U38" i="10"/>
  <c r="U34" i="29" s="1"/>
  <c r="U36" i="10"/>
  <c r="U32" i="29" s="1"/>
  <c r="H43" i="7"/>
  <c r="AE43" i="7" s="1"/>
  <c r="H74" i="7"/>
  <c r="AE74" i="7" s="1"/>
  <c r="U62" i="10"/>
  <c r="U58" i="29" s="1"/>
  <c r="AF15" i="12"/>
  <c r="AG15" i="12" s="1"/>
  <c r="AH15" i="12" s="1"/>
  <c r="U10" i="17"/>
  <c r="W89" i="7"/>
  <c r="W47" i="7"/>
  <c r="W90" i="7"/>
  <c r="W87" i="7"/>
  <c r="W92" i="7"/>
  <c r="W69" i="7"/>
  <c r="W18" i="7"/>
  <c r="W55" i="7"/>
  <c r="W43" i="7"/>
  <c r="W68" i="7"/>
  <c r="W57" i="7"/>
  <c r="W54" i="7"/>
  <c r="W78" i="7"/>
  <c r="W33" i="7"/>
  <c r="W40" i="7"/>
  <c r="W52" i="7"/>
  <c r="W21" i="7"/>
  <c r="W49" i="7"/>
  <c r="W56" i="7"/>
  <c r="W67" i="7"/>
  <c r="W73" i="7"/>
  <c r="W42" i="7"/>
  <c r="W64" i="7"/>
  <c r="W50" i="7"/>
  <c r="W91" i="7"/>
  <c r="W16" i="7"/>
  <c r="J19" i="25" s="1"/>
  <c r="W45" i="7"/>
  <c r="W39" i="7"/>
  <c r="W75" i="7"/>
  <c r="W41" i="7"/>
  <c r="W88" i="7"/>
  <c r="W62" i="7"/>
  <c r="W48" i="7"/>
  <c r="W24" i="7"/>
  <c r="W23" i="7"/>
  <c r="W46" i="7"/>
  <c r="W53" i="7"/>
  <c r="F61" i="7"/>
  <c r="BL16" i="4"/>
  <c r="AJ16" i="4" s="1"/>
  <c r="BK16" i="4"/>
  <c r="T64" i="10"/>
  <c r="T60" i="29" s="1"/>
  <c r="G76" i="7"/>
  <c r="AA76" i="7" s="1"/>
  <c r="Z59" i="12"/>
  <c r="R46" i="23"/>
  <c r="S45" i="17"/>
  <c r="X26" i="4"/>
  <c r="X27" i="4"/>
  <c r="Z62" i="12"/>
  <c r="R49" i="23"/>
  <c r="S48" i="17"/>
  <c r="AC16" i="12"/>
  <c r="S12" i="23"/>
  <c r="U12" i="23" s="1"/>
  <c r="T11" i="17"/>
  <c r="T39" i="10"/>
  <c r="T35" i="29" s="1"/>
  <c r="G47" i="7"/>
  <c r="AA47" i="7" s="1"/>
  <c r="T75" i="10"/>
  <c r="T71" i="29" s="1"/>
  <c r="G89" i="7"/>
  <c r="AA89" i="7" s="1"/>
  <c r="AL81" i="4"/>
  <c r="AL82" i="4"/>
  <c r="AL80" i="4"/>
  <c r="AL16" i="4"/>
  <c r="AL19" i="4"/>
  <c r="AL15" i="4"/>
  <c r="AL17" i="4"/>
  <c r="AL18" i="4"/>
  <c r="AL14" i="4"/>
  <c r="AL50" i="4"/>
  <c r="AL22" i="4"/>
  <c r="AL20" i="4"/>
  <c r="AL38" i="4"/>
  <c r="AL28" i="4"/>
  <c r="AL62" i="4"/>
  <c r="AL68" i="4"/>
  <c r="AL56" i="4"/>
  <c r="AL32" i="4"/>
  <c r="AL24" i="4"/>
  <c r="AL44" i="4"/>
  <c r="AL30" i="4"/>
  <c r="AL74" i="4"/>
  <c r="Z45" i="12"/>
  <c r="R34" i="23"/>
  <c r="S33" i="17"/>
  <c r="Z78" i="12"/>
  <c r="R63" i="23"/>
  <c r="S62" i="17"/>
  <c r="R55" i="23"/>
  <c r="Z69" i="12"/>
  <c r="S54" i="17"/>
  <c r="T55" i="10"/>
  <c r="T51" i="29" s="1"/>
  <c r="G66" i="7"/>
  <c r="AA66" i="7" s="1"/>
  <c r="L16" i="14"/>
  <c r="T46" i="10"/>
  <c r="T42" i="29" s="1"/>
  <c r="G55" i="7"/>
  <c r="AA55" i="7" s="1"/>
  <c r="S26" i="10"/>
  <c r="S22" i="29" s="1"/>
  <c r="F30" i="7"/>
  <c r="X31" i="4"/>
  <c r="X30" i="4"/>
  <c r="T77" i="10"/>
  <c r="T73" i="29" s="1"/>
  <c r="G91" i="7"/>
  <c r="AA91" i="7" s="1"/>
  <c r="T27" i="10"/>
  <c r="T23" i="29" s="1"/>
  <c r="G32" i="7"/>
  <c r="AA32" i="7" s="1"/>
  <c r="Z24" i="12"/>
  <c r="R19" i="23"/>
  <c r="S18" i="17"/>
  <c r="T65" i="10"/>
  <c r="T61" i="29" s="1"/>
  <c r="G77" i="7"/>
  <c r="AA77" i="7" s="1"/>
  <c r="T47" i="10"/>
  <c r="T43" i="29" s="1"/>
  <c r="G56" i="7"/>
  <c r="AA56" i="7" s="1"/>
  <c r="Z32" i="12"/>
  <c r="R24" i="23"/>
  <c r="S23" i="17"/>
  <c r="R61" i="23"/>
  <c r="Z76" i="12"/>
  <c r="S60" i="17"/>
  <c r="R72" i="23"/>
  <c r="Z89" i="12"/>
  <c r="S71" i="17"/>
  <c r="T78" i="10"/>
  <c r="T74" i="29" s="1"/>
  <c r="G92" i="7"/>
  <c r="AA92" i="7" s="1"/>
  <c r="R59" i="23"/>
  <c r="Z74" i="12"/>
  <c r="S58" i="17"/>
  <c r="Z47" i="12"/>
  <c r="R36" i="23"/>
  <c r="S35" i="17"/>
  <c r="Z90" i="12"/>
  <c r="R73" i="23"/>
  <c r="S72" i="17"/>
  <c r="AF81" i="4"/>
  <c r="AF82" i="4"/>
  <c r="AF80" i="4"/>
  <c r="AF18" i="4"/>
  <c r="AF19" i="4"/>
  <c r="AF15" i="4"/>
  <c r="AF14" i="4"/>
  <c r="AF17" i="4"/>
  <c r="AF16" i="4"/>
  <c r="AF20" i="4"/>
  <c r="AF38" i="4"/>
  <c r="AF22" i="4"/>
  <c r="AF28" i="4"/>
  <c r="AF50" i="4"/>
  <c r="AF62" i="4"/>
  <c r="AF56" i="4"/>
  <c r="AF68" i="4"/>
  <c r="AF24" i="4"/>
  <c r="AG24" i="4" s="1"/>
  <c r="AF44" i="4"/>
  <c r="AF32" i="4"/>
  <c r="AF30" i="4"/>
  <c r="AF74" i="4"/>
  <c r="Z70" i="12"/>
  <c r="R56" i="23"/>
  <c r="S55" i="17"/>
  <c r="Z20" i="12"/>
  <c r="R16" i="23"/>
  <c r="S15" i="17"/>
  <c r="Z71" i="12"/>
  <c r="R57" i="23"/>
  <c r="S56" i="17"/>
  <c r="L20" i="14"/>
  <c r="M20" i="14" s="1"/>
  <c r="S24" i="10"/>
  <c r="S20" i="29" s="1"/>
  <c r="F27" i="7"/>
  <c r="Z88" i="12"/>
  <c r="R71" i="23"/>
  <c r="S70" i="17"/>
  <c r="T58" i="10"/>
  <c r="T54" i="29" s="1"/>
  <c r="G69" i="7"/>
  <c r="AA69" i="7" s="1"/>
  <c r="AC14" i="12"/>
  <c r="S10" i="23"/>
  <c r="T9" i="17"/>
  <c r="Z42" i="12"/>
  <c r="R32" i="23"/>
  <c r="S31" i="17"/>
  <c r="T43" i="10"/>
  <c r="T39" i="29" s="1"/>
  <c r="G52" i="7"/>
  <c r="AA52" i="7" s="1"/>
  <c r="Z50" i="12"/>
  <c r="R39" i="23"/>
  <c r="S38" i="17"/>
  <c r="S25" i="10"/>
  <c r="S21" i="29" s="1"/>
  <c r="F29" i="7"/>
  <c r="X68" i="4"/>
  <c r="X72" i="4"/>
  <c r="X69" i="4"/>
  <c r="X71" i="4"/>
  <c r="X73" i="4"/>
  <c r="X70" i="4"/>
  <c r="T48" i="10"/>
  <c r="T44" i="29" s="1"/>
  <c r="G57" i="7"/>
  <c r="AA57" i="7" s="1"/>
  <c r="Z48" i="12"/>
  <c r="R37" i="23"/>
  <c r="S36" i="17"/>
  <c r="AC19" i="12"/>
  <c r="S15" i="23"/>
  <c r="U15" i="23" s="1"/>
  <c r="T14" i="17"/>
  <c r="Z60" i="12"/>
  <c r="R47" i="23"/>
  <c r="S46" i="17"/>
  <c r="Z57" i="12"/>
  <c r="R45" i="23"/>
  <c r="S44" i="17"/>
  <c r="S69" i="10"/>
  <c r="S65" i="29" s="1"/>
  <c r="F82" i="7"/>
  <c r="L19" i="14"/>
  <c r="M19" i="14" s="1"/>
  <c r="T54" i="10"/>
  <c r="T50" i="29" s="1"/>
  <c r="G64" i="7"/>
  <c r="AA64" i="7" s="1"/>
  <c r="AI82" i="4"/>
  <c r="AI81" i="4"/>
  <c r="AI80" i="4"/>
  <c r="AI19" i="4"/>
  <c r="AI18" i="4"/>
  <c r="AI14" i="4"/>
  <c r="AI15" i="4"/>
  <c r="AI17" i="4"/>
  <c r="AI22" i="4"/>
  <c r="AI28" i="4"/>
  <c r="AI50" i="4"/>
  <c r="AI20" i="4"/>
  <c r="AI38" i="4"/>
  <c r="AI56" i="4"/>
  <c r="AI68" i="4"/>
  <c r="AI30" i="4"/>
  <c r="AI74" i="4"/>
  <c r="AI62" i="4"/>
  <c r="AI24" i="4"/>
  <c r="AI32" i="4"/>
  <c r="AI44" i="4"/>
  <c r="T63" i="10"/>
  <c r="T59" i="29" s="1"/>
  <c r="G75" i="7"/>
  <c r="AA75" i="7" s="1"/>
  <c r="AC18" i="12"/>
  <c r="S14" i="23"/>
  <c r="U14" i="23" s="1"/>
  <c r="S23" i="10"/>
  <c r="S19" i="29" s="1"/>
  <c r="F26" i="7"/>
  <c r="T60" i="10"/>
  <c r="T56" i="29" s="1"/>
  <c r="G71" i="7"/>
  <c r="AA71" i="7" s="1"/>
  <c r="T37" i="10"/>
  <c r="T33" i="29" s="1"/>
  <c r="G45" i="7"/>
  <c r="AA45" i="7" s="1"/>
  <c r="T36" i="10"/>
  <c r="T32" i="29" s="1"/>
  <c r="G43" i="7"/>
  <c r="AA43" i="7" s="1"/>
  <c r="T22" i="10"/>
  <c r="T18" i="29" s="1"/>
  <c r="G24" i="7"/>
  <c r="AA24" i="7" s="1"/>
  <c r="S67" i="10"/>
  <c r="S63" i="29" s="1"/>
  <c r="F80" i="7"/>
  <c r="T28" i="10"/>
  <c r="T24" i="29" s="1"/>
  <c r="AI24" i="29" s="1"/>
  <c r="AJ24" i="29" s="1"/>
  <c r="G33" i="7"/>
  <c r="AA33" i="7" s="1"/>
  <c r="T38" i="10"/>
  <c r="T34" i="29" s="1"/>
  <c r="G46" i="7"/>
  <c r="AA46" i="7" s="1"/>
  <c r="R17" i="23"/>
  <c r="Z21" i="12"/>
  <c r="S16" i="17"/>
  <c r="T34" i="10"/>
  <c r="T30" i="29" s="1"/>
  <c r="G41" i="7"/>
  <c r="AA41" i="7" s="1"/>
  <c r="S70" i="10"/>
  <c r="S66" i="29" s="1"/>
  <c r="F83" i="7"/>
  <c r="T12" i="17"/>
  <c r="AC17" i="12"/>
  <c r="S13" i="23"/>
  <c r="U13" i="23" s="1"/>
  <c r="Z39" i="12"/>
  <c r="R29" i="23"/>
  <c r="S28" i="17"/>
  <c r="Z33" i="12"/>
  <c r="R25" i="23"/>
  <c r="S24" i="17"/>
  <c r="Z68" i="12"/>
  <c r="R54" i="23"/>
  <c r="S53" i="17"/>
  <c r="T53" i="10"/>
  <c r="T49" i="29" s="1"/>
  <c r="G63" i="7"/>
  <c r="AA63" i="7" s="1"/>
  <c r="Z38" i="12"/>
  <c r="R28" i="23"/>
  <c r="S27" i="17"/>
  <c r="AL26" i="4"/>
  <c r="T61" i="10"/>
  <c r="T57" i="29" s="1"/>
  <c r="G73" i="7"/>
  <c r="AA73" i="7" s="1"/>
  <c r="Z56" i="12"/>
  <c r="R44" i="23"/>
  <c r="S43" i="17"/>
  <c r="T59" i="10"/>
  <c r="T55" i="29" s="1"/>
  <c r="G70" i="7"/>
  <c r="AA70" i="7" s="1"/>
  <c r="Z63" i="12"/>
  <c r="R50" i="23"/>
  <c r="S49" i="17"/>
  <c r="Z23" i="12"/>
  <c r="R18" i="23"/>
  <c r="S17" i="17"/>
  <c r="T41" i="10"/>
  <c r="T37" i="29" s="1"/>
  <c r="G49" i="7"/>
  <c r="AA49" i="7" s="1"/>
  <c r="T35" i="10"/>
  <c r="T31" i="29" s="1"/>
  <c r="G42" i="7"/>
  <c r="AA42" i="7" s="1"/>
  <c r="T21" i="10"/>
  <c r="T17" i="29" s="1"/>
  <c r="G23" i="7"/>
  <c r="AA23" i="7" s="1"/>
  <c r="Z61" i="12"/>
  <c r="R48" i="23"/>
  <c r="S47" i="17"/>
  <c r="R74" i="23"/>
  <c r="Z91" i="12"/>
  <c r="S73" i="17"/>
  <c r="L21" i="14"/>
  <c r="T31" i="10"/>
  <c r="T27" i="29" s="1"/>
  <c r="G38" i="7"/>
  <c r="AA38" i="7" s="1"/>
  <c r="T76" i="10"/>
  <c r="T72" i="29" s="1"/>
  <c r="G90" i="7"/>
  <c r="AA90" i="7" s="1"/>
  <c r="X24" i="4"/>
  <c r="X25" i="4"/>
  <c r="S68" i="10"/>
  <c r="S64" i="29" s="1"/>
  <c r="F81" i="7"/>
  <c r="T74" i="10"/>
  <c r="T70" i="29" s="1"/>
  <c r="G88" i="7"/>
  <c r="AA88" i="7" s="1"/>
  <c r="S29" i="10"/>
  <c r="S25" i="29" s="1"/>
  <c r="F35" i="7"/>
  <c r="L17" i="14"/>
  <c r="M17" i="14" s="1"/>
  <c r="T51" i="10"/>
  <c r="T47" i="29" s="1"/>
  <c r="G61" i="7"/>
  <c r="AA61" i="7" s="1"/>
  <c r="T19" i="10"/>
  <c r="T15" i="29" s="1"/>
  <c r="G20" i="7"/>
  <c r="AA20" i="7" s="1"/>
  <c r="AI26" i="4"/>
  <c r="T62" i="10"/>
  <c r="T58" i="29" s="1"/>
  <c r="G74" i="7"/>
  <c r="AA74" i="7" s="1"/>
  <c r="Z52" i="12"/>
  <c r="R40" i="23"/>
  <c r="S39" i="17"/>
  <c r="Z77" i="12"/>
  <c r="R62" i="23"/>
  <c r="S61" i="17"/>
  <c r="V18" i="10"/>
  <c r="T56" i="10"/>
  <c r="T52" i="29" s="1"/>
  <c r="G67" i="7"/>
  <c r="AA67" i="7" s="1"/>
  <c r="T44" i="10"/>
  <c r="T40" i="29" s="1"/>
  <c r="G53" i="7"/>
  <c r="AA53" i="7" s="1"/>
  <c r="T42" i="10"/>
  <c r="T38" i="29" s="1"/>
  <c r="G50" i="7"/>
  <c r="AA50" i="7" s="1"/>
  <c r="T33" i="10"/>
  <c r="T29" i="29" s="1"/>
  <c r="G40" i="7"/>
  <c r="AA40" i="7" s="1"/>
  <c r="T52" i="10"/>
  <c r="T48" i="29" s="1"/>
  <c r="G62" i="7"/>
  <c r="AA62" i="7" s="1"/>
  <c r="L18" i="14"/>
  <c r="S72" i="10"/>
  <c r="S68" i="29" s="1"/>
  <c r="F85" i="7"/>
  <c r="T50" i="10"/>
  <c r="T46" i="29" s="1"/>
  <c r="AI46" i="29" s="1"/>
  <c r="AJ46" i="29" s="1"/>
  <c r="G60" i="7"/>
  <c r="AA60" i="7" s="1"/>
  <c r="Z55" i="12"/>
  <c r="R43" i="23"/>
  <c r="S42" i="17"/>
  <c r="R42" i="23"/>
  <c r="Z54" i="12"/>
  <c r="S41" i="17"/>
  <c r="S71" i="10"/>
  <c r="S67" i="29" s="1"/>
  <c r="F84" i="7"/>
  <c r="T73" i="10"/>
  <c r="T69" i="29" s="1"/>
  <c r="G87" i="7"/>
  <c r="AA87" i="7" s="1"/>
  <c r="S30" i="10"/>
  <c r="S26" i="29" s="1"/>
  <c r="F36" i="7"/>
  <c r="T10" i="17"/>
  <c r="AC15" i="12"/>
  <c r="S11" i="23"/>
  <c r="U11" i="23" s="1"/>
  <c r="T49" i="10"/>
  <c r="T45" i="29" s="1"/>
  <c r="G59" i="7"/>
  <c r="AA59" i="7" s="1"/>
  <c r="T20" i="10"/>
  <c r="T16" i="29" s="1"/>
  <c r="G21" i="7"/>
  <c r="AA21" i="7" s="1"/>
  <c r="AF26" i="4"/>
  <c r="Z49" i="12"/>
  <c r="R38" i="23"/>
  <c r="S37" i="17"/>
  <c r="T66" i="10"/>
  <c r="T62" i="29" s="1"/>
  <c r="G78" i="7"/>
  <c r="AA78" i="7" s="1"/>
  <c r="R60" i="23"/>
  <c r="Z75" i="12"/>
  <c r="S59" i="17"/>
  <c r="R33" i="23"/>
  <c r="Z43" i="12"/>
  <c r="S32" i="17"/>
  <c r="T57" i="10"/>
  <c r="T53" i="29" s="1"/>
  <c r="G68" i="7"/>
  <c r="AA68" i="7" s="1"/>
  <c r="Z66" i="12"/>
  <c r="R52" i="23"/>
  <c r="S51" i="17"/>
  <c r="R70" i="23"/>
  <c r="Z87" i="12"/>
  <c r="S69" i="17"/>
  <c r="T45" i="10"/>
  <c r="T41" i="29" s="1"/>
  <c r="G54" i="7"/>
  <c r="AA54" i="7" s="1"/>
  <c r="T40" i="10"/>
  <c r="T36" i="29" s="1"/>
  <c r="G48" i="7"/>
  <c r="AA48" i="7" s="1"/>
  <c r="T32" i="10"/>
  <c r="T28" i="29" s="1"/>
  <c r="G39" i="7"/>
  <c r="AA39" i="7" s="1"/>
  <c r="Z92" i="12"/>
  <c r="R75" i="23"/>
  <c r="S74" i="17"/>
  <c r="Z46" i="12"/>
  <c r="R35" i="23"/>
  <c r="S34" i="17"/>
  <c r="Z53" i="12"/>
  <c r="R41" i="23"/>
  <c r="S40" i="17"/>
  <c r="AP27" i="14"/>
  <c r="AP34" i="14"/>
  <c r="AR34" i="14" s="1"/>
  <c r="AE34" i="14"/>
  <c r="AI35" i="21"/>
  <c r="AT35" i="21" s="1"/>
  <c r="T35" i="20"/>
  <c r="U35" i="20"/>
  <c r="V35" i="20"/>
  <c r="AW35" i="21"/>
  <c r="AY35" i="21" s="1"/>
  <c r="AW28" i="21"/>
  <c r="AC40" i="14"/>
  <c r="AY26" i="21"/>
  <c r="W28" i="20"/>
  <c r="V28" i="20"/>
  <c r="T28" i="20"/>
  <c r="U28" i="20"/>
  <c r="S41" i="20"/>
  <c r="W41" i="20" s="1"/>
  <c r="AY24" i="21"/>
  <c r="AI28" i="21"/>
  <c r="AT28" i="21" s="1"/>
  <c r="AH41" i="21"/>
  <c r="AB67" i="14"/>
  <c r="AG67" i="14" s="1"/>
  <c r="AG69" i="14" s="1"/>
  <c r="Y57" i="14"/>
  <c r="W68" i="14"/>
  <c r="W69" i="14" s="1"/>
  <c r="AR23" i="14"/>
  <c r="X66" i="14"/>
  <c r="Y66" i="14" s="1"/>
  <c r="AC68" i="14"/>
  <c r="AR26" i="14"/>
  <c r="X65" i="14"/>
  <c r="Y65" i="14" s="1"/>
  <c r="AB40" i="14"/>
  <c r="AH5" i="18"/>
  <c r="AR3" i="18"/>
  <c r="AR7" i="18" s="1"/>
  <c r="AR10" i="18" s="1"/>
  <c r="AR13" i="18" s="1"/>
  <c r="AE27" i="14"/>
  <c r="AD40" i="14"/>
  <c r="S28" i="13"/>
  <c r="T28" i="13"/>
  <c r="R28" i="13"/>
  <c r="Q28" i="13"/>
  <c r="Y56" i="14"/>
  <c r="X58" i="14"/>
  <c r="AE24" i="14"/>
  <c r="P41" i="13"/>
  <c r="Z41" i="12" l="1"/>
  <c r="AI34" i="29"/>
  <c r="AJ34" i="29" s="1"/>
  <c r="S52" i="17"/>
  <c r="Z67" i="12"/>
  <c r="S30" i="17"/>
  <c r="R31" i="23"/>
  <c r="U10" i="23"/>
  <c r="AI11" i="17"/>
  <c r="F15" i="9"/>
  <c r="AG15" i="9" s="1"/>
  <c r="AK15" i="9" s="1"/>
  <c r="K18" i="21"/>
  <c r="F15" i="11"/>
  <c r="H15" i="11" s="1"/>
  <c r="M15" i="11" s="1"/>
  <c r="AI12" i="17"/>
  <c r="AJ12" i="17" s="1"/>
  <c r="AI61" i="29"/>
  <c r="AJ61" i="29" s="1"/>
  <c r="R53" i="23"/>
  <c r="AI58" i="29"/>
  <c r="AJ58" i="29" s="1"/>
  <c r="H16" i="11"/>
  <c r="Q16" i="12" s="1"/>
  <c r="R16" i="12" s="1"/>
  <c r="BT16" i="12" s="1"/>
  <c r="V47" i="29"/>
  <c r="M95" i="28"/>
  <c r="AI95" i="12"/>
  <c r="M94" i="28"/>
  <c r="AI94" i="12"/>
  <c r="Q41" i="13"/>
  <c r="F39" i="5"/>
  <c r="G39" i="5" s="1"/>
  <c r="H39" i="5" s="1"/>
  <c r="AI31" i="29"/>
  <c r="AJ31" i="29" s="1"/>
  <c r="V74" i="29"/>
  <c r="AI35" i="29"/>
  <c r="AJ35" i="29" s="1"/>
  <c r="AI55" i="29"/>
  <c r="AJ55" i="29" s="1"/>
  <c r="AI32" i="29"/>
  <c r="AJ32" i="29" s="1"/>
  <c r="V36" i="29"/>
  <c r="AI33" i="29"/>
  <c r="AJ33" i="29" s="1"/>
  <c r="AI49" i="29"/>
  <c r="AJ49" i="29" s="1"/>
  <c r="AI56" i="29"/>
  <c r="AJ56" i="29" s="1"/>
  <c r="AI39" i="29"/>
  <c r="AJ39" i="29" s="1"/>
  <c r="AI42" i="29"/>
  <c r="AJ42" i="29" s="1"/>
  <c r="V27" i="29"/>
  <c r="V72" i="29"/>
  <c r="AI69" i="29"/>
  <c r="AJ69" i="29" s="1"/>
  <c r="AI62" i="29"/>
  <c r="AJ62" i="29" s="1"/>
  <c r="V30" i="29"/>
  <c r="AI70" i="29"/>
  <c r="AJ70" i="29" s="1"/>
  <c r="AI52" i="29"/>
  <c r="AJ52" i="29" s="1"/>
  <c r="AI51" i="29"/>
  <c r="AJ51" i="29" s="1"/>
  <c r="V71" i="29"/>
  <c r="AI38" i="29"/>
  <c r="AJ38" i="29" s="1"/>
  <c r="V59" i="29"/>
  <c r="AI44" i="29"/>
  <c r="AJ44" i="29" s="1"/>
  <c r="AI23" i="29"/>
  <c r="AJ23" i="29" s="1"/>
  <c r="AI40" i="29"/>
  <c r="AJ40" i="29" s="1"/>
  <c r="V28" i="29"/>
  <c r="AI18" i="29"/>
  <c r="AJ18" i="29" s="1"/>
  <c r="AI15" i="29"/>
  <c r="AJ15" i="29" s="1"/>
  <c r="AI48" i="29"/>
  <c r="AJ48" i="29" s="1"/>
  <c r="AI16" i="29"/>
  <c r="AJ16" i="29" s="1"/>
  <c r="AI14" i="17"/>
  <c r="AJ14" i="17" s="1"/>
  <c r="AI43" i="29"/>
  <c r="AJ43" i="29" s="1"/>
  <c r="AI10" i="17"/>
  <c r="AJ10" i="17" s="1"/>
  <c r="AI59" i="29"/>
  <c r="AJ59" i="29" s="1"/>
  <c r="AI41" i="29"/>
  <c r="AJ41" i="29" s="1"/>
  <c r="AI45" i="29"/>
  <c r="AJ45" i="29" s="1"/>
  <c r="AI17" i="29"/>
  <c r="AJ17" i="29" s="1"/>
  <c r="AI27" i="29"/>
  <c r="AJ27" i="29" s="1"/>
  <c r="V31" i="29"/>
  <c r="AI28" i="29"/>
  <c r="AJ28" i="29" s="1"/>
  <c r="AI74" i="29"/>
  <c r="AJ74" i="29" s="1"/>
  <c r="V38" i="29"/>
  <c r="AI37" i="29"/>
  <c r="AJ37" i="29" s="1"/>
  <c r="AI47" i="29"/>
  <c r="AJ47" i="29" s="1"/>
  <c r="AI36" i="29"/>
  <c r="AJ36" i="29" s="1"/>
  <c r="R41" i="13"/>
  <c r="V69" i="29"/>
  <c r="AI29" i="29"/>
  <c r="AJ29" i="29" s="1"/>
  <c r="V29" i="29"/>
  <c r="F68" i="5"/>
  <c r="G68" i="5" s="1"/>
  <c r="H68" i="5" s="1"/>
  <c r="F60" i="5"/>
  <c r="G60" i="5" s="1"/>
  <c r="H60" i="5" s="1"/>
  <c r="U53" i="29"/>
  <c r="AI53" i="29" s="1"/>
  <c r="AJ53" i="29" s="1"/>
  <c r="F61" i="5"/>
  <c r="G61" i="5" s="1"/>
  <c r="H61" i="5" s="1"/>
  <c r="U54" i="29"/>
  <c r="AI54" i="29" s="1"/>
  <c r="AJ54" i="29" s="1"/>
  <c r="V42" i="29"/>
  <c r="V61" i="29"/>
  <c r="V17" i="29"/>
  <c r="V37" i="29"/>
  <c r="AI71" i="29"/>
  <c r="AJ71" i="29" s="1"/>
  <c r="V32" i="29"/>
  <c r="V48" i="29"/>
  <c r="V51" i="29"/>
  <c r="V56" i="29"/>
  <c r="V44" i="29"/>
  <c r="V39" i="29"/>
  <c r="S29" i="17"/>
  <c r="V55" i="29"/>
  <c r="V23" i="29"/>
  <c r="V18" i="29"/>
  <c r="V58" i="29"/>
  <c r="V45" i="29"/>
  <c r="V14" i="29"/>
  <c r="AI30" i="29"/>
  <c r="AJ30" i="29" s="1"/>
  <c r="R30" i="23"/>
  <c r="AI72" i="29"/>
  <c r="AJ72" i="29" s="1"/>
  <c r="V33" i="29"/>
  <c r="V16" i="29"/>
  <c r="V46" i="29"/>
  <c r="V40" i="29"/>
  <c r="V52" i="29"/>
  <c r="Z40" i="12"/>
  <c r="F67" i="5"/>
  <c r="G67" i="5" s="1"/>
  <c r="H67" i="5" s="1"/>
  <c r="U60" i="29"/>
  <c r="V60" i="29" s="1"/>
  <c r="AI13" i="17"/>
  <c r="AI57" i="29"/>
  <c r="AJ57" i="29" s="1"/>
  <c r="V57" i="29"/>
  <c r="Z64" i="12"/>
  <c r="S50" i="29"/>
  <c r="V70" i="29"/>
  <c r="V24" i="29"/>
  <c r="V15" i="29"/>
  <c r="V35" i="29"/>
  <c r="V43" i="29"/>
  <c r="F35" i="5"/>
  <c r="G35" i="5" s="1"/>
  <c r="H35" i="5" s="1"/>
  <c r="F80" i="5"/>
  <c r="G80" i="5" s="1"/>
  <c r="H80" i="5" s="1"/>
  <c r="U73" i="29"/>
  <c r="AI73" i="29" s="1"/>
  <c r="AJ73" i="29" s="1"/>
  <c r="V12" i="29"/>
  <c r="V34" i="29"/>
  <c r="V62" i="29"/>
  <c r="V49" i="29"/>
  <c r="V41" i="29"/>
  <c r="F22" i="5"/>
  <c r="G22" i="5" s="1"/>
  <c r="H22" i="5" s="1"/>
  <c r="F25" i="5"/>
  <c r="G25" i="5" s="1"/>
  <c r="H25" i="5" s="1"/>
  <c r="F14" i="11"/>
  <c r="H14" i="11" s="1"/>
  <c r="M14" i="11" s="1"/>
  <c r="S50" i="17"/>
  <c r="U18" i="25"/>
  <c r="V18" i="25" s="1"/>
  <c r="T35" i="23"/>
  <c r="T25" i="23"/>
  <c r="T51" i="23"/>
  <c r="T47" i="23"/>
  <c r="T46" i="23"/>
  <c r="T38" i="23"/>
  <c r="T18" i="23"/>
  <c r="T42" i="23"/>
  <c r="T44" i="23"/>
  <c r="T40" i="23"/>
  <c r="V65" i="10"/>
  <c r="F66" i="11" s="1"/>
  <c r="H66" i="11" s="1"/>
  <c r="V77" i="10"/>
  <c r="F91" i="9" s="1"/>
  <c r="AG91" i="9" s="1"/>
  <c r="AK91" i="9" s="1"/>
  <c r="AP91" i="9" s="1"/>
  <c r="T24" i="23"/>
  <c r="T60" i="23"/>
  <c r="T61" i="23"/>
  <c r="T41" i="23"/>
  <c r="T45" i="23"/>
  <c r="T72" i="23"/>
  <c r="M17" i="11"/>
  <c r="V32" i="10"/>
  <c r="F33" i="11" s="1"/>
  <c r="H33" i="11" s="1"/>
  <c r="T52" i="23"/>
  <c r="T74" i="23"/>
  <c r="Z73" i="12"/>
  <c r="AA79" i="12" s="1"/>
  <c r="AB79" i="12" s="1"/>
  <c r="V22" i="10"/>
  <c r="F24" i="9" s="1"/>
  <c r="AG24" i="9" s="1"/>
  <c r="AK24" i="9" s="1"/>
  <c r="AP24" i="9" s="1"/>
  <c r="T53" i="23"/>
  <c r="T31" i="23"/>
  <c r="T70" i="23"/>
  <c r="T30" i="23"/>
  <c r="T43" i="23"/>
  <c r="V74" i="10"/>
  <c r="F88" i="9" s="1"/>
  <c r="AG88" i="9" s="1"/>
  <c r="AK88" i="9" s="1"/>
  <c r="AP88" i="9" s="1"/>
  <c r="V31" i="10"/>
  <c r="F38" i="9" s="1"/>
  <c r="AG38" i="9" s="1"/>
  <c r="T49" i="23"/>
  <c r="T16" i="23"/>
  <c r="T62" i="23"/>
  <c r="T19" i="23"/>
  <c r="T29" i="23"/>
  <c r="T33" i="23"/>
  <c r="T36" i="23"/>
  <c r="T54" i="23"/>
  <c r="T37" i="23"/>
  <c r="T56" i="23"/>
  <c r="T32" i="23"/>
  <c r="T55" i="23"/>
  <c r="T34" i="23"/>
  <c r="T75" i="23"/>
  <c r="M18" i="11"/>
  <c r="AJ76" i="17"/>
  <c r="F51" i="5"/>
  <c r="G51" i="5" s="1"/>
  <c r="H51" i="5" s="1"/>
  <c r="V64" i="10"/>
  <c r="F76" i="9" s="1"/>
  <c r="AG76" i="9" s="1"/>
  <c r="AK76" i="9" s="1"/>
  <c r="AP76" i="9" s="1"/>
  <c r="BB37" i="25"/>
  <c r="BD37" i="25" s="1"/>
  <c r="AZ37" i="25"/>
  <c r="AZ39" i="25"/>
  <c r="BB39" i="25"/>
  <c r="BD39" i="25" s="1"/>
  <c r="F47" i="5"/>
  <c r="G47" i="5" s="1"/>
  <c r="H47" i="5" s="1"/>
  <c r="W16" i="10"/>
  <c r="AA16" i="10" s="1"/>
  <c r="V37" i="25"/>
  <c r="X37" i="25"/>
  <c r="Z37" i="25" s="1"/>
  <c r="X39" i="25"/>
  <c r="Z39" i="25" s="1"/>
  <c r="V39" i="25"/>
  <c r="AV39" i="21"/>
  <c r="AX39" i="21"/>
  <c r="AZ39" i="21" s="1"/>
  <c r="F17" i="9"/>
  <c r="AG17" i="9" s="1"/>
  <c r="AK17" i="9" s="1"/>
  <c r="AO17" i="9" s="1"/>
  <c r="Q95" i="12"/>
  <c r="R95" i="12" s="1"/>
  <c r="X39" i="21"/>
  <c r="Z39" i="21" s="1"/>
  <c r="V39" i="21"/>
  <c r="F78" i="5"/>
  <c r="G78" i="5" s="1"/>
  <c r="H78" i="5" s="1"/>
  <c r="S36" i="14"/>
  <c r="W36" i="14"/>
  <c r="Y36" i="14" s="1"/>
  <c r="F30" i="5"/>
  <c r="G30" i="5" s="1"/>
  <c r="H30" i="5" s="1"/>
  <c r="Q94" i="12"/>
  <c r="R94" i="12" s="1"/>
  <c r="AZ38" i="25"/>
  <c r="BB38" i="25"/>
  <c r="BD38" i="25" s="1"/>
  <c r="AV38" i="21"/>
  <c r="AX38" i="21"/>
  <c r="AZ38" i="21" s="1"/>
  <c r="X37" i="21"/>
  <c r="Z37" i="21" s="1"/>
  <c r="V37" i="21"/>
  <c r="F66" i="5"/>
  <c r="G66" i="5" s="1"/>
  <c r="H66" i="5" s="1"/>
  <c r="V38" i="25"/>
  <c r="X38" i="25"/>
  <c r="Z38" i="25" s="1"/>
  <c r="M82" i="11"/>
  <c r="AI96" i="12" s="1"/>
  <c r="Q96" i="12"/>
  <c r="R96" i="12" s="1"/>
  <c r="BT36" i="12" s="1"/>
  <c r="AM37" i="14"/>
  <c r="AQ37" i="14"/>
  <c r="AS37" i="14" s="1"/>
  <c r="X38" i="21"/>
  <c r="Z38" i="21" s="1"/>
  <c r="V38" i="21"/>
  <c r="AQ38" i="14"/>
  <c r="AS38" i="14" s="1"/>
  <c r="AM38" i="14"/>
  <c r="AV37" i="21"/>
  <c r="AX37" i="21"/>
  <c r="AZ37" i="21" s="1"/>
  <c r="AQ36" i="14"/>
  <c r="AS36" i="14" s="1"/>
  <c r="AM36" i="14"/>
  <c r="S37" i="14"/>
  <c r="W37" i="14"/>
  <c r="Y37" i="14" s="1"/>
  <c r="S38" i="14"/>
  <c r="W38" i="14"/>
  <c r="Y38" i="14" s="1"/>
  <c r="F55" i="5"/>
  <c r="G55" i="5" s="1"/>
  <c r="H55" i="5" s="1"/>
  <c r="AI9" i="17"/>
  <c r="S57" i="17"/>
  <c r="R58" i="23"/>
  <c r="V21" i="10"/>
  <c r="F22" i="11" s="1"/>
  <c r="V45" i="10"/>
  <c r="F54" i="9" s="1"/>
  <c r="AG54" i="9" s="1"/>
  <c r="AK54" i="9" s="1"/>
  <c r="AP54" i="9" s="1"/>
  <c r="F48" i="5"/>
  <c r="G48" i="5" s="1"/>
  <c r="H48" i="5" s="1"/>
  <c r="W15" i="10"/>
  <c r="AA15" i="10" s="1"/>
  <c r="F16" i="9"/>
  <c r="AG16" i="9" s="1"/>
  <c r="AK16" i="9" s="1"/>
  <c r="AP16" i="9" s="1"/>
  <c r="F44" i="5"/>
  <c r="G44" i="5" s="1"/>
  <c r="H44" i="5" s="1"/>
  <c r="F24" i="5"/>
  <c r="G24" i="5" s="1"/>
  <c r="H24" i="5" s="1"/>
  <c r="U22" i="21"/>
  <c r="V36" i="10"/>
  <c r="W36" i="10" s="1"/>
  <c r="AA36" i="10" s="1"/>
  <c r="F42" i="5"/>
  <c r="G42" i="5" s="1"/>
  <c r="H42" i="5" s="1"/>
  <c r="F41" i="5"/>
  <c r="G41" i="5" s="1"/>
  <c r="H41" i="5" s="1"/>
  <c r="V59" i="10"/>
  <c r="F70" i="9" s="1"/>
  <c r="AG70" i="9" s="1"/>
  <c r="AK70" i="9" s="1"/>
  <c r="AP70" i="9" s="1"/>
  <c r="AP71" i="9" s="1"/>
  <c r="W17" i="10"/>
  <c r="AA17" i="10" s="1"/>
  <c r="F31" i="5"/>
  <c r="G31" i="5" s="1"/>
  <c r="H31" i="5" s="1"/>
  <c r="F18" i="9"/>
  <c r="AG18" i="9" s="1"/>
  <c r="AK18" i="9" s="1"/>
  <c r="AO18" i="9" s="1"/>
  <c r="F38" i="5"/>
  <c r="G38" i="5" s="1"/>
  <c r="H38" i="5" s="1"/>
  <c r="V39" i="10"/>
  <c r="F47" i="9" s="1"/>
  <c r="AG47" i="9" s="1"/>
  <c r="AK47" i="9" s="1"/>
  <c r="AP47" i="9" s="1"/>
  <c r="V40" i="10"/>
  <c r="F41" i="11" s="1"/>
  <c r="H41" i="11" s="1"/>
  <c r="F62" i="5"/>
  <c r="G62" i="5" s="1"/>
  <c r="H62" i="5" s="1"/>
  <c r="U18" i="21"/>
  <c r="F43" i="5"/>
  <c r="G43" i="5" s="1"/>
  <c r="H43" i="5" s="1"/>
  <c r="W58" i="7"/>
  <c r="J31" i="25" s="1"/>
  <c r="K31" i="25" s="1"/>
  <c r="V50" i="10"/>
  <c r="F51" i="11" s="1"/>
  <c r="H51" i="11" s="1"/>
  <c r="V38" i="10"/>
  <c r="W38" i="10" s="1"/>
  <c r="AA38" i="10" s="1"/>
  <c r="F53" i="5"/>
  <c r="G53" i="5" s="1"/>
  <c r="H53" i="5" s="1"/>
  <c r="F40" i="5"/>
  <c r="G40" i="5" s="1"/>
  <c r="H40" i="5" s="1"/>
  <c r="R16" i="14"/>
  <c r="W16" i="14" s="1"/>
  <c r="F14" i="9"/>
  <c r="AG14" i="9" s="1"/>
  <c r="AK14" i="9" s="1"/>
  <c r="V33" i="10"/>
  <c r="F34" i="11" s="1"/>
  <c r="H34" i="11" s="1"/>
  <c r="U22" i="25"/>
  <c r="V22" i="25" s="1"/>
  <c r="V73" i="10"/>
  <c r="F74" i="11" s="1"/>
  <c r="H74" i="11" s="1"/>
  <c r="F36" i="5"/>
  <c r="G36" i="5" s="1"/>
  <c r="H36" i="5" s="1"/>
  <c r="AM41" i="25"/>
  <c r="AX41" i="25" s="1"/>
  <c r="AW41" i="25"/>
  <c r="BC25" i="25"/>
  <c r="BA41" i="25"/>
  <c r="BC41" i="25" s="1"/>
  <c r="N17" i="21"/>
  <c r="O17" i="21"/>
  <c r="AI41" i="21"/>
  <c r="AT41" i="21" s="1"/>
  <c r="AS41" i="21"/>
  <c r="F59" i="5"/>
  <c r="G59" i="5" s="1"/>
  <c r="H59" i="5" s="1"/>
  <c r="J21" i="21"/>
  <c r="U21" i="21" s="1"/>
  <c r="X21" i="21" s="1"/>
  <c r="Z21" i="21" s="1"/>
  <c r="J21" i="25"/>
  <c r="F63" i="5"/>
  <c r="G63" i="5" s="1"/>
  <c r="H63" i="5" s="1"/>
  <c r="T57" i="23"/>
  <c r="F56" i="5"/>
  <c r="G56" i="5" s="1"/>
  <c r="H56" i="5" s="1"/>
  <c r="T50" i="23"/>
  <c r="L17" i="25"/>
  <c r="K17" i="25"/>
  <c r="U17" i="25"/>
  <c r="O17" i="25"/>
  <c r="N17" i="25"/>
  <c r="N21" i="21"/>
  <c r="O21" i="21"/>
  <c r="Q21" i="21"/>
  <c r="R21" i="21"/>
  <c r="N19" i="25"/>
  <c r="O19" i="25"/>
  <c r="L17" i="21"/>
  <c r="K17" i="21"/>
  <c r="Q19" i="21"/>
  <c r="R19" i="21"/>
  <c r="Q20" i="21"/>
  <c r="R20" i="21"/>
  <c r="O21" i="25"/>
  <c r="N21" i="25"/>
  <c r="R21" i="25"/>
  <c r="Q21" i="25"/>
  <c r="R22" i="25"/>
  <c r="Q22" i="25"/>
  <c r="F49" i="5"/>
  <c r="G49" i="5" s="1"/>
  <c r="H49" i="5" s="1"/>
  <c r="F37" i="5"/>
  <c r="G37" i="5" s="1"/>
  <c r="H37" i="5" s="1"/>
  <c r="L22" i="21"/>
  <c r="K22" i="21"/>
  <c r="R19" i="25"/>
  <c r="Q19" i="25"/>
  <c r="Q20" i="25"/>
  <c r="R20" i="25"/>
  <c r="Q17" i="21"/>
  <c r="R17" i="21"/>
  <c r="N22" i="21"/>
  <c r="O22" i="21"/>
  <c r="V27" i="10"/>
  <c r="W27" i="10" s="1"/>
  <c r="AA27" i="10" s="1"/>
  <c r="V46" i="10"/>
  <c r="F55" i="9" s="1"/>
  <c r="AG55" i="9" s="1"/>
  <c r="AK55" i="9" s="1"/>
  <c r="AP55" i="9" s="1"/>
  <c r="W22" i="7"/>
  <c r="J23" i="25" s="1"/>
  <c r="F79" i="5"/>
  <c r="G79" i="5" s="1"/>
  <c r="H79" i="5" s="1"/>
  <c r="T73" i="23"/>
  <c r="F64" i="5"/>
  <c r="G64" i="5" s="1"/>
  <c r="H64" i="5" s="1"/>
  <c r="T58" i="23"/>
  <c r="F23" i="5"/>
  <c r="G23" i="5" s="1"/>
  <c r="H23" i="5" s="1"/>
  <c r="T17" i="23"/>
  <c r="N18" i="21"/>
  <c r="O18" i="21"/>
  <c r="Q17" i="25"/>
  <c r="R17" i="25"/>
  <c r="N22" i="25"/>
  <c r="O22" i="25"/>
  <c r="L19" i="25"/>
  <c r="K19" i="25"/>
  <c r="U19" i="25"/>
  <c r="V56" i="10"/>
  <c r="F67" i="9" s="1"/>
  <c r="AG67" i="9" s="1"/>
  <c r="AK67" i="9" s="1"/>
  <c r="AP67" i="9" s="1"/>
  <c r="F54" i="5"/>
  <c r="G54" i="5" s="1"/>
  <c r="H54" i="5" s="1"/>
  <c r="T48" i="23"/>
  <c r="F45" i="5"/>
  <c r="G45" i="5" s="1"/>
  <c r="H45" i="5" s="1"/>
  <c r="T39" i="23"/>
  <c r="N18" i="25"/>
  <c r="O18" i="25"/>
  <c r="L20" i="25"/>
  <c r="K20" i="25"/>
  <c r="U20" i="25"/>
  <c r="Q18" i="21"/>
  <c r="R18" i="21"/>
  <c r="N20" i="21"/>
  <c r="O20" i="21"/>
  <c r="F76" i="5"/>
  <c r="G76" i="5" s="1"/>
  <c r="H76" i="5" s="1"/>
  <c r="R21" i="14"/>
  <c r="W34" i="7"/>
  <c r="J26" i="14" s="1"/>
  <c r="K26" i="14" s="1"/>
  <c r="F65" i="5"/>
  <c r="G65" i="5" s="1"/>
  <c r="H65" i="5" s="1"/>
  <c r="T59" i="23"/>
  <c r="F34" i="5"/>
  <c r="G34" i="5" s="1"/>
  <c r="H34" i="5" s="1"/>
  <c r="T28" i="23"/>
  <c r="F69" i="5"/>
  <c r="G69" i="5" s="1"/>
  <c r="H69" i="5" s="1"/>
  <c r="T63" i="23"/>
  <c r="F77" i="5"/>
  <c r="G77" i="5" s="1"/>
  <c r="H77" i="5" s="1"/>
  <c r="T71" i="23"/>
  <c r="U20" i="21"/>
  <c r="L20" i="21"/>
  <c r="K20" i="21"/>
  <c r="Q22" i="21"/>
  <c r="R22" i="21"/>
  <c r="R18" i="25"/>
  <c r="Q18" i="25"/>
  <c r="N19" i="21"/>
  <c r="O19" i="21"/>
  <c r="N20" i="25"/>
  <c r="O20" i="25"/>
  <c r="U17" i="21"/>
  <c r="X17" i="21" s="1"/>
  <c r="W25" i="7"/>
  <c r="J24" i="25" s="1"/>
  <c r="V12" i="17"/>
  <c r="W79" i="7"/>
  <c r="J34" i="25" s="1"/>
  <c r="V47" i="10"/>
  <c r="F48" i="11" s="1"/>
  <c r="H48" i="11" s="1"/>
  <c r="V43" i="10"/>
  <c r="F52" i="9" s="1"/>
  <c r="AG52" i="9" s="1"/>
  <c r="V55" i="10"/>
  <c r="W55" i="10" s="1"/>
  <c r="AA55" i="10" s="1"/>
  <c r="F50" i="5"/>
  <c r="G50" i="5" s="1"/>
  <c r="H50" i="5" s="1"/>
  <c r="F46" i="5"/>
  <c r="G46" i="5" s="1"/>
  <c r="H46" i="5" s="1"/>
  <c r="AA44" i="12"/>
  <c r="AB44" i="12" s="1"/>
  <c r="V61" i="10"/>
  <c r="F62" i="11" s="1"/>
  <c r="H62" i="11" s="1"/>
  <c r="V20" i="10"/>
  <c r="F21" i="9" s="1"/>
  <c r="AG21" i="9" s="1"/>
  <c r="AK21" i="9" s="1"/>
  <c r="AP21" i="9" s="1"/>
  <c r="F58" i="5"/>
  <c r="G58" i="5" s="1"/>
  <c r="H58" i="5" s="1"/>
  <c r="V66" i="10"/>
  <c r="F67" i="11" s="1"/>
  <c r="H67" i="11" s="1"/>
  <c r="W51" i="7"/>
  <c r="J30" i="25" s="1"/>
  <c r="W72" i="7"/>
  <c r="J33" i="25" s="1"/>
  <c r="V42" i="10"/>
  <c r="F43" i="11" s="1"/>
  <c r="H43" i="11" s="1"/>
  <c r="V62" i="10"/>
  <c r="F63" i="11" s="1"/>
  <c r="H63" i="11" s="1"/>
  <c r="V51" i="10"/>
  <c r="F52" i="11" s="1"/>
  <c r="H52" i="11" s="1"/>
  <c r="V75" i="10"/>
  <c r="F76" i="11" s="1"/>
  <c r="H76" i="11" s="1"/>
  <c r="R17" i="14"/>
  <c r="V13" i="17"/>
  <c r="AF59" i="12"/>
  <c r="U45" i="17"/>
  <c r="V76" i="10"/>
  <c r="F77" i="11" s="1"/>
  <c r="H77" i="11" s="1"/>
  <c r="F52" i="5"/>
  <c r="G52" i="5" s="1"/>
  <c r="H52" i="5" s="1"/>
  <c r="AF32" i="12"/>
  <c r="U23" i="17"/>
  <c r="AF75" i="12"/>
  <c r="U59" i="17"/>
  <c r="AF49" i="12"/>
  <c r="U37" i="17"/>
  <c r="AF60" i="12"/>
  <c r="U46" i="17"/>
  <c r="R19" i="14"/>
  <c r="AF90" i="12"/>
  <c r="U72" i="17"/>
  <c r="AF64" i="12"/>
  <c r="U50" i="17"/>
  <c r="AF92" i="12"/>
  <c r="U74" i="17"/>
  <c r="F81" i="5"/>
  <c r="G81" i="5" s="1"/>
  <c r="H81" i="5" s="1"/>
  <c r="V54" i="10"/>
  <c r="F55" i="11" s="1"/>
  <c r="H55" i="11" s="1"/>
  <c r="W44" i="7"/>
  <c r="W93" i="7"/>
  <c r="J36" i="21" s="1"/>
  <c r="AF74" i="12"/>
  <c r="U58" i="17"/>
  <c r="AF66" i="12"/>
  <c r="U51" i="17"/>
  <c r="AF76" i="12"/>
  <c r="U60" i="17"/>
  <c r="AF53" i="12"/>
  <c r="U40" i="17"/>
  <c r="AF23" i="12"/>
  <c r="U17" i="17"/>
  <c r="AF54" i="12"/>
  <c r="U41" i="17"/>
  <c r="AF45" i="12"/>
  <c r="U33" i="17"/>
  <c r="V53" i="10"/>
  <c r="W53" i="10" s="1"/>
  <c r="AA53" i="10" s="1"/>
  <c r="U67" i="10"/>
  <c r="U63" i="29" s="1"/>
  <c r="H80" i="7"/>
  <c r="AE80" i="7" s="1"/>
  <c r="AF67" i="12"/>
  <c r="U52" i="17"/>
  <c r="AF41" i="12"/>
  <c r="U30" i="17"/>
  <c r="AF38" i="12"/>
  <c r="U27" i="17"/>
  <c r="AF57" i="12"/>
  <c r="U44" i="17"/>
  <c r="AF73" i="12"/>
  <c r="U57" i="17"/>
  <c r="AF56" i="12"/>
  <c r="U43" i="17"/>
  <c r="AF52" i="12"/>
  <c r="U39" i="17"/>
  <c r="AF21" i="12"/>
  <c r="U16" i="17"/>
  <c r="F57" i="5"/>
  <c r="G57" i="5" s="1"/>
  <c r="H57" i="5" s="1"/>
  <c r="U72" i="10"/>
  <c r="U68" i="29" s="1"/>
  <c r="H85" i="7"/>
  <c r="AE85" i="7" s="1"/>
  <c r="H35" i="7"/>
  <c r="AE35" i="7" s="1"/>
  <c r="U29" i="10"/>
  <c r="U25" i="29" s="1"/>
  <c r="AF62" i="12"/>
  <c r="U48" i="17"/>
  <c r="AF87" i="12"/>
  <c r="U69" i="17"/>
  <c r="AF78" i="12"/>
  <c r="U62" i="17"/>
  <c r="AF88" i="12"/>
  <c r="U70" i="17"/>
  <c r="AF61" i="12"/>
  <c r="U47" i="17"/>
  <c r="AF50" i="12"/>
  <c r="U38" i="17"/>
  <c r="AF89" i="12"/>
  <c r="U71" i="17"/>
  <c r="AF63" i="12"/>
  <c r="U49" i="17"/>
  <c r="H84" i="7"/>
  <c r="AE84" i="7" s="1"/>
  <c r="U71" i="10"/>
  <c r="U67" i="29" s="1"/>
  <c r="H36" i="7"/>
  <c r="AE36" i="7" s="1"/>
  <c r="U30" i="10"/>
  <c r="U26" i="29" s="1"/>
  <c r="AF43" i="12"/>
  <c r="U32" i="17"/>
  <c r="AF47" i="12"/>
  <c r="U35" i="17"/>
  <c r="AF91" i="12"/>
  <c r="U73" i="17"/>
  <c r="AF71" i="12"/>
  <c r="U56" i="17"/>
  <c r="H83" i="7"/>
  <c r="AE83" i="7" s="1"/>
  <c r="U70" i="10"/>
  <c r="U66" i="29" s="1"/>
  <c r="J20" i="14"/>
  <c r="AF46" i="12"/>
  <c r="U34" i="17"/>
  <c r="AF33" i="12"/>
  <c r="U24" i="17"/>
  <c r="AF68" i="12"/>
  <c r="U53" i="17"/>
  <c r="AF48" i="12"/>
  <c r="U36" i="17"/>
  <c r="AF70" i="12"/>
  <c r="U55" i="17"/>
  <c r="AF40" i="12"/>
  <c r="U29" i="17"/>
  <c r="AF55" i="12"/>
  <c r="U42" i="17"/>
  <c r="U69" i="10"/>
  <c r="U65" i="29" s="1"/>
  <c r="H82" i="7"/>
  <c r="AE82" i="7" s="1"/>
  <c r="V78" i="10"/>
  <c r="F92" i="9" s="1"/>
  <c r="AG92" i="9" s="1"/>
  <c r="AK92" i="9" s="1"/>
  <c r="AP92" i="9" s="1"/>
  <c r="U68" i="10"/>
  <c r="U64" i="29" s="1"/>
  <c r="H81" i="7"/>
  <c r="AE81" i="7" s="1"/>
  <c r="AF42" i="12"/>
  <c r="U31" i="17"/>
  <c r="AF69" i="12"/>
  <c r="U54" i="17"/>
  <c r="AF20" i="12"/>
  <c r="U15" i="17"/>
  <c r="AF77" i="12"/>
  <c r="U61" i="17"/>
  <c r="AF24" i="12"/>
  <c r="U18" i="17"/>
  <c r="AF39" i="12"/>
  <c r="U28" i="17"/>
  <c r="H30" i="7"/>
  <c r="AE30" i="7" s="1"/>
  <c r="U26" i="10"/>
  <c r="U22" i="29" s="1"/>
  <c r="H29" i="7"/>
  <c r="AE29" i="7" s="1"/>
  <c r="U25" i="10"/>
  <c r="U21" i="29" s="1"/>
  <c r="H26" i="7"/>
  <c r="AE26" i="7" s="1"/>
  <c r="U23" i="10"/>
  <c r="U19" i="29" s="1"/>
  <c r="H27" i="7"/>
  <c r="AE27" i="7" s="1"/>
  <c r="U24" i="10"/>
  <c r="U20" i="29" s="1"/>
  <c r="AD14" i="12"/>
  <c r="AD17" i="12"/>
  <c r="AD19" i="12"/>
  <c r="AD15" i="12"/>
  <c r="AD18" i="12"/>
  <c r="AD16" i="12"/>
  <c r="AA25" i="12"/>
  <c r="AB25" i="12" s="1"/>
  <c r="W61" i="7"/>
  <c r="W65" i="7" s="1"/>
  <c r="J32" i="25" s="1"/>
  <c r="W26" i="7"/>
  <c r="W82" i="7"/>
  <c r="W29" i="7"/>
  <c r="W27" i="7"/>
  <c r="W84" i="7"/>
  <c r="W83" i="7"/>
  <c r="W80" i="7"/>
  <c r="W30" i="7"/>
  <c r="W85" i="7"/>
  <c r="W36" i="7"/>
  <c r="W81" i="7"/>
  <c r="W35" i="7"/>
  <c r="J18" i="14"/>
  <c r="J19" i="21"/>
  <c r="AA72" i="12"/>
  <c r="AB72" i="12" s="1"/>
  <c r="AA22" i="7"/>
  <c r="AA34" i="12"/>
  <c r="AB34" i="12" s="1"/>
  <c r="V14" i="17"/>
  <c r="AA93" i="12"/>
  <c r="AB93" i="12" s="1"/>
  <c r="AA51" i="12"/>
  <c r="AB51" i="12" s="1"/>
  <c r="AA58" i="12"/>
  <c r="AB58" i="12" s="1"/>
  <c r="AA25" i="7"/>
  <c r="AA72" i="7"/>
  <c r="AA51" i="7"/>
  <c r="V11" i="17"/>
  <c r="S46" i="23"/>
  <c r="U46" i="23" s="1"/>
  <c r="AC59" i="12"/>
  <c r="T45" i="17"/>
  <c r="V49" i="10"/>
  <c r="AC33" i="12"/>
  <c r="S25" i="23"/>
  <c r="U25" i="23" s="1"/>
  <c r="T24" i="17"/>
  <c r="V28" i="10"/>
  <c r="S34" i="23"/>
  <c r="U34" i="23" s="1"/>
  <c r="AC45" i="12"/>
  <c r="T33" i="17"/>
  <c r="V37" i="10"/>
  <c r="AC57" i="12"/>
  <c r="S45" i="23"/>
  <c r="U45" i="23" s="1"/>
  <c r="T44" i="17"/>
  <c r="V48" i="10"/>
  <c r="Z29" i="12"/>
  <c r="AA31" i="12" s="1"/>
  <c r="AB31" i="12" s="1"/>
  <c r="R22" i="23"/>
  <c r="S21" i="17"/>
  <c r="BG62" i="4"/>
  <c r="BH62" i="4"/>
  <c r="BG14" i="4"/>
  <c r="BH14" i="4"/>
  <c r="AG14" i="4" s="1"/>
  <c r="AF84" i="4"/>
  <c r="M18" i="14"/>
  <c r="Z26" i="12"/>
  <c r="AA28" i="12" s="1"/>
  <c r="AB28" i="12" s="1"/>
  <c r="R20" i="23"/>
  <c r="S19" i="17"/>
  <c r="T69" i="10"/>
  <c r="T65" i="29" s="1"/>
  <c r="G82" i="7"/>
  <c r="AA82" i="7" s="1"/>
  <c r="BG74" i="4"/>
  <c r="BH74" i="4"/>
  <c r="BG50" i="4"/>
  <c r="BH50" i="4"/>
  <c r="BG15" i="4"/>
  <c r="BH15" i="4"/>
  <c r="AG15" i="4" s="1"/>
  <c r="BP32" i="4"/>
  <c r="BO32" i="4"/>
  <c r="Z83" i="12"/>
  <c r="R67" i="23"/>
  <c r="S66" i="17"/>
  <c r="AC66" i="12"/>
  <c r="S52" i="23"/>
  <c r="U52" i="23" s="1"/>
  <c r="T51" i="17"/>
  <c r="AC53" i="12"/>
  <c r="S41" i="23"/>
  <c r="U41" i="23" s="1"/>
  <c r="T40" i="17"/>
  <c r="V44" i="10"/>
  <c r="T59" i="17"/>
  <c r="AC75" i="12"/>
  <c r="S60" i="23"/>
  <c r="U60" i="23" s="1"/>
  <c r="V63" i="10"/>
  <c r="AJ13" i="17"/>
  <c r="S42" i="23"/>
  <c r="U42" i="23" s="1"/>
  <c r="AC54" i="12"/>
  <c r="T41" i="17"/>
  <c r="M21" i="14"/>
  <c r="AC49" i="12"/>
  <c r="S38" i="23"/>
  <c r="U38" i="23" s="1"/>
  <c r="T37" i="17"/>
  <c r="V41" i="10"/>
  <c r="BL62" i="4"/>
  <c r="BK62" i="4"/>
  <c r="BK28" i="4"/>
  <c r="BL28" i="4"/>
  <c r="AC64" i="12"/>
  <c r="S51" i="23"/>
  <c r="U51" i="23" s="1"/>
  <c r="T50" i="17"/>
  <c r="R23" i="23"/>
  <c r="Z30" i="12"/>
  <c r="S22" i="17"/>
  <c r="Q15" i="12"/>
  <c r="R15" i="12" s="1"/>
  <c r="BT15" i="12" s="1"/>
  <c r="T23" i="10"/>
  <c r="T19" i="29" s="1"/>
  <c r="G26" i="7"/>
  <c r="AA26" i="7" s="1"/>
  <c r="BK74" i="4"/>
  <c r="BL74" i="4"/>
  <c r="BL22" i="4"/>
  <c r="BK22" i="4"/>
  <c r="S75" i="23"/>
  <c r="U75" i="23" s="1"/>
  <c r="AC92" i="12"/>
  <c r="T74" i="17"/>
  <c r="BP50" i="4"/>
  <c r="BO50" i="4"/>
  <c r="AC69" i="12"/>
  <c r="S55" i="23"/>
  <c r="U55" i="23" s="1"/>
  <c r="T54" i="17"/>
  <c r="V58" i="10"/>
  <c r="AC77" i="12"/>
  <c r="S62" i="23"/>
  <c r="U62" i="23" s="1"/>
  <c r="T61" i="17"/>
  <c r="BP22" i="4"/>
  <c r="BO22" i="4"/>
  <c r="Z35" i="12"/>
  <c r="AA37" i="12" s="1"/>
  <c r="AB37" i="12" s="1"/>
  <c r="R26" i="23"/>
  <c r="S25" i="17"/>
  <c r="AC46" i="12"/>
  <c r="S35" i="23"/>
  <c r="U35" i="23" s="1"/>
  <c r="T34" i="17"/>
  <c r="T72" i="10"/>
  <c r="T68" i="29" s="1"/>
  <c r="G85" i="7"/>
  <c r="Z27" i="12"/>
  <c r="R21" i="23"/>
  <c r="S20" i="17"/>
  <c r="BH28" i="4"/>
  <c r="BG28" i="4"/>
  <c r="BG19" i="4"/>
  <c r="BH19" i="4"/>
  <c r="AG19" i="4" s="1"/>
  <c r="AC55" i="12"/>
  <c r="S43" i="23"/>
  <c r="U43" i="23" s="1"/>
  <c r="T42" i="17"/>
  <c r="BP56" i="4"/>
  <c r="BO56" i="4"/>
  <c r="BP14" i="4"/>
  <c r="AM14" i="4" s="1"/>
  <c r="BO14" i="4"/>
  <c r="AL84" i="4"/>
  <c r="AC47" i="12"/>
  <c r="S36" i="23"/>
  <c r="U36" i="23" s="1"/>
  <c r="T35" i="17"/>
  <c r="S49" i="23"/>
  <c r="U49" i="23" s="1"/>
  <c r="AC62" i="12"/>
  <c r="T48" i="17"/>
  <c r="AC90" i="12"/>
  <c r="S73" i="23"/>
  <c r="U73" i="23" s="1"/>
  <c r="T72" i="17"/>
  <c r="V10" i="17"/>
  <c r="S31" i="23"/>
  <c r="AC41" i="12"/>
  <c r="T30" i="17"/>
  <c r="R64" i="23"/>
  <c r="Z80" i="12"/>
  <c r="AA86" i="12" s="1"/>
  <c r="AB86" i="12" s="1"/>
  <c r="S63" i="17"/>
  <c r="BK17" i="4"/>
  <c r="BL17" i="4"/>
  <c r="AJ17" i="4" s="1"/>
  <c r="T70" i="10"/>
  <c r="T66" i="29" s="1"/>
  <c r="G83" i="7"/>
  <c r="AA83" i="7" s="1"/>
  <c r="AA58" i="7"/>
  <c r="BH32" i="4"/>
  <c r="BG32" i="4"/>
  <c r="BG22" i="4"/>
  <c r="BH22" i="4"/>
  <c r="BG18" i="4"/>
  <c r="BH18" i="4"/>
  <c r="AG18" i="4" s="1"/>
  <c r="T43" i="17"/>
  <c r="AC56" i="12"/>
  <c r="S44" i="23"/>
  <c r="U44" i="23" s="1"/>
  <c r="V9" i="17"/>
  <c r="BO18" i="4"/>
  <c r="BP18" i="4"/>
  <c r="AM18" i="4" s="1"/>
  <c r="AC78" i="12"/>
  <c r="S63" i="23"/>
  <c r="U63" i="23" s="1"/>
  <c r="T62" i="17"/>
  <c r="AC20" i="12"/>
  <c r="S16" i="23"/>
  <c r="U16" i="23" s="1"/>
  <c r="T15" i="17"/>
  <c r="AC88" i="12"/>
  <c r="S71" i="23"/>
  <c r="U71" i="23" s="1"/>
  <c r="T70" i="17"/>
  <c r="AA44" i="7"/>
  <c r="BL56" i="4"/>
  <c r="BK56" i="4"/>
  <c r="BK15" i="4"/>
  <c r="BL15" i="4"/>
  <c r="AJ15" i="4" s="1"/>
  <c r="Z82" i="12"/>
  <c r="R66" i="23"/>
  <c r="S65" i="17"/>
  <c r="T68" i="10"/>
  <c r="T64" i="29" s="1"/>
  <c r="G81" i="7"/>
  <c r="AA81" i="7" s="1"/>
  <c r="AC52" i="12"/>
  <c r="S40" i="23"/>
  <c r="U40" i="23" s="1"/>
  <c r="T39" i="17"/>
  <c r="V19" i="10"/>
  <c r="BG44" i="4"/>
  <c r="BH44" i="4"/>
  <c r="BG38" i="4"/>
  <c r="BH38" i="4"/>
  <c r="S74" i="23"/>
  <c r="U74" i="23" s="1"/>
  <c r="AC91" i="12"/>
  <c r="T73" i="17"/>
  <c r="BP62" i="4"/>
  <c r="BO62" i="4"/>
  <c r="BO17" i="4"/>
  <c r="BP17" i="4"/>
  <c r="AM17" i="4" s="1"/>
  <c r="AC76" i="12"/>
  <c r="S61" i="23"/>
  <c r="U61" i="23" s="1"/>
  <c r="T60" i="17"/>
  <c r="AC39" i="12"/>
  <c r="S29" i="23"/>
  <c r="U29" i="23" s="1"/>
  <c r="T28" i="17"/>
  <c r="AC68" i="12"/>
  <c r="S54" i="23"/>
  <c r="U54" i="23" s="1"/>
  <c r="T53" i="17"/>
  <c r="Z36" i="12"/>
  <c r="R27" i="23"/>
  <c r="S26" i="17"/>
  <c r="AC60" i="12"/>
  <c r="S47" i="23"/>
  <c r="U47" i="23" s="1"/>
  <c r="T46" i="17"/>
  <c r="S30" i="23"/>
  <c r="AC40" i="12"/>
  <c r="T29" i="17"/>
  <c r="AC67" i="12"/>
  <c r="S53" i="23"/>
  <c r="T52" i="17"/>
  <c r="S28" i="23"/>
  <c r="U28" i="23" s="1"/>
  <c r="AC38" i="12"/>
  <c r="T27" i="17"/>
  <c r="AC23" i="12"/>
  <c r="S18" i="23"/>
  <c r="U18" i="23" s="1"/>
  <c r="T17" i="17"/>
  <c r="S50" i="23"/>
  <c r="U50" i="23" s="1"/>
  <c r="AC63" i="12"/>
  <c r="T49" i="17"/>
  <c r="AC24" i="12"/>
  <c r="S19" i="23"/>
  <c r="U19" i="23" s="1"/>
  <c r="T18" i="17"/>
  <c r="BL44" i="4"/>
  <c r="BK44" i="4"/>
  <c r="BL38" i="4"/>
  <c r="BK38" i="4"/>
  <c r="BK14" i="4"/>
  <c r="BL14" i="4"/>
  <c r="AJ14" i="4" s="1"/>
  <c r="AI84" i="4"/>
  <c r="Q18" i="12"/>
  <c r="R18" i="12" s="1"/>
  <c r="BT18" i="12" s="1"/>
  <c r="T71" i="10"/>
  <c r="T67" i="29" s="1"/>
  <c r="G84" i="7"/>
  <c r="AA84" i="7" s="1"/>
  <c r="BH20" i="4"/>
  <c r="BG20" i="4"/>
  <c r="T29" i="10"/>
  <c r="T25" i="29" s="1"/>
  <c r="G35" i="7"/>
  <c r="AA35" i="7" s="1"/>
  <c r="M16" i="14"/>
  <c r="BP74" i="4"/>
  <c r="BO74" i="4"/>
  <c r="BP28" i="4"/>
  <c r="BO28" i="4"/>
  <c r="BP15" i="4"/>
  <c r="AM15" i="4" s="1"/>
  <c r="BO15" i="4"/>
  <c r="T26" i="10"/>
  <c r="T22" i="29" s="1"/>
  <c r="G30" i="7"/>
  <c r="AA30" i="7" s="1"/>
  <c r="AA65" i="12"/>
  <c r="AB65" i="12" s="1"/>
  <c r="AC21" i="12"/>
  <c r="S17" i="23"/>
  <c r="U17" i="23" s="1"/>
  <c r="T16" i="17"/>
  <c r="AA93" i="7"/>
  <c r="Z84" i="12"/>
  <c r="R68" i="23"/>
  <c r="S67" i="17"/>
  <c r="F19" i="11"/>
  <c r="H19" i="11" s="1"/>
  <c r="F19" i="9"/>
  <c r="AG19" i="9" s="1"/>
  <c r="W18" i="10"/>
  <c r="AA18" i="10" s="1"/>
  <c r="AC74" i="12"/>
  <c r="S59" i="23"/>
  <c r="U59" i="23" s="1"/>
  <c r="T58" i="17"/>
  <c r="AC61" i="12"/>
  <c r="S48" i="23"/>
  <c r="U48" i="23" s="1"/>
  <c r="T47" i="17"/>
  <c r="Z81" i="12"/>
  <c r="R65" i="23"/>
  <c r="S64" i="17"/>
  <c r="AA79" i="7"/>
  <c r="AC71" i="12"/>
  <c r="S57" i="23"/>
  <c r="U57" i="23" s="1"/>
  <c r="T56" i="17"/>
  <c r="BL32" i="4"/>
  <c r="BK32" i="4"/>
  <c r="BL20" i="4"/>
  <c r="BK20" i="4"/>
  <c r="BK18" i="4"/>
  <c r="BL18" i="4"/>
  <c r="AJ18" i="4" s="1"/>
  <c r="T67" i="10"/>
  <c r="T63" i="29" s="1"/>
  <c r="G80" i="7"/>
  <c r="AA80" i="7" s="1"/>
  <c r="AA22" i="12"/>
  <c r="AB22" i="12" s="1"/>
  <c r="BG16" i="4"/>
  <c r="BH16" i="4"/>
  <c r="AG16" i="4" s="1"/>
  <c r="AA34" i="7"/>
  <c r="T30" i="10"/>
  <c r="T26" i="29" s="1"/>
  <c r="G36" i="7"/>
  <c r="AA36" i="7" s="1"/>
  <c r="BP38" i="4"/>
  <c r="BO38" i="4"/>
  <c r="BO19" i="4"/>
  <c r="BP19" i="4"/>
  <c r="AM19" i="4" s="1"/>
  <c r="AC89" i="12"/>
  <c r="S72" i="23"/>
  <c r="U72" i="23" s="1"/>
  <c r="T71" i="17"/>
  <c r="T25" i="10"/>
  <c r="T21" i="29" s="1"/>
  <c r="G29" i="7"/>
  <c r="AA29" i="7" s="1"/>
  <c r="AC48" i="12"/>
  <c r="S37" i="23"/>
  <c r="U37" i="23" s="1"/>
  <c r="T36" i="17"/>
  <c r="AA65" i="7"/>
  <c r="AC87" i="12"/>
  <c r="S70" i="23"/>
  <c r="U70" i="23" s="1"/>
  <c r="T69" i="17"/>
  <c r="Z85" i="12"/>
  <c r="R69" i="23"/>
  <c r="S68" i="17"/>
  <c r="AC50" i="12"/>
  <c r="T38" i="17"/>
  <c r="S39" i="23"/>
  <c r="U39" i="23" s="1"/>
  <c r="T24" i="10"/>
  <c r="T20" i="29" s="1"/>
  <c r="G27" i="7"/>
  <c r="AA27" i="7" s="1"/>
  <c r="AC42" i="12"/>
  <c r="S32" i="23"/>
  <c r="U32" i="23" s="1"/>
  <c r="T31" i="17"/>
  <c r="AC70" i="12"/>
  <c r="S56" i="23"/>
  <c r="U56" i="23" s="1"/>
  <c r="T55" i="17"/>
  <c r="S58" i="23"/>
  <c r="AC73" i="12"/>
  <c r="T57" i="17"/>
  <c r="V57" i="10"/>
  <c r="AC43" i="12"/>
  <c r="S33" i="23"/>
  <c r="U33" i="23" s="1"/>
  <c r="T32" i="17"/>
  <c r="BL50" i="4"/>
  <c r="BK50" i="4"/>
  <c r="BK19" i="4"/>
  <c r="BL19" i="4"/>
  <c r="AJ19" i="4" s="1"/>
  <c r="V35" i="10"/>
  <c r="V60" i="10"/>
  <c r="BG56" i="4"/>
  <c r="BH56" i="4"/>
  <c r="BG17" i="4"/>
  <c r="BH17" i="4"/>
  <c r="AG17" i="4" s="1"/>
  <c r="S24" i="23"/>
  <c r="U24" i="23" s="1"/>
  <c r="AC32" i="12"/>
  <c r="T23" i="17"/>
  <c r="BP44" i="4"/>
  <c r="BO44" i="4"/>
  <c r="BO20" i="4"/>
  <c r="BP20" i="4"/>
  <c r="BO16" i="4"/>
  <c r="BP16" i="4"/>
  <c r="AM16" i="4" s="1"/>
  <c r="V52" i="10"/>
  <c r="V34" i="10"/>
  <c r="Q17" i="12"/>
  <c r="R17" i="12" s="1"/>
  <c r="BT17" i="12" s="1"/>
  <c r="AO40" i="14"/>
  <c r="U41" i="20"/>
  <c r="T41" i="20"/>
  <c r="V41" i="20"/>
  <c r="AC67" i="14"/>
  <c r="AB69" i="14"/>
  <c r="AC57" i="14"/>
  <c r="AD57" i="14" s="1"/>
  <c r="AE57" i="14" s="1"/>
  <c r="Z57" i="14"/>
  <c r="Z65" i="14"/>
  <c r="Z66" i="14"/>
  <c r="Y58" i="14"/>
  <c r="AR25" i="14"/>
  <c r="X67" i="14"/>
  <c r="AR24" i="14"/>
  <c r="AE40" i="14"/>
  <c r="S41" i="13"/>
  <c r="T41" i="13"/>
  <c r="AC56" i="14"/>
  <c r="Z56" i="14"/>
  <c r="V53" i="29" l="1"/>
  <c r="U31" i="23"/>
  <c r="AI69" i="17"/>
  <c r="AJ69" i="17" s="1"/>
  <c r="H22" i="11"/>
  <c r="M22" i="11" s="1"/>
  <c r="AI18" i="17"/>
  <c r="AJ18" i="17" s="1"/>
  <c r="M16" i="11"/>
  <c r="U53" i="23"/>
  <c r="AI38" i="17"/>
  <c r="AJ38" i="17" s="1"/>
  <c r="F32" i="11"/>
  <c r="H32" i="11" s="1"/>
  <c r="M32" i="11" s="1"/>
  <c r="AI31" i="17"/>
  <c r="AJ31" i="17" s="1"/>
  <c r="AI66" i="29"/>
  <c r="AJ66" i="29" s="1"/>
  <c r="F75" i="11"/>
  <c r="H75" i="11" s="1"/>
  <c r="M75" i="11" s="1"/>
  <c r="AI26" i="29"/>
  <c r="AJ26" i="29" s="1"/>
  <c r="V54" i="29"/>
  <c r="W31" i="10"/>
  <c r="AA31" i="10" s="1"/>
  <c r="AI19" i="29"/>
  <c r="AJ19" i="29" s="1"/>
  <c r="W74" i="10"/>
  <c r="AA74" i="10" s="1"/>
  <c r="AI45" i="17"/>
  <c r="AJ45" i="17" s="1"/>
  <c r="X18" i="25"/>
  <c r="Z18" i="25" s="1"/>
  <c r="F44" i="11"/>
  <c r="H44" i="11" s="1"/>
  <c r="M44" i="11" s="1"/>
  <c r="F77" i="9"/>
  <c r="AG77" i="9" s="1"/>
  <c r="AK77" i="9" s="1"/>
  <c r="AP77" i="9" s="1"/>
  <c r="AP78" i="9" s="1"/>
  <c r="K24" i="5"/>
  <c r="AI64" i="29"/>
  <c r="AJ64" i="29" s="1"/>
  <c r="F46" i="9"/>
  <c r="AG46" i="9" s="1"/>
  <c r="AK46" i="9" s="1"/>
  <c r="AP46" i="9" s="1"/>
  <c r="J96" i="28"/>
  <c r="L96" i="28" s="1"/>
  <c r="R96" i="28" s="1"/>
  <c r="M96" i="28"/>
  <c r="F65" i="11"/>
  <c r="H65" i="11" s="1"/>
  <c r="M65" i="11" s="1"/>
  <c r="V58" i="17"/>
  <c r="AI60" i="17"/>
  <c r="AJ60" i="17" s="1"/>
  <c r="AI42" i="17"/>
  <c r="AJ42" i="17" s="1"/>
  <c r="F23" i="11"/>
  <c r="H23" i="11" s="1"/>
  <c r="Q24" i="12" s="1"/>
  <c r="K30" i="5"/>
  <c r="W45" i="10"/>
  <c r="AA45" i="10" s="1"/>
  <c r="AP18" i="9"/>
  <c r="J31" i="14"/>
  <c r="K31" i="14" s="1"/>
  <c r="AI20" i="29"/>
  <c r="AJ20" i="29" s="1"/>
  <c r="AI71" i="17"/>
  <c r="AJ71" i="17" s="1"/>
  <c r="K22" i="5"/>
  <c r="W47" i="10"/>
  <c r="AA47" i="10" s="1"/>
  <c r="W61" i="10"/>
  <c r="AA61" i="10" s="1"/>
  <c r="F57" i="11"/>
  <c r="H57" i="11" s="1"/>
  <c r="Q67" i="12" s="1"/>
  <c r="AI65" i="29"/>
  <c r="AJ65" i="29" s="1"/>
  <c r="V67" i="29"/>
  <c r="AI59" i="17"/>
  <c r="AJ59" i="17" s="1"/>
  <c r="V63" i="29"/>
  <c r="U30" i="23"/>
  <c r="F39" i="11"/>
  <c r="H39" i="11" s="1"/>
  <c r="M39" i="11" s="1"/>
  <c r="Q14" i="12"/>
  <c r="R14" i="12" s="1"/>
  <c r="BT14" i="12" s="1"/>
  <c r="AI23" i="17"/>
  <c r="AJ23" i="17" s="1"/>
  <c r="AI15" i="17"/>
  <c r="AJ15" i="17" s="1"/>
  <c r="AI35" i="17"/>
  <c r="AJ35" i="17" s="1"/>
  <c r="F21" i="11"/>
  <c r="H21" i="11" s="1"/>
  <c r="Q21" i="12" s="1"/>
  <c r="W32" i="10"/>
  <c r="AA32" i="10" s="1"/>
  <c r="F43" i="9"/>
  <c r="AG43" i="9" s="1"/>
  <c r="AK43" i="9" s="1"/>
  <c r="F39" i="9"/>
  <c r="AG39" i="9" s="1"/>
  <c r="AK39" i="9" s="1"/>
  <c r="AP39" i="9" s="1"/>
  <c r="W39" i="10"/>
  <c r="AA39" i="10" s="1"/>
  <c r="F37" i="11"/>
  <c r="H37" i="11" s="1"/>
  <c r="M37" i="11" s="1"/>
  <c r="AI22" i="29"/>
  <c r="AJ22" i="29" s="1"/>
  <c r="F40" i="11"/>
  <c r="H40" i="11" s="1"/>
  <c r="Q47" i="12" s="1"/>
  <c r="W43" i="10"/>
  <c r="AA43" i="10" s="1"/>
  <c r="V25" i="29"/>
  <c r="AI49" i="17"/>
  <c r="AJ49" i="17" s="1"/>
  <c r="W75" i="10"/>
  <c r="AA75" i="10" s="1"/>
  <c r="AI70" i="17"/>
  <c r="AJ70" i="17" s="1"/>
  <c r="AI53" i="17"/>
  <c r="AJ53" i="17" s="1"/>
  <c r="W64" i="10"/>
  <c r="AA64" i="10" s="1"/>
  <c r="AI41" i="17"/>
  <c r="AJ41" i="17" s="1"/>
  <c r="W65" i="10"/>
  <c r="AA65" i="10" s="1"/>
  <c r="AI68" i="29"/>
  <c r="AJ68" i="29" s="1"/>
  <c r="AI52" i="17"/>
  <c r="AJ52" i="17" s="1"/>
  <c r="F78" i="9"/>
  <c r="AG78" i="9" s="1"/>
  <c r="AK78" i="9" s="1"/>
  <c r="U58" i="23"/>
  <c r="AI37" i="17"/>
  <c r="AJ37" i="17" s="1"/>
  <c r="AI51" i="17"/>
  <c r="AJ51" i="17" s="1"/>
  <c r="F60" i="11"/>
  <c r="H60" i="11" s="1"/>
  <c r="M60" i="11" s="1"/>
  <c r="AI57" i="17"/>
  <c r="AJ57" i="17" s="1"/>
  <c r="AI17" i="17"/>
  <c r="AJ17" i="17" s="1"/>
  <c r="AI21" i="29"/>
  <c r="AJ21" i="29" s="1"/>
  <c r="AI74" i="17"/>
  <c r="AJ74" i="17" s="1"/>
  <c r="AI73" i="17"/>
  <c r="AJ73" i="17" s="1"/>
  <c r="F66" i="9"/>
  <c r="AG66" i="9" s="1"/>
  <c r="AK66" i="9" s="1"/>
  <c r="N95" i="28"/>
  <c r="O95" i="28" s="1"/>
  <c r="J94" i="28"/>
  <c r="L94" i="28" s="1"/>
  <c r="M17" i="28"/>
  <c r="N17" i="28" s="1"/>
  <c r="O17" i="28" s="1"/>
  <c r="J17" i="28"/>
  <c r="L17" i="28" s="1"/>
  <c r="V64" i="29"/>
  <c r="AI50" i="29"/>
  <c r="AJ50" i="29" s="1"/>
  <c r="V50" i="29"/>
  <c r="AI25" i="29"/>
  <c r="AJ25" i="29" s="1"/>
  <c r="AI67" i="29"/>
  <c r="AJ67" i="29" s="1"/>
  <c r="AI63" i="29"/>
  <c r="AJ63" i="29" s="1"/>
  <c r="F56" i="11"/>
  <c r="H56" i="11" s="1"/>
  <c r="Q66" i="12" s="1"/>
  <c r="J14" i="28"/>
  <c r="L14" i="28" s="1"/>
  <c r="M14" i="28"/>
  <c r="N14" i="28" s="1"/>
  <c r="O14" i="28" s="1"/>
  <c r="V68" i="29"/>
  <c r="F74" i="5"/>
  <c r="G74" i="5" s="1"/>
  <c r="H74" i="5" s="1"/>
  <c r="F70" i="5"/>
  <c r="G70" i="5" s="1"/>
  <c r="H70" i="5" s="1"/>
  <c r="W66" i="10"/>
  <c r="AA66" i="10" s="1"/>
  <c r="J95" i="28"/>
  <c r="L95" i="28" s="1"/>
  <c r="M15" i="28"/>
  <c r="N15" i="28" s="1"/>
  <c r="O15" i="28" s="1"/>
  <c r="J15" i="28"/>
  <c r="L15" i="28" s="1"/>
  <c r="V19" i="29"/>
  <c r="V21" i="29"/>
  <c r="V22" i="29"/>
  <c r="V26" i="29"/>
  <c r="AI60" i="29"/>
  <c r="AJ60" i="29" s="1"/>
  <c r="AP17" i="9"/>
  <c r="AI48" i="17"/>
  <c r="AJ48" i="17" s="1"/>
  <c r="J18" i="28"/>
  <c r="L18" i="28" s="1"/>
  <c r="M18" i="28"/>
  <c r="N18" i="28" s="1"/>
  <c r="O18" i="28" s="1"/>
  <c r="V66" i="29"/>
  <c r="V20" i="29"/>
  <c r="V65" i="29"/>
  <c r="V73" i="29"/>
  <c r="J22" i="14"/>
  <c r="K22" i="14" s="1"/>
  <c r="W21" i="10"/>
  <c r="AA21" i="10" s="1"/>
  <c r="J23" i="21"/>
  <c r="K23" i="21" s="1"/>
  <c r="F73" i="9"/>
  <c r="AG73" i="9" s="1"/>
  <c r="AK73" i="9" s="1"/>
  <c r="F56" i="9"/>
  <c r="AG56" i="9" s="1"/>
  <c r="AK56" i="9" s="1"/>
  <c r="AP56" i="9" s="1"/>
  <c r="AP57" i="9" s="1"/>
  <c r="F46" i="11"/>
  <c r="H46" i="11" s="1"/>
  <c r="Q54" i="12" s="1"/>
  <c r="F23" i="9"/>
  <c r="AG23" i="9" s="1"/>
  <c r="AG25" i="9" s="1"/>
  <c r="F47" i="11"/>
  <c r="H47" i="11" s="1"/>
  <c r="M47" i="11" s="1"/>
  <c r="W51" i="10"/>
  <c r="AA51" i="10" s="1"/>
  <c r="AI36" i="17"/>
  <c r="AJ36" i="17" s="1"/>
  <c r="J33" i="14"/>
  <c r="K33" i="14" s="1"/>
  <c r="W54" i="10"/>
  <c r="AA54" i="10" s="1"/>
  <c r="F61" i="9"/>
  <c r="AG61" i="9" s="1"/>
  <c r="AK61" i="9" s="1"/>
  <c r="AP61" i="9" s="1"/>
  <c r="AI28" i="17"/>
  <c r="AJ28" i="17" s="1"/>
  <c r="AI43" i="17"/>
  <c r="AJ43" i="17" s="1"/>
  <c r="W77" i="10"/>
  <c r="AA77" i="10" s="1"/>
  <c r="F64" i="9"/>
  <c r="AG64" i="9" s="1"/>
  <c r="AK64" i="9" s="1"/>
  <c r="AP64" i="9" s="1"/>
  <c r="V33" i="17"/>
  <c r="F78" i="11"/>
  <c r="H78" i="11" s="1"/>
  <c r="W56" i="10"/>
  <c r="AA56" i="10" s="1"/>
  <c r="W22" i="10"/>
  <c r="AA22" i="10" s="1"/>
  <c r="K40" i="5"/>
  <c r="AI54" i="17"/>
  <c r="AJ54" i="17" s="1"/>
  <c r="M19" i="11"/>
  <c r="M33" i="11"/>
  <c r="M67" i="11"/>
  <c r="T21" i="23"/>
  <c r="M63" i="11"/>
  <c r="AI16" i="17"/>
  <c r="AJ16" i="17" s="1"/>
  <c r="W59" i="10"/>
  <c r="AA59" i="10" s="1"/>
  <c r="T69" i="23"/>
  <c r="M77" i="11"/>
  <c r="M43" i="11"/>
  <c r="M34" i="11"/>
  <c r="M55" i="11"/>
  <c r="V25" i="10"/>
  <c r="F29" i="9" s="1"/>
  <c r="AG29" i="9" s="1"/>
  <c r="S16" i="14"/>
  <c r="M52" i="11"/>
  <c r="T20" i="23"/>
  <c r="T27" i="23"/>
  <c r="AG79" i="12"/>
  <c r="AH79" i="12" s="1"/>
  <c r="V71" i="10"/>
  <c r="F84" i="9" s="1"/>
  <c r="AG84" i="9" s="1"/>
  <c r="AK84" i="9" s="1"/>
  <c r="AP84" i="9" s="1"/>
  <c r="AP85" i="9" s="1"/>
  <c r="AI29" i="17"/>
  <c r="AJ29" i="17" s="1"/>
  <c r="T22" i="23"/>
  <c r="T68" i="23"/>
  <c r="T64" i="23"/>
  <c r="M66" i="11"/>
  <c r="T65" i="23"/>
  <c r="M74" i="11"/>
  <c r="M41" i="11"/>
  <c r="V24" i="10"/>
  <c r="F27" i="9" s="1"/>
  <c r="AG27" i="9" s="1"/>
  <c r="AK27" i="9" s="1"/>
  <c r="AP27" i="9" s="1"/>
  <c r="M62" i="11"/>
  <c r="M48" i="11"/>
  <c r="AI44" i="17"/>
  <c r="AJ44" i="17" s="1"/>
  <c r="AI24" i="17"/>
  <c r="AJ24" i="17" s="1"/>
  <c r="T23" i="23"/>
  <c r="M76" i="11"/>
  <c r="V50" i="17"/>
  <c r="M51" i="11"/>
  <c r="AJ9" i="17"/>
  <c r="AJ11" i="17"/>
  <c r="AI62" i="17"/>
  <c r="W46" i="10"/>
  <c r="AA46" i="10" s="1"/>
  <c r="F71" i="5"/>
  <c r="G71" i="5" s="1"/>
  <c r="H71" i="5" s="1"/>
  <c r="S94" i="12"/>
  <c r="BT34" i="12"/>
  <c r="V55" i="17"/>
  <c r="AI27" i="17"/>
  <c r="J32" i="21"/>
  <c r="K32" i="21" s="1"/>
  <c r="AI34" i="17"/>
  <c r="AJ34" i="17" s="1"/>
  <c r="AJ95" i="12"/>
  <c r="L94" i="12"/>
  <c r="Q80" i="11"/>
  <c r="AI46" i="17"/>
  <c r="AJ46" i="17" s="1"/>
  <c r="S95" i="12"/>
  <c r="BT35" i="12"/>
  <c r="F27" i="5"/>
  <c r="G27" i="5" s="1"/>
  <c r="H27" i="5" s="1"/>
  <c r="BX36" i="12"/>
  <c r="L95" i="12"/>
  <c r="Q81" i="11"/>
  <c r="J34" i="21"/>
  <c r="L34" i="21" s="1"/>
  <c r="L96" i="12"/>
  <c r="Q82" i="11"/>
  <c r="V26" i="10"/>
  <c r="F27" i="11" s="1"/>
  <c r="H27" i="11" s="1"/>
  <c r="F29" i="5"/>
  <c r="G29" i="5" s="1"/>
  <c r="H29" i="5" s="1"/>
  <c r="W28" i="7"/>
  <c r="J25" i="25" s="1"/>
  <c r="K25" i="25" s="1"/>
  <c r="AI56" i="17"/>
  <c r="AJ56" i="17" s="1"/>
  <c r="W73" i="10"/>
  <c r="AA73" i="10" s="1"/>
  <c r="F63" i="9"/>
  <c r="AG63" i="9" s="1"/>
  <c r="AK63" i="9" s="1"/>
  <c r="AP63" i="9" s="1"/>
  <c r="W40" i="10"/>
  <c r="AA40" i="10" s="1"/>
  <c r="F87" i="9"/>
  <c r="AG87" i="9" s="1"/>
  <c r="AK87" i="9" s="1"/>
  <c r="F48" i="9"/>
  <c r="AG48" i="9" s="1"/>
  <c r="AK48" i="9" s="1"/>
  <c r="AP48" i="9" s="1"/>
  <c r="AP49" i="9" s="1"/>
  <c r="AP50" i="9" s="1"/>
  <c r="AO16" i="9"/>
  <c r="AI50" i="17"/>
  <c r="AI30" i="17"/>
  <c r="AI55" i="17"/>
  <c r="AJ55" i="17" s="1"/>
  <c r="AI47" i="17"/>
  <c r="AI32" i="17"/>
  <c r="J24" i="21"/>
  <c r="L24" i="21" s="1"/>
  <c r="AI39" i="17"/>
  <c r="AI40" i="17"/>
  <c r="AI33" i="17"/>
  <c r="AI72" i="17"/>
  <c r="F28" i="5"/>
  <c r="G28" i="5" s="1"/>
  <c r="H28" i="5" s="1"/>
  <c r="AI58" i="17"/>
  <c r="AI61" i="17"/>
  <c r="K34" i="5"/>
  <c r="K64" i="5"/>
  <c r="K58" i="5"/>
  <c r="AG22" i="12"/>
  <c r="AH22" i="12" s="1"/>
  <c r="J23" i="14"/>
  <c r="K23" i="14" s="1"/>
  <c r="F33" i="5"/>
  <c r="G33" i="5" s="1"/>
  <c r="H33" i="5" s="1"/>
  <c r="J30" i="21"/>
  <c r="L30" i="21" s="1"/>
  <c r="J29" i="14"/>
  <c r="K29" i="14" s="1"/>
  <c r="W33" i="10"/>
  <c r="AA33" i="10" s="1"/>
  <c r="J33" i="21"/>
  <c r="L33" i="21" s="1"/>
  <c r="W50" i="10"/>
  <c r="AA50" i="10" s="1"/>
  <c r="F40" i="9"/>
  <c r="AG40" i="9" s="1"/>
  <c r="AK40" i="9" s="1"/>
  <c r="AP40" i="9" s="1"/>
  <c r="J30" i="14"/>
  <c r="K30" i="14" s="1"/>
  <c r="V18" i="17"/>
  <c r="J32" i="14"/>
  <c r="K32" i="14" s="1"/>
  <c r="F60" i="9"/>
  <c r="AG60" i="9" s="1"/>
  <c r="AK60" i="9" s="1"/>
  <c r="AP60" i="9" s="1"/>
  <c r="J31" i="21"/>
  <c r="L31" i="21" s="1"/>
  <c r="L31" i="25"/>
  <c r="V23" i="10"/>
  <c r="W23" i="10" s="1"/>
  <c r="K46" i="5"/>
  <c r="F32" i="9"/>
  <c r="AG32" i="9" s="1"/>
  <c r="AK32" i="9" s="1"/>
  <c r="X22" i="25"/>
  <c r="Z22" i="25" s="1"/>
  <c r="K76" i="5"/>
  <c r="F28" i="11"/>
  <c r="H28" i="11" s="1"/>
  <c r="W76" i="10"/>
  <c r="AA76" i="10" s="1"/>
  <c r="L19" i="21"/>
  <c r="K19" i="21"/>
  <c r="K33" i="25"/>
  <c r="L33" i="25"/>
  <c r="L24" i="25"/>
  <c r="K24" i="25"/>
  <c r="V72" i="10"/>
  <c r="F73" i="11" s="1"/>
  <c r="H73" i="11" s="1"/>
  <c r="F90" i="9"/>
  <c r="AG90" i="9" s="1"/>
  <c r="AK90" i="9" s="1"/>
  <c r="AP90" i="9" s="1"/>
  <c r="L30" i="25"/>
  <c r="K30" i="25"/>
  <c r="M32" i="25"/>
  <c r="M32" i="21"/>
  <c r="M31" i="25"/>
  <c r="M31" i="21"/>
  <c r="J27" i="21"/>
  <c r="J27" i="25"/>
  <c r="F75" i="5"/>
  <c r="G75" i="5" s="1"/>
  <c r="H75" i="5" s="1"/>
  <c r="M36" i="25"/>
  <c r="M36" i="21"/>
  <c r="W42" i="10"/>
  <c r="AA42" i="10" s="1"/>
  <c r="F26" i="5"/>
  <c r="G26" i="5" s="1"/>
  <c r="H26" i="5" s="1"/>
  <c r="J35" i="14"/>
  <c r="K35" i="14" s="1"/>
  <c r="J36" i="25"/>
  <c r="L23" i="14"/>
  <c r="M23" i="14" s="1"/>
  <c r="M24" i="25"/>
  <c r="M24" i="21"/>
  <c r="F50" i="9"/>
  <c r="AG50" i="9" s="1"/>
  <c r="AK50" i="9" s="1"/>
  <c r="F32" i="5"/>
  <c r="G32" i="5" s="1"/>
  <c r="H32" i="5" s="1"/>
  <c r="T26" i="23"/>
  <c r="J28" i="14"/>
  <c r="K28" i="14" s="1"/>
  <c r="J29" i="25"/>
  <c r="X19" i="25"/>
  <c r="Z19" i="25" s="1"/>
  <c r="V19" i="25"/>
  <c r="L21" i="21"/>
  <c r="K21" i="21"/>
  <c r="M27" i="25"/>
  <c r="M27" i="21"/>
  <c r="L29" i="14"/>
  <c r="M29" i="14" s="1"/>
  <c r="M30" i="25"/>
  <c r="M30" i="21"/>
  <c r="L22" i="14"/>
  <c r="M22" i="14" s="1"/>
  <c r="M23" i="25"/>
  <c r="M23" i="21"/>
  <c r="K23" i="25"/>
  <c r="L23" i="25"/>
  <c r="M34" i="25"/>
  <c r="M34" i="21"/>
  <c r="M29" i="25"/>
  <c r="M29" i="21"/>
  <c r="L36" i="21"/>
  <c r="K36" i="21"/>
  <c r="M33" i="25"/>
  <c r="M33" i="21"/>
  <c r="K32" i="25"/>
  <c r="L32" i="25"/>
  <c r="F72" i="5"/>
  <c r="G72" i="5" s="1"/>
  <c r="H72" i="5" s="1"/>
  <c r="T66" i="23"/>
  <c r="F73" i="5"/>
  <c r="G73" i="5" s="1"/>
  <c r="H73" i="5" s="1"/>
  <c r="T67" i="23"/>
  <c r="K34" i="25"/>
  <c r="L34" i="25"/>
  <c r="V20" i="25"/>
  <c r="X20" i="25"/>
  <c r="Z20" i="25" s="1"/>
  <c r="V17" i="25"/>
  <c r="X17" i="25"/>
  <c r="L21" i="25"/>
  <c r="K21" i="25"/>
  <c r="U21" i="25"/>
  <c r="U19" i="21"/>
  <c r="V19" i="21" s="1"/>
  <c r="V17" i="21"/>
  <c r="F89" i="9"/>
  <c r="AG89" i="9" s="1"/>
  <c r="AK89" i="9" s="1"/>
  <c r="AP89" i="9" s="1"/>
  <c r="K52" i="5"/>
  <c r="J29" i="21"/>
  <c r="W78" i="10"/>
  <c r="AA78" i="10" s="1"/>
  <c r="F79" i="11"/>
  <c r="H79" i="11" s="1"/>
  <c r="W20" i="10"/>
  <c r="AA20" i="10" s="1"/>
  <c r="AG58" i="12"/>
  <c r="AH58" i="12" s="1"/>
  <c r="W86" i="7"/>
  <c r="J35" i="25" s="1"/>
  <c r="V69" i="10"/>
  <c r="F70" i="11" s="1"/>
  <c r="H70" i="11" s="1"/>
  <c r="V70" i="10"/>
  <c r="F71" i="11" s="1"/>
  <c r="H71" i="11" s="1"/>
  <c r="W62" i="10"/>
  <c r="AA62" i="10" s="1"/>
  <c r="V21" i="21"/>
  <c r="F74" i="9"/>
  <c r="AG74" i="9" s="1"/>
  <c r="AK74" i="9" s="1"/>
  <c r="AP74" i="9" s="1"/>
  <c r="F54" i="11"/>
  <c r="H54" i="11" s="1"/>
  <c r="K18" i="14"/>
  <c r="R18" i="14"/>
  <c r="S18" i="14" s="1"/>
  <c r="AG44" i="12"/>
  <c r="AH44" i="12" s="1"/>
  <c r="AF36" i="12"/>
  <c r="U26" i="17"/>
  <c r="AF85" i="12"/>
  <c r="U68" i="17"/>
  <c r="AG51" i="12"/>
  <c r="AH51" i="12" s="1"/>
  <c r="AG34" i="12"/>
  <c r="AH34" i="12" s="1"/>
  <c r="AF81" i="12"/>
  <c r="U64" i="17"/>
  <c r="V40" i="17"/>
  <c r="AF84" i="12"/>
  <c r="U67" i="17"/>
  <c r="AG93" i="12"/>
  <c r="AH93" i="12" s="1"/>
  <c r="AG72" i="12"/>
  <c r="AH72" i="12" s="1"/>
  <c r="AF35" i="12"/>
  <c r="AG37" i="12" s="1"/>
  <c r="AH37" i="12" s="1"/>
  <c r="U25" i="17"/>
  <c r="R20" i="14"/>
  <c r="K20" i="14"/>
  <c r="AF80" i="12"/>
  <c r="AG86" i="12" s="1"/>
  <c r="AH86" i="12" s="1"/>
  <c r="U63" i="17"/>
  <c r="AF82" i="12"/>
  <c r="U65" i="17"/>
  <c r="AF83" i="12"/>
  <c r="U66" i="17"/>
  <c r="AG25" i="12"/>
  <c r="AH25" i="12" s="1"/>
  <c r="AG65" i="12"/>
  <c r="AH65" i="12" s="1"/>
  <c r="AF29" i="12"/>
  <c r="AG31" i="12" s="1"/>
  <c r="AH31" i="12" s="1"/>
  <c r="U21" i="17"/>
  <c r="AF30" i="12"/>
  <c r="U22" i="17"/>
  <c r="AF27" i="12"/>
  <c r="U20" i="17"/>
  <c r="AF26" i="12"/>
  <c r="AG28" i="12" s="1"/>
  <c r="AH28" i="12" s="1"/>
  <c r="U19" i="17"/>
  <c r="AE15" i="12"/>
  <c r="AE19" i="12"/>
  <c r="AE16" i="12"/>
  <c r="AE17" i="12"/>
  <c r="AE18" i="12"/>
  <c r="AE14" i="12"/>
  <c r="W31" i="7"/>
  <c r="W37" i="7"/>
  <c r="V39" i="17"/>
  <c r="V34" i="17"/>
  <c r="V54" i="17"/>
  <c r="V37" i="17"/>
  <c r="AD34" i="12"/>
  <c r="AD58" i="12"/>
  <c r="AD79" i="12"/>
  <c r="V44" i="17"/>
  <c r="V24" i="17"/>
  <c r="V15" i="17"/>
  <c r="V41" i="17"/>
  <c r="V45" i="17"/>
  <c r="L32" i="14"/>
  <c r="M32" i="14" s="1"/>
  <c r="AA31" i="7"/>
  <c r="V23" i="17"/>
  <c r="AD44" i="12"/>
  <c r="V51" i="17"/>
  <c r="AD51" i="12"/>
  <c r="V53" i="17"/>
  <c r="V36" i="17"/>
  <c r="AA37" i="7"/>
  <c r="V31" i="17"/>
  <c r="AD25" i="12"/>
  <c r="V30" i="17"/>
  <c r="W19" i="14"/>
  <c r="Y19" i="14" s="1"/>
  <c r="S19" i="14"/>
  <c r="AM45" i="4"/>
  <c r="AM46" i="4"/>
  <c r="AM47" i="4"/>
  <c r="AM48" i="4"/>
  <c r="AM44" i="4"/>
  <c r="AM49" i="4"/>
  <c r="AD14" i="10"/>
  <c r="K15" i="7"/>
  <c r="AC35" i="12"/>
  <c r="AD37" i="12" s="1"/>
  <c r="S26" i="23"/>
  <c r="U26" i="23" s="1"/>
  <c r="T25" i="17"/>
  <c r="V29" i="10"/>
  <c r="V73" i="17"/>
  <c r="AC81" i="12"/>
  <c r="S65" i="23"/>
  <c r="U65" i="23" s="1"/>
  <c r="T64" i="17"/>
  <c r="V68" i="10"/>
  <c r="V42" i="17"/>
  <c r="V18" i="21"/>
  <c r="X18" i="21"/>
  <c r="Z18" i="21" s="1"/>
  <c r="Q48" i="12"/>
  <c r="AG57" i="4"/>
  <c r="AG60" i="4"/>
  <c r="AG61" i="4"/>
  <c r="AG56" i="4"/>
  <c r="AG59" i="4"/>
  <c r="AG58" i="4"/>
  <c r="V56" i="17"/>
  <c r="AE13" i="10"/>
  <c r="AN9" i="29" s="1"/>
  <c r="I14" i="7"/>
  <c r="AI14" i="7" s="1"/>
  <c r="F62" i="9"/>
  <c r="AG62" i="9" s="1"/>
  <c r="AK62" i="9" s="1"/>
  <c r="AP62" i="9" s="1"/>
  <c r="F53" i="11"/>
  <c r="H53" i="11" s="1"/>
  <c r="W52" i="10"/>
  <c r="AA52" i="10" s="1"/>
  <c r="S16" i="12"/>
  <c r="L28" i="14"/>
  <c r="M28" i="14" s="1"/>
  <c r="V48" i="17"/>
  <c r="AD65" i="12"/>
  <c r="L31" i="14"/>
  <c r="M31" i="14" s="1"/>
  <c r="F20" i="9"/>
  <c r="AG20" i="9" s="1"/>
  <c r="F20" i="11"/>
  <c r="H20" i="11" s="1"/>
  <c r="W19" i="10"/>
  <c r="AA19" i="10" s="1"/>
  <c r="V70" i="17"/>
  <c r="V72" i="17"/>
  <c r="F42" i="11"/>
  <c r="H42" i="11" s="1"/>
  <c r="F49" i="9"/>
  <c r="AG49" i="9" s="1"/>
  <c r="AK49" i="9" s="1"/>
  <c r="W41" i="10"/>
  <c r="AA41" i="10" s="1"/>
  <c r="AK19" i="9"/>
  <c r="V16" i="17"/>
  <c r="K14" i="7"/>
  <c r="AD13" i="10"/>
  <c r="Q38" i="12"/>
  <c r="AE14" i="10"/>
  <c r="AN10" i="29" s="1"/>
  <c r="I15" i="7"/>
  <c r="AI15" i="7" s="1"/>
  <c r="Q40" i="12"/>
  <c r="Q19" i="12"/>
  <c r="R19" i="12" s="1"/>
  <c r="AA85" i="7"/>
  <c r="AA86" i="7" s="1"/>
  <c r="AF17" i="10"/>
  <c r="AO13" i="29" s="1"/>
  <c r="J18" i="7"/>
  <c r="AM18" i="7" s="1"/>
  <c r="AC26" i="12"/>
  <c r="AD28" i="12" s="1"/>
  <c r="S20" i="23"/>
  <c r="U20" i="23" s="1"/>
  <c r="T19" i="17"/>
  <c r="AJ40" i="4"/>
  <c r="AJ41" i="4"/>
  <c r="AJ42" i="4"/>
  <c r="AJ43" i="4"/>
  <c r="AJ38" i="4"/>
  <c r="AJ39" i="4"/>
  <c r="V46" i="17"/>
  <c r="V49" i="17"/>
  <c r="AC85" i="12"/>
  <c r="S69" i="23"/>
  <c r="U69" i="23" s="1"/>
  <c r="T68" i="17"/>
  <c r="Q74" i="12"/>
  <c r="AF18" i="10"/>
  <c r="AO14" i="29" s="1"/>
  <c r="J19" i="7"/>
  <c r="AM19" i="7" s="1"/>
  <c r="F68" i="9"/>
  <c r="AG68" i="9" s="1"/>
  <c r="AK68" i="9" s="1"/>
  <c r="AP68" i="9" s="1"/>
  <c r="F58" i="11"/>
  <c r="H58" i="11" s="1"/>
  <c r="W57" i="10"/>
  <c r="AA57" i="10" s="1"/>
  <c r="AM39" i="4"/>
  <c r="AM41" i="4"/>
  <c r="AM40" i="4"/>
  <c r="AM38" i="4"/>
  <c r="AM42" i="4"/>
  <c r="AM43" i="4"/>
  <c r="AM29" i="4"/>
  <c r="AM28" i="4"/>
  <c r="AG20" i="4"/>
  <c r="AG21" i="4"/>
  <c r="L18" i="12"/>
  <c r="AI18" i="12"/>
  <c r="AJ18" i="12" s="1"/>
  <c r="AJ45" i="4"/>
  <c r="AJ46" i="4"/>
  <c r="AJ47" i="4"/>
  <c r="AJ48" i="4"/>
  <c r="AJ49" i="4"/>
  <c r="AJ44" i="4"/>
  <c r="V71" i="17"/>
  <c r="I18" i="7"/>
  <c r="AI18" i="7" s="1"/>
  <c r="AE17" i="10"/>
  <c r="AN13" i="29" s="1"/>
  <c r="L30" i="14"/>
  <c r="M30" i="14" s="1"/>
  <c r="AM57" i="4"/>
  <c r="AM60" i="4"/>
  <c r="AM56" i="4"/>
  <c r="AM58" i="4"/>
  <c r="AM61" i="4"/>
  <c r="AM59" i="4"/>
  <c r="AF15" i="10"/>
  <c r="AO11" i="29" s="1"/>
  <c r="J16" i="7"/>
  <c r="AM16" i="7" s="1"/>
  <c r="F59" i="11"/>
  <c r="H59" i="11" s="1"/>
  <c r="F69" i="9"/>
  <c r="AG69" i="9" s="1"/>
  <c r="AK69" i="9" s="1"/>
  <c r="AP69" i="9" s="1"/>
  <c r="W58" i="10"/>
  <c r="AA58" i="10" s="1"/>
  <c r="Q73" i="12"/>
  <c r="Z17" i="21"/>
  <c r="Q64" i="12"/>
  <c r="AJ29" i="4"/>
  <c r="AJ28" i="4"/>
  <c r="V60" i="17"/>
  <c r="Q77" i="12"/>
  <c r="AG67" i="4"/>
  <c r="AG63" i="4"/>
  <c r="AG65" i="4"/>
  <c r="AG66" i="4"/>
  <c r="AG64" i="4"/>
  <c r="AG62" i="4"/>
  <c r="F57" i="9"/>
  <c r="AG57" i="9" s="1"/>
  <c r="AK57" i="9" s="1"/>
  <c r="F49" i="11"/>
  <c r="H49" i="11" s="1"/>
  <c r="W48" i="10"/>
  <c r="AA48" i="10" s="1"/>
  <c r="F29" i="11"/>
  <c r="H29" i="11" s="1"/>
  <c r="F33" i="9"/>
  <c r="AG33" i="9" s="1"/>
  <c r="AK33" i="9" s="1"/>
  <c r="AP33" i="9" s="1"/>
  <c r="W28" i="10"/>
  <c r="AA28" i="10" s="1"/>
  <c r="V52" i="17"/>
  <c r="V35" i="17"/>
  <c r="AC29" i="12"/>
  <c r="AD31" i="12" s="1"/>
  <c r="S22" i="23"/>
  <c r="U22" i="23" s="1"/>
  <c r="T21" i="17"/>
  <c r="AE15" i="10"/>
  <c r="AN11" i="29" s="1"/>
  <c r="I16" i="7"/>
  <c r="AI16" i="7" s="1"/>
  <c r="S64" i="23"/>
  <c r="U64" i="23" s="1"/>
  <c r="AC80" i="12"/>
  <c r="AD86" i="12" s="1"/>
  <c r="T63" i="17"/>
  <c r="AJ20" i="4"/>
  <c r="AJ21" i="4"/>
  <c r="S18" i="12"/>
  <c r="AD16" i="10"/>
  <c r="K17" i="7"/>
  <c r="V17" i="17"/>
  <c r="K18" i="7"/>
  <c r="AD17" i="10"/>
  <c r="V38" i="17"/>
  <c r="J17" i="7"/>
  <c r="AM17" i="7" s="1"/>
  <c r="AF16" i="10"/>
  <c r="AO12" i="29" s="1"/>
  <c r="I19" i="7"/>
  <c r="AI19" i="7" s="1"/>
  <c r="AE18" i="10"/>
  <c r="AN14" i="29" s="1"/>
  <c r="AM22" i="4"/>
  <c r="AM23" i="4"/>
  <c r="X20" i="21"/>
  <c r="Z20" i="21" s="1"/>
  <c r="V20" i="21"/>
  <c r="AI15" i="12"/>
  <c r="AJ15" i="12" s="1"/>
  <c r="L15" i="12"/>
  <c r="Q61" i="12"/>
  <c r="Q60" i="12"/>
  <c r="AG52" i="4"/>
  <c r="AG54" i="4"/>
  <c r="AG50" i="4"/>
  <c r="AG51" i="4"/>
  <c r="AG53" i="4"/>
  <c r="AG55" i="4"/>
  <c r="AC82" i="12"/>
  <c r="S66" i="23"/>
  <c r="U66" i="23" s="1"/>
  <c r="T65" i="17"/>
  <c r="K16" i="7"/>
  <c r="AD15" i="10"/>
  <c r="F61" i="11"/>
  <c r="H61" i="11" s="1"/>
  <c r="F71" i="9"/>
  <c r="AG71" i="9" s="1"/>
  <c r="AK71" i="9" s="1"/>
  <c r="W60" i="10"/>
  <c r="AA60" i="10" s="1"/>
  <c r="AM78" i="4"/>
  <c r="AM77" i="4"/>
  <c r="AM75" i="4"/>
  <c r="AM76" i="4"/>
  <c r="AM79" i="4"/>
  <c r="AM74" i="4"/>
  <c r="AF14" i="10"/>
  <c r="AO10" i="29" s="1"/>
  <c r="J15" i="7"/>
  <c r="AM15" i="7" s="1"/>
  <c r="AG22" i="4"/>
  <c r="AG23" i="4"/>
  <c r="AI14" i="12"/>
  <c r="AJ14" i="12" s="1"/>
  <c r="L14" i="12"/>
  <c r="Y16" i="14"/>
  <c r="AM55" i="4"/>
  <c r="AM52" i="4"/>
  <c r="AM54" i="4"/>
  <c r="AM50" i="4"/>
  <c r="AM51" i="4"/>
  <c r="AM53" i="4"/>
  <c r="S15" i="12"/>
  <c r="F64" i="11"/>
  <c r="H64" i="11" s="1"/>
  <c r="F75" i="9"/>
  <c r="AG75" i="9" s="1"/>
  <c r="AK75" i="9" s="1"/>
  <c r="AP75" i="9" s="1"/>
  <c r="W63" i="10"/>
  <c r="AA63" i="10" s="1"/>
  <c r="F53" i="9"/>
  <c r="AG53" i="9" s="1"/>
  <c r="AK53" i="9" s="1"/>
  <c r="AP53" i="9" s="1"/>
  <c r="F45" i="11"/>
  <c r="H45" i="11" s="1"/>
  <c r="W44" i="10"/>
  <c r="AA44" i="10" s="1"/>
  <c r="AD72" i="12"/>
  <c r="X22" i="21"/>
  <c r="Z22" i="21" s="1"/>
  <c r="V22" i="21"/>
  <c r="V32" i="17"/>
  <c r="V59" i="17"/>
  <c r="L17" i="12"/>
  <c r="AI17" i="12"/>
  <c r="AJ17" i="12" s="1"/>
  <c r="F42" i="9"/>
  <c r="AG42" i="9" s="1"/>
  <c r="AK42" i="9" s="1"/>
  <c r="F36" i="11"/>
  <c r="H36" i="11" s="1"/>
  <c r="W35" i="10"/>
  <c r="AA35" i="10" s="1"/>
  <c r="AJ55" i="4"/>
  <c r="AJ50" i="4"/>
  <c r="AJ51" i="4"/>
  <c r="AJ52" i="4"/>
  <c r="AJ53" i="4"/>
  <c r="AJ54" i="4"/>
  <c r="S27" i="23"/>
  <c r="U27" i="23" s="1"/>
  <c r="AC36" i="12"/>
  <c r="T26" i="17"/>
  <c r="AJ33" i="4"/>
  <c r="AJ34" i="4"/>
  <c r="AJ35" i="4"/>
  <c r="AJ36" i="4"/>
  <c r="AJ37" i="4"/>
  <c r="AJ32" i="4"/>
  <c r="AK52" i="9"/>
  <c r="AF13" i="10"/>
  <c r="AO9" i="29" s="1"/>
  <c r="J14" i="7"/>
  <c r="AM14" i="7" s="1"/>
  <c r="V30" i="10"/>
  <c r="AG38" i="4"/>
  <c r="AG42" i="4"/>
  <c r="AG40" i="4"/>
  <c r="AG43" i="4"/>
  <c r="AG39" i="4"/>
  <c r="AG41" i="4"/>
  <c r="V69" i="17"/>
  <c r="Q23" i="12"/>
  <c r="W17" i="14"/>
  <c r="S17" i="14"/>
  <c r="V61" i="17"/>
  <c r="V27" i="17"/>
  <c r="AJ66" i="4"/>
  <c r="AJ63" i="4"/>
  <c r="AJ67" i="4"/>
  <c r="AJ62" i="4"/>
  <c r="AJ64" i="4"/>
  <c r="AJ65" i="4"/>
  <c r="V47" i="17"/>
  <c r="V74" i="17"/>
  <c r="V29" i="17"/>
  <c r="Q39" i="12"/>
  <c r="AG76" i="4"/>
  <c r="AG75" i="4"/>
  <c r="AG79" i="4"/>
  <c r="AG74" i="4"/>
  <c r="AG78" i="4"/>
  <c r="AG77" i="4"/>
  <c r="S17" i="12"/>
  <c r="AM20" i="4"/>
  <c r="AM21" i="4"/>
  <c r="AC27" i="12"/>
  <c r="S21" i="23"/>
  <c r="U21" i="23" s="1"/>
  <c r="T20" i="17"/>
  <c r="L26" i="14"/>
  <c r="AC30" i="12"/>
  <c r="S23" i="23"/>
  <c r="U23" i="23" s="1"/>
  <c r="T22" i="17"/>
  <c r="V57" i="17"/>
  <c r="AM67" i="4"/>
  <c r="AM62" i="4"/>
  <c r="AM63" i="4"/>
  <c r="AM65" i="4"/>
  <c r="AM66" i="4"/>
  <c r="AM64" i="4"/>
  <c r="AD22" i="12"/>
  <c r="AC83" i="12"/>
  <c r="S67" i="23"/>
  <c r="U67" i="23" s="1"/>
  <c r="T66" i="17"/>
  <c r="V67" i="10"/>
  <c r="V62" i="17"/>
  <c r="AG29" i="4"/>
  <c r="AG28" i="4"/>
  <c r="V43" i="17"/>
  <c r="AJ23" i="4"/>
  <c r="AJ22" i="4"/>
  <c r="V28" i="17"/>
  <c r="S21" i="14"/>
  <c r="W21" i="14"/>
  <c r="Y21" i="14" s="1"/>
  <c r="Q78" i="12"/>
  <c r="F45" i="9"/>
  <c r="AG45" i="9" s="1"/>
  <c r="F38" i="11"/>
  <c r="H38" i="11" s="1"/>
  <c r="W37" i="10"/>
  <c r="AA37" i="10" s="1"/>
  <c r="F50" i="11"/>
  <c r="H50" i="11" s="1"/>
  <c r="F59" i="9"/>
  <c r="AG59" i="9" s="1"/>
  <c r="W49" i="10"/>
  <c r="AA49" i="10" s="1"/>
  <c r="F35" i="11"/>
  <c r="H35" i="11" s="1"/>
  <c r="F41" i="9"/>
  <c r="AG41" i="9" s="1"/>
  <c r="AK41" i="9" s="1"/>
  <c r="AP41" i="9" s="1"/>
  <c r="AP42" i="9" s="1"/>
  <c r="AP43" i="9" s="1"/>
  <c r="W34" i="10"/>
  <c r="AA34" i="10" s="1"/>
  <c r="AE16" i="10"/>
  <c r="AN12" i="29" s="1"/>
  <c r="I17" i="7"/>
  <c r="AI17" i="7" s="1"/>
  <c r="AD93" i="12"/>
  <c r="AD18" i="10"/>
  <c r="K19" i="7"/>
  <c r="L33" i="14"/>
  <c r="M33" i="14" s="1"/>
  <c r="L35" i="14"/>
  <c r="M35" i="14" s="1"/>
  <c r="AC84" i="12"/>
  <c r="S68" i="23"/>
  <c r="U68" i="23" s="1"/>
  <c r="T67" i="17"/>
  <c r="AG46" i="4"/>
  <c r="AG45" i="4"/>
  <c r="AG48" i="4"/>
  <c r="AG44" i="4"/>
  <c r="AG47" i="4"/>
  <c r="AG49" i="4"/>
  <c r="AJ60" i="4"/>
  <c r="AJ61" i="4"/>
  <c r="AJ56" i="4"/>
  <c r="AJ59" i="4"/>
  <c r="AJ57" i="4"/>
  <c r="AJ58" i="4"/>
  <c r="Q89" i="12"/>
  <c r="AG37" i="4"/>
  <c r="AG34" i="4"/>
  <c r="AG35" i="4"/>
  <c r="AG32" i="4"/>
  <c r="AG33" i="4"/>
  <c r="AG36" i="4"/>
  <c r="Q87" i="12"/>
  <c r="AK38" i="9"/>
  <c r="AJ78" i="4"/>
  <c r="AJ74" i="4"/>
  <c r="AJ79" i="4"/>
  <c r="AJ75" i="4"/>
  <c r="AJ76" i="4"/>
  <c r="AJ77" i="4"/>
  <c r="AA28" i="7"/>
  <c r="Q50" i="12"/>
  <c r="Q56" i="12"/>
  <c r="AM37" i="4"/>
  <c r="AM34" i="4"/>
  <c r="AM36" i="4"/>
  <c r="AM35" i="4"/>
  <c r="AM32" i="4"/>
  <c r="AM33" i="4"/>
  <c r="Q90" i="12"/>
  <c r="AY28" i="21"/>
  <c r="AW41" i="21"/>
  <c r="AY41" i="21" s="1"/>
  <c r="Z58" i="14"/>
  <c r="Y67" i="14"/>
  <c r="AR27" i="14"/>
  <c r="X68" i="14"/>
  <c r="Y68" i="14" s="1"/>
  <c r="AD56" i="14"/>
  <c r="AC58" i="14"/>
  <c r="AP40" i="14"/>
  <c r="AR40" i="14" s="1"/>
  <c r="AH14" i="10" l="1"/>
  <c r="AI15" i="10"/>
  <c r="AH15" i="10"/>
  <c r="AM13" i="29"/>
  <c r="AH17" i="10"/>
  <c r="AH13" i="10"/>
  <c r="AM14" i="29"/>
  <c r="BD14" i="29" s="1"/>
  <c r="AH18" i="10"/>
  <c r="AM12" i="29"/>
  <c r="AP12" i="29" s="1"/>
  <c r="AH16" i="10"/>
  <c r="AI13" i="10"/>
  <c r="AI18" i="10"/>
  <c r="AI16" i="10"/>
  <c r="AM10" i="29"/>
  <c r="BD10" i="29" s="1"/>
  <c r="AI14" i="10"/>
  <c r="AI17" i="10"/>
  <c r="M16" i="28"/>
  <c r="N16" i="28" s="1"/>
  <c r="O16" i="28" s="1"/>
  <c r="AI16" i="12"/>
  <c r="AJ16" i="12" s="1"/>
  <c r="AL16" i="12" s="1"/>
  <c r="K32" i="5"/>
  <c r="AS17" i="12"/>
  <c r="BB17" i="12"/>
  <c r="AV17" i="12"/>
  <c r="AW17" i="12" s="1"/>
  <c r="AY17" i="12"/>
  <c r="AZ17" i="12" s="1"/>
  <c r="AS15" i="12"/>
  <c r="AT15" i="12" s="1"/>
  <c r="AY15" i="12"/>
  <c r="AZ15" i="12" s="1"/>
  <c r="BB15" i="12"/>
  <c r="AV15" i="12"/>
  <c r="AY94" i="12"/>
  <c r="BB94" i="12"/>
  <c r="AV94" i="12"/>
  <c r="AS94" i="12"/>
  <c r="AV18" i="12"/>
  <c r="AW18" i="12" s="1"/>
  <c r="AS18" i="12"/>
  <c r="AT18" i="12" s="1"/>
  <c r="BB18" i="12"/>
  <c r="AY18" i="12"/>
  <c r="AV95" i="12"/>
  <c r="BB95" i="12"/>
  <c r="AS95" i="12"/>
  <c r="AY95" i="12"/>
  <c r="W82" i="11"/>
  <c r="AY14" i="12"/>
  <c r="AZ14" i="12" s="1"/>
  <c r="AS14" i="12"/>
  <c r="AT14" i="12" s="1"/>
  <c r="AV14" i="12"/>
  <c r="BB14" i="12"/>
  <c r="AY96" i="12"/>
  <c r="AV96" i="12"/>
  <c r="BB96" i="12"/>
  <c r="AS96" i="12"/>
  <c r="Q46" i="12"/>
  <c r="L16" i="12"/>
  <c r="P16" i="12" s="1"/>
  <c r="L32" i="21"/>
  <c r="M23" i="11"/>
  <c r="L23" i="21"/>
  <c r="J16" i="28"/>
  <c r="L16" i="28" s="1"/>
  <c r="Q52" i="12"/>
  <c r="Q88" i="12"/>
  <c r="R93" i="12" s="1"/>
  <c r="M21" i="11"/>
  <c r="M57" i="11"/>
  <c r="AM11" i="29"/>
  <c r="BD11" i="29" s="1"/>
  <c r="O16" i="11"/>
  <c r="Q16" i="11" s="1"/>
  <c r="S14" i="12"/>
  <c r="L17" i="20" s="1"/>
  <c r="M40" i="11"/>
  <c r="Q76" i="12"/>
  <c r="AK23" i="9"/>
  <c r="AK25" i="9" s="1"/>
  <c r="M56" i="11"/>
  <c r="AI66" i="12" s="1"/>
  <c r="K34" i="21"/>
  <c r="Q70" i="12"/>
  <c r="F26" i="11"/>
  <c r="H26" i="11" s="1"/>
  <c r="Q29" i="12" s="1"/>
  <c r="R31" i="12" s="1"/>
  <c r="W25" i="10"/>
  <c r="AA25" i="10" s="1"/>
  <c r="BD13" i="29"/>
  <c r="Q43" i="12"/>
  <c r="K33" i="21"/>
  <c r="J34" i="14"/>
  <c r="K34" i="14" s="1"/>
  <c r="J35" i="21"/>
  <c r="L35" i="21" s="1"/>
  <c r="AM9" i="29"/>
  <c r="BD9" i="29" s="1"/>
  <c r="O14" i="11"/>
  <c r="Q14" i="11" s="1"/>
  <c r="J88" i="28"/>
  <c r="M88" i="28"/>
  <c r="M38" i="28"/>
  <c r="J38" i="28"/>
  <c r="M61" i="28"/>
  <c r="J61" i="28"/>
  <c r="M52" i="28"/>
  <c r="J52" i="28"/>
  <c r="M56" i="28"/>
  <c r="J56" i="28"/>
  <c r="M77" i="28"/>
  <c r="J77" i="28"/>
  <c r="M76" i="28"/>
  <c r="J76" i="28"/>
  <c r="J70" i="28"/>
  <c r="M70" i="28"/>
  <c r="J60" i="28"/>
  <c r="M60" i="28"/>
  <c r="M73" i="28"/>
  <c r="J73" i="28"/>
  <c r="M46" i="28"/>
  <c r="J46" i="28"/>
  <c r="J19" i="28"/>
  <c r="L19" i="28" s="1"/>
  <c r="M19" i="28"/>
  <c r="N19" i="28" s="1"/>
  <c r="O19" i="28" s="1"/>
  <c r="M55" i="28"/>
  <c r="J55" i="28"/>
  <c r="J24" i="28"/>
  <c r="M64" i="28"/>
  <c r="J64" i="28"/>
  <c r="M74" i="28"/>
  <c r="J74" i="28"/>
  <c r="M43" i="28"/>
  <c r="J43" i="28"/>
  <c r="M40" i="28"/>
  <c r="J40" i="28"/>
  <c r="AP13" i="29"/>
  <c r="M89" i="28"/>
  <c r="J89" i="28"/>
  <c r="M48" i="28"/>
  <c r="J48" i="28"/>
  <c r="M50" i="28"/>
  <c r="J50" i="28"/>
  <c r="M78" i="28"/>
  <c r="J78" i="28"/>
  <c r="M87" i="28"/>
  <c r="J87" i="28"/>
  <c r="M90" i="28"/>
  <c r="J90" i="28"/>
  <c r="M39" i="28"/>
  <c r="J39" i="28"/>
  <c r="M23" i="28"/>
  <c r="J23" i="28"/>
  <c r="K28" i="5"/>
  <c r="Q91" i="12"/>
  <c r="M46" i="11"/>
  <c r="M78" i="11"/>
  <c r="K26" i="5"/>
  <c r="J24" i="14"/>
  <c r="K24" i="14" s="1"/>
  <c r="L25" i="25"/>
  <c r="J25" i="21"/>
  <c r="K25" i="21" s="1"/>
  <c r="Q55" i="12"/>
  <c r="W72" i="10"/>
  <c r="AA72" i="10" s="1"/>
  <c r="AI63" i="17"/>
  <c r="AJ63" i="17" s="1"/>
  <c r="AI67" i="17"/>
  <c r="AJ67" i="17" s="1"/>
  <c r="AI68" i="17"/>
  <c r="AJ68" i="17" s="1"/>
  <c r="AI21" i="17"/>
  <c r="AJ21" i="17" s="1"/>
  <c r="W26" i="10"/>
  <c r="AA26" i="10" s="1"/>
  <c r="AI26" i="17"/>
  <c r="AJ26" i="17" s="1"/>
  <c r="W71" i="10"/>
  <c r="AA71" i="10" s="1"/>
  <c r="W24" i="10"/>
  <c r="AA24" i="10" s="1"/>
  <c r="F72" i="11"/>
  <c r="H72" i="11" s="1"/>
  <c r="M72" i="11" s="1"/>
  <c r="F25" i="11"/>
  <c r="H25" i="11" s="1"/>
  <c r="M25" i="11" s="1"/>
  <c r="Y11" i="23"/>
  <c r="M29" i="11"/>
  <c r="X11" i="23"/>
  <c r="M53" i="11"/>
  <c r="M45" i="11"/>
  <c r="M61" i="11"/>
  <c r="Y14" i="23"/>
  <c r="M54" i="11"/>
  <c r="M35" i="11"/>
  <c r="M49" i="11"/>
  <c r="M73" i="11"/>
  <c r="M28" i="11"/>
  <c r="M59" i="11"/>
  <c r="M20" i="11"/>
  <c r="X10" i="23"/>
  <c r="Y10" i="23"/>
  <c r="Y13" i="23"/>
  <c r="M58" i="11"/>
  <c r="M50" i="11"/>
  <c r="M64" i="11"/>
  <c r="Y12" i="23"/>
  <c r="M79" i="11"/>
  <c r="M36" i="11"/>
  <c r="X14" i="23"/>
  <c r="M42" i="11"/>
  <c r="M71" i="11"/>
  <c r="X13" i="23"/>
  <c r="M38" i="11"/>
  <c r="X12" i="23"/>
  <c r="M70" i="11"/>
  <c r="M27" i="11"/>
  <c r="AJ30" i="17"/>
  <c r="AJ58" i="17"/>
  <c r="AJ50" i="17"/>
  <c r="AJ39" i="17"/>
  <c r="AJ32" i="17"/>
  <c r="AJ72" i="17"/>
  <c r="AJ47" i="17"/>
  <c r="AJ62" i="17"/>
  <c r="AJ33" i="17"/>
  <c r="AJ27" i="17"/>
  <c r="AJ61" i="17"/>
  <c r="AJ40" i="17"/>
  <c r="AK95" i="12"/>
  <c r="BU64" i="12"/>
  <c r="BX35" i="12"/>
  <c r="AL95" i="12"/>
  <c r="F30" i="9"/>
  <c r="AG30" i="9" s="1"/>
  <c r="AK30" i="9" s="1"/>
  <c r="AP30" i="9" s="1"/>
  <c r="O96" i="12"/>
  <c r="BC96" i="12" s="1"/>
  <c r="AM96" i="12"/>
  <c r="P96" i="12"/>
  <c r="K70" i="5"/>
  <c r="BU35" i="12"/>
  <c r="L38" i="13"/>
  <c r="L38" i="20"/>
  <c r="AG93" i="9"/>
  <c r="K31" i="21"/>
  <c r="P95" i="12"/>
  <c r="O95" i="12"/>
  <c r="AM95" i="12"/>
  <c r="AN95" i="12" s="1"/>
  <c r="L37" i="20"/>
  <c r="L37" i="13"/>
  <c r="BU34" i="12"/>
  <c r="P94" i="12"/>
  <c r="O94" i="12"/>
  <c r="AM94" i="12"/>
  <c r="AN94" i="12" s="1"/>
  <c r="AI65" i="17"/>
  <c r="AI64" i="17"/>
  <c r="AJ64" i="17" s="1"/>
  <c r="AI25" i="17"/>
  <c r="AI22" i="17"/>
  <c r="AJ22" i="17" s="1"/>
  <c r="H86" i="5"/>
  <c r="F26" i="9"/>
  <c r="AG26" i="9" s="1"/>
  <c r="AG28" i="9" s="1"/>
  <c r="F85" i="9"/>
  <c r="AG85" i="9" s="1"/>
  <c r="AK85" i="9" s="1"/>
  <c r="AI66" i="17"/>
  <c r="F24" i="11"/>
  <c r="H24" i="11" s="1"/>
  <c r="K24" i="21"/>
  <c r="AI20" i="17"/>
  <c r="BX14" i="12"/>
  <c r="AL14" i="12"/>
  <c r="O14" i="12"/>
  <c r="P14" i="12"/>
  <c r="Q32" i="12"/>
  <c r="Q63" i="12"/>
  <c r="Q92" i="12"/>
  <c r="K30" i="21"/>
  <c r="AJ21" i="21"/>
  <c r="AH20" i="14" s="1"/>
  <c r="AI20" i="14" s="1"/>
  <c r="AN21" i="25"/>
  <c r="AJ17" i="21"/>
  <c r="AH16" i="14" s="1"/>
  <c r="AI16" i="14" s="1"/>
  <c r="AN17" i="25"/>
  <c r="N34" i="25"/>
  <c r="O34" i="25"/>
  <c r="O27" i="25"/>
  <c r="N27" i="25"/>
  <c r="AM20" i="21"/>
  <c r="AJ19" i="14" s="1"/>
  <c r="AK19" i="14" s="1"/>
  <c r="AQ20" i="25"/>
  <c r="M28" i="25"/>
  <c r="M28" i="21"/>
  <c r="J28" i="21"/>
  <c r="J28" i="25"/>
  <c r="Z17" i="25"/>
  <c r="L36" i="25"/>
  <c r="K36" i="25"/>
  <c r="AJ19" i="21"/>
  <c r="AH18" i="14" s="1"/>
  <c r="AI18" i="14" s="1"/>
  <c r="AN19" i="25"/>
  <c r="AM21" i="21"/>
  <c r="AJ20" i="14" s="1"/>
  <c r="AK20" i="14" s="1"/>
  <c r="AQ21" i="25"/>
  <c r="L25" i="14"/>
  <c r="M25" i="14" s="1"/>
  <c r="M26" i="25"/>
  <c r="M26" i="21"/>
  <c r="W3" i="7"/>
  <c r="Y5" i="7" s="1"/>
  <c r="AZ4" i="7" s="1"/>
  <c r="J26" i="25"/>
  <c r="L29" i="25"/>
  <c r="K29" i="25"/>
  <c r="AJ20" i="21"/>
  <c r="AH19" i="14" s="1"/>
  <c r="AI19" i="14" s="1"/>
  <c r="AN20" i="25"/>
  <c r="N33" i="21"/>
  <c r="O33" i="21"/>
  <c r="N29" i="21"/>
  <c r="O29" i="21"/>
  <c r="N23" i="21"/>
  <c r="O23" i="21"/>
  <c r="L27" i="25"/>
  <c r="K27" i="25"/>
  <c r="AM17" i="21"/>
  <c r="AJ16" i="14" s="1"/>
  <c r="AK16" i="14" s="1"/>
  <c r="AQ17" i="25"/>
  <c r="M25" i="25"/>
  <c r="M25" i="21"/>
  <c r="AM19" i="21"/>
  <c r="AJ18" i="14" s="1"/>
  <c r="AK18" i="14" s="1"/>
  <c r="AQ19" i="25"/>
  <c r="O33" i="25"/>
  <c r="N33" i="25"/>
  <c r="N29" i="25"/>
  <c r="O29" i="25"/>
  <c r="O23" i="25"/>
  <c r="N23" i="25"/>
  <c r="L27" i="21"/>
  <c r="K27" i="21"/>
  <c r="AJ18" i="21"/>
  <c r="AH17" i="14" s="1"/>
  <c r="AI17" i="14" s="1"/>
  <c r="AN18" i="25"/>
  <c r="N24" i="21"/>
  <c r="O24" i="21"/>
  <c r="N31" i="21"/>
  <c r="O31" i="21"/>
  <c r="AO14" i="17"/>
  <c r="Y15" i="23"/>
  <c r="AN14" i="17"/>
  <c r="X15" i="23"/>
  <c r="V21" i="25"/>
  <c r="X21" i="25"/>
  <c r="Z21" i="25" s="1"/>
  <c r="N30" i="21"/>
  <c r="O30" i="21"/>
  <c r="O24" i="25"/>
  <c r="N24" i="25"/>
  <c r="N36" i="21"/>
  <c r="O36" i="21"/>
  <c r="N31" i="25"/>
  <c r="O31" i="25"/>
  <c r="N32" i="21"/>
  <c r="O32" i="21"/>
  <c r="AM18" i="21"/>
  <c r="AJ17" i="14" s="1"/>
  <c r="AK17" i="14" s="1"/>
  <c r="AQ18" i="25"/>
  <c r="AJ22" i="21"/>
  <c r="AH21" i="14" s="1"/>
  <c r="AI21" i="14" s="1"/>
  <c r="AN22" i="25"/>
  <c r="AM22" i="21"/>
  <c r="AJ21" i="14" s="1"/>
  <c r="AK21" i="14" s="1"/>
  <c r="AQ22" i="25"/>
  <c r="M35" i="25"/>
  <c r="M35" i="21"/>
  <c r="K35" i="25"/>
  <c r="L35" i="25"/>
  <c r="L29" i="21"/>
  <c r="K29" i="21"/>
  <c r="N34" i="21"/>
  <c r="O34" i="21"/>
  <c r="O30" i="25"/>
  <c r="N30" i="25"/>
  <c r="N27" i="21"/>
  <c r="O27" i="21"/>
  <c r="N36" i="25"/>
  <c r="O36" i="25"/>
  <c r="O32" i="25"/>
  <c r="N32" i="25"/>
  <c r="X19" i="21"/>
  <c r="Z19" i="21" s="1"/>
  <c r="W69" i="10"/>
  <c r="AA69" i="10" s="1"/>
  <c r="W70" i="10"/>
  <c r="AA70" i="10" s="1"/>
  <c r="F83" i="9"/>
  <c r="AG83" i="9" s="1"/>
  <c r="AK83" i="9" s="1"/>
  <c r="AP83" i="9" s="1"/>
  <c r="V25" i="17"/>
  <c r="F82" i="9"/>
  <c r="AG82" i="9" s="1"/>
  <c r="AK82" i="9" s="1"/>
  <c r="AP82" i="9" s="1"/>
  <c r="W18" i="14"/>
  <c r="Y18" i="14" s="1"/>
  <c r="J27" i="14"/>
  <c r="W20" i="14"/>
  <c r="Y20" i="14" s="1"/>
  <c r="S20" i="14"/>
  <c r="V19" i="17"/>
  <c r="AE86" i="12"/>
  <c r="AE25" i="12"/>
  <c r="AE34" i="12"/>
  <c r="AE72" i="12"/>
  <c r="AE65" i="12"/>
  <c r="AE37" i="12"/>
  <c r="AE51" i="12"/>
  <c r="AE28" i="12"/>
  <c r="AE44" i="12"/>
  <c r="AE58" i="12"/>
  <c r="AE93" i="12"/>
  <c r="AE31" i="12"/>
  <c r="AE79" i="12"/>
  <c r="AE22" i="12"/>
  <c r="J25" i="14"/>
  <c r="J26" i="21"/>
  <c r="L27" i="14"/>
  <c r="M27" i="14" s="1"/>
  <c r="V64" i="17"/>
  <c r="V26" i="17"/>
  <c r="V21" i="17"/>
  <c r="R25" i="12"/>
  <c r="BT21" i="12" s="1"/>
  <c r="V68" i="17"/>
  <c r="V65" i="17"/>
  <c r="V63" i="17"/>
  <c r="R44" i="12"/>
  <c r="S44" i="12" s="1"/>
  <c r="V20" i="17"/>
  <c r="AG44" i="9"/>
  <c r="AK44" i="9"/>
  <c r="AP38" i="9"/>
  <c r="K74" i="7"/>
  <c r="AD62" i="10"/>
  <c r="AF31" i="10"/>
  <c r="AO27" i="29" s="1"/>
  <c r="J38" i="7"/>
  <c r="AM38" i="7" s="1"/>
  <c r="BU44" i="12"/>
  <c r="BX15" i="12"/>
  <c r="AK15" i="12"/>
  <c r="AA18" i="25" s="1"/>
  <c r="AL15" i="12"/>
  <c r="AD60" i="10"/>
  <c r="K71" i="7"/>
  <c r="AK34" i="9"/>
  <c r="AP32" i="9"/>
  <c r="AD73" i="10"/>
  <c r="K87" i="7"/>
  <c r="AF38" i="10"/>
  <c r="AO34" i="29" s="1"/>
  <c r="J46" i="7"/>
  <c r="AM46" i="7" s="1"/>
  <c r="AG72" i="9"/>
  <c r="AF74" i="10"/>
  <c r="AO70" i="29" s="1"/>
  <c r="J88" i="7"/>
  <c r="AM88" i="7" s="1"/>
  <c r="AI87" i="12"/>
  <c r="L87" i="12"/>
  <c r="AE35" i="10"/>
  <c r="AN31" i="29" s="1"/>
  <c r="I42" i="7"/>
  <c r="AI42" i="7" s="1"/>
  <c r="AF57" i="10"/>
  <c r="AO53" i="29" s="1"/>
  <c r="J68" i="7"/>
  <c r="AM68" i="7" s="1"/>
  <c r="AE46" i="10"/>
  <c r="AN42" i="29" s="1"/>
  <c r="I55" i="7"/>
  <c r="AI55" i="7" s="1"/>
  <c r="AG65" i="9"/>
  <c r="AK59" i="9"/>
  <c r="AD66" i="10"/>
  <c r="K78" i="7"/>
  <c r="AE76" i="10"/>
  <c r="AN72" i="29" s="1"/>
  <c r="I90" i="7"/>
  <c r="AI90" i="7" s="1"/>
  <c r="AF65" i="10"/>
  <c r="AO61" i="29" s="1"/>
  <c r="J77" i="7"/>
  <c r="AM77" i="7" s="1"/>
  <c r="AJ30" i="4"/>
  <c r="AJ31" i="4"/>
  <c r="I50" i="7"/>
  <c r="AI50" i="7" s="1"/>
  <c r="AE42" i="10"/>
  <c r="AN38" i="29" s="1"/>
  <c r="AG34" i="9"/>
  <c r="AF35" i="10"/>
  <c r="AO31" i="29" s="1"/>
  <c r="J42" i="7"/>
  <c r="AM42" i="7" s="1"/>
  <c r="J62" i="7"/>
  <c r="AM62" i="7" s="1"/>
  <c r="AF52" i="10"/>
  <c r="AO48" i="29" s="1"/>
  <c r="V22" i="17"/>
  <c r="AD51" i="10"/>
  <c r="K61" i="7"/>
  <c r="AE21" i="10"/>
  <c r="AN17" i="29" s="1"/>
  <c r="I23" i="7"/>
  <c r="AI23" i="7" s="1"/>
  <c r="K92" i="7"/>
  <c r="AD78" i="10"/>
  <c r="AE53" i="10"/>
  <c r="AN49" i="29" s="1"/>
  <c r="I63" i="7"/>
  <c r="AI63" i="7" s="1"/>
  <c r="L60" i="12"/>
  <c r="AI60" i="12"/>
  <c r="AG79" i="9"/>
  <c r="AE66" i="10"/>
  <c r="AN62" i="29" s="1"/>
  <c r="I78" i="7"/>
  <c r="AI78" i="7" s="1"/>
  <c r="Q69" i="12"/>
  <c r="AD55" i="10"/>
  <c r="K66" i="7"/>
  <c r="AF43" i="10"/>
  <c r="AO39" i="29" s="1"/>
  <c r="J52" i="7"/>
  <c r="AM52" i="7" s="1"/>
  <c r="AE20" i="10"/>
  <c r="AN16" i="29" s="1"/>
  <c r="I21" i="7"/>
  <c r="AI21" i="7" s="1"/>
  <c r="AD37" i="10"/>
  <c r="K45" i="7"/>
  <c r="Q68" i="12"/>
  <c r="R72" i="12" s="1"/>
  <c r="J45" i="7"/>
  <c r="AM45" i="7" s="1"/>
  <c r="AF37" i="10"/>
  <c r="AO33" i="29" s="1"/>
  <c r="Q83" i="12"/>
  <c r="Q62" i="12"/>
  <c r="AK29" i="9"/>
  <c r="AE55" i="10"/>
  <c r="AN51" i="29" s="1"/>
  <c r="I66" i="7"/>
  <c r="AI66" i="7" s="1"/>
  <c r="O15" i="11"/>
  <c r="Q15" i="11" s="1"/>
  <c r="F15" i="19"/>
  <c r="AF15" i="19" s="1"/>
  <c r="AJ15" i="19" s="1"/>
  <c r="AM10" i="17"/>
  <c r="W11" i="23"/>
  <c r="AF76" i="10"/>
  <c r="AO72" i="29" s="1"/>
  <c r="J90" i="7"/>
  <c r="AM90" i="7" s="1"/>
  <c r="AF22" i="10"/>
  <c r="AO18" i="29" s="1"/>
  <c r="J24" i="7"/>
  <c r="AM24" i="7" s="1"/>
  <c r="L39" i="12"/>
  <c r="AI39" i="12"/>
  <c r="I48" i="7"/>
  <c r="AI48" i="7" s="1"/>
  <c r="AE40" i="10"/>
  <c r="AN36" i="29" s="1"/>
  <c r="AO12" i="17"/>
  <c r="BU47" i="12"/>
  <c r="AL18" i="12"/>
  <c r="BX18" i="12"/>
  <c r="AK18" i="12"/>
  <c r="AA21" i="25" s="1"/>
  <c r="K73" i="7"/>
  <c r="AD61" i="10"/>
  <c r="AF62" i="10"/>
  <c r="AO58" i="29" s="1"/>
  <c r="J74" i="7"/>
  <c r="AM74" i="7" s="1"/>
  <c r="J43" i="7"/>
  <c r="AM43" i="7" s="1"/>
  <c r="AF36" i="10"/>
  <c r="AO32" i="29" s="1"/>
  <c r="L21" i="20"/>
  <c r="BU18" i="12"/>
  <c r="L21" i="13"/>
  <c r="J33" i="7"/>
  <c r="AM33" i="7" s="1"/>
  <c r="AF28" i="10"/>
  <c r="AO24" i="29" s="1"/>
  <c r="AI76" i="12"/>
  <c r="L76" i="12"/>
  <c r="K39" i="7"/>
  <c r="AD32" i="10"/>
  <c r="AI56" i="12"/>
  <c r="L56" i="12"/>
  <c r="AF78" i="10"/>
  <c r="AO74" i="29" s="1"/>
  <c r="J92" i="7"/>
  <c r="AM92" i="7" s="1"/>
  <c r="AE32" i="10"/>
  <c r="AN28" i="29" s="1"/>
  <c r="I39" i="7"/>
  <c r="AI39" i="7" s="1"/>
  <c r="AF56" i="10"/>
  <c r="AO52" i="29" s="1"/>
  <c r="J67" i="7"/>
  <c r="AM67" i="7" s="1"/>
  <c r="AE43" i="10"/>
  <c r="AN39" i="29" s="1"/>
  <c r="I52" i="7"/>
  <c r="AI52" i="7" s="1"/>
  <c r="AN12" i="17"/>
  <c r="Q59" i="12"/>
  <c r="M26" i="14"/>
  <c r="L20" i="20"/>
  <c r="L20" i="13"/>
  <c r="BU17" i="12"/>
  <c r="AE77" i="10"/>
  <c r="AN73" i="29" s="1"/>
  <c r="I91" i="7"/>
  <c r="AI91" i="7" s="1"/>
  <c r="AJ25" i="4"/>
  <c r="Y17" i="14"/>
  <c r="AE39" i="10"/>
  <c r="AN35" i="29" s="1"/>
  <c r="I47" i="7"/>
  <c r="AI47" i="7" s="1"/>
  <c r="AF34" i="10"/>
  <c r="AO30" i="29" s="1"/>
  <c r="J41" i="7"/>
  <c r="AM41" i="7" s="1"/>
  <c r="J61" i="7"/>
  <c r="AM61" i="7" s="1"/>
  <c r="AF51" i="10"/>
  <c r="AO47" i="29" s="1"/>
  <c r="K64" i="7"/>
  <c r="AD54" i="10"/>
  <c r="K89" i="7"/>
  <c r="AD75" i="10"/>
  <c r="AE51" i="10"/>
  <c r="AN47" i="29" s="1"/>
  <c r="I61" i="7"/>
  <c r="AI61" i="7" s="1"/>
  <c r="AD22" i="10"/>
  <c r="K24" i="7"/>
  <c r="F18" i="19"/>
  <c r="AF18" i="19" s="1"/>
  <c r="AJ18" i="19" s="1"/>
  <c r="AM13" i="17"/>
  <c r="W14" i="23"/>
  <c r="O18" i="11"/>
  <c r="Q18" i="11" s="1"/>
  <c r="Q57" i="12"/>
  <c r="AI64" i="12"/>
  <c r="L64" i="12"/>
  <c r="AM27" i="4"/>
  <c r="AM26" i="4"/>
  <c r="K70" i="7"/>
  <c r="AD59" i="10"/>
  <c r="AN13" i="17"/>
  <c r="AF48" i="10"/>
  <c r="AO44" i="29" s="1"/>
  <c r="J57" i="7"/>
  <c r="AM57" i="7" s="1"/>
  <c r="AD39" i="10"/>
  <c r="K47" i="7"/>
  <c r="J50" i="7"/>
  <c r="AM50" i="7" s="1"/>
  <c r="AF42" i="10"/>
  <c r="AO38" i="29" s="1"/>
  <c r="Q20" i="12"/>
  <c r="R22" i="12" s="1"/>
  <c r="AE60" i="10"/>
  <c r="AN56" i="29" s="1"/>
  <c r="I71" i="7"/>
  <c r="AI71" i="7" s="1"/>
  <c r="AD48" i="10"/>
  <c r="K57" i="7"/>
  <c r="L70" i="12"/>
  <c r="AI70" i="12"/>
  <c r="K50" i="7"/>
  <c r="AD42" i="10"/>
  <c r="AE57" i="10"/>
  <c r="AN53" i="29" s="1"/>
  <c r="I68" i="7"/>
  <c r="AI68" i="7" s="1"/>
  <c r="AP66" i="9"/>
  <c r="AK72" i="9"/>
  <c r="AE22" i="10"/>
  <c r="AN18" i="29" s="1"/>
  <c r="I24" i="7"/>
  <c r="AI24" i="7" s="1"/>
  <c r="AI24" i="12"/>
  <c r="L24" i="12"/>
  <c r="Q33" i="12"/>
  <c r="K49" i="7"/>
  <c r="AD41" i="10"/>
  <c r="AD31" i="10"/>
  <c r="K38" i="7"/>
  <c r="AF73" i="10"/>
  <c r="AO69" i="29" s="1"/>
  <c r="J87" i="7"/>
  <c r="AM87" i="7" s="1"/>
  <c r="AE31" i="10"/>
  <c r="AN27" i="29" s="1"/>
  <c r="I38" i="7"/>
  <c r="AI38" i="7" s="1"/>
  <c r="AF58" i="10"/>
  <c r="AO54" i="29" s="1"/>
  <c r="J69" i="7"/>
  <c r="AM69" i="7" s="1"/>
  <c r="AE47" i="10"/>
  <c r="AN43" i="29" s="1"/>
  <c r="I56" i="7"/>
  <c r="AI56" i="7" s="1"/>
  <c r="AE27" i="10"/>
  <c r="AN23" i="29" s="1"/>
  <c r="I32" i="7"/>
  <c r="AI32" i="7" s="1"/>
  <c r="Q82" i="12"/>
  <c r="L52" i="12"/>
  <c r="AI52" i="12"/>
  <c r="I87" i="7"/>
  <c r="AI87" i="7" s="1"/>
  <c r="AE73" i="10"/>
  <c r="AN69" i="29" s="1"/>
  <c r="AI55" i="12"/>
  <c r="L55" i="12"/>
  <c r="AE41" i="10"/>
  <c r="AN37" i="29" s="1"/>
  <c r="I49" i="7"/>
  <c r="AI49" i="7" s="1"/>
  <c r="AF33" i="10"/>
  <c r="AO29" i="29" s="1"/>
  <c r="J40" i="7"/>
  <c r="AM40" i="7" s="1"/>
  <c r="AF50" i="10"/>
  <c r="AO46" i="29" s="1"/>
  <c r="J60" i="7"/>
  <c r="AM60" i="7" s="1"/>
  <c r="BU46" i="12"/>
  <c r="AL17" i="12"/>
  <c r="AK17" i="12"/>
  <c r="AA20" i="25" s="1"/>
  <c r="BX17" i="12"/>
  <c r="AM14" i="12"/>
  <c r="AN14" i="12" s="1"/>
  <c r="AO10" i="17"/>
  <c r="AD74" i="10"/>
  <c r="K88" i="7"/>
  <c r="AD21" i="10"/>
  <c r="K23" i="7"/>
  <c r="AQ18" i="7"/>
  <c r="AT21" i="25" s="1"/>
  <c r="AU18" i="7"/>
  <c r="AN11" i="17"/>
  <c r="AM30" i="4"/>
  <c r="AM31" i="4"/>
  <c r="AD56" i="10"/>
  <c r="K67" i="7"/>
  <c r="AF47" i="10"/>
  <c r="AO43" i="29" s="1"/>
  <c r="J56" i="7"/>
  <c r="AM56" i="7" s="1"/>
  <c r="I20" i="7"/>
  <c r="AI20" i="7" s="1"/>
  <c r="AE19" i="10"/>
  <c r="AN15" i="29" s="1"/>
  <c r="K48" i="7"/>
  <c r="AD40" i="10"/>
  <c r="AF41" i="10"/>
  <c r="AO37" i="29" s="1"/>
  <c r="J49" i="7"/>
  <c r="AM49" i="7" s="1"/>
  <c r="L19" i="12"/>
  <c r="AI19" i="12"/>
  <c r="AJ19" i="12" s="1"/>
  <c r="AI40" i="12"/>
  <c r="L40" i="12"/>
  <c r="AG22" i="9"/>
  <c r="AK20" i="9"/>
  <c r="AE59" i="10"/>
  <c r="AN55" i="29" s="1"/>
  <c r="I70" i="7"/>
  <c r="AI70" i="7" s="1"/>
  <c r="AD43" i="10"/>
  <c r="K52" i="7"/>
  <c r="O19" i="11"/>
  <c r="Q19" i="11" s="1"/>
  <c r="AM14" i="17"/>
  <c r="F19" i="19"/>
  <c r="AF19" i="19" s="1"/>
  <c r="AJ19" i="19" s="1"/>
  <c r="W15" i="23"/>
  <c r="K59" i="7"/>
  <c r="AD49" i="10"/>
  <c r="AG27" i="4"/>
  <c r="AG26" i="4"/>
  <c r="I60" i="7"/>
  <c r="AI60" i="7" s="1"/>
  <c r="AE50" i="10"/>
  <c r="AN46" i="29" s="1"/>
  <c r="L43" i="12"/>
  <c r="AI43" i="12"/>
  <c r="J32" i="7"/>
  <c r="AM32" i="7" s="1"/>
  <c r="AF27" i="10"/>
  <c r="AO23" i="29" s="1"/>
  <c r="AI74" i="12"/>
  <c r="L74" i="12"/>
  <c r="AF75" i="10"/>
  <c r="AO71" i="29" s="1"/>
  <c r="J89" i="7"/>
  <c r="AM89" i="7" s="1"/>
  <c r="AF53" i="10"/>
  <c r="AO49" i="29" s="1"/>
  <c r="J63" i="7"/>
  <c r="AM63" i="7" s="1"/>
  <c r="AK79" i="9"/>
  <c r="AP73" i="9"/>
  <c r="I74" i="7"/>
  <c r="AI74" i="7" s="1"/>
  <c r="AE62" i="10"/>
  <c r="AN58" i="29" s="1"/>
  <c r="AQ15" i="7"/>
  <c r="AT18" i="25" s="1"/>
  <c r="AU15" i="7"/>
  <c r="AI90" i="12"/>
  <c r="L90" i="12"/>
  <c r="AD34" i="10"/>
  <c r="K41" i="7"/>
  <c r="AI50" i="12"/>
  <c r="L50" i="12"/>
  <c r="AF77" i="10"/>
  <c r="AO73" i="29" s="1"/>
  <c r="J91" i="7"/>
  <c r="AM91" i="7" s="1"/>
  <c r="I41" i="7"/>
  <c r="AI41" i="7" s="1"/>
  <c r="AE34" i="10"/>
  <c r="AN30" i="29" s="1"/>
  <c r="AF55" i="10"/>
  <c r="AO51" i="29" s="1"/>
  <c r="J66" i="7"/>
  <c r="AM66" i="7" s="1"/>
  <c r="I53" i="7"/>
  <c r="AI53" i="7" s="1"/>
  <c r="AE44" i="10"/>
  <c r="AN40" i="29" s="1"/>
  <c r="Q45" i="12"/>
  <c r="AI78" i="12"/>
  <c r="L78" i="12"/>
  <c r="AE28" i="10"/>
  <c r="AN24" i="29" s="1"/>
  <c r="I33" i="7"/>
  <c r="AI33" i="7" s="1"/>
  <c r="F68" i="11"/>
  <c r="H68" i="11" s="1"/>
  <c r="F80" i="9"/>
  <c r="AG80" i="9" s="1"/>
  <c r="AK80" i="9" s="1"/>
  <c r="W67" i="10"/>
  <c r="AA67" i="10" s="1"/>
  <c r="K75" i="7"/>
  <c r="AD63" i="10"/>
  <c r="I92" i="7"/>
  <c r="AI92" i="7" s="1"/>
  <c r="AE78" i="10"/>
  <c r="AN74" i="29" s="1"/>
  <c r="AF64" i="10"/>
  <c r="AO60" i="29" s="1"/>
  <c r="J76" i="7"/>
  <c r="AM76" i="7" s="1"/>
  <c r="L23" i="12"/>
  <c r="AI23" i="12"/>
  <c r="I45" i="7"/>
  <c r="AI45" i="7" s="1"/>
  <c r="AE37" i="10"/>
  <c r="AN33" i="29" s="1"/>
  <c r="AF32" i="10"/>
  <c r="AO28" i="29" s="1"/>
  <c r="J39" i="7"/>
  <c r="AM39" i="7" s="1"/>
  <c r="J59" i="7"/>
  <c r="AM59" i="7" s="1"/>
  <c r="AF49" i="10"/>
  <c r="AO45" i="29" s="1"/>
  <c r="P17" i="12"/>
  <c r="O17" i="12"/>
  <c r="AM17" i="12"/>
  <c r="AN17" i="12" s="1"/>
  <c r="Q53" i="12"/>
  <c r="L18" i="20"/>
  <c r="L18" i="13"/>
  <c r="BU15" i="12"/>
  <c r="BU43" i="12"/>
  <c r="CJ44" i="12" s="1"/>
  <c r="AK14" i="12"/>
  <c r="AA17" i="25" s="1"/>
  <c r="AD76" i="10"/>
  <c r="K90" i="7"/>
  <c r="L61" i="12"/>
  <c r="AI61" i="12"/>
  <c r="I73" i="7"/>
  <c r="AI73" i="7" s="1"/>
  <c r="AE61" i="10"/>
  <c r="AN57" i="29" s="1"/>
  <c r="AI77" i="12"/>
  <c r="L77" i="12"/>
  <c r="AM25" i="4"/>
  <c r="AM24" i="4"/>
  <c r="AI46" i="12"/>
  <c r="L46" i="12"/>
  <c r="AF46" i="10"/>
  <c r="AO42" i="29" s="1"/>
  <c r="J55" i="7"/>
  <c r="AM55" i="7" s="1"/>
  <c r="AD27" i="10"/>
  <c r="K32" i="7"/>
  <c r="K46" i="7"/>
  <c r="AD38" i="10"/>
  <c r="AF40" i="10"/>
  <c r="AO36" i="29" s="1"/>
  <c r="J48" i="7"/>
  <c r="AM48" i="7" s="1"/>
  <c r="S19" i="12"/>
  <c r="BT19" i="12"/>
  <c r="W10" i="23"/>
  <c r="AM9" i="17"/>
  <c r="F14" i="19"/>
  <c r="AF14" i="19" s="1"/>
  <c r="AJ14" i="19" s="1"/>
  <c r="AN9" i="17"/>
  <c r="AW14" i="12"/>
  <c r="AE56" i="10"/>
  <c r="AN52" i="29" s="1"/>
  <c r="I67" i="7"/>
  <c r="AI67" i="7" s="1"/>
  <c r="F35" i="9"/>
  <c r="AG35" i="9" s="1"/>
  <c r="F30" i="11"/>
  <c r="H30" i="11" s="1"/>
  <c r="W29" i="10"/>
  <c r="AA29" i="10" s="1"/>
  <c r="K56" i="7"/>
  <c r="AD47" i="10"/>
  <c r="L89" i="12"/>
  <c r="AI89" i="12"/>
  <c r="AJ71" i="4"/>
  <c r="AJ72" i="4"/>
  <c r="AJ73" i="4"/>
  <c r="AJ68" i="4"/>
  <c r="AJ70" i="4"/>
  <c r="AJ69" i="4"/>
  <c r="Q42" i="12"/>
  <c r="L88" i="12"/>
  <c r="AI88" i="12"/>
  <c r="I46" i="7"/>
  <c r="AI46" i="7" s="1"/>
  <c r="AE38" i="10"/>
  <c r="AN34" i="29" s="1"/>
  <c r="Q75" i="12"/>
  <c r="I59" i="7"/>
  <c r="AI59" i="7" s="1"/>
  <c r="AE49" i="10"/>
  <c r="AN45" i="29" s="1"/>
  <c r="K42" i="7"/>
  <c r="AD35" i="10"/>
  <c r="AE33" i="10"/>
  <c r="AN29" i="29" s="1"/>
  <c r="I40" i="7"/>
  <c r="AI40" i="7" s="1"/>
  <c r="AF60" i="10"/>
  <c r="AO56" i="29" s="1"/>
  <c r="J71" i="7"/>
  <c r="AM71" i="7" s="1"/>
  <c r="I54" i="7"/>
  <c r="AI54" i="7" s="1"/>
  <c r="AE45" i="10"/>
  <c r="AN41" i="29" s="1"/>
  <c r="BU45" i="12"/>
  <c r="BX16" i="12"/>
  <c r="AK16" i="12"/>
  <c r="AA19" i="25" s="1"/>
  <c r="Q41" i="12"/>
  <c r="AG51" i="9"/>
  <c r="AK45" i="9"/>
  <c r="AD65" i="10"/>
  <c r="K77" i="7"/>
  <c r="I88" i="7"/>
  <c r="AI88" i="7" s="1"/>
  <c r="AE74" i="10"/>
  <c r="AN70" i="29" s="1"/>
  <c r="AF63" i="10"/>
  <c r="AO59" i="29" s="1"/>
  <c r="J75" i="7"/>
  <c r="AM75" i="7" s="1"/>
  <c r="F36" i="9"/>
  <c r="AG36" i="9" s="1"/>
  <c r="AK36" i="9" s="1"/>
  <c r="AP36" i="9" s="1"/>
  <c r="F31" i="11"/>
  <c r="H31" i="11" s="1"/>
  <c r="W30" i="10"/>
  <c r="AA30" i="10" s="1"/>
  <c r="AP52" i="9"/>
  <c r="AK58" i="9"/>
  <c r="AF54" i="10"/>
  <c r="AO50" i="29" s="1"/>
  <c r="J64" i="7"/>
  <c r="AM64" i="7" s="1"/>
  <c r="AD52" i="10"/>
  <c r="K62" i="7"/>
  <c r="AG68" i="4"/>
  <c r="AG71" i="4"/>
  <c r="AG73" i="4"/>
  <c r="AG72" i="4"/>
  <c r="AG70" i="4"/>
  <c r="AG69" i="4"/>
  <c r="AD77" i="10"/>
  <c r="K91" i="7"/>
  <c r="F16" i="19"/>
  <c r="AF16" i="19" s="1"/>
  <c r="AJ16" i="19" s="1"/>
  <c r="W12" i="23"/>
  <c r="AM11" i="17"/>
  <c r="AE54" i="10"/>
  <c r="AN50" i="29" s="1"/>
  <c r="I64" i="7"/>
  <c r="AI64" i="7" s="1"/>
  <c r="V66" i="17"/>
  <c r="AQ17" i="7"/>
  <c r="AT20" i="25" s="1"/>
  <c r="AU17" i="7"/>
  <c r="J21" i="7"/>
  <c r="AM21" i="7" s="1"/>
  <c r="AF20" i="10"/>
  <c r="AO16" i="29" s="1"/>
  <c r="AE63" i="10"/>
  <c r="AN59" i="29" s="1"/>
  <c r="I75" i="7"/>
  <c r="AI75" i="7" s="1"/>
  <c r="AI73" i="12"/>
  <c r="L73" i="12"/>
  <c r="AM68" i="4"/>
  <c r="AM71" i="4"/>
  <c r="AM70" i="4"/>
  <c r="AM73" i="4"/>
  <c r="AM72" i="4"/>
  <c r="AM69" i="4"/>
  <c r="AO11" i="17"/>
  <c r="AF45" i="10"/>
  <c r="AO41" i="29" s="1"/>
  <c r="J54" i="7"/>
  <c r="AM54" i="7" s="1"/>
  <c r="AD28" i="10"/>
  <c r="K33" i="7"/>
  <c r="AF39" i="10"/>
  <c r="AO35" i="29" s="1"/>
  <c r="J47" i="7"/>
  <c r="AM47" i="7" s="1"/>
  <c r="AO13" i="17"/>
  <c r="AZ18" i="12"/>
  <c r="AN10" i="17"/>
  <c r="AW15" i="12"/>
  <c r="AQ14" i="7"/>
  <c r="AT17" i="25" s="1"/>
  <c r="AU14" i="7"/>
  <c r="Q49" i="12"/>
  <c r="AI48" i="12"/>
  <c r="L48" i="12"/>
  <c r="F69" i="11"/>
  <c r="H69" i="11" s="1"/>
  <c r="F81" i="9"/>
  <c r="AG81" i="9" s="1"/>
  <c r="W68" i="10"/>
  <c r="AA68" i="10" s="1"/>
  <c r="AD46" i="10"/>
  <c r="K55" i="7"/>
  <c r="K43" i="7"/>
  <c r="AD36" i="10"/>
  <c r="AF66" i="10"/>
  <c r="AO62" i="29" s="1"/>
  <c r="J78" i="7"/>
  <c r="AM78" i="7" s="1"/>
  <c r="AO9" i="17"/>
  <c r="AE64" i="10"/>
  <c r="AN60" i="29" s="1"/>
  <c r="I76" i="7"/>
  <c r="AI76" i="7" s="1"/>
  <c r="AP19" i="9"/>
  <c r="AO19" i="9"/>
  <c r="AD44" i="10"/>
  <c r="K53" i="7"/>
  <c r="AE48" i="10"/>
  <c r="AN44" i="29" s="1"/>
  <c r="I57" i="7"/>
  <c r="AI57" i="7" s="1"/>
  <c r="AJ26" i="4"/>
  <c r="AJ27" i="4"/>
  <c r="AD53" i="10"/>
  <c r="K63" i="7"/>
  <c r="Q71" i="12"/>
  <c r="AD57" i="10"/>
  <c r="K68" i="7"/>
  <c r="P18" i="12"/>
  <c r="O18" i="12"/>
  <c r="AM18" i="12"/>
  <c r="AN18" i="12" s="1"/>
  <c r="AE58" i="10"/>
  <c r="AN54" i="29" s="1"/>
  <c r="I69" i="7"/>
  <c r="AI69" i="7" s="1"/>
  <c r="K40" i="7"/>
  <c r="AD33" i="10"/>
  <c r="L24" i="14"/>
  <c r="AA3" i="7"/>
  <c r="AC5" i="7" s="1"/>
  <c r="AZ5" i="7" s="1"/>
  <c r="AE36" i="10"/>
  <c r="AN32" i="29" s="1"/>
  <c r="I43" i="7"/>
  <c r="AI43" i="7" s="1"/>
  <c r="AF59" i="10"/>
  <c r="AO55" i="29" s="1"/>
  <c r="J70" i="7"/>
  <c r="AM70" i="7" s="1"/>
  <c r="AQ19" i="7"/>
  <c r="AT22" i="25" s="1"/>
  <c r="AU19" i="7"/>
  <c r="AF21" i="10"/>
  <c r="AO17" i="29" s="1"/>
  <c r="J23" i="7"/>
  <c r="AM23" i="7" s="1"/>
  <c r="AK93" i="9"/>
  <c r="AP87" i="9"/>
  <c r="AD64" i="10"/>
  <c r="K76" i="7"/>
  <c r="AE75" i="10"/>
  <c r="AN71" i="29" s="1"/>
  <c r="I89" i="7"/>
  <c r="AI89" i="7" s="1"/>
  <c r="AF61" i="10"/>
  <c r="AO57" i="29" s="1"/>
  <c r="J73" i="7"/>
  <c r="AM73" i="7" s="1"/>
  <c r="AG58" i="9"/>
  <c r="AD50" i="10"/>
  <c r="K60" i="7"/>
  <c r="AG30" i="4"/>
  <c r="AG31" i="4"/>
  <c r="V67" i="17"/>
  <c r="AQ16" i="7"/>
  <c r="AT19" i="25" s="1"/>
  <c r="AU16" i="7"/>
  <c r="I62" i="7"/>
  <c r="AI62" i="7" s="1"/>
  <c r="AE52" i="10"/>
  <c r="AN48" i="29" s="1"/>
  <c r="P15" i="12"/>
  <c r="O15" i="12"/>
  <c r="AM15" i="12"/>
  <c r="AN15" i="12" s="1"/>
  <c r="F17" i="19"/>
  <c r="AF17" i="19" s="1"/>
  <c r="AJ17" i="19" s="1"/>
  <c r="W13" i="23"/>
  <c r="AM12" i="17"/>
  <c r="O17" i="11"/>
  <c r="Q17" i="11" s="1"/>
  <c r="AT17" i="12"/>
  <c r="AF19" i="10"/>
  <c r="AO15" i="29" s="1"/>
  <c r="J20" i="7"/>
  <c r="AM20" i="7" s="1"/>
  <c r="AE65" i="10"/>
  <c r="AN61" i="29" s="1"/>
  <c r="I77" i="7"/>
  <c r="AI77" i="7" s="1"/>
  <c r="R79" i="12"/>
  <c r="K69" i="7"/>
  <c r="AD58" i="10"/>
  <c r="AF44" i="10"/>
  <c r="AO40" i="29" s="1"/>
  <c r="J53" i="7"/>
  <c r="AM53" i="7" s="1"/>
  <c r="L34" i="14"/>
  <c r="M34" i="14" s="1"/>
  <c r="AI38" i="12"/>
  <c r="L38" i="12"/>
  <c r="Q85" i="12"/>
  <c r="L19" i="20"/>
  <c r="L19" i="13"/>
  <c r="BU16" i="12"/>
  <c r="Q30" i="12"/>
  <c r="AD45" i="10"/>
  <c r="K54" i="7"/>
  <c r="Z68" i="14"/>
  <c r="Z67" i="14"/>
  <c r="Y69" i="14"/>
  <c r="X69" i="14"/>
  <c r="AE56" i="14"/>
  <c r="AD58" i="14"/>
  <c r="AP10" i="29" l="1"/>
  <c r="AH53" i="10"/>
  <c r="AP14" i="29"/>
  <c r="AH27" i="10"/>
  <c r="AM30" i="29"/>
  <c r="AP30" i="29" s="1"/>
  <c r="AH34" i="10"/>
  <c r="AM36" i="29"/>
  <c r="AH40" i="10"/>
  <c r="AM70" i="29"/>
  <c r="AH74" i="10"/>
  <c r="AM27" i="29"/>
  <c r="AP27" i="29" s="1"/>
  <c r="AH31" i="10"/>
  <c r="AM35" i="29"/>
  <c r="BD35" i="29" s="1"/>
  <c r="AH39" i="10"/>
  <c r="AM18" i="29"/>
  <c r="AH22" i="10"/>
  <c r="AM47" i="29"/>
  <c r="AH51" i="10"/>
  <c r="AM62" i="29"/>
  <c r="BD62" i="29" s="1"/>
  <c r="AH66" i="10"/>
  <c r="AM54" i="29"/>
  <c r="AP54" i="29" s="1"/>
  <c r="AH58" i="10"/>
  <c r="AM31" i="29"/>
  <c r="AH35" i="10"/>
  <c r="AM37" i="29"/>
  <c r="AH41" i="10"/>
  <c r="AM44" i="29"/>
  <c r="BD44" i="29" s="1"/>
  <c r="AH48" i="10"/>
  <c r="AM69" i="29"/>
  <c r="BD69" i="29" s="1"/>
  <c r="AH73" i="10"/>
  <c r="AM52" i="29"/>
  <c r="AH56" i="10"/>
  <c r="AM29" i="29"/>
  <c r="AH33" i="10"/>
  <c r="AM53" i="29"/>
  <c r="BD53" i="29" s="1"/>
  <c r="AH57" i="10"/>
  <c r="AM59" i="29"/>
  <c r="BD59" i="29" s="1"/>
  <c r="AH63" i="10"/>
  <c r="AM28" i="29"/>
  <c r="AH32" i="10"/>
  <c r="AH55" i="10"/>
  <c r="AM57" i="29"/>
  <c r="AH61" i="10"/>
  <c r="AM43" i="29"/>
  <c r="AP43" i="29" s="1"/>
  <c r="AH47" i="10"/>
  <c r="AH38" i="10"/>
  <c r="AM71" i="29"/>
  <c r="AH75" i="10"/>
  <c r="AM74" i="29"/>
  <c r="AH78" i="10"/>
  <c r="AM48" i="29"/>
  <c r="AP48" i="29" s="1"/>
  <c r="AH52" i="10"/>
  <c r="AM40" i="29"/>
  <c r="BD40" i="29" s="1"/>
  <c r="AH44" i="10"/>
  <c r="AM41" i="29"/>
  <c r="AH45" i="10"/>
  <c r="AM61" i="29"/>
  <c r="AH65" i="10"/>
  <c r="AM72" i="29"/>
  <c r="AP72" i="29" s="1"/>
  <c r="AH76" i="10"/>
  <c r="AM38" i="29"/>
  <c r="AP38" i="29" s="1"/>
  <c r="AH42" i="10"/>
  <c r="AM55" i="29"/>
  <c r="AH59" i="10"/>
  <c r="AM33" i="29"/>
  <c r="AH37" i="10"/>
  <c r="AM58" i="29"/>
  <c r="BD58" i="29" s="1"/>
  <c r="AH62" i="10"/>
  <c r="BD12" i="29"/>
  <c r="AM60" i="29"/>
  <c r="BD60" i="29" s="1"/>
  <c r="AH64" i="10"/>
  <c r="AM39" i="29"/>
  <c r="BD39" i="29" s="1"/>
  <c r="AH43" i="10"/>
  <c r="AM50" i="29"/>
  <c r="BD50" i="29" s="1"/>
  <c r="AH54" i="10"/>
  <c r="AM56" i="29"/>
  <c r="AP56" i="29" s="1"/>
  <c r="AH60" i="10"/>
  <c r="AM73" i="29"/>
  <c r="BD73" i="29" s="1"/>
  <c r="AH77" i="10"/>
  <c r="AH36" i="10"/>
  <c r="AM46" i="29"/>
  <c r="AH50" i="10"/>
  <c r="AM42" i="29"/>
  <c r="AP42" i="29" s="1"/>
  <c r="AH46" i="10"/>
  <c r="AM24" i="29"/>
  <c r="BD24" i="29" s="1"/>
  <c r="AH28" i="10"/>
  <c r="AM45" i="29"/>
  <c r="AH49" i="10"/>
  <c r="AI21" i="10"/>
  <c r="AH21" i="10"/>
  <c r="AI62" i="10"/>
  <c r="AI47" i="10"/>
  <c r="AI64" i="10"/>
  <c r="AI33" i="10"/>
  <c r="AM32" i="29"/>
  <c r="AI36" i="10"/>
  <c r="AI75" i="10"/>
  <c r="AI61" i="10"/>
  <c r="AI74" i="10"/>
  <c r="AI66" i="10"/>
  <c r="AI43" i="10"/>
  <c r="AM49" i="29"/>
  <c r="BD49" i="29" s="1"/>
  <c r="AI53" i="10"/>
  <c r="AI22" i="10"/>
  <c r="AI39" i="10"/>
  <c r="AI45" i="10"/>
  <c r="AI77" i="10"/>
  <c r="AI65" i="10"/>
  <c r="AM23" i="29"/>
  <c r="BD23" i="29" s="1"/>
  <c r="AI27" i="10"/>
  <c r="AI58" i="10"/>
  <c r="AI50" i="10"/>
  <c r="AI59" i="10"/>
  <c r="AI46" i="10"/>
  <c r="AI73" i="10"/>
  <c r="AI48" i="10"/>
  <c r="AI52" i="10"/>
  <c r="AI42" i="10"/>
  <c r="AI35" i="10"/>
  <c r="AI40" i="10"/>
  <c r="BE96" i="12"/>
  <c r="BF96" i="12" s="1"/>
  <c r="CA65" i="12" s="1"/>
  <c r="AX81" i="10"/>
  <c r="AI60" i="10"/>
  <c r="AI78" i="10"/>
  <c r="AI34" i="10"/>
  <c r="AI37" i="10"/>
  <c r="AI54" i="10"/>
  <c r="AI63" i="10"/>
  <c r="AI49" i="10"/>
  <c r="AI44" i="10"/>
  <c r="AI51" i="10"/>
  <c r="AI76" i="10"/>
  <c r="AM34" i="29"/>
  <c r="AP34" i="29" s="1"/>
  <c r="AI38" i="10"/>
  <c r="AM51" i="29"/>
  <c r="AP51" i="29" s="1"/>
  <c r="AI55" i="10"/>
  <c r="AI56" i="10"/>
  <c r="AI31" i="10"/>
  <c r="AI57" i="10"/>
  <c r="AI41" i="10"/>
  <c r="AI28" i="10"/>
  <c r="AI32" i="10"/>
  <c r="BC12" i="17"/>
  <c r="BE12" i="17" s="1"/>
  <c r="M24" i="28"/>
  <c r="N25" i="28" s="1"/>
  <c r="O25" i="28" s="1"/>
  <c r="R51" i="12"/>
  <c r="BT27" i="12" s="1"/>
  <c r="J21" i="28"/>
  <c r="M21" i="28"/>
  <c r="AK26" i="9"/>
  <c r="AM16" i="12"/>
  <c r="AN16" i="12" s="1"/>
  <c r="AP11" i="29"/>
  <c r="O16" i="12"/>
  <c r="BZ45" i="12" s="1"/>
  <c r="AM89" i="12"/>
  <c r="AY89" i="12"/>
  <c r="BB89" i="12"/>
  <c r="AV89" i="12"/>
  <c r="AS89" i="12"/>
  <c r="AM46" i="12"/>
  <c r="BB46" i="12"/>
  <c r="AS46" i="12"/>
  <c r="AV46" i="12"/>
  <c r="AY46" i="12"/>
  <c r="AM78" i="12"/>
  <c r="BB78" i="12"/>
  <c r="AY78" i="12"/>
  <c r="AV78" i="12"/>
  <c r="AS78" i="12"/>
  <c r="AV19" i="12"/>
  <c r="AW19" i="12" s="1"/>
  <c r="AY19" i="12"/>
  <c r="AZ19" i="12" s="1"/>
  <c r="AS19" i="12"/>
  <c r="AT19" i="12" s="1"/>
  <c r="BB19" i="12"/>
  <c r="AM24" i="12"/>
  <c r="AY24" i="12"/>
  <c r="BB24" i="12"/>
  <c r="AV24" i="12"/>
  <c r="AS24" i="12"/>
  <c r="AM60" i="12"/>
  <c r="AY60" i="12"/>
  <c r="AV60" i="12"/>
  <c r="AS60" i="12"/>
  <c r="BB60" i="12"/>
  <c r="BZ63" i="12"/>
  <c r="BC94" i="12"/>
  <c r="BD94" i="12" s="1"/>
  <c r="P96" i="28"/>
  <c r="Q96" i="28" s="1"/>
  <c r="AM74" i="12"/>
  <c r="AV74" i="12"/>
  <c r="AS74" i="12"/>
  <c r="BB74" i="12"/>
  <c r="AY74" i="12"/>
  <c r="AM61" i="12"/>
  <c r="AY61" i="12"/>
  <c r="BB61" i="12"/>
  <c r="AV61" i="12"/>
  <c r="AS61" i="12"/>
  <c r="AM39" i="12"/>
  <c r="AS39" i="12"/>
  <c r="BB39" i="12"/>
  <c r="AY39" i="12"/>
  <c r="AV39" i="12"/>
  <c r="AV87" i="12"/>
  <c r="BB87" i="12"/>
  <c r="AS87" i="12"/>
  <c r="AY87" i="12"/>
  <c r="BZ43" i="12"/>
  <c r="BC14" i="12"/>
  <c r="BD14" i="12" s="1"/>
  <c r="AM88" i="12"/>
  <c r="AY88" i="12"/>
  <c r="BB88" i="12"/>
  <c r="AV88" i="12"/>
  <c r="AS88" i="12"/>
  <c r="AM56" i="12"/>
  <c r="AS56" i="12"/>
  <c r="AY56" i="12"/>
  <c r="BB56" i="12"/>
  <c r="AV56" i="12"/>
  <c r="AM55" i="12"/>
  <c r="BB55" i="12"/>
  <c r="AY55" i="12"/>
  <c r="AV55" i="12"/>
  <c r="AS55" i="12"/>
  <c r="AZ95" i="12"/>
  <c r="AW95" i="12"/>
  <c r="AT95" i="12"/>
  <c r="BA95" i="12" s="1"/>
  <c r="AW94" i="12"/>
  <c r="AT94" i="12"/>
  <c r="AX94" i="12" s="1"/>
  <c r="AZ94" i="12"/>
  <c r="BZ44" i="12"/>
  <c r="BC15" i="12"/>
  <c r="BD15" i="12" s="1"/>
  <c r="AZ96" i="12"/>
  <c r="AW96" i="12"/>
  <c r="AT96" i="12"/>
  <c r="BZ46" i="12"/>
  <c r="BC17" i="12"/>
  <c r="BD17" i="12" s="1"/>
  <c r="AM90" i="12"/>
  <c r="AS90" i="12"/>
  <c r="AY90" i="12"/>
  <c r="BB90" i="12"/>
  <c r="AV90" i="12"/>
  <c r="AM70" i="12"/>
  <c r="AV70" i="12"/>
  <c r="BB70" i="12"/>
  <c r="AS70" i="12"/>
  <c r="AY70" i="12"/>
  <c r="AM76" i="12"/>
  <c r="AV76" i="12"/>
  <c r="AY76" i="12"/>
  <c r="AS76" i="12"/>
  <c r="BB76" i="12"/>
  <c r="AS52" i="12"/>
  <c r="AY52" i="12"/>
  <c r="AV52" i="12"/>
  <c r="BB52" i="12"/>
  <c r="AM77" i="12"/>
  <c r="AY77" i="12"/>
  <c r="AV77" i="12"/>
  <c r="AS77" i="12"/>
  <c r="BB77" i="12"/>
  <c r="BB23" i="12"/>
  <c r="AY23" i="12"/>
  <c r="AS23" i="12"/>
  <c r="AV23" i="12"/>
  <c r="AM43" i="12"/>
  <c r="AV43" i="12"/>
  <c r="AS43" i="12"/>
  <c r="BB43" i="12"/>
  <c r="AY43" i="12"/>
  <c r="AS16" i="12"/>
  <c r="AT16" i="12" s="1"/>
  <c r="AY16" i="12"/>
  <c r="AZ16" i="12" s="1"/>
  <c r="AV16" i="12"/>
  <c r="AW16" i="12" s="1"/>
  <c r="BB16" i="12"/>
  <c r="BC16" i="12" s="1"/>
  <c r="AM50" i="12"/>
  <c r="AY50" i="12"/>
  <c r="AV50" i="12"/>
  <c r="BB50" i="12"/>
  <c r="AS50" i="12"/>
  <c r="BZ47" i="12"/>
  <c r="BC18" i="12"/>
  <c r="BD18" i="12" s="1"/>
  <c r="AY38" i="12"/>
  <c r="BB38" i="12"/>
  <c r="AV38" i="12"/>
  <c r="AS38" i="12"/>
  <c r="AS73" i="12"/>
  <c r="AY73" i="12"/>
  <c r="BB73" i="12"/>
  <c r="AV73" i="12"/>
  <c r="AM40" i="12"/>
  <c r="AS40" i="12"/>
  <c r="BB40" i="12"/>
  <c r="AY40" i="12"/>
  <c r="AV40" i="12"/>
  <c r="AM64" i="12"/>
  <c r="AS64" i="12"/>
  <c r="BB64" i="12"/>
  <c r="AV64" i="12"/>
  <c r="AY64" i="12"/>
  <c r="AM48" i="12"/>
  <c r="AV48" i="12"/>
  <c r="AY48" i="12"/>
  <c r="BB48" i="12"/>
  <c r="AS48" i="12"/>
  <c r="BZ64" i="12"/>
  <c r="BC95" i="12"/>
  <c r="BD95" i="12" s="1"/>
  <c r="L66" i="12"/>
  <c r="AM66" i="12" s="1"/>
  <c r="AI21" i="12"/>
  <c r="L21" i="12"/>
  <c r="L25" i="21"/>
  <c r="L17" i="13"/>
  <c r="BC9" i="17"/>
  <c r="BE9" i="17" s="1"/>
  <c r="AM17" i="29"/>
  <c r="BD17" i="29" s="1"/>
  <c r="O22" i="11"/>
  <c r="Q22" i="11" s="1"/>
  <c r="J67" i="28"/>
  <c r="M67" i="28"/>
  <c r="L67" i="12"/>
  <c r="AI67" i="12"/>
  <c r="J47" i="28"/>
  <c r="AI91" i="12"/>
  <c r="L92" i="12"/>
  <c r="AI54" i="12"/>
  <c r="M66" i="28"/>
  <c r="BU14" i="12"/>
  <c r="L47" i="12"/>
  <c r="AI47" i="12"/>
  <c r="M47" i="28"/>
  <c r="AP9" i="29"/>
  <c r="BC11" i="17"/>
  <c r="BE11" i="17" s="1"/>
  <c r="BC10" i="17"/>
  <c r="BE10" i="17" s="1"/>
  <c r="BC13" i="17"/>
  <c r="BE13" i="17" s="1"/>
  <c r="BC14" i="17"/>
  <c r="BE14" i="17" s="1"/>
  <c r="AP23" i="9"/>
  <c r="AP11" i="17"/>
  <c r="J66" i="28"/>
  <c r="BD46" i="29"/>
  <c r="Q84" i="12"/>
  <c r="L91" i="12"/>
  <c r="BD72" i="29"/>
  <c r="BD29" i="29"/>
  <c r="Q27" i="12"/>
  <c r="AP45" i="29"/>
  <c r="L54" i="12"/>
  <c r="K35" i="21"/>
  <c r="M26" i="11"/>
  <c r="BD31" i="29"/>
  <c r="AP50" i="29"/>
  <c r="BD38" i="29"/>
  <c r="BD36" i="29"/>
  <c r="BD57" i="29"/>
  <c r="L25" i="28"/>
  <c r="L93" i="28"/>
  <c r="BD70" i="29"/>
  <c r="BD55" i="29"/>
  <c r="BD61" i="29"/>
  <c r="BD71" i="29"/>
  <c r="BD47" i="29"/>
  <c r="BD28" i="29"/>
  <c r="BD41" i="29"/>
  <c r="BD37" i="29"/>
  <c r="BD74" i="29"/>
  <c r="BD32" i="29"/>
  <c r="BD45" i="29"/>
  <c r="BD33" i="29"/>
  <c r="BD52" i="29"/>
  <c r="BD18" i="29"/>
  <c r="AP23" i="29"/>
  <c r="AP71" i="29"/>
  <c r="AP47" i="29"/>
  <c r="M30" i="28"/>
  <c r="J30" i="28"/>
  <c r="M49" i="28"/>
  <c r="J49" i="28"/>
  <c r="M41" i="28"/>
  <c r="J41" i="28"/>
  <c r="N93" i="28"/>
  <c r="O93" i="28" s="1"/>
  <c r="AP28" i="29"/>
  <c r="M82" i="28"/>
  <c r="J82" i="28"/>
  <c r="M63" i="28"/>
  <c r="J63" i="28"/>
  <c r="M33" i="28"/>
  <c r="J33" i="28"/>
  <c r="AP29" i="29"/>
  <c r="J42" i="28"/>
  <c r="M42" i="28"/>
  <c r="L44" i="28"/>
  <c r="AP32" i="29"/>
  <c r="AP74" i="29"/>
  <c r="N94" i="28"/>
  <c r="O94" i="28" s="1"/>
  <c r="M92" i="28"/>
  <c r="J92" i="28"/>
  <c r="M20" i="28"/>
  <c r="N22" i="28" s="1"/>
  <c r="O22" i="28" s="1"/>
  <c r="J20" i="28"/>
  <c r="L22" i="28" s="1"/>
  <c r="M71" i="28"/>
  <c r="J71" i="28"/>
  <c r="M27" i="28"/>
  <c r="J27" i="28"/>
  <c r="M91" i="28"/>
  <c r="J91" i="28"/>
  <c r="N44" i="28"/>
  <c r="O44" i="28" s="1"/>
  <c r="AP59" i="29"/>
  <c r="AP33" i="29"/>
  <c r="M84" i="28"/>
  <c r="J84" i="28"/>
  <c r="M69" i="28"/>
  <c r="J69" i="28"/>
  <c r="M53" i="28"/>
  <c r="J53" i="28"/>
  <c r="M54" i="28"/>
  <c r="J54" i="28"/>
  <c r="L79" i="28"/>
  <c r="AP52" i="29"/>
  <c r="AP18" i="29"/>
  <c r="M45" i="28"/>
  <c r="N51" i="28" s="1"/>
  <c r="O51" i="28" s="1"/>
  <c r="J45" i="28"/>
  <c r="L51" i="28" s="1"/>
  <c r="M75" i="28"/>
  <c r="J75" i="28"/>
  <c r="M32" i="28"/>
  <c r="J32" i="28"/>
  <c r="N79" i="28"/>
  <c r="O79" i="28" s="1"/>
  <c r="AP24" i="29"/>
  <c r="AP36" i="29"/>
  <c r="AP37" i="29"/>
  <c r="AP57" i="29"/>
  <c r="M59" i="28"/>
  <c r="J59" i="28"/>
  <c r="M85" i="28"/>
  <c r="J85" i="28"/>
  <c r="AP46" i="29"/>
  <c r="AP60" i="29"/>
  <c r="AP61" i="29"/>
  <c r="AP41" i="29"/>
  <c r="AP31" i="29"/>
  <c r="AP70" i="29"/>
  <c r="AP55" i="29"/>
  <c r="J83" i="28"/>
  <c r="M83" i="28"/>
  <c r="M68" i="28"/>
  <c r="J68" i="28"/>
  <c r="M57" i="28"/>
  <c r="J57" i="28"/>
  <c r="M62" i="28"/>
  <c r="J62" i="28"/>
  <c r="M86" i="5"/>
  <c r="N28" i="5" s="1"/>
  <c r="O29" i="5" s="1"/>
  <c r="Z10" i="23"/>
  <c r="P86" i="5"/>
  <c r="Q34" i="5" s="1"/>
  <c r="R35" i="5" s="1"/>
  <c r="Z13" i="23"/>
  <c r="Z11" i="23"/>
  <c r="AJ94" i="12"/>
  <c r="AL94" i="12" s="1"/>
  <c r="AI92" i="12"/>
  <c r="K86" i="5"/>
  <c r="L32" i="12"/>
  <c r="AI32" i="12"/>
  <c r="R58" i="12"/>
  <c r="BT28" i="12" s="1"/>
  <c r="L63" i="12"/>
  <c r="Z12" i="23"/>
  <c r="Z14" i="23"/>
  <c r="Y58" i="23"/>
  <c r="X72" i="23"/>
  <c r="X33" i="23"/>
  <c r="Y63" i="23"/>
  <c r="X42" i="23"/>
  <c r="X53" i="23"/>
  <c r="X56" i="23"/>
  <c r="Y40" i="23"/>
  <c r="X73" i="23"/>
  <c r="X74" i="23"/>
  <c r="Y73" i="23"/>
  <c r="X61" i="23"/>
  <c r="Y50" i="23"/>
  <c r="X28" i="23"/>
  <c r="X29" i="23"/>
  <c r="Y33" i="23"/>
  <c r="X39" i="23"/>
  <c r="Y43" i="23"/>
  <c r="X75" i="23"/>
  <c r="Y75" i="23"/>
  <c r="X51" i="23"/>
  <c r="M68" i="11"/>
  <c r="X47" i="23"/>
  <c r="X24" i="23"/>
  <c r="Y48" i="23"/>
  <c r="Y19" i="23"/>
  <c r="X50" i="23"/>
  <c r="Y35" i="23"/>
  <c r="Y59" i="23"/>
  <c r="Y36" i="23"/>
  <c r="Y51" i="23"/>
  <c r="X71" i="23"/>
  <c r="X58" i="23"/>
  <c r="Y61" i="23"/>
  <c r="Y74" i="23"/>
  <c r="Y72" i="23"/>
  <c r="Y70" i="23"/>
  <c r="Y39" i="23"/>
  <c r="X52" i="23"/>
  <c r="X59" i="23"/>
  <c r="X70" i="23"/>
  <c r="X62" i="23"/>
  <c r="X30" i="23"/>
  <c r="X35" i="23"/>
  <c r="M30" i="11"/>
  <c r="Y29" i="23"/>
  <c r="Y47" i="23"/>
  <c r="X44" i="23"/>
  <c r="X48" i="23"/>
  <c r="X40" i="23"/>
  <c r="X37" i="23"/>
  <c r="AG31" i="9"/>
  <c r="X63" i="23"/>
  <c r="W5" i="14"/>
  <c r="Y5" i="14" s="1"/>
  <c r="Y37" i="23"/>
  <c r="Y24" i="23"/>
  <c r="Y44" i="23"/>
  <c r="X17" i="23"/>
  <c r="X18" i="23"/>
  <c r="Y62" i="23"/>
  <c r="Y28" i="23"/>
  <c r="Y17" i="23"/>
  <c r="X19" i="23"/>
  <c r="Y56" i="23"/>
  <c r="Y18" i="23"/>
  <c r="M69" i="11"/>
  <c r="Y42" i="23"/>
  <c r="M31" i="11"/>
  <c r="Y52" i="23"/>
  <c r="Y30" i="23"/>
  <c r="X36" i="23"/>
  <c r="Y53" i="23"/>
  <c r="X43" i="23"/>
  <c r="Y71" i="23"/>
  <c r="AJ65" i="17"/>
  <c r="AJ66" i="17"/>
  <c r="AJ25" i="17"/>
  <c r="AJ20" i="17"/>
  <c r="AB96" i="12"/>
  <c r="CB36" i="12"/>
  <c r="BZ34" i="12"/>
  <c r="AO94" i="12"/>
  <c r="BZ36" i="12"/>
  <c r="BG96" i="12"/>
  <c r="BZ65" i="12"/>
  <c r="AO96" i="12"/>
  <c r="AO95" i="12"/>
  <c r="BZ35" i="12"/>
  <c r="BY64" i="12"/>
  <c r="BX64" i="12"/>
  <c r="AH53" i="14"/>
  <c r="AI53" i="14" s="1"/>
  <c r="AA38" i="25"/>
  <c r="AA38" i="21"/>
  <c r="BY35" i="12"/>
  <c r="Z37" i="14"/>
  <c r="BX43" i="12"/>
  <c r="R34" i="12"/>
  <c r="S34" i="12" s="1"/>
  <c r="Z15" i="23"/>
  <c r="AI22" i="7"/>
  <c r="AN23" i="25" s="1"/>
  <c r="AP23" i="25" s="1"/>
  <c r="Q26" i="12"/>
  <c r="R28" i="12" s="1"/>
  <c r="S28" i="12" s="1"/>
  <c r="AP9" i="17"/>
  <c r="AJ44" i="12"/>
  <c r="BU55" i="12" s="1"/>
  <c r="K26" i="25"/>
  <c r="L26" i="25"/>
  <c r="J41" i="25"/>
  <c r="AU19" i="25"/>
  <c r="AV19" i="25"/>
  <c r="AN54" i="17"/>
  <c r="X55" i="23"/>
  <c r="J40" i="14"/>
  <c r="K40" i="14" s="1"/>
  <c r="AO18" i="21"/>
  <c r="AN18" i="21"/>
  <c r="N25" i="21"/>
  <c r="O25" i="21"/>
  <c r="M41" i="21"/>
  <c r="L28" i="25"/>
  <c r="K28" i="25"/>
  <c r="AN30" i="17"/>
  <c r="X31" i="23"/>
  <c r="N35" i="21"/>
  <c r="O35" i="21"/>
  <c r="N25" i="25"/>
  <c r="O25" i="25"/>
  <c r="AP20" i="25"/>
  <c r="AO20" i="25"/>
  <c r="AY20" i="25"/>
  <c r="N26" i="21"/>
  <c r="O26" i="21"/>
  <c r="L28" i="21"/>
  <c r="K28" i="21"/>
  <c r="AL19" i="21"/>
  <c r="AK19" i="21"/>
  <c r="AO59" i="17"/>
  <c r="Y60" i="23"/>
  <c r="AO45" i="17"/>
  <c r="Y46" i="23"/>
  <c r="AO37" i="17"/>
  <c r="Y38" i="23"/>
  <c r="AU21" i="25"/>
  <c r="AV21" i="25"/>
  <c r="AN53" i="17"/>
  <c r="X54" i="23"/>
  <c r="AN56" i="17"/>
  <c r="X57" i="23"/>
  <c r="AO53" i="17"/>
  <c r="Y54" i="23"/>
  <c r="O35" i="25"/>
  <c r="N35" i="25"/>
  <c r="AR17" i="25"/>
  <c r="AS17" i="25"/>
  <c r="AL20" i="21"/>
  <c r="AK20" i="21"/>
  <c r="O26" i="25"/>
  <c r="N26" i="25"/>
  <c r="N28" i="21"/>
  <c r="O28" i="21"/>
  <c r="AO17" i="25"/>
  <c r="AP17" i="25"/>
  <c r="AY17" i="25"/>
  <c r="AV20" i="25"/>
  <c r="AU20" i="25"/>
  <c r="AN37" i="17"/>
  <c r="X38" i="23"/>
  <c r="AO31" i="17"/>
  <c r="Y32" i="23"/>
  <c r="AR18" i="25"/>
  <c r="AS18" i="25"/>
  <c r="AN59" i="17"/>
  <c r="X60" i="23"/>
  <c r="AN45" i="17"/>
  <c r="X46" i="23"/>
  <c r="AS22" i="25"/>
  <c r="AR22" i="25"/>
  <c r="AP18" i="25"/>
  <c r="AO18" i="25"/>
  <c r="AY18" i="25"/>
  <c r="AO17" i="21"/>
  <c r="AN17" i="21"/>
  <c r="N28" i="25"/>
  <c r="O28" i="25"/>
  <c r="AL17" i="21"/>
  <c r="AK17" i="21"/>
  <c r="AO15" i="17"/>
  <c r="Y16" i="23"/>
  <c r="AO56" i="17"/>
  <c r="Y57" i="23"/>
  <c r="AN24" i="17"/>
  <c r="X25" i="23"/>
  <c r="AV18" i="25"/>
  <c r="AU18" i="25"/>
  <c r="AO48" i="17"/>
  <c r="Y49" i="23"/>
  <c r="AN31" i="17"/>
  <c r="X32" i="23"/>
  <c r="AO22" i="21"/>
  <c r="AN22" i="21"/>
  <c r="AL18" i="21"/>
  <c r="AK18" i="21"/>
  <c r="AS21" i="25"/>
  <c r="AR21" i="25"/>
  <c r="AR20" i="25"/>
  <c r="AS20" i="25"/>
  <c r="AO21" i="25"/>
  <c r="AP21" i="25"/>
  <c r="AY21" i="25"/>
  <c r="AO40" i="17"/>
  <c r="Y41" i="23"/>
  <c r="AN48" i="17"/>
  <c r="X49" i="23"/>
  <c r="AU17" i="25"/>
  <c r="AV17" i="25"/>
  <c r="AN40" i="17"/>
  <c r="X41" i="23"/>
  <c r="AO33" i="17"/>
  <c r="Y34" i="23"/>
  <c r="AO22" i="25"/>
  <c r="AP22" i="25"/>
  <c r="AY22" i="25"/>
  <c r="M41" i="25"/>
  <c r="AS19" i="25"/>
  <c r="AR19" i="25"/>
  <c r="AO21" i="21"/>
  <c r="AN21" i="21"/>
  <c r="AO20" i="21"/>
  <c r="AN20" i="21"/>
  <c r="AL21" i="21"/>
  <c r="AK21" i="21"/>
  <c r="AV22" i="25"/>
  <c r="AU22" i="25"/>
  <c r="AN44" i="17"/>
  <c r="X45" i="23"/>
  <c r="AN33" i="17"/>
  <c r="X34" i="23"/>
  <c r="AN15" i="17"/>
  <c r="X16" i="23"/>
  <c r="AO54" i="17"/>
  <c r="Y55" i="23"/>
  <c r="AO44" i="17"/>
  <c r="Y45" i="23"/>
  <c r="AO30" i="17"/>
  <c r="Y31" i="23"/>
  <c r="AO24" i="17"/>
  <c r="Y25" i="23"/>
  <c r="L26" i="21"/>
  <c r="K26" i="21"/>
  <c r="AL22" i="21"/>
  <c r="AK22" i="21"/>
  <c r="AO19" i="21"/>
  <c r="AN19" i="21"/>
  <c r="AP19" i="25"/>
  <c r="AO19" i="25"/>
  <c r="AY19" i="25"/>
  <c r="J41" i="21"/>
  <c r="K27" i="14"/>
  <c r="AI63" i="12"/>
  <c r="K25" i="14"/>
  <c r="R65" i="12"/>
  <c r="BT29" i="12" s="1"/>
  <c r="BT26" i="12"/>
  <c r="AM25" i="7"/>
  <c r="AE34" i="7"/>
  <c r="AE72" i="7"/>
  <c r="AE58" i="7"/>
  <c r="AE44" i="7"/>
  <c r="AE51" i="7"/>
  <c r="AE65" i="7"/>
  <c r="AE93" i="7"/>
  <c r="AE79" i="7"/>
  <c r="AE25" i="7"/>
  <c r="S25" i="12"/>
  <c r="BU21" i="12" s="1"/>
  <c r="AJ25" i="12"/>
  <c r="AL25" i="12" s="1"/>
  <c r="AJ79" i="12"/>
  <c r="AM22" i="7"/>
  <c r="AM34" i="7"/>
  <c r="AU17" i="12"/>
  <c r="AM79" i="7"/>
  <c r="BA14" i="12"/>
  <c r="AX14" i="12"/>
  <c r="AX17" i="12"/>
  <c r="AU14" i="12"/>
  <c r="AM51" i="7"/>
  <c r="AI34" i="7"/>
  <c r="AF67" i="10"/>
  <c r="AO63" i="29" s="1"/>
  <c r="J80" i="7"/>
  <c r="AM80" i="7" s="1"/>
  <c r="AO42" i="17"/>
  <c r="AF17" i="14"/>
  <c r="AL17" i="14" s="1"/>
  <c r="AP18" i="21"/>
  <c r="AQ18" i="21" s="1"/>
  <c r="AN18" i="19"/>
  <c r="AO18" i="19"/>
  <c r="F39" i="19"/>
  <c r="AF39" i="19" s="1"/>
  <c r="AJ39" i="19" s="1"/>
  <c r="AO39" i="19" s="1"/>
  <c r="AM28" i="17"/>
  <c r="W29" i="23"/>
  <c r="O33" i="11"/>
  <c r="Q33" i="11" s="1"/>
  <c r="F73" i="19"/>
  <c r="AF73" i="19" s="1"/>
  <c r="O62" i="11"/>
  <c r="Q62" i="11" s="1"/>
  <c r="AM57" i="17"/>
  <c r="W58" i="23"/>
  <c r="AO18" i="17"/>
  <c r="AN57" i="17"/>
  <c r="AO28" i="17"/>
  <c r="AO57" i="17"/>
  <c r="AF21" i="14"/>
  <c r="AL21" i="14" s="1"/>
  <c r="AP22" i="21"/>
  <c r="AQ22" i="21" s="1"/>
  <c r="M24" i="14"/>
  <c r="L40" i="14"/>
  <c r="M40" i="14" s="1"/>
  <c r="AQ68" i="7"/>
  <c r="AU68" i="7"/>
  <c r="AF26" i="10"/>
  <c r="AO22" i="29" s="1"/>
  <c r="J30" i="7"/>
  <c r="AM30" i="7" s="1"/>
  <c r="F55" i="19"/>
  <c r="AF55" i="19" s="1"/>
  <c r="AJ55" i="19" s="1"/>
  <c r="AO55" i="19" s="1"/>
  <c r="W43" i="23"/>
  <c r="AM42" i="17"/>
  <c r="O47" i="11"/>
  <c r="Q47" i="11" s="1"/>
  <c r="AD67" i="10"/>
  <c r="K80" i="7"/>
  <c r="AF19" i="14"/>
  <c r="AL19" i="14" s="1"/>
  <c r="AP20" i="21"/>
  <c r="AQ20" i="21" s="1"/>
  <c r="I83" i="7"/>
  <c r="AI83" i="7" s="1"/>
  <c r="AE70" i="10"/>
  <c r="AN66" i="29" s="1"/>
  <c r="AO58" i="9"/>
  <c r="AP58" i="9"/>
  <c r="AU77" i="7"/>
  <c r="AQ77" i="7"/>
  <c r="AN29" i="17"/>
  <c r="AU42" i="7"/>
  <c r="AQ42" i="7"/>
  <c r="AF71" i="10"/>
  <c r="AO67" i="29" s="1"/>
  <c r="J84" i="7"/>
  <c r="AM84" i="7" s="1"/>
  <c r="F56" i="19"/>
  <c r="AF56" i="19" s="1"/>
  <c r="AJ56" i="19" s="1"/>
  <c r="AO56" i="19" s="1"/>
  <c r="AO57" i="19" s="1"/>
  <c r="W44" i="23"/>
  <c r="O48" i="11"/>
  <c r="Q48" i="11" s="1"/>
  <c r="AM43" i="17"/>
  <c r="AO36" i="17"/>
  <c r="AI79" i="7"/>
  <c r="AA17" i="21"/>
  <c r="Z16" i="14"/>
  <c r="BY14" i="12"/>
  <c r="F75" i="19"/>
  <c r="AF75" i="19" s="1"/>
  <c r="AJ75" i="19" s="1"/>
  <c r="AO75" i="19" s="1"/>
  <c r="AM59" i="17"/>
  <c r="O64" i="11"/>
  <c r="Q64" i="11" s="1"/>
  <c r="W60" i="23"/>
  <c r="I30" i="7"/>
  <c r="AI30" i="7" s="1"/>
  <c r="AE26" i="10"/>
  <c r="AN22" i="29" s="1"/>
  <c r="F48" i="19"/>
  <c r="AF48" i="19" s="1"/>
  <c r="AJ48" i="19" s="1"/>
  <c r="AO48" i="19" s="1"/>
  <c r="AO49" i="19" s="1"/>
  <c r="AO50" i="19" s="1"/>
  <c r="O41" i="11"/>
  <c r="Q41" i="11" s="1"/>
  <c r="W37" i="23"/>
  <c r="AM36" i="17"/>
  <c r="AQ67" i="7"/>
  <c r="AU67" i="7"/>
  <c r="AF20" i="14"/>
  <c r="AL20" i="14" s="1"/>
  <c r="AP21" i="21"/>
  <c r="AQ21" i="21" s="1"/>
  <c r="AN69" i="17"/>
  <c r="AM93" i="7"/>
  <c r="F50" i="19"/>
  <c r="AF50" i="19" s="1"/>
  <c r="AJ50" i="19" s="1"/>
  <c r="AM38" i="17"/>
  <c r="W39" i="23"/>
  <c r="O43" i="11"/>
  <c r="Q43" i="11" s="1"/>
  <c r="AD26" i="10"/>
  <c r="K30" i="7"/>
  <c r="AN73" i="17"/>
  <c r="AN28" i="17"/>
  <c r="S72" i="12"/>
  <c r="BT30" i="12"/>
  <c r="AO72" i="17"/>
  <c r="AI72" i="7"/>
  <c r="F66" i="19"/>
  <c r="AF66" i="19" s="1"/>
  <c r="W52" i="23"/>
  <c r="O56" i="11"/>
  <c r="Q56" i="11" s="1"/>
  <c r="AM51" i="17"/>
  <c r="AO61" i="17"/>
  <c r="AJ93" i="12"/>
  <c r="L29" i="20"/>
  <c r="BU26" i="12"/>
  <c r="L29" i="13"/>
  <c r="AM44" i="7"/>
  <c r="AQ63" i="7"/>
  <c r="AU63" i="7"/>
  <c r="AD69" i="10"/>
  <c r="K82" i="7"/>
  <c r="AE71" i="10"/>
  <c r="AN67" i="29" s="1"/>
  <c r="I84" i="7"/>
  <c r="AI84" i="7" s="1"/>
  <c r="AN34" i="17"/>
  <c r="AO73" i="17"/>
  <c r="AN55" i="17"/>
  <c r="AE24" i="10"/>
  <c r="AN20" i="29" s="1"/>
  <c r="I27" i="7"/>
  <c r="AI27" i="7" s="1"/>
  <c r="AF23" i="10"/>
  <c r="AO19" i="29" s="1"/>
  <c r="J26" i="7"/>
  <c r="AM26" i="7" s="1"/>
  <c r="L30" i="12"/>
  <c r="AI30" i="12"/>
  <c r="F76" i="19"/>
  <c r="AF76" i="19" s="1"/>
  <c r="AJ76" i="19" s="1"/>
  <c r="AO76" i="19" s="1"/>
  <c r="O65" i="11"/>
  <c r="Q65" i="11" s="1"/>
  <c r="W61" i="23"/>
  <c r="AM60" i="17"/>
  <c r="AU55" i="7"/>
  <c r="AQ55" i="7"/>
  <c r="F42" i="19"/>
  <c r="AF42" i="19" s="1"/>
  <c r="AJ42" i="19" s="1"/>
  <c r="O36" i="11"/>
  <c r="Q36" i="11" s="1"/>
  <c r="W32" i="23"/>
  <c r="AM31" i="17"/>
  <c r="I29" i="7"/>
  <c r="AI29" i="7" s="1"/>
  <c r="AE25" i="10"/>
  <c r="AN21" i="29" s="1"/>
  <c r="AN23" i="17"/>
  <c r="AI84" i="12"/>
  <c r="L84" i="12"/>
  <c r="AN36" i="17"/>
  <c r="L68" i="12"/>
  <c r="AI68" i="12"/>
  <c r="BX44" i="12"/>
  <c r="BY44" i="12"/>
  <c r="O44" i="12"/>
  <c r="P44" i="12"/>
  <c r="AM38" i="12"/>
  <c r="AN61" i="17"/>
  <c r="AO93" i="9"/>
  <c r="AP93" i="9"/>
  <c r="F40" i="19"/>
  <c r="AF40" i="19" s="1"/>
  <c r="AJ40" i="19" s="1"/>
  <c r="AO40" i="19" s="1"/>
  <c r="W30" i="23"/>
  <c r="AM29" i="17"/>
  <c r="O34" i="11"/>
  <c r="Q34" i="11" s="1"/>
  <c r="F68" i="19"/>
  <c r="AF68" i="19" s="1"/>
  <c r="AJ68" i="19" s="1"/>
  <c r="AO68" i="19" s="1"/>
  <c r="O58" i="11"/>
  <c r="Q58" i="11" s="1"/>
  <c r="W54" i="23"/>
  <c r="AM53" i="17"/>
  <c r="J29" i="7"/>
  <c r="AM29" i="7" s="1"/>
  <c r="AF25" i="10"/>
  <c r="AO21" i="29" s="1"/>
  <c r="AO35" i="17"/>
  <c r="O79" i="12"/>
  <c r="P79" i="12"/>
  <c r="AM73" i="12"/>
  <c r="AN79" i="12" s="1"/>
  <c r="AO16" i="19"/>
  <c r="AN16" i="19"/>
  <c r="AE67" i="10"/>
  <c r="AN63" i="29" s="1"/>
  <c r="I80" i="7"/>
  <c r="AI80" i="7" s="1"/>
  <c r="F77" i="19"/>
  <c r="AF77" i="19" s="1"/>
  <c r="AJ77" i="19" s="1"/>
  <c r="AO77" i="19" s="1"/>
  <c r="AO78" i="19" s="1"/>
  <c r="W62" i="23"/>
  <c r="O66" i="11"/>
  <c r="Q66" i="11" s="1"/>
  <c r="AM61" i="17"/>
  <c r="BY45" i="12"/>
  <c r="BX45" i="12"/>
  <c r="AF70" i="10"/>
  <c r="AO66" i="29" s="1"/>
  <c r="J83" i="7"/>
  <c r="AM83" i="7" s="1"/>
  <c r="AQ56" i="7"/>
  <c r="AU56" i="7"/>
  <c r="F46" i="19"/>
  <c r="AF46" i="19" s="1"/>
  <c r="AJ46" i="19" s="1"/>
  <c r="AO46" i="19" s="1"/>
  <c r="W35" i="23"/>
  <c r="O39" i="11"/>
  <c r="Q39" i="11" s="1"/>
  <c r="AM34" i="17"/>
  <c r="AO17" i="12"/>
  <c r="BZ17" i="12"/>
  <c r="AI51" i="7"/>
  <c r="AU75" i="7"/>
  <c r="AQ75" i="7"/>
  <c r="L45" i="12"/>
  <c r="AI45" i="12"/>
  <c r="AJ51" i="12" s="1"/>
  <c r="AM72" i="7"/>
  <c r="AQ41" i="7"/>
  <c r="AU41" i="7"/>
  <c r="AO23" i="17"/>
  <c r="AM45" i="17"/>
  <c r="F59" i="19"/>
  <c r="AF59" i="19" s="1"/>
  <c r="W46" i="23"/>
  <c r="O50" i="11"/>
  <c r="Q50" i="11" s="1"/>
  <c r="AQ52" i="7"/>
  <c r="AU52" i="7"/>
  <c r="AP20" i="9"/>
  <c r="AK22" i="9"/>
  <c r="BU48" i="12"/>
  <c r="AL19" i="12"/>
  <c r="BX19" i="12"/>
  <c r="AK19" i="12"/>
  <c r="AA22" i="25" s="1"/>
  <c r="AU48" i="7"/>
  <c r="AQ48" i="7"/>
  <c r="F67" i="19"/>
  <c r="AF67" i="19" s="1"/>
  <c r="AJ67" i="19" s="1"/>
  <c r="AO67" i="19" s="1"/>
  <c r="W53" i="23"/>
  <c r="O57" i="11"/>
  <c r="Q57" i="11" s="1"/>
  <c r="AM52" i="17"/>
  <c r="AU23" i="7"/>
  <c r="AQ23" i="7"/>
  <c r="BZ14" i="12"/>
  <c r="AO14" i="12"/>
  <c r="AO29" i="17"/>
  <c r="AI93" i="7"/>
  <c r="AN43" i="17"/>
  <c r="AO69" i="17"/>
  <c r="AU50" i="7"/>
  <c r="AQ50" i="7"/>
  <c r="S31" i="12"/>
  <c r="BT23" i="12"/>
  <c r="AO38" i="17"/>
  <c r="AX18" i="12"/>
  <c r="AQ24" i="7"/>
  <c r="AU24" i="7"/>
  <c r="W51" i="23"/>
  <c r="O55" i="11"/>
  <c r="Q55" i="11" s="1"/>
  <c r="F64" i="19"/>
  <c r="AF64" i="19" s="1"/>
  <c r="AJ64" i="19" s="1"/>
  <c r="AO64" i="19" s="1"/>
  <c r="AM50" i="17"/>
  <c r="AN35" i="17"/>
  <c r="BT33" i="12"/>
  <c r="S93" i="12"/>
  <c r="AA21" i="21"/>
  <c r="BY18" i="12"/>
  <c r="Z20" i="14"/>
  <c r="AN51" i="17"/>
  <c r="AI83" i="12"/>
  <c r="L83" i="12"/>
  <c r="AQ45" i="7"/>
  <c r="AU45" i="7"/>
  <c r="AI69" i="12"/>
  <c r="L69" i="12"/>
  <c r="AN49" i="17"/>
  <c r="AQ61" i="7"/>
  <c r="AU61" i="7"/>
  <c r="AO27" i="17"/>
  <c r="BZ15" i="12"/>
  <c r="AO15" i="12"/>
  <c r="AI27" i="12"/>
  <c r="L27" i="12"/>
  <c r="AO41" i="17"/>
  <c r="AA19" i="21"/>
  <c r="BY16" i="12"/>
  <c r="Z18" i="14"/>
  <c r="AO19" i="19"/>
  <c r="AN19" i="19"/>
  <c r="AI33" i="12"/>
  <c r="L33" i="12"/>
  <c r="AU89" i="7"/>
  <c r="AQ89" i="7"/>
  <c r="F60" i="19"/>
  <c r="AF60" i="19" s="1"/>
  <c r="AJ60" i="19" s="1"/>
  <c r="AO60" i="19" s="1"/>
  <c r="AM46" i="17"/>
  <c r="O51" i="11"/>
  <c r="Q51" i="11" s="1"/>
  <c r="W47" i="23"/>
  <c r="AE72" i="10"/>
  <c r="AN68" i="29" s="1"/>
  <c r="I85" i="7"/>
  <c r="AI85" i="7" s="1"/>
  <c r="F90" i="19"/>
  <c r="AF90" i="19" s="1"/>
  <c r="AJ90" i="19" s="1"/>
  <c r="AO90" i="19" s="1"/>
  <c r="AM72" i="17"/>
  <c r="O77" i="11"/>
  <c r="Q77" i="11" s="1"/>
  <c r="W73" i="23"/>
  <c r="AO25" i="9"/>
  <c r="AP25" i="9"/>
  <c r="P93" i="12"/>
  <c r="O93" i="12"/>
  <c r="AM87" i="12"/>
  <c r="AQ40" i="7"/>
  <c r="AU40" i="7"/>
  <c r="AO62" i="17"/>
  <c r="AG86" i="9"/>
  <c r="AK81" i="9"/>
  <c r="AP81" i="9" s="1"/>
  <c r="AF16" i="14"/>
  <c r="AL16" i="14" s="1"/>
  <c r="AQ16" i="14" s="1"/>
  <c r="AP17" i="21"/>
  <c r="AQ17" i="21" s="1"/>
  <c r="AQ91" i="7"/>
  <c r="AU91" i="7"/>
  <c r="AK51" i="9"/>
  <c r="AP45" i="9"/>
  <c r="L42" i="12"/>
  <c r="AI42" i="12"/>
  <c r="AQ46" i="7"/>
  <c r="AU46" i="7"/>
  <c r="AO51" i="17"/>
  <c r="O35" i="11"/>
  <c r="Q35" i="11" s="1"/>
  <c r="F41" i="19"/>
  <c r="AF41" i="19" s="1"/>
  <c r="AJ41" i="19" s="1"/>
  <c r="AO41" i="19" s="1"/>
  <c r="AO42" i="19" s="1"/>
  <c r="AO43" i="19" s="1"/>
  <c r="AM30" i="17"/>
  <c r="W31" i="23"/>
  <c r="AP79" i="9"/>
  <c r="AO79" i="9"/>
  <c r="AQ59" i="7"/>
  <c r="AU59" i="7"/>
  <c r="F52" i="19"/>
  <c r="AF52" i="19" s="1"/>
  <c r="O44" i="11"/>
  <c r="Q44" i="11" s="1"/>
  <c r="AM39" i="17"/>
  <c r="W40" i="23"/>
  <c r="P19" i="12"/>
  <c r="O19" i="12"/>
  <c r="BC19" i="12" s="1"/>
  <c r="BD19" i="12" s="1"/>
  <c r="AM19" i="12"/>
  <c r="AN19" i="12" s="1"/>
  <c r="K36" i="7"/>
  <c r="AD30" i="10"/>
  <c r="F23" i="19"/>
  <c r="AF23" i="19" s="1"/>
  <c r="W18" i="23"/>
  <c r="AM17" i="17"/>
  <c r="AQ38" i="7"/>
  <c r="AU38" i="7"/>
  <c r="AU18" i="12"/>
  <c r="F24" i="19"/>
  <c r="AF24" i="19" s="1"/>
  <c r="AJ24" i="19" s="1"/>
  <c r="AO24" i="19" s="1"/>
  <c r="O23" i="11"/>
  <c r="Q23" i="11" s="1"/>
  <c r="AM18" i="17"/>
  <c r="W19" i="23"/>
  <c r="AU64" i="7"/>
  <c r="AQ64" i="7"/>
  <c r="AO32" i="17"/>
  <c r="AP29" i="9"/>
  <c r="AK31" i="9"/>
  <c r="F45" i="19"/>
  <c r="AF45" i="19" s="1"/>
  <c r="W34" i="23"/>
  <c r="O38" i="11"/>
  <c r="Q38" i="11" s="1"/>
  <c r="AM33" i="17"/>
  <c r="F92" i="19"/>
  <c r="AF92" i="19" s="1"/>
  <c r="AJ92" i="19" s="1"/>
  <c r="AO92" i="19" s="1"/>
  <c r="W75" i="23"/>
  <c r="AM74" i="17"/>
  <c r="O79" i="11"/>
  <c r="Q79" i="11" s="1"/>
  <c r="F61" i="19"/>
  <c r="AF61" i="19" s="1"/>
  <c r="AJ61" i="19" s="1"/>
  <c r="AO61" i="19" s="1"/>
  <c r="W48" i="23"/>
  <c r="AM47" i="17"/>
  <c r="O52" i="11"/>
  <c r="Q52" i="11" s="1"/>
  <c r="AN72" i="17"/>
  <c r="AN42" i="17"/>
  <c r="AO70" i="17"/>
  <c r="AQ71" i="7"/>
  <c r="AU71" i="7"/>
  <c r="O63" i="11"/>
  <c r="Q63" i="11" s="1"/>
  <c r="AM58" i="17"/>
  <c r="W59" i="23"/>
  <c r="F74" i="19"/>
  <c r="AF74" i="19" s="1"/>
  <c r="AJ74" i="19" s="1"/>
  <c r="AO74" i="19" s="1"/>
  <c r="AQ69" i="7"/>
  <c r="AU69" i="7"/>
  <c r="BA18" i="12"/>
  <c r="AN52" i="17"/>
  <c r="AU90" i="7"/>
  <c r="AQ90" i="7"/>
  <c r="F78" i="19"/>
  <c r="AF78" i="19" s="1"/>
  <c r="AJ78" i="19" s="1"/>
  <c r="O67" i="11"/>
  <c r="Q67" i="11" s="1"/>
  <c r="AM62" i="17"/>
  <c r="W63" i="23"/>
  <c r="S79" i="12"/>
  <c r="BT31" i="12"/>
  <c r="F63" i="19"/>
  <c r="AF63" i="19" s="1"/>
  <c r="AJ63" i="19" s="1"/>
  <c r="AO63" i="19" s="1"/>
  <c r="AM49" i="17"/>
  <c r="O54" i="11"/>
  <c r="Q54" i="11" s="1"/>
  <c r="W50" i="23"/>
  <c r="AI49" i="12"/>
  <c r="L49" i="12"/>
  <c r="AF72" i="10"/>
  <c r="AO68" i="29" s="1"/>
  <c r="J85" i="7"/>
  <c r="AM85" i="7" s="1"/>
  <c r="L53" i="12"/>
  <c r="AI53" i="12"/>
  <c r="AP14" i="17"/>
  <c r="AO46" i="17"/>
  <c r="AU73" i="7"/>
  <c r="AQ73" i="7"/>
  <c r="AP26" i="9"/>
  <c r="AK28" i="9"/>
  <c r="I36" i="7"/>
  <c r="AI36" i="7" s="1"/>
  <c r="AE30" i="10"/>
  <c r="AN26" i="29" s="1"/>
  <c r="AN71" i="17"/>
  <c r="AP12" i="17"/>
  <c r="I35" i="7"/>
  <c r="AI35" i="7" s="1"/>
  <c r="AE29" i="10"/>
  <c r="AN25" i="29" s="1"/>
  <c r="AO17" i="17"/>
  <c r="AO55" i="17"/>
  <c r="AN60" i="17"/>
  <c r="AM32" i="17"/>
  <c r="F43" i="19"/>
  <c r="AF43" i="19" s="1"/>
  <c r="AJ43" i="19" s="1"/>
  <c r="W33" i="23"/>
  <c r="O37" i="11"/>
  <c r="Q37" i="11" s="1"/>
  <c r="Q81" i="12"/>
  <c r="AX15" i="12"/>
  <c r="AQ33" i="7"/>
  <c r="AU33" i="7"/>
  <c r="AD68" i="10"/>
  <c r="K81" i="7"/>
  <c r="AN50" i="17"/>
  <c r="F91" i="19"/>
  <c r="AF91" i="19" s="1"/>
  <c r="AJ91" i="19" s="1"/>
  <c r="AO91" i="19" s="1"/>
  <c r="AM73" i="17"/>
  <c r="O78" i="11"/>
  <c r="Q78" i="11" s="1"/>
  <c r="W74" i="23"/>
  <c r="Q36" i="12"/>
  <c r="AN41" i="17"/>
  <c r="AI65" i="7"/>
  <c r="Q35" i="12"/>
  <c r="R37" i="12" s="1"/>
  <c r="AQ32" i="7"/>
  <c r="AU32" i="7"/>
  <c r="AD23" i="10"/>
  <c r="K26" i="7"/>
  <c r="BY43" i="12"/>
  <c r="O25" i="12"/>
  <c r="P25" i="12"/>
  <c r="AM23" i="12"/>
  <c r="AP80" i="9"/>
  <c r="AD29" i="10"/>
  <c r="K35" i="7"/>
  <c r="AQ88" i="7"/>
  <c r="AU88" i="7"/>
  <c r="AA20" i="21"/>
  <c r="Z19" i="14"/>
  <c r="BY17" i="12"/>
  <c r="AM52" i="12"/>
  <c r="F38" i="19"/>
  <c r="AF38" i="19" s="1"/>
  <c r="W28" i="23"/>
  <c r="O32" i="11"/>
  <c r="Q32" i="11" s="1"/>
  <c r="AM27" i="17"/>
  <c r="AN18" i="17"/>
  <c r="AQ47" i="7"/>
  <c r="AU47" i="7"/>
  <c r="F70" i="19"/>
  <c r="AF70" i="19" s="1"/>
  <c r="AJ70" i="19" s="1"/>
  <c r="AO70" i="19" s="1"/>
  <c r="AO71" i="19" s="1"/>
  <c r="W56" i="23"/>
  <c r="O60" i="11"/>
  <c r="Q60" i="11" s="1"/>
  <c r="AM55" i="17"/>
  <c r="L57" i="12"/>
  <c r="AI57" i="12"/>
  <c r="AO47" i="17"/>
  <c r="AI58" i="7"/>
  <c r="AO74" i="17"/>
  <c r="AU15" i="12"/>
  <c r="AQ92" i="7"/>
  <c r="AU92" i="7"/>
  <c r="AN38" i="17"/>
  <c r="AO34" i="17"/>
  <c r="F71" i="19"/>
  <c r="AF71" i="19" s="1"/>
  <c r="AJ71" i="19" s="1"/>
  <c r="AM56" i="17"/>
  <c r="O61" i="11"/>
  <c r="Q61" i="11" s="1"/>
  <c r="W57" i="23"/>
  <c r="AQ74" i="7"/>
  <c r="AU74" i="7"/>
  <c r="AQ60" i="7"/>
  <c r="AU60" i="7"/>
  <c r="K83" i="7"/>
  <c r="AD70" i="10"/>
  <c r="AD25" i="10"/>
  <c r="K29" i="7"/>
  <c r="AE31" i="7" s="1"/>
  <c r="AQ39" i="7"/>
  <c r="AU39" i="7"/>
  <c r="AQ66" i="7"/>
  <c r="AU66" i="7"/>
  <c r="AO34" i="9"/>
  <c r="AP34" i="9"/>
  <c r="AQ53" i="7"/>
  <c r="AU53" i="7"/>
  <c r="AU43" i="7"/>
  <c r="AQ43" i="7"/>
  <c r="F33" i="19"/>
  <c r="AF33" i="19" s="1"/>
  <c r="AJ33" i="19" s="1"/>
  <c r="AO33" i="19" s="1"/>
  <c r="W25" i="23"/>
  <c r="O29" i="11"/>
  <c r="Q29" i="11" s="1"/>
  <c r="AM24" i="17"/>
  <c r="AD71" i="10"/>
  <c r="K84" i="7"/>
  <c r="AE68" i="10"/>
  <c r="AN64" i="29" s="1"/>
  <c r="I81" i="7"/>
  <c r="AI81" i="7" s="1"/>
  <c r="AQ62" i="7"/>
  <c r="AU62" i="7"/>
  <c r="AN70" i="17"/>
  <c r="L75" i="12"/>
  <c r="AI75" i="12"/>
  <c r="AF68" i="10"/>
  <c r="AO64" i="29" s="1"/>
  <c r="J81" i="7"/>
  <c r="AM81" i="7" s="1"/>
  <c r="AG37" i="9"/>
  <c r="AK35" i="9"/>
  <c r="L22" i="20"/>
  <c r="L22" i="13"/>
  <c r="BU19" i="12"/>
  <c r="F32" i="19"/>
  <c r="AF32" i="19" s="1"/>
  <c r="AM23" i="17"/>
  <c r="W24" i="23"/>
  <c r="O28" i="11"/>
  <c r="Q28" i="11" s="1"/>
  <c r="K27" i="7"/>
  <c r="AD24" i="10"/>
  <c r="Q80" i="12"/>
  <c r="R86" i="12" s="1"/>
  <c r="AO49" i="17"/>
  <c r="AO71" i="17"/>
  <c r="F88" i="19"/>
  <c r="AF88" i="19" s="1"/>
  <c r="AJ88" i="19" s="1"/>
  <c r="AO88" i="19" s="1"/>
  <c r="AM70" i="17"/>
  <c r="O75" i="11"/>
  <c r="Q75" i="11" s="1"/>
  <c r="W71" i="23"/>
  <c r="AI82" i="12"/>
  <c r="L82" i="12"/>
  <c r="AI44" i="7"/>
  <c r="F49" i="19"/>
  <c r="AF49" i="19" s="1"/>
  <c r="AJ49" i="19" s="1"/>
  <c r="W38" i="23"/>
  <c r="O42" i="11"/>
  <c r="Q42" i="11" s="1"/>
  <c r="AM37" i="17"/>
  <c r="AP72" i="9"/>
  <c r="AO72" i="9"/>
  <c r="AQ57" i="7"/>
  <c r="AU57" i="7"/>
  <c r="L20" i="12"/>
  <c r="AI20" i="12"/>
  <c r="F47" i="19"/>
  <c r="AF47" i="19" s="1"/>
  <c r="AJ47" i="19" s="1"/>
  <c r="AO47" i="19" s="1"/>
  <c r="AM35" i="17"/>
  <c r="W36" i="23"/>
  <c r="O40" i="11"/>
  <c r="Q40" i="11" s="1"/>
  <c r="AU70" i="7"/>
  <c r="AQ70" i="7"/>
  <c r="AN47" i="17"/>
  <c r="AN39" i="17"/>
  <c r="BY47" i="12"/>
  <c r="BX47" i="12"/>
  <c r="L62" i="12"/>
  <c r="AI62" i="12"/>
  <c r="AN16" i="17"/>
  <c r="AN62" i="17"/>
  <c r="AI25" i="7"/>
  <c r="AU87" i="7"/>
  <c r="AQ87" i="7"/>
  <c r="AQ76" i="7"/>
  <c r="AU76" i="7"/>
  <c r="AN74" i="17"/>
  <c r="AO52" i="17"/>
  <c r="AO39" i="17"/>
  <c r="AF29" i="10"/>
  <c r="AO25" i="29" s="1"/>
  <c r="J35" i="7"/>
  <c r="AM35" i="7" s="1"/>
  <c r="AI85" i="12"/>
  <c r="L85" i="12"/>
  <c r="AO50" i="17"/>
  <c r="AN58" i="17"/>
  <c r="AQ54" i="7"/>
  <c r="AU54" i="7"/>
  <c r="AP19" i="21"/>
  <c r="AQ19" i="21" s="1"/>
  <c r="AF18" i="14"/>
  <c r="AL18" i="14" s="1"/>
  <c r="F54" i="19"/>
  <c r="AF54" i="19" s="1"/>
  <c r="AJ54" i="19" s="1"/>
  <c r="AO54" i="19" s="1"/>
  <c r="W42" i="23"/>
  <c r="AM41" i="17"/>
  <c r="O46" i="11"/>
  <c r="Q46" i="11" s="1"/>
  <c r="W55" i="23"/>
  <c r="F69" i="19"/>
  <c r="AF69" i="19" s="1"/>
  <c r="AJ69" i="19" s="1"/>
  <c r="AO69" i="19" s="1"/>
  <c r="AM54" i="17"/>
  <c r="O59" i="11"/>
  <c r="Q59" i="11" s="1"/>
  <c r="AO17" i="19"/>
  <c r="AN17" i="19"/>
  <c r="AN32" i="17"/>
  <c r="AO18" i="12"/>
  <c r="BZ18" i="12"/>
  <c r="AI71" i="12"/>
  <c r="L71" i="12"/>
  <c r="W41" i="23"/>
  <c r="F53" i="19"/>
  <c r="AF53" i="19" s="1"/>
  <c r="AJ53" i="19" s="1"/>
  <c r="AO53" i="19" s="1"/>
  <c r="AM40" i="17"/>
  <c r="O45" i="11"/>
  <c r="Q45" i="11" s="1"/>
  <c r="AD72" i="10"/>
  <c r="AI72" i="10" s="1"/>
  <c r="K85" i="7"/>
  <c r="AO16" i="17"/>
  <c r="AE69" i="10"/>
  <c r="AN65" i="29" s="1"/>
  <c r="I82" i="7"/>
  <c r="AI82" i="7" s="1"/>
  <c r="F62" i="19"/>
  <c r="AF62" i="19" s="1"/>
  <c r="AJ62" i="19" s="1"/>
  <c r="AO62" i="19" s="1"/>
  <c r="W49" i="23"/>
  <c r="AM48" i="17"/>
  <c r="O53" i="11"/>
  <c r="Q53" i="11" s="1"/>
  <c r="L41" i="12"/>
  <c r="AI41" i="12"/>
  <c r="AF69" i="10"/>
  <c r="AO65" i="29" s="1"/>
  <c r="J82" i="7"/>
  <c r="AM82" i="7" s="1"/>
  <c r="AM65" i="7"/>
  <c r="AO60" i="17"/>
  <c r="AN46" i="17"/>
  <c r="AO43" i="17"/>
  <c r="BA15" i="12"/>
  <c r="BX46" i="12"/>
  <c r="BY46" i="12"/>
  <c r="AN27" i="17"/>
  <c r="AQ49" i="7"/>
  <c r="AU49" i="7"/>
  <c r="O49" i="11"/>
  <c r="Q49" i="11" s="1"/>
  <c r="F57" i="19"/>
  <c r="AF57" i="19" s="1"/>
  <c r="AJ57" i="19" s="1"/>
  <c r="AM44" i="17"/>
  <c r="W45" i="23"/>
  <c r="S22" i="12"/>
  <c r="BT20" i="12"/>
  <c r="AE23" i="10"/>
  <c r="AN19" i="29" s="1"/>
  <c r="I26" i="7"/>
  <c r="AI26" i="7" s="1"/>
  <c r="AP13" i="17"/>
  <c r="W72" i="23"/>
  <c r="F89" i="19"/>
  <c r="AF89" i="19" s="1"/>
  <c r="AJ89" i="19" s="1"/>
  <c r="AO89" i="19" s="1"/>
  <c r="O76" i="11"/>
  <c r="Q76" i="11" s="1"/>
  <c r="AM71" i="17"/>
  <c r="J27" i="7"/>
  <c r="AM27" i="7" s="1"/>
  <c r="AF24" i="10"/>
  <c r="AO20" i="29" s="1"/>
  <c r="AI59" i="12"/>
  <c r="L59" i="12"/>
  <c r="AO58" i="17"/>
  <c r="BA17" i="12"/>
  <c r="AP10" i="17"/>
  <c r="AM58" i="7"/>
  <c r="AN17" i="17"/>
  <c r="AF30" i="10"/>
  <c r="AO26" i="29" s="1"/>
  <c r="J36" i="7"/>
  <c r="AM36" i="7" s="1"/>
  <c r="AQ78" i="7"/>
  <c r="AU78" i="7"/>
  <c r="AK65" i="9"/>
  <c r="AP59" i="9"/>
  <c r="F87" i="19"/>
  <c r="AF87" i="19" s="1"/>
  <c r="AM69" i="17"/>
  <c r="O74" i="11"/>
  <c r="Q74" i="11" s="1"/>
  <c r="W70" i="23"/>
  <c r="AA18" i="21"/>
  <c r="Z17" i="14"/>
  <c r="BY15" i="12"/>
  <c r="AO44" i="9"/>
  <c r="AP44" i="9"/>
  <c r="AE58" i="14"/>
  <c r="Z69" i="14"/>
  <c r="AC69" i="14"/>
  <c r="AD65" i="14"/>
  <c r="AE65" i="14" s="1"/>
  <c r="AD64" i="14"/>
  <c r="AE64" i="14" s="1"/>
  <c r="AD67" i="14"/>
  <c r="AE67" i="14" s="1"/>
  <c r="AD68" i="14"/>
  <c r="AE68" i="14" s="1"/>
  <c r="AD66" i="14"/>
  <c r="AE66" i="14" s="1"/>
  <c r="AU16" i="12" l="1"/>
  <c r="AP69" i="29"/>
  <c r="AP49" i="29"/>
  <c r="AP39" i="29"/>
  <c r="AP40" i="29"/>
  <c r="BD30" i="29"/>
  <c r="BD54" i="29"/>
  <c r="AP35" i="29"/>
  <c r="BD34" i="29"/>
  <c r="AP73" i="29"/>
  <c r="AP62" i="29"/>
  <c r="AP53" i="29"/>
  <c r="AP44" i="29"/>
  <c r="BD27" i="29"/>
  <c r="AP58" i="29"/>
  <c r="BD48" i="29"/>
  <c r="BD42" i="29"/>
  <c r="BD51" i="29"/>
  <c r="CD36" i="12"/>
  <c r="BD56" i="29"/>
  <c r="BH96" i="12"/>
  <c r="BD43" i="29"/>
  <c r="CE65" i="12"/>
  <c r="AM66" i="29"/>
  <c r="AH70" i="10"/>
  <c r="AM22" i="29"/>
  <c r="AP22" i="29" s="1"/>
  <c r="AH26" i="10"/>
  <c r="AM68" i="29"/>
  <c r="AH72" i="10"/>
  <c r="AM20" i="29"/>
  <c r="BD20" i="29" s="1"/>
  <c r="AH24" i="10"/>
  <c r="AM64" i="29"/>
  <c r="BD64" i="29" s="1"/>
  <c r="AH68" i="10"/>
  <c r="AM65" i="29"/>
  <c r="AH69" i="10"/>
  <c r="AM63" i="29"/>
  <c r="BD63" i="29" s="1"/>
  <c r="AH67" i="10"/>
  <c r="AM25" i="29"/>
  <c r="AP25" i="29" s="1"/>
  <c r="AH29" i="10"/>
  <c r="AH23" i="10"/>
  <c r="AM26" i="29"/>
  <c r="BD26" i="29" s="1"/>
  <c r="AH30" i="10"/>
  <c r="AM67" i="29"/>
  <c r="AP67" i="29" s="1"/>
  <c r="AH71" i="10"/>
  <c r="AM21" i="29"/>
  <c r="AP21" i="29" s="1"/>
  <c r="AH25" i="10"/>
  <c r="S51" i="12"/>
  <c r="L30" i="20" s="1"/>
  <c r="AI24" i="10"/>
  <c r="AI71" i="10"/>
  <c r="AI29" i="10"/>
  <c r="AI69" i="10"/>
  <c r="AI68" i="10"/>
  <c r="AI25" i="10"/>
  <c r="AI67" i="10"/>
  <c r="AI26" i="10"/>
  <c r="AI30" i="10"/>
  <c r="AI70" i="10"/>
  <c r="AM19" i="29"/>
  <c r="AP19" i="29" s="1"/>
  <c r="AN44" i="12"/>
  <c r="AO44" i="12" s="1"/>
  <c r="BC54" i="17"/>
  <c r="BE54" i="17" s="1"/>
  <c r="AN25" i="12"/>
  <c r="AO16" i="12"/>
  <c r="U19" i="13" s="1"/>
  <c r="BZ16" i="12"/>
  <c r="BD16" i="12"/>
  <c r="AX16" i="12"/>
  <c r="BA16" i="12"/>
  <c r="AP17" i="29"/>
  <c r="AX95" i="12"/>
  <c r="AU95" i="12"/>
  <c r="AN93" i="12"/>
  <c r="AJ22" i="12"/>
  <c r="BX20" i="12" s="1"/>
  <c r="BA94" i="12"/>
  <c r="AU94" i="12"/>
  <c r="N72" i="28"/>
  <c r="O72" i="28" s="1"/>
  <c r="BT22" i="12"/>
  <c r="AM85" i="12"/>
  <c r="AS85" i="12"/>
  <c r="BB85" i="12"/>
  <c r="AY85" i="12"/>
  <c r="AV85" i="12"/>
  <c r="AM68" i="12"/>
  <c r="AS68" i="12"/>
  <c r="AY68" i="12"/>
  <c r="AV68" i="12"/>
  <c r="BB68" i="12"/>
  <c r="AM54" i="12"/>
  <c r="AY54" i="12"/>
  <c r="BB54" i="12"/>
  <c r="AV54" i="12"/>
  <c r="AS54" i="12"/>
  <c r="AM21" i="12"/>
  <c r="AY21" i="12"/>
  <c r="BB21" i="12"/>
  <c r="AV21" i="12"/>
  <c r="AM67" i="12"/>
  <c r="AS67" i="12"/>
  <c r="AY67" i="12"/>
  <c r="AV67" i="12"/>
  <c r="BB67" i="12"/>
  <c r="BC23" i="17"/>
  <c r="BE23" i="17" s="1"/>
  <c r="AJ58" i="12"/>
  <c r="BU57" i="12" s="1"/>
  <c r="BZ62" i="12"/>
  <c r="BC93" i="12"/>
  <c r="BD93" i="12" s="1"/>
  <c r="AM33" i="12"/>
  <c r="AS33" i="12"/>
  <c r="AY33" i="12"/>
  <c r="BB33" i="12"/>
  <c r="AV33" i="12"/>
  <c r="AM27" i="12"/>
  <c r="AY27" i="12"/>
  <c r="AV27" i="12"/>
  <c r="AS27" i="12"/>
  <c r="BB27" i="12"/>
  <c r="AM69" i="12"/>
  <c r="BB69" i="12"/>
  <c r="AS69" i="12"/>
  <c r="AY69" i="12"/>
  <c r="AV69" i="12"/>
  <c r="AY45" i="12"/>
  <c r="AZ51" i="12" s="1"/>
  <c r="AV45" i="12"/>
  <c r="AW51" i="12" s="1"/>
  <c r="AS45" i="12"/>
  <c r="AT51" i="12" s="1"/>
  <c r="BB45" i="12"/>
  <c r="AM63" i="12"/>
  <c r="AS63" i="12"/>
  <c r="BB63" i="12"/>
  <c r="AY63" i="12"/>
  <c r="AV63" i="12"/>
  <c r="AM53" i="12"/>
  <c r="AV53" i="12"/>
  <c r="AW58" i="12" s="1"/>
  <c r="BB53" i="12"/>
  <c r="AS53" i="12"/>
  <c r="AY53" i="12"/>
  <c r="AM84" i="12"/>
  <c r="AY84" i="12"/>
  <c r="AS84" i="12"/>
  <c r="AV84" i="12"/>
  <c r="BB84" i="12"/>
  <c r="AM30" i="12"/>
  <c r="BB30" i="12"/>
  <c r="AV30" i="12"/>
  <c r="AS30" i="12"/>
  <c r="AY30" i="12"/>
  <c r="AM71" i="12"/>
  <c r="BB71" i="12"/>
  <c r="AV71" i="12"/>
  <c r="AS71" i="12"/>
  <c r="AY71" i="12"/>
  <c r="AY20" i="12"/>
  <c r="AZ22" i="12" s="1"/>
  <c r="AV20" i="12"/>
  <c r="BB20" i="12"/>
  <c r="AV59" i="12"/>
  <c r="AS59" i="12"/>
  <c r="BB59" i="12"/>
  <c r="AY59" i="12"/>
  <c r="AM75" i="12"/>
  <c r="AV75" i="12"/>
  <c r="AS75" i="12"/>
  <c r="BB75" i="12"/>
  <c r="AY75" i="12"/>
  <c r="BZ60" i="12"/>
  <c r="BC79" i="12"/>
  <c r="BD79" i="12" s="1"/>
  <c r="AY66" i="12"/>
  <c r="AV66" i="12"/>
  <c r="BB66" i="12"/>
  <c r="AS66" i="12"/>
  <c r="AM41" i="12"/>
  <c r="AS41" i="12"/>
  <c r="BB41" i="12"/>
  <c r="AY41" i="12"/>
  <c r="AV41" i="12"/>
  <c r="AM82" i="12"/>
  <c r="AY82" i="12"/>
  <c r="AV82" i="12"/>
  <c r="BB82" i="12"/>
  <c r="AS82" i="12"/>
  <c r="AM32" i="12"/>
  <c r="AS32" i="12"/>
  <c r="BB32" i="12"/>
  <c r="AY32" i="12"/>
  <c r="AV32" i="12"/>
  <c r="AW34" i="12" s="1"/>
  <c r="AM92" i="12"/>
  <c r="AV92" i="12"/>
  <c r="AS92" i="12"/>
  <c r="AY92" i="12"/>
  <c r="BB92" i="12"/>
  <c r="AM49" i="12"/>
  <c r="AY49" i="12"/>
  <c r="AV49" i="12"/>
  <c r="BB49" i="12"/>
  <c r="AS49" i="12"/>
  <c r="AM83" i="12"/>
  <c r="AY83" i="12"/>
  <c r="AV83" i="12"/>
  <c r="BB83" i="12"/>
  <c r="AS83" i="12"/>
  <c r="BC73" i="17"/>
  <c r="BE73" i="17" s="1"/>
  <c r="AM42" i="12"/>
  <c r="AV42" i="12"/>
  <c r="AS42" i="12"/>
  <c r="BB42" i="12"/>
  <c r="AY42" i="12"/>
  <c r="BZ55" i="12"/>
  <c r="BC44" i="12"/>
  <c r="BD44" i="12" s="1"/>
  <c r="AM62" i="12"/>
  <c r="AS62" i="12"/>
  <c r="BB62" i="12"/>
  <c r="AY62" i="12"/>
  <c r="AV62" i="12"/>
  <c r="AM57" i="12"/>
  <c r="AS57" i="12"/>
  <c r="AY57" i="12"/>
  <c r="BB57" i="12"/>
  <c r="AV57" i="12"/>
  <c r="BZ50" i="12"/>
  <c r="BC25" i="12"/>
  <c r="BD25" i="12" s="1"/>
  <c r="AM91" i="12"/>
  <c r="AS91" i="12"/>
  <c r="AY91" i="12"/>
  <c r="BB91" i="12"/>
  <c r="AV91" i="12"/>
  <c r="AM47" i="12"/>
  <c r="AV47" i="12"/>
  <c r="BB47" i="12"/>
  <c r="AS47" i="12"/>
  <c r="AY47" i="12"/>
  <c r="Q30" i="5"/>
  <c r="BC56" i="17"/>
  <c r="BE56" i="17" s="1"/>
  <c r="L72" i="28"/>
  <c r="AJ72" i="12"/>
  <c r="AK72" i="12" s="1"/>
  <c r="AA33" i="25" s="1"/>
  <c r="BC69" i="17"/>
  <c r="BE69" i="17" s="1"/>
  <c r="BD68" i="29"/>
  <c r="BC24" i="17"/>
  <c r="BE24" i="17" s="1"/>
  <c r="BC70" i="17"/>
  <c r="BE70" i="17" s="1"/>
  <c r="BC40" i="17"/>
  <c r="BE40" i="17" s="1"/>
  <c r="BC55" i="17"/>
  <c r="BE55" i="17" s="1"/>
  <c r="BC17" i="17"/>
  <c r="BE17" i="17" s="1"/>
  <c r="BC48" i="17"/>
  <c r="BE48" i="17" s="1"/>
  <c r="M29" i="28"/>
  <c r="N31" i="28" s="1"/>
  <c r="O31" i="28" s="1"/>
  <c r="BC43" i="17"/>
  <c r="BE43" i="17" s="1"/>
  <c r="BC62" i="17"/>
  <c r="BE62" i="17" s="1"/>
  <c r="BC57" i="17"/>
  <c r="BE57" i="17" s="1"/>
  <c r="BC39" i="17"/>
  <c r="BE39" i="17" s="1"/>
  <c r="BC27" i="17"/>
  <c r="BE27" i="17" s="1"/>
  <c r="BC60" i="17"/>
  <c r="BE60" i="17" s="1"/>
  <c r="BC34" i="17"/>
  <c r="BE34" i="17" s="1"/>
  <c r="BC33" i="17"/>
  <c r="BE33" i="17" s="1"/>
  <c r="BC41" i="17"/>
  <c r="BE41" i="17" s="1"/>
  <c r="BC30" i="17"/>
  <c r="BE30" i="17" s="1"/>
  <c r="BC52" i="17"/>
  <c r="BE52" i="17" s="1"/>
  <c r="BC71" i="17"/>
  <c r="BE71" i="17" s="1"/>
  <c r="BC45" i="17"/>
  <c r="BE45" i="17" s="1"/>
  <c r="BC29" i="17"/>
  <c r="BE29" i="17" s="1"/>
  <c r="BC38" i="17"/>
  <c r="BE38" i="17" s="1"/>
  <c r="BC46" i="17"/>
  <c r="BE46" i="17" s="1"/>
  <c r="BC32" i="17"/>
  <c r="BE32" i="17" s="1"/>
  <c r="L58" i="28"/>
  <c r="BC47" i="17"/>
  <c r="BE47" i="17" s="1"/>
  <c r="BC72" i="17"/>
  <c r="BE72" i="17" s="1"/>
  <c r="BC31" i="17"/>
  <c r="BE31" i="17" s="1"/>
  <c r="BC49" i="17"/>
  <c r="BE49" i="17" s="1"/>
  <c r="BC44" i="17"/>
  <c r="BE44" i="17" s="1"/>
  <c r="BC35" i="17"/>
  <c r="BE35" i="17" s="1"/>
  <c r="BC37" i="17"/>
  <c r="BE37" i="17" s="1"/>
  <c r="BC58" i="17"/>
  <c r="BE58" i="17" s="1"/>
  <c r="BC18" i="17"/>
  <c r="BE18" i="17" s="1"/>
  <c r="BC61" i="17"/>
  <c r="BE61" i="17" s="1"/>
  <c r="BC53" i="17"/>
  <c r="BE53" i="17" s="1"/>
  <c r="BC42" i="17"/>
  <c r="BE42" i="17" s="1"/>
  <c r="BC50" i="17"/>
  <c r="BE50" i="17" s="1"/>
  <c r="BC51" i="17"/>
  <c r="BE51" i="17" s="1"/>
  <c r="BC74" i="17"/>
  <c r="BE74" i="17" s="1"/>
  <c r="BC36" i="17"/>
  <c r="BE36" i="17" s="1"/>
  <c r="BC59" i="17"/>
  <c r="BE59" i="17" s="1"/>
  <c r="Z43" i="23"/>
  <c r="BC28" i="17"/>
  <c r="BE28" i="17" s="1"/>
  <c r="BU63" i="12"/>
  <c r="BX63" i="12" s="1"/>
  <c r="J29" i="28"/>
  <c r="L31" i="28" s="1"/>
  <c r="L29" i="12"/>
  <c r="P31" i="12" s="1"/>
  <c r="Z61" i="23"/>
  <c r="Z42" i="23"/>
  <c r="AK94" i="12"/>
  <c r="AA37" i="25" s="1"/>
  <c r="BX34" i="12"/>
  <c r="AI29" i="12"/>
  <c r="AJ31" i="12" s="1"/>
  <c r="BU52" i="12" s="1"/>
  <c r="S58" i="12"/>
  <c r="BU28" i="12" s="1"/>
  <c r="R36" i="5"/>
  <c r="Q40" i="5"/>
  <c r="R43" i="5" s="1"/>
  <c r="Q19" i="5"/>
  <c r="R19" i="5" s="1"/>
  <c r="Z70" i="23"/>
  <c r="Z19" i="23"/>
  <c r="Q46" i="5"/>
  <c r="R48" i="5" s="1"/>
  <c r="Q18" i="5"/>
  <c r="R18" i="5" s="1"/>
  <c r="Q64" i="5"/>
  <c r="R66" i="5" s="1"/>
  <c r="Q76" i="5"/>
  <c r="R76" i="5" s="1"/>
  <c r="Q21" i="5"/>
  <c r="R21" i="5" s="1"/>
  <c r="Q16" i="5"/>
  <c r="R16" i="5" s="1"/>
  <c r="R34" i="5"/>
  <c r="Q22" i="5"/>
  <c r="R23" i="5" s="1"/>
  <c r="Q32" i="5"/>
  <c r="R32" i="5" s="1"/>
  <c r="Q70" i="5"/>
  <c r="R75" i="5" s="1"/>
  <c r="L34" i="28"/>
  <c r="R37" i="5"/>
  <c r="Q26" i="5"/>
  <c r="R27" i="5" s="1"/>
  <c r="Q58" i="5"/>
  <c r="R59" i="5" s="1"/>
  <c r="Z36" i="23"/>
  <c r="R38" i="5"/>
  <c r="Q82" i="5"/>
  <c r="R82" i="5" s="1"/>
  <c r="Q20" i="5"/>
  <c r="R20" i="5" s="1"/>
  <c r="Q24" i="5"/>
  <c r="R24" i="5" s="1"/>
  <c r="R39" i="5"/>
  <c r="Q83" i="5"/>
  <c r="R83" i="5" s="1"/>
  <c r="Q52" i="5"/>
  <c r="R57" i="5" s="1"/>
  <c r="Q28" i="5"/>
  <c r="R28" i="5" s="1"/>
  <c r="Q17" i="5"/>
  <c r="R17" i="5" s="1"/>
  <c r="Q84" i="5"/>
  <c r="R84" i="5" s="1"/>
  <c r="Z33" i="23"/>
  <c r="Z53" i="23"/>
  <c r="N58" i="28"/>
  <c r="O58" i="28" s="1"/>
  <c r="N58" i="5"/>
  <c r="O58" i="5" s="1"/>
  <c r="BD66" i="29"/>
  <c r="N19" i="5"/>
  <c r="O19" i="5" s="1"/>
  <c r="Z39" i="23"/>
  <c r="BT24" i="12"/>
  <c r="N34" i="28"/>
  <c r="O34" i="28" s="1"/>
  <c r="Z58" i="23"/>
  <c r="AJ34" i="12"/>
  <c r="BU53" i="12" s="1"/>
  <c r="Z71" i="23"/>
  <c r="Z63" i="23"/>
  <c r="Z73" i="23"/>
  <c r="X5" i="14"/>
  <c r="N46" i="5"/>
  <c r="O50" i="5" s="1"/>
  <c r="N24" i="5"/>
  <c r="O24" i="5" s="1"/>
  <c r="N83" i="5"/>
  <c r="O83" i="5" s="1"/>
  <c r="O28" i="5"/>
  <c r="N34" i="5"/>
  <c r="O35" i="5" s="1"/>
  <c r="N64" i="5"/>
  <c r="O69" i="5" s="1"/>
  <c r="N82" i="5"/>
  <c r="O82" i="5" s="1"/>
  <c r="N26" i="5"/>
  <c r="O27" i="5" s="1"/>
  <c r="N22" i="5"/>
  <c r="O22" i="5" s="1"/>
  <c r="N16" i="5"/>
  <c r="O16" i="5" s="1"/>
  <c r="N84" i="5"/>
  <c r="O84" i="5" s="1"/>
  <c r="N70" i="5"/>
  <c r="O70" i="5" s="1"/>
  <c r="N40" i="5"/>
  <c r="O44" i="5" s="1"/>
  <c r="N17" i="5"/>
  <c r="O17" i="5" s="1"/>
  <c r="Z52" i="23"/>
  <c r="N52" i="5"/>
  <c r="O52" i="5" s="1"/>
  <c r="N20" i="5"/>
  <c r="O20" i="5" s="1"/>
  <c r="N32" i="5"/>
  <c r="O32" i="5" s="1"/>
  <c r="Z72" i="23"/>
  <c r="N76" i="5"/>
  <c r="N21" i="5"/>
  <c r="O21" i="5" s="1"/>
  <c r="Z35" i="23"/>
  <c r="N30" i="5"/>
  <c r="O30" i="5" s="1"/>
  <c r="N18" i="5"/>
  <c r="O18" i="5" s="1"/>
  <c r="AI37" i="7"/>
  <c r="AJ28" i="21" s="1"/>
  <c r="AH27" i="14" s="1"/>
  <c r="AI27" i="14" s="1"/>
  <c r="Z24" i="23"/>
  <c r="Z48" i="23"/>
  <c r="Z56" i="23"/>
  <c r="BD65" i="29"/>
  <c r="Z28" i="23"/>
  <c r="Z74" i="23"/>
  <c r="Z75" i="23"/>
  <c r="Z50" i="23"/>
  <c r="M81" i="28"/>
  <c r="J81" i="28"/>
  <c r="AP20" i="29"/>
  <c r="AP65" i="29"/>
  <c r="J35" i="28"/>
  <c r="L37" i="28" s="1"/>
  <c r="M35" i="28"/>
  <c r="N37" i="28" s="1"/>
  <c r="O37" i="28" s="1"/>
  <c r="AP66" i="29"/>
  <c r="M80" i="28"/>
  <c r="N86" i="28" s="1"/>
  <c r="O86" i="28" s="1"/>
  <c r="J80" i="28"/>
  <c r="L86" i="28" s="1"/>
  <c r="AP68" i="29"/>
  <c r="L65" i="28"/>
  <c r="N65" i="28"/>
  <c r="O65" i="28" s="1"/>
  <c r="M36" i="28"/>
  <c r="J36" i="28"/>
  <c r="Z47" i="23"/>
  <c r="Z37" i="23"/>
  <c r="BU60" i="12"/>
  <c r="BY60" i="12" s="1"/>
  <c r="Z40" i="23"/>
  <c r="Z30" i="23"/>
  <c r="Z44" i="23"/>
  <c r="Z29" i="23"/>
  <c r="BX26" i="12"/>
  <c r="AO23" i="25"/>
  <c r="Z51" i="23"/>
  <c r="Z25" i="23"/>
  <c r="AL44" i="12"/>
  <c r="Z18" i="23"/>
  <c r="Z59" i="23"/>
  <c r="AK44" i="12"/>
  <c r="AA29" i="25" s="1"/>
  <c r="Z62" i="23"/>
  <c r="Z60" i="23"/>
  <c r="Z41" i="23"/>
  <c r="AJ23" i="21"/>
  <c r="AK23" i="21" s="1"/>
  <c r="CD65" i="12"/>
  <c r="Y69" i="23"/>
  <c r="X22" i="23"/>
  <c r="Y20" i="23"/>
  <c r="Y68" i="23"/>
  <c r="X67" i="23"/>
  <c r="Y23" i="23"/>
  <c r="Y21" i="23"/>
  <c r="Y67" i="23"/>
  <c r="X21" i="23"/>
  <c r="X68" i="23"/>
  <c r="X20" i="23"/>
  <c r="Y22" i="23"/>
  <c r="X69" i="23"/>
  <c r="Y66" i="23"/>
  <c r="X66" i="23"/>
  <c r="X23" i="23"/>
  <c r="X38" i="20"/>
  <c r="U38" i="13"/>
  <c r="CA35" i="12"/>
  <c r="X39" i="20"/>
  <c r="CA36" i="12"/>
  <c r="U39" i="13"/>
  <c r="X37" i="20"/>
  <c r="U37" i="13"/>
  <c r="CA34" i="12"/>
  <c r="CE36" i="12"/>
  <c r="AT38" i="14" s="1"/>
  <c r="BA39" i="21"/>
  <c r="BE39" i="25"/>
  <c r="R77" i="5"/>
  <c r="AG3" i="9"/>
  <c r="AI5" i="9" s="1"/>
  <c r="Z45" i="23"/>
  <c r="Z46" i="23"/>
  <c r="Z49" i="23"/>
  <c r="BU50" i="12"/>
  <c r="BY50" i="12" s="1"/>
  <c r="Z57" i="23"/>
  <c r="Z34" i="23"/>
  <c r="N41" i="25"/>
  <c r="O41" i="25"/>
  <c r="Z55" i="23"/>
  <c r="AJ31" i="21"/>
  <c r="AH30" i="14" s="1"/>
  <c r="AI30" i="14" s="1"/>
  <c r="AN31" i="25"/>
  <c r="Z31" i="23"/>
  <c r="AJ27" i="21"/>
  <c r="AH26" i="14" s="1"/>
  <c r="AI26" i="14" s="1"/>
  <c r="AN27" i="25"/>
  <c r="AM27" i="21"/>
  <c r="AJ26" i="14" s="1"/>
  <c r="AK26" i="14" s="1"/>
  <c r="AQ27" i="25"/>
  <c r="N30" i="14"/>
  <c r="R30" i="14" s="1"/>
  <c r="P31" i="25"/>
  <c r="P31" i="21"/>
  <c r="AZ22" i="25"/>
  <c r="BB22" i="25"/>
  <c r="BD22" i="25" s="1"/>
  <c r="AZ17" i="25"/>
  <c r="BB17" i="25"/>
  <c r="AO64" i="17"/>
  <c r="Y65" i="23"/>
  <c r="AJ24" i="21"/>
  <c r="AH23" i="14" s="1"/>
  <c r="AI23" i="14" s="1"/>
  <c r="AN24" i="25"/>
  <c r="N25" i="14"/>
  <c r="O25" i="14" s="1"/>
  <c r="P26" i="25"/>
  <c r="P26" i="21"/>
  <c r="AN25" i="17"/>
  <c r="X26" i="23"/>
  <c r="AN26" i="17"/>
  <c r="X27" i="23"/>
  <c r="Z54" i="23"/>
  <c r="AM23" i="21"/>
  <c r="AJ22" i="14" s="1"/>
  <c r="AK22" i="14" s="1"/>
  <c r="AQ23" i="25"/>
  <c r="N32" i="14"/>
  <c r="O32" i="14" s="1"/>
  <c r="P33" i="25"/>
  <c r="P33" i="21"/>
  <c r="O41" i="21"/>
  <c r="N41" i="21"/>
  <c r="AJ30" i="21"/>
  <c r="AH29" i="14" s="1"/>
  <c r="AI29" i="14" s="1"/>
  <c r="AN30" i="25"/>
  <c r="N28" i="14"/>
  <c r="O28" i="14" s="1"/>
  <c r="P29" i="25"/>
  <c r="P29" i="21"/>
  <c r="AJ36" i="21"/>
  <c r="AH35" i="14" s="1"/>
  <c r="AI35" i="14" s="1"/>
  <c r="AN36" i="25"/>
  <c r="AM33" i="21"/>
  <c r="AJ32" i="14" s="1"/>
  <c r="AK32" i="14" s="1"/>
  <c r="AQ33" i="25"/>
  <c r="AM29" i="21"/>
  <c r="AQ29" i="25"/>
  <c r="AJ33" i="21"/>
  <c r="AH32" i="14" s="1"/>
  <c r="AI32" i="14" s="1"/>
  <c r="AN33" i="25"/>
  <c r="AM30" i="21"/>
  <c r="AJ29" i="14" s="1"/>
  <c r="AK29" i="14" s="1"/>
  <c r="AQ30" i="25"/>
  <c r="N23" i="14"/>
  <c r="O23" i="14" s="1"/>
  <c r="P24" i="25"/>
  <c r="P24" i="21"/>
  <c r="N26" i="14"/>
  <c r="O26" i="14" s="1"/>
  <c r="P27" i="25"/>
  <c r="P27" i="21"/>
  <c r="AN64" i="17"/>
  <c r="X65" i="23"/>
  <c r="AO26" i="17"/>
  <c r="Y27" i="23"/>
  <c r="AM34" i="21"/>
  <c r="AJ33" i="14" s="1"/>
  <c r="AK33" i="14" s="1"/>
  <c r="AQ34" i="25"/>
  <c r="N33" i="14"/>
  <c r="O33" i="14" s="1"/>
  <c r="P34" i="25"/>
  <c r="P34" i="21"/>
  <c r="AM24" i="21"/>
  <c r="AJ23" i="14" s="1"/>
  <c r="AK23" i="14" s="1"/>
  <c r="AQ24" i="25"/>
  <c r="L41" i="21"/>
  <c r="K41" i="21"/>
  <c r="AZ20" i="25"/>
  <c r="BB20" i="25"/>
  <c r="BD20" i="25" s="1"/>
  <c r="L41" i="25"/>
  <c r="K41" i="25"/>
  <c r="AJ29" i="21"/>
  <c r="AH28" i="14" s="1"/>
  <c r="AI28" i="14" s="1"/>
  <c r="AN29" i="25"/>
  <c r="AM32" i="21"/>
  <c r="AJ31" i="14" s="1"/>
  <c r="AK31" i="14" s="1"/>
  <c r="AQ32" i="25"/>
  <c r="AJ34" i="21"/>
  <c r="AH33" i="14" s="1"/>
  <c r="AI33" i="14" s="1"/>
  <c r="AN34" i="25"/>
  <c r="AO63" i="17"/>
  <c r="Y64" i="23"/>
  <c r="N35" i="14"/>
  <c r="O35" i="14" s="1"/>
  <c r="P36" i="25"/>
  <c r="P36" i="21"/>
  <c r="AZ19" i="25"/>
  <c r="BB19" i="25"/>
  <c r="BD19" i="25" s="1"/>
  <c r="AZ18" i="25"/>
  <c r="BB18" i="25"/>
  <c r="BD18" i="25" s="1"/>
  <c r="Z38" i="23"/>
  <c r="AJ32" i="21"/>
  <c r="AH31" i="14" s="1"/>
  <c r="AI31" i="14" s="1"/>
  <c r="AN32" i="25"/>
  <c r="AN63" i="17"/>
  <c r="X64" i="23"/>
  <c r="Z32" i="23"/>
  <c r="AM36" i="21"/>
  <c r="AJ35" i="14" s="1"/>
  <c r="AK35" i="14" s="1"/>
  <c r="AQ36" i="25"/>
  <c r="N31" i="14"/>
  <c r="R31" i="14" s="1"/>
  <c r="P32" i="25"/>
  <c r="P32" i="21"/>
  <c r="AM31" i="21"/>
  <c r="AJ30" i="14" s="1"/>
  <c r="AK30" i="14" s="1"/>
  <c r="AQ31" i="25"/>
  <c r="AO25" i="17"/>
  <c r="Y26" i="23"/>
  <c r="N29" i="14"/>
  <c r="O29" i="14" s="1"/>
  <c r="P30" i="25"/>
  <c r="P30" i="21"/>
  <c r="AZ21" i="25"/>
  <c r="BB21" i="25"/>
  <c r="BD21" i="25" s="1"/>
  <c r="AU19" i="21"/>
  <c r="AR19" i="21"/>
  <c r="AU21" i="21"/>
  <c r="AR21" i="21"/>
  <c r="AU18" i="21"/>
  <c r="AR18" i="21"/>
  <c r="AU22" i="21"/>
  <c r="AR22" i="21"/>
  <c r="AU17" i="21"/>
  <c r="AR17" i="21"/>
  <c r="AU20" i="21"/>
  <c r="AR20" i="21"/>
  <c r="AK25" i="12"/>
  <c r="AA24" i="25" s="1"/>
  <c r="BX21" i="12"/>
  <c r="R79" i="5"/>
  <c r="R80" i="5"/>
  <c r="R78" i="5"/>
  <c r="R81" i="5"/>
  <c r="S65" i="12"/>
  <c r="L32" i="13" s="1"/>
  <c r="AE37" i="7"/>
  <c r="AE28" i="7"/>
  <c r="AE86" i="7"/>
  <c r="L24" i="20"/>
  <c r="L24" i="13"/>
  <c r="AI28" i="7"/>
  <c r="O72" i="12"/>
  <c r="BX31" i="12"/>
  <c r="P72" i="12"/>
  <c r="AK79" i="12"/>
  <c r="AA34" i="25" s="1"/>
  <c r="AL79" i="12"/>
  <c r="AJ65" i="12"/>
  <c r="AW25" i="12"/>
  <c r="AX25" i="12" s="1"/>
  <c r="AK86" i="9"/>
  <c r="AM31" i="7"/>
  <c r="AZ44" i="12"/>
  <c r="AU93" i="7"/>
  <c r="R31" i="5"/>
  <c r="R30" i="5"/>
  <c r="AT44" i="12"/>
  <c r="BA44" i="12" s="1"/>
  <c r="AT25" i="12"/>
  <c r="BA25" i="12" s="1"/>
  <c r="AT93" i="12"/>
  <c r="AU93" i="12" s="1"/>
  <c r="AZ25" i="12"/>
  <c r="AQ72" i="7"/>
  <c r="AQ25" i="7"/>
  <c r="AM86" i="7"/>
  <c r="AA22" i="21"/>
  <c r="Z21" i="14"/>
  <c r="BY19" i="12"/>
  <c r="AP71" i="17"/>
  <c r="AW44" i="12"/>
  <c r="AX44" i="12" s="1"/>
  <c r="AP40" i="17"/>
  <c r="AM37" i="7"/>
  <c r="BT32" i="12"/>
  <c r="S86" i="12"/>
  <c r="AU27" i="7"/>
  <c r="AQ27" i="7"/>
  <c r="AQ84" i="7"/>
  <c r="AU84" i="7"/>
  <c r="AP18" i="17"/>
  <c r="AJ23" i="19"/>
  <c r="AF25" i="19"/>
  <c r="AO93" i="12"/>
  <c r="BZ33" i="12"/>
  <c r="AI31" i="7"/>
  <c r="AF72" i="19"/>
  <c r="AJ66" i="19"/>
  <c r="L27" i="20"/>
  <c r="L27" i="13"/>
  <c r="BU24" i="12"/>
  <c r="AN19" i="17"/>
  <c r="AP27" i="17"/>
  <c r="AN21" i="17"/>
  <c r="AF65" i="19"/>
  <c r="AJ59" i="19"/>
  <c r="BZ31" i="12"/>
  <c r="AO79" i="12"/>
  <c r="AP38" i="17"/>
  <c r="AG20" i="14"/>
  <c r="AP42" i="17"/>
  <c r="AJ73" i="19"/>
  <c r="AF79" i="19"/>
  <c r="AF93" i="19"/>
  <c r="AJ87" i="19"/>
  <c r="P65" i="12"/>
  <c r="O65" i="12"/>
  <c r="AM59" i="12"/>
  <c r="AP48" i="17"/>
  <c r="F85" i="19"/>
  <c r="AF85" i="19" s="1"/>
  <c r="AJ85" i="19" s="1"/>
  <c r="W69" i="23"/>
  <c r="O73" i="11"/>
  <c r="Q73" i="11" s="1"/>
  <c r="AM68" i="17"/>
  <c r="AG18" i="14"/>
  <c r="AP35" i="17"/>
  <c r="AP37" i="17"/>
  <c r="AP24" i="17"/>
  <c r="AQ29" i="7"/>
  <c r="AU29" i="7"/>
  <c r="AF44" i="19"/>
  <c r="AJ38" i="19"/>
  <c r="BZ21" i="12"/>
  <c r="AO25" i="12"/>
  <c r="AQ26" i="7"/>
  <c r="AU26" i="7"/>
  <c r="AU79" i="7"/>
  <c r="AP49" i="17"/>
  <c r="AP62" i="17"/>
  <c r="AP33" i="17"/>
  <c r="AQ36" i="7"/>
  <c r="AU36" i="7"/>
  <c r="AP39" i="17"/>
  <c r="AQ51" i="7"/>
  <c r="AT30" i="25" s="1"/>
  <c r="AZ93" i="12"/>
  <c r="BX48" i="12"/>
  <c r="BY48" i="12"/>
  <c r="AP45" i="17"/>
  <c r="P51" i="12"/>
  <c r="O51" i="12"/>
  <c r="AM45" i="12"/>
  <c r="AN51" i="12" s="1"/>
  <c r="AP60" i="17"/>
  <c r="AM28" i="7"/>
  <c r="AQ25" i="25" s="1"/>
  <c r="F84" i="19"/>
  <c r="AF84" i="19" s="1"/>
  <c r="AJ84" i="19" s="1"/>
  <c r="AO84" i="19" s="1"/>
  <c r="AO85" i="19" s="1"/>
  <c r="W68" i="23"/>
  <c r="AM67" i="17"/>
  <c r="O72" i="11"/>
  <c r="Q72" i="11" s="1"/>
  <c r="AQ79" i="7"/>
  <c r="AT34" i="25" s="1"/>
  <c r="AU51" i="7"/>
  <c r="BU56" i="12"/>
  <c r="AL51" i="12"/>
  <c r="BX27" i="12"/>
  <c r="AK51" i="12"/>
  <c r="AA30" i="25" s="1"/>
  <c r="AP61" i="17"/>
  <c r="AP31" i="17"/>
  <c r="AP44" i="17"/>
  <c r="F29" i="19"/>
  <c r="AF29" i="19" s="1"/>
  <c r="O26" i="11"/>
  <c r="Q26" i="11" s="1"/>
  <c r="W22" i="23"/>
  <c r="AM21" i="17"/>
  <c r="AP55" i="17"/>
  <c r="W20" i="23"/>
  <c r="AM19" i="17"/>
  <c r="F26" i="19"/>
  <c r="AF26" i="19" s="1"/>
  <c r="O24" i="11"/>
  <c r="L36" i="12"/>
  <c r="AI36" i="12"/>
  <c r="AI81" i="12"/>
  <c r="L81" i="12"/>
  <c r="AO68" i="17"/>
  <c r="BZ19" i="12"/>
  <c r="AO19" i="12"/>
  <c r="AG16" i="14"/>
  <c r="AP46" i="17"/>
  <c r="X17" i="20"/>
  <c r="U17" i="13"/>
  <c r="CA14" i="12"/>
  <c r="AP22" i="9"/>
  <c r="AO22" i="9"/>
  <c r="AO66" i="17"/>
  <c r="AO21" i="17"/>
  <c r="AO19" i="17"/>
  <c r="AN67" i="17"/>
  <c r="AQ30" i="7"/>
  <c r="AU30" i="7"/>
  <c r="AP59" i="17"/>
  <c r="AO67" i="17"/>
  <c r="AG19" i="14"/>
  <c r="AG21" i="14"/>
  <c r="AM20" i="17"/>
  <c r="F27" i="19"/>
  <c r="AF27" i="19" s="1"/>
  <c r="AJ27" i="19" s="1"/>
  <c r="AO27" i="19" s="1"/>
  <c r="O25" i="11"/>
  <c r="Q25" i="11" s="1"/>
  <c r="W21" i="23"/>
  <c r="BY55" i="12"/>
  <c r="BX55" i="12"/>
  <c r="L23" i="20"/>
  <c r="BU20" i="12"/>
  <c r="L23" i="13"/>
  <c r="W27" i="23"/>
  <c r="F36" i="19"/>
  <c r="AF36" i="19" s="1"/>
  <c r="AJ36" i="19" s="1"/>
  <c r="AO36" i="19" s="1"/>
  <c r="AM26" i="17"/>
  <c r="O31" i="11"/>
  <c r="Q31" i="11" s="1"/>
  <c r="AO65" i="9"/>
  <c r="AP65" i="9"/>
  <c r="AQ93" i="7"/>
  <c r="AT36" i="25" s="1"/>
  <c r="W67" i="23"/>
  <c r="F83" i="19"/>
  <c r="AF83" i="19" s="1"/>
  <c r="AJ83" i="19" s="1"/>
  <c r="AO83" i="19" s="1"/>
  <c r="O71" i="11"/>
  <c r="Q71" i="11" s="1"/>
  <c r="AM66" i="17"/>
  <c r="AQ35" i="7"/>
  <c r="AU35" i="7"/>
  <c r="AU34" i="7"/>
  <c r="AP58" i="17"/>
  <c r="BZ48" i="12"/>
  <c r="AX19" i="12"/>
  <c r="BA19" i="12"/>
  <c r="AJ52" i="19"/>
  <c r="AF58" i="19"/>
  <c r="AN68" i="17"/>
  <c r="L36" i="20"/>
  <c r="BU33" i="12"/>
  <c r="L36" i="13"/>
  <c r="AP34" i="17"/>
  <c r="AP29" i="17"/>
  <c r="AU82" i="7"/>
  <c r="AQ82" i="7"/>
  <c r="F30" i="19"/>
  <c r="AF30" i="19" s="1"/>
  <c r="AJ30" i="19" s="1"/>
  <c r="AO30" i="19" s="1"/>
  <c r="O27" i="11"/>
  <c r="Q27" i="11" s="1"/>
  <c r="AM22" i="17"/>
  <c r="W23" i="23"/>
  <c r="AN66" i="17"/>
  <c r="AQ80" i="7"/>
  <c r="AU80" i="7"/>
  <c r="AZ79" i="12"/>
  <c r="AW79" i="12"/>
  <c r="AX79" i="12" s="1"/>
  <c r="AT79" i="12"/>
  <c r="O34" i="12"/>
  <c r="O77" i="5"/>
  <c r="O81" i="5"/>
  <c r="O78" i="5"/>
  <c r="O79" i="5"/>
  <c r="O76" i="5"/>
  <c r="O80" i="5"/>
  <c r="AP28" i="9"/>
  <c r="AO28" i="9"/>
  <c r="L26" i="20"/>
  <c r="L26" i="13"/>
  <c r="BU23" i="12"/>
  <c r="X20" i="20"/>
  <c r="U20" i="13"/>
  <c r="CA17" i="12"/>
  <c r="AQ85" i="7"/>
  <c r="AU85" i="7"/>
  <c r="AP54" i="17"/>
  <c r="O22" i="12"/>
  <c r="P22" i="12"/>
  <c r="AM20" i="12"/>
  <c r="AN22" i="12" s="1"/>
  <c r="AP23" i="17"/>
  <c r="AQ83" i="7"/>
  <c r="AU83" i="7"/>
  <c r="P58" i="12"/>
  <c r="F35" i="19"/>
  <c r="AF35" i="19" s="1"/>
  <c r="W26" i="23"/>
  <c r="AM25" i="17"/>
  <c r="O30" i="11"/>
  <c r="Q30" i="11" s="1"/>
  <c r="AQ34" i="7"/>
  <c r="AT27" i="25" s="1"/>
  <c r="AQ81" i="7"/>
  <c r="AU81" i="7"/>
  <c r="AF51" i="19"/>
  <c r="AJ45" i="19"/>
  <c r="AU44" i="7"/>
  <c r="AP17" i="17"/>
  <c r="AU65" i="7"/>
  <c r="AP30" i="17"/>
  <c r="AP51" i="9"/>
  <c r="AO51" i="9"/>
  <c r="AW72" i="12"/>
  <c r="AP50" i="17"/>
  <c r="AU58" i="7"/>
  <c r="AI86" i="7"/>
  <c r="AP53" i="17"/>
  <c r="AN20" i="17"/>
  <c r="O70" i="11"/>
  <c r="Q70" i="11" s="1"/>
  <c r="AM65" i="17"/>
  <c r="F82" i="19"/>
  <c r="AF82" i="19" s="1"/>
  <c r="AJ82" i="19" s="1"/>
  <c r="AO82" i="19" s="1"/>
  <c r="W66" i="23"/>
  <c r="BU62" i="12"/>
  <c r="AK93" i="12"/>
  <c r="AA36" i="25" s="1"/>
  <c r="BX33" i="12"/>
  <c r="AL93" i="12"/>
  <c r="AP51" i="17"/>
  <c r="AW93" i="12"/>
  <c r="AX93" i="12" s="1"/>
  <c r="F80" i="19"/>
  <c r="AF80" i="19" s="1"/>
  <c r="AM63" i="17"/>
  <c r="O68" i="11"/>
  <c r="Q68" i="11" s="1"/>
  <c r="W64" i="23"/>
  <c r="AO22" i="17"/>
  <c r="AG17" i="14"/>
  <c r="P34" i="12"/>
  <c r="AP41" i="17"/>
  <c r="AI80" i="12"/>
  <c r="AJ86" i="12" s="1"/>
  <c r="L80" i="12"/>
  <c r="S37" i="12"/>
  <c r="BT25" i="12"/>
  <c r="AP74" i="17"/>
  <c r="AP57" i="17"/>
  <c r="AP69" i="17"/>
  <c r="AP56" i="17"/>
  <c r="AP73" i="17"/>
  <c r="AP32" i="17"/>
  <c r="AP47" i="17"/>
  <c r="AP72" i="17"/>
  <c r="AP52" i="17"/>
  <c r="AQ53" i="14"/>
  <c r="AL53" i="14"/>
  <c r="AO20" i="17"/>
  <c r="AP35" i="9"/>
  <c r="AK37" i="9"/>
  <c r="AO65" i="17"/>
  <c r="AN65" i="17"/>
  <c r="X21" i="20"/>
  <c r="U21" i="13"/>
  <c r="CA18" i="12"/>
  <c r="AP70" i="17"/>
  <c r="AF34" i="19"/>
  <c r="AJ32" i="19"/>
  <c r="AU72" i="7"/>
  <c r="O58" i="12"/>
  <c r="AI35" i="12"/>
  <c r="AJ37" i="12" s="1"/>
  <c r="L35" i="12"/>
  <c r="W65" i="23"/>
  <c r="AM64" i="17"/>
  <c r="F81" i="19"/>
  <c r="AF81" i="19" s="1"/>
  <c r="AJ81" i="19" s="1"/>
  <c r="AO81" i="19" s="1"/>
  <c r="O69" i="11"/>
  <c r="Q69" i="11" s="1"/>
  <c r="L34" i="20"/>
  <c r="BU31" i="12"/>
  <c r="L34" i="13"/>
  <c r="AO31" i="9"/>
  <c r="AP31" i="9"/>
  <c r="AQ44" i="7"/>
  <c r="AT29" i="25" s="1"/>
  <c r="AQ65" i="7"/>
  <c r="AT32" i="25" s="1"/>
  <c r="X18" i="20"/>
  <c r="CA15" i="12"/>
  <c r="U18" i="13"/>
  <c r="AU25" i="7"/>
  <c r="AQ58" i="7"/>
  <c r="AT31" i="25" s="1"/>
  <c r="L33" i="20"/>
  <c r="L33" i="13"/>
  <c r="BU30" i="12"/>
  <c r="AP36" i="17"/>
  <c r="AN22" i="17"/>
  <c r="AP43" i="17"/>
  <c r="AP28" i="17"/>
  <c r="AU19" i="12"/>
  <c r="L25" i="20"/>
  <c r="L25" i="13"/>
  <c r="BU22" i="12"/>
  <c r="AD69" i="14"/>
  <c r="AK22" i="12" l="1"/>
  <c r="AA23" i="25" s="1"/>
  <c r="CA16" i="12"/>
  <c r="X19" i="20"/>
  <c r="BU27" i="12"/>
  <c r="L30" i="13"/>
  <c r="R44" i="5"/>
  <c r="BU49" i="12"/>
  <c r="BD22" i="29"/>
  <c r="BD25" i="29"/>
  <c r="AL58" i="12"/>
  <c r="BD21" i="29"/>
  <c r="BX28" i="12"/>
  <c r="BZ26" i="12"/>
  <c r="AK58" i="12"/>
  <c r="AA31" i="25" s="1"/>
  <c r="AP64" i="29"/>
  <c r="AP26" i="29"/>
  <c r="BD67" i="29"/>
  <c r="AP63" i="29"/>
  <c r="AZ34" i="12"/>
  <c r="AL22" i="12"/>
  <c r="AZ65" i="12"/>
  <c r="AW65" i="12"/>
  <c r="AN72" i="12"/>
  <c r="BZ30" i="12" s="1"/>
  <c r="R25" i="5"/>
  <c r="BU59" i="12"/>
  <c r="AW22" i="12"/>
  <c r="AX22" i="12" s="1"/>
  <c r="AN34" i="12"/>
  <c r="AL72" i="12"/>
  <c r="BX30" i="12"/>
  <c r="AT65" i="12"/>
  <c r="BA65" i="12" s="1"/>
  <c r="AN58" i="12"/>
  <c r="BZ28" i="12" s="1"/>
  <c r="Z36" i="14"/>
  <c r="R49" i="5"/>
  <c r="R47" i="5"/>
  <c r="R50" i="5"/>
  <c r="AZ58" i="12"/>
  <c r="O66" i="5"/>
  <c r="AT72" i="12"/>
  <c r="BA72" i="12" s="1"/>
  <c r="AK31" i="12"/>
  <c r="AA26" i="25" s="1"/>
  <c r="AT58" i="12"/>
  <c r="BA58" i="12" s="1"/>
  <c r="AT34" i="12"/>
  <c r="AU34" i="12" s="1"/>
  <c r="AZ72" i="12"/>
  <c r="O53" i="5"/>
  <c r="AY35" i="12"/>
  <c r="AZ37" i="12" s="1"/>
  <c r="AV35" i="12"/>
  <c r="AW37" i="12" s="1"/>
  <c r="BB35" i="12"/>
  <c r="AS35" i="12"/>
  <c r="AT37" i="12" s="1"/>
  <c r="BZ59" i="12"/>
  <c r="BC72" i="12"/>
  <c r="BD72" i="12" s="1"/>
  <c r="AS80" i="12"/>
  <c r="AT86" i="12" s="1"/>
  <c r="BB80" i="12"/>
  <c r="AY80" i="12"/>
  <c r="AZ86" i="12" s="1"/>
  <c r="AV80" i="12"/>
  <c r="AW86" i="12" s="1"/>
  <c r="AM36" i="12"/>
  <c r="AY36" i="12"/>
  <c r="AV36" i="12"/>
  <c r="AS36" i="12"/>
  <c r="BB36" i="12"/>
  <c r="AN65" i="12"/>
  <c r="AO65" i="12" s="1"/>
  <c r="BZ58" i="12"/>
  <c r="BC65" i="12"/>
  <c r="BD65" i="12" s="1"/>
  <c r="O31" i="12"/>
  <c r="AV29" i="12"/>
  <c r="AW31" i="12" s="1"/>
  <c r="BB29" i="12"/>
  <c r="AS29" i="12"/>
  <c r="AT31" i="12" s="1"/>
  <c r="AY29" i="12"/>
  <c r="AZ31" i="12" s="1"/>
  <c r="O23" i="5"/>
  <c r="BZ56" i="12"/>
  <c r="BC51" i="12"/>
  <c r="BD51" i="12" s="1"/>
  <c r="BZ49" i="12"/>
  <c r="BC22" i="12"/>
  <c r="BD22" i="12" s="1"/>
  <c r="BZ57" i="12"/>
  <c r="BC58" i="12"/>
  <c r="BD58" i="12" s="1"/>
  <c r="BZ53" i="12"/>
  <c r="BC34" i="12"/>
  <c r="BD34" i="12" s="1"/>
  <c r="AM81" i="12"/>
  <c r="AV81" i="12"/>
  <c r="AY81" i="12"/>
  <c r="BB81" i="12"/>
  <c r="AS81" i="12"/>
  <c r="AA37" i="21"/>
  <c r="BY34" i="12"/>
  <c r="O54" i="5"/>
  <c r="O57" i="5"/>
  <c r="O26" i="5"/>
  <c r="O38" i="5"/>
  <c r="R63" i="5"/>
  <c r="BC63" i="17"/>
  <c r="BE63" i="17" s="1"/>
  <c r="R74" i="5"/>
  <c r="AL31" i="12"/>
  <c r="BY63" i="12"/>
  <c r="BC20" i="17"/>
  <c r="BE20" i="17" s="1"/>
  <c r="BC66" i="17"/>
  <c r="BE66" i="17" s="1"/>
  <c r="BC26" i="17"/>
  <c r="BE26" i="17" s="1"/>
  <c r="BC68" i="17"/>
  <c r="BE68" i="17" s="1"/>
  <c r="R70" i="5"/>
  <c r="BC67" i="17"/>
  <c r="BE67" i="17" s="1"/>
  <c r="R72" i="5"/>
  <c r="BC65" i="17"/>
  <c r="BE65" i="17" s="1"/>
  <c r="BC21" i="17"/>
  <c r="BE21" i="17" s="1"/>
  <c r="BC64" i="17"/>
  <c r="BE64" i="17" s="1"/>
  <c r="BC25" i="17"/>
  <c r="BE25" i="17" s="1"/>
  <c r="BC22" i="17"/>
  <c r="BE22" i="17" s="1"/>
  <c r="AM29" i="12"/>
  <c r="AN31" i="12" s="1"/>
  <c r="R22" i="5"/>
  <c r="BC19" i="17"/>
  <c r="BE19" i="17" s="1"/>
  <c r="R52" i="5"/>
  <c r="Z21" i="23"/>
  <c r="R51" i="5"/>
  <c r="R71" i="5"/>
  <c r="R55" i="5"/>
  <c r="R45" i="5"/>
  <c r="R56" i="5"/>
  <c r="R41" i="5"/>
  <c r="O62" i="5"/>
  <c r="R42" i="5"/>
  <c r="R54" i="5"/>
  <c r="R46" i="5"/>
  <c r="R40" i="5"/>
  <c r="R53" i="5"/>
  <c r="R33" i="5"/>
  <c r="R73" i="5"/>
  <c r="L31" i="13"/>
  <c r="L31" i="20"/>
  <c r="BX23" i="12"/>
  <c r="R62" i="5"/>
  <c r="R29" i="5"/>
  <c r="O25" i="5"/>
  <c r="Z66" i="23"/>
  <c r="O68" i="5"/>
  <c r="R67" i="5"/>
  <c r="R65" i="5"/>
  <c r="O61" i="5"/>
  <c r="BX60" i="12"/>
  <c r="O31" i="5"/>
  <c r="R64" i="5"/>
  <c r="R68" i="5"/>
  <c r="O65" i="5"/>
  <c r="Z28" i="14"/>
  <c r="O63" i="5"/>
  <c r="R69" i="5"/>
  <c r="O67" i="5"/>
  <c r="O59" i="5"/>
  <c r="O64" i="5"/>
  <c r="O60" i="5"/>
  <c r="Q86" i="5"/>
  <c r="R26" i="5"/>
  <c r="O46" i="5"/>
  <c r="BU58" i="12"/>
  <c r="BX58" i="12" s="1"/>
  <c r="AN28" i="25"/>
  <c r="AO28" i="25" s="1"/>
  <c r="O51" i="5"/>
  <c r="R58" i="5"/>
  <c r="R60" i="5"/>
  <c r="O49" i="5"/>
  <c r="O47" i="5"/>
  <c r="O48" i="5"/>
  <c r="R61" i="5"/>
  <c r="O56" i="5"/>
  <c r="O75" i="5"/>
  <c r="BX24" i="12"/>
  <c r="O74" i="5"/>
  <c r="O55" i="5"/>
  <c r="AK34" i="12"/>
  <c r="AA27" i="25" s="1"/>
  <c r="O73" i="5"/>
  <c r="AL34" i="12"/>
  <c r="O71" i="5"/>
  <c r="O72" i="5"/>
  <c r="Z69" i="23"/>
  <c r="O45" i="5"/>
  <c r="O42" i="5"/>
  <c r="O40" i="5"/>
  <c r="O33" i="5"/>
  <c r="O43" i="5"/>
  <c r="N86" i="5"/>
  <c r="O41" i="5"/>
  <c r="R25" i="14"/>
  <c r="S25" i="14" s="1"/>
  <c r="Z27" i="23"/>
  <c r="O34" i="5"/>
  <c r="O39" i="5"/>
  <c r="O37" i="5"/>
  <c r="O36" i="5"/>
  <c r="Z20" i="23"/>
  <c r="AA29" i="21"/>
  <c r="L32" i="20"/>
  <c r="Z68" i="23"/>
  <c r="BY26" i="12"/>
  <c r="AL23" i="21"/>
  <c r="AH22" i="14"/>
  <c r="AI22" i="14" s="1"/>
  <c r="Z67" i="23"/>
  <c r="Z23" i="23"/>
  <c r="Z64" i="23"/>
  <c r="Z22" i="23"/>
  <c r="R32" i="14"/>
  <c r="W32" i="14" s="1"/>
  <c r="Y32" i="14" s="1"/>
  <c r="R35" i="14"/>
  <c r="W35" i="14" s="1"/>
  <c r="Y35" i="14" s="1"/>
  <c r="O30" i="14"/>
  <c r="Z33" i="14"/>
  <c r="Z65" i="23"/>
  <c r="R29" i="14"/>
  <c r="W29" i="14" s="1"/>
  <c r="Y29" i="14" s="1"/>
  <c r="BA93" i="12"/>
  <c r="BX50" i="12"/>
  <c r="AA34" i="21"/>
  <c r="O31" i="14"/>
  <c r="BY31" i="12"/>
  <c r="Z23" i="14"/>
  <c r="BY21" i="12"/>
  <c r="AA24" i="21"/>
  <c r="R28" i="14"/>
  <c r="S28" i="14" s="1"/>
  <c r="R23" i="14"/>
  <c r="S23" i="14" s="1"/>
  <c r="AX72" i="12"/>
  <c r="R26" i="14"/>
  <c r="S26" i="14" s="1"/>
  <c r="Z26" i="23"/>
  <c r="BU29" i="12"/>
  <c r="R33" i="14"/>
  <c r="S33" i="14" s="1"/>
  <c r="AR34" i="25"/>
  <c r="AS34" i="25"/>
  <c r="Q30" i="21"/>
  <c r="R30" i="21"/>
  <c r="U30" i="21"/>
  <c r="Q32" i="25"/>
  <c r="R32" i="25"/>
  <c r="U32" i="25"/>
  <c r="AO32" i="25"/>
  <c r="AP32" i="25"/>
  <c r="AY32" i="25"/>
  <c r="AL34" i="21"/>
  <c r="AK34" i="21"/>
  <c r="AS32" i="25"/>
  <c r="AR32" i="25"/>
  <c r="AO34" i="21"/>
  <c r="AN34" i="21"/>
  <c r="Q24" i="25"/>
  <c r="R24" i="25"/>
  <c r="U24" i="25"/>
  <c r="R29" i="25"/>
  <c r="Q29" i="25"/>
  <c r="U29" i="25"/>
  <c r="Q26" i="21"/>
  <c r="R26" i="21"/>
  <c r="U26" i="21"/>
  <c r="R31" i="25"/>
  <c r="Q31" i="25"/>
  <c r="U31" i="25"/>
  <c r="AP24" i="21"/>
  <c r="AQ24" i="21" s="1"/>
  <c r="AT24" i="25"/>
  <c r="AY24" i="25" s="1"/>
  <c r="Q32" i="21"/>
  <c r="R32" i="21"/>
  <c r="U32" i="21"/>
  <c r="Q24" i="21"/>
  <c r="R24" i="21"/>
  <c r="U24" i="21"/>
  <c r="Q29" i="21"/>
  <c r="R29" i="21"/>
  <c r="U29" i="21"/>
  <c r="AV30" i="25"/>
  <c r="AU30" i="25"/>
  <c r="AM28" i="21"/>
  <c r="AJ27" i="14" s="1"/>
  <c r="AK27" i="14" s="1"/>
  <c r="AQ28" i="25"/>
  <c r="AJ25" i="21"/>
  <c r="AH24" i="14" s="1"/>
  <c r="AI24" i="14" s="1"/>
  <c r="AN25" i="25"/>
  <c r="R30" i="25"/>
  <c r="Q30" i="25"/>
  <c r="U30" i="25"/>
  <c r="AL32" i="21"/>
  <c r="AK32" i="21"/>
  <c r="AO32" i="21"/>
  <c r="AN32" i="21"/>
  <c r="AS33" i="25"/>
  <c r="AR33" i="25"/>
  <c r="AR23" i="25"/>
  <c r="AS23" i="25"/>
  <c r="R26" i="25"/>
  <c r="Q26" i="25"/>
  <c r="U26" i="25"/>
  <c r="AO29" i="21"/>
  <c r="AN29" i="21"/>
  <c r="AU36" i="25"/>
  <c r="AV36" i="25"/>
  <c r="AP33" i="21"/>
  <c r="AQ33" i="21" s="1"/>
  <c r="AT33" i="25"/>
  <c r="AS36" i="25"/>
  <c r="AR36" i="25"/>
  <c r="Q36" i="21"/>
  <c r="R36" i="21"/>
  <c r="U36" i="21"/>
  <c r="AP29" i="25"/>
  <c r="AO29" i="25"/>
  <c r="AY29" i="25"/>
  <c r="AS24" i="25"/>
  <c r="AR24" i="25"/>
  <c r="AR30" i="25"/>
  <c r="AS30" i="25"/>
  <c r="AO33" i="21"/>
  <c r="AN33" i="21"/>
  <c r="AP30" i="25"/>
  <c r="AO30" i="25"/>
  <c r="AY30" i="25"/>
  <c r="AO23" i="21"/>
  <c r="AN23" i="21"/>
  <c r="BD17" i="25"/>
  <c r="AS27" i="25"/>
  <c r="AR27" i="25"/>
  <c r="AP31" i="25"/>
  <c r="AO31" i="25"/>
  <c r="AY31" i="25"/>
  <c r="R33" i="25"/>
  <c r="Q33" i="25"/>
  <c r="U33" i="25"/>
  <c r="AV31" i="25"/>
  <c r="AU31" i="25"/>
  <c r="AV34" i="25"/>
  <c r="AU34" i="25"/>
  <c r="AJ28" i="14"/>
  <c r="AK28" i="14" s="1"/>
  <c r="AO36" i="21"/>
  <c r="AN36" i="21"/>
  <c r="Q36" i="25"/>
  <c r="R36" i="25"/>
  <c r="U36" i="25"/>
  <c r="AL29" i="21"/>
  <c r="AK29" i="21"/>
  <c r="AO24" i="21"/>
  <c r="AN24" i="21"/>
  <c r="AO30" i="21"/>
  <c r="AN30" i="21"/>
  <c r="AP36" i="25"/>
  <c r="AO36" i="25"/>
  <c r="AY36" i="25"/>
  <c r="AL30" i="21"/>
  <c r="AK30" i="21"/>
  <c r="AO24" i="25"/>
  <c r="AP24" i="25"/>
  <c r="AO27" i="21"/>
  <c r="AN27" i="21"/>
  <c r="AL31" i="21"/>
  <c r="AK31" i="21"/>
  <c r="N27" i="14"/>
  <c r="R27" i="14" s="1"/>
  <c r="P28" i="25"/>
  <c r="P28" i="21"/>
  <c r="AU27" i="25"/>
  <c r="AV27" i="25"/>
  <c r="AR25" i="25"/>
  <c r="AS25" i="25"/>
  <c r="AJ26" i="21"/>
  <c r="AN26" i="25"/>
  <c r="Q34" i="21"/>
  <c r="R34" i="21"/>
  <c r="U34" i="21"/>
  <c r="Q27" i="21"/>
  <c r="R27" i="21"/>
  <c r="U27" i="21"/>
  <c r="AP33" i="25"/>
  <c r="AO33" i="25"/>
  <c r="AL36" i="21"/>
  <c r="AK36" i="21"/>
  <c r="AL24" i="21"/>
  <c r="AK24" i="21"/>
  <c r="AP27" i="25"/>
  <c r="AO27" i="25"/>
  <c r="AY27" i="25"/>
  <c r="AO34" i="25"/>
  <c r="AP34" i="25"/>
  <c r="AY34" i="25"/>
  <c r="AV32" i="25"/>
  <c r="AU32" i="25"/>
  <c r="AU29" i="25"/>
  <c r="AV29" i="25"/>
  <c r="AM26" i="21"/>
  <c r="AJ25" i="14" s="1"/>
  <c r="AK25" i="14" s="1"/>
  <c r="AQ26" i="25"/>
  <c r="N34" i="14"/>
  <c r="O34" i="14" s="1"/>
  <c r="P35" i="25"/>
  <c r="P35" i="21"/>
  <c r="AS31" i="25"/>
  <c r="AR31" i="25"/>
  <c r="R34" i="25"/>
  <c r="Q34" i="25"/>
  <c r="U34" i="25"/>
  <c r="R27" i="25"/>
  <c r="Q27" i="25"/>
  <c r="U27" i="25"/>
  <c r="AL33" i="21"/>
  <c r="AK33" i="21"/>
  <c r="AL27" i="21"/>
  <c r="AK27" i="21"/>
  <c r="Q31" i="21"/>
  <c r="R31" i="21"/>
  <c r="U31" i="21"/>
  <c r="AJ35" i="21"/>
  <c r="AH34" i="14" s="1"/>
  <c r="AI34" i="14" s="1"/>
  <c r="AN35" i="25"/>
  <c r="AM35" i="21"/>
  <c r="AJ34" i="14" s="1"/>
  <c r="AK34" i="14" s="1"/>
  <c r="AQ35" i="25"/>
  <c r="N24" i="14"/>
  <c r="O24" i="14" s="1"/>
  <c r="P25" i="25"/>
  <c r="P25" i="21"/>
  <c r="AO31" i="21"/>
  <c r="AN31" i="21"/>
  <c r="AR29" i="25"/>
  <c r="AS29" i="25"/>
  <c r="AL28" i="21"/>
  <c r="AK28" i="21"/>
  <c r="Q33" i="21"/>
  <c r="R33" i="21"/>
  <c r="U33" i="21"/>
  <c r="W31" i="14"/>
  <c r="Y31" i="14" s="1"/>
  <c r="S31" i="14"/>
  <c r="AF23" i="14"/>
  <c r="AL23" i="14" s="1"/>
  <c r="S30" i="14"/>
  <c r="W30" i="14"/>
  <c r="Y30" i="14" s="1"/>
  <c r="AU44" i="12"/>
  <c r="AU28" i="7"/>
  <c r="AK65" i="12"/>
  <c r="BX29" i="12"/>
  <c r="AL65" i="12"/>
  <c r="AU25" i="12"/>
  <c r="AX34" i="12"/>
  <c r="AX65" i="12"/>
  <c r="AF32" i="14"/>
  <c r="AL32" i="14" s="1"/>
  <c r="AU51" i="12"/>
  <c r="BA51" i="12"/>
  <c r="AI3" i="7"/>
  <c r="AK5" i="7" s="1"/>
  <c r="AZ9" i="7" s="1"/>
  <c r="AQ37" i="7"/>
  <c r="AT28" i="25" s="1"/>
  <c r="AQ31" i="7"/>
  <c r="AP26" i="21" s="1"/>
  <c r="AQ26" i="21" s="1"/>
  <c r="X24" i="20"/>
  <c r="CA21" i="12"/>
  <c r="U24" i="13"/>
  <c r="AQ20" i="14"/>
  <c r="AM20" i="14"/>
  <c r="BY59" i="12"/>
  <c r="BX59" i="12"/>
  <c r="AP65" i="17"/>
  <c r="AV19" i="21"/>
  <c r="AX19" i="21"/>
  <c r="AZ19" i="21" s="1"/>
  <c r="AP63" i="17"/>
  <c r="AP25" i="17"/>
  <c r="X29" i="20"/>
  <c r="U29" i="13"/>
  <c r="CA26" i="12"/>
  <c r="BX56" i="12"/>
  <c r="BY56" i="12"/>
  <c r="CJ46" i="12"/>
  <c r="BZ27" i="12"/>
  <c r="AO51" i="12"/>
  <c r="AO38" i="19"/>
  <c r="AJ44" i="19"/>
  <c r="AJ79" i="19"/>
  <c r="AO73" i="19"/>
  <c r="BY28" i="12"/>
  <c r="BU54" i="12"/>
  <c r="AL37" i="12"/>
  <c r="AK37" i="12"/>
  <c r="AA28" i="25" s="1"/>
  <c r="BX25" i="12"/>
  <c r="AO37" i="9"/>
  <c r="AP37" i="9"/>
  <c r="L28" i="20"/>
  <c r="L28" i="13"/>
  <c r="BU25" i="12"/>
  <c r="AF86" i="19"/>
  <c r="AJ80" i="19"/>
  <c r="BX62" i="12"/>
  <c r="BY62" i="12"/>
  <c r="AP66" i="17"/>
  <c r="AP26" i="17"/>
  <c r="AP20" i="17"/>
  <c r="AF29" i="14"/>
  <c r="AL29" i="14" s="1"/>
  <c r="AP30" i="21"/>
  <c r="AQ30" i="21" s="1"/>
  <c r="BX57" i="12"/>
  <c r="BY57" i="12"/>
  <c r="AX18" i="21"/>
  <c r="AZ18" i="21" s="1"/>
  <c r="AV18" i="21"/>
  <c r="AA33" i="21"/>
  <c r="BY30" i="12"/>
  <c r="Z32" i="14"/>
  <c r="AP64" i="17"/>
  <c r="BZ20" i="12"/>
  <c r="AO22" i="12"/>
  <c r="AM16" i="14"/>
  <c r="AP67" i="17"/>
  <c r="AM18" i="14"/>
  <c r="AQ18" i="14"/>
  <c r="AS18" i="14" s="1"/>
  <c r="AA26" i="21"/>
  <c r="BZ24" i="12"/>
  <c r="AO34" i="12"/>
  <c r="AF28" i="19"/>
  <c r="AJ26" i="19"/>
  <c r="AP21" i="17"/>
  <c r="AM25" i="21"/>
  <c r="AM3" i="7"/>
  <c r="AO5" i="7" s="1"/>
  <c r="AZ10" i="7" s="1"/>
  <c r="X34" i="20"/>
  <c r="U34" i="13"/>
  <c r="CA31" i="12"/>
  <c r="AJ72" i="19"/>
  <c r="AO66" i="19"/>
  <c r="BX53" i="12"/>
  <c r="BY53" i="12"/>
  <c r="BY49" i="12"/>
  <c r="BX49" i="12"/>
  <c r="CJ45" i="12"/>
  <c r="AF31" i="19"/>
  <c r="AJ29" i="19"/>
  <c r="AM35" i="12"/>
  <c r="AN37" i="12" s="1"/>
  <c r="O37" i="12"/>
  <c r="P37" i="12"/>
  <c r="AA36" i="21"/>
  <c r="Z35" i="14"/>
  <c r="BY33" i="12"/>
  <c r="AF37" i="19"/>
  <c r="AJ35" i="19"/>
  <c r="AU86" i="7"/>
  <c r="X22" i="20"/>
  <c r="CA19" i="12"/>
  <c r="U22" i="13"/>
  <c r="AF33" i="14"/>
  <c r="AL33" i="14" s="1"/>
  <c r="AP34" i="21"/>
  <c r="AQ34" i="21" s="1"/>
  <c r="AU31" i="7"/>
  <c r="AV21" i="21"/>
  <c r="AX21" i="21"/>
  <c r="AZ21" i="21" s="1"/>
  <c r="AJ34" i="19"/>
  <c r="AO32" i="19"/>
  <c r="BU61" i="12"/>
  <c r="AL86" i="12"/>
  <c r="AK86" i="12"/>
  <c r="AA35" i="25" s="1"/>
  <c r="BX32" i="12"/>
  <c r="AQ17" i="14"/>
  <c r="AS17" i="14" s="1"/>
  <c r="AM17" i="14"/>
  <c r="AQ86" i="7"/>
  <c r="AT35" i="25" s="1"/>
  <c r="AF28" i="14"/>
  <c r="AP29" i="21"/>
  <c r="AQ29" i="21" s="1"/>
  <c r="AA23" i="21"/>
  <c r="Z22" i="14"/>
  <c r="BY20" i="12"/>
  <c r="AJ51" i="19"/>
  <c r="AO45" i="19"/>
  <c r="BY52" i="12"/>
  <c r="BX52" i="12"/>
  <c r="AU37" i="7"/>
  <c r="AM21" i="14"/>
  <c r="AQ21" i="14"/>
  <c r="AS21" i="14" s="1"/>
  <c r="AP19" i="17"/>
  <c r="AX51" i="12"/>
  <c r="AP68" i="17"/>
  <c r="AJ25" i="19"/>
  <c r="AO23" i="19"/>
  <c r="AX58" i="12"/>
  <c r="AM19" i="14"/>
  <c r="AQ19" i="14"/>
  <c r="AS19" i="14" s="1"/>
  <c r="AU79" i="12"/>
  <c r="BA79" i="12"/>
  <c r="AV20" i="21"/>
  <c r="AX20" i="21"/>
  <c r="AZ20" i="21" s="1"/>
  <c r="AP22" i="17"/>
  <c r="P86" i="12"/>
  <c r="AM80" i="12"/>
  <c r="AN86" i="12" s="1"/>
  <c r="O86" i="12"/>
  <c r="BC86" i="12" s="1"/>
  <c r="BD86" i="12" s="1"/>
  <c r="L35" i="20"/>
  <c r="L35" i="13"/>
  <c r="BU32" i="12"/>
  <c r="AF31" i="14"/>
  <c r="AL31" i="14" s="1"/>
  <c r="AP32" i="21"/>
  <c r="AQ32" i="21" s="1"/>
  <c r="AJ58" i="19"/>
  <c r="AO52" i="19"/>
  <c r="AP31" i="21"/>
  <c r="AQ31" i="21" s="1"/>
  <c r="AF30" i="14"/>
  <c r="AL30" i="14" s="1"/>
  <c r="AF26" i="14"/>
  <c r="AL26" i="14" s="1"/>
  <c r="AP27" i="21"/>
  <c r="AQ27" i="21" s="1"/>
  <c r="AF35" i="14"/>
  <c r="AL35" i="14" s="1"/>
  <c r="AP36" i="21"/>
  <c r="AQ36" i="21" s="1"/>
  <c r="AK3" i="9"/>
  <c r="AW3" i="9" s="1"/>
  <c r="AA30" i="21"/>
  <c r="BY27" i="12"/>
  <c r="Z29" i="14"/>
  <c r="AV22" i="21"/>
  <c r="AX22" i="21"/>
  <c r="AZ22" i="21" s="1"/>
  <c r="AX17" i="21"/>
  <c r="AZ17" i="21" s="1"/>
  <c r="AV17" i="21"/>
  <c r="AQ28" i="7"/>
  <c r="AT25" i="25" s="1"/>
  <c r="AO87" i="19"/>
  <c r="AJ93" i="19"/>
  <c r="AJ65" i="19"/>
  <c r="AO59" i="19"/>
  <c r="X36" i="20"/>
  <c r="CA33" i="12"/>
  <c r="U36" i="13"/>
  <c r="AE69" i="14"/>
  <c r="AU65" i="12" l="1"/>
  <c r="AA31" i="21"/>
  <c r="Z30" i="14"/>
  <c r="AO58" i="12"/>
  <c r="BZ29" i="12"/>
  <c r="AU72" i="12"/>
  <c r="AO72" i="12"/>
  <c r="X33" i="20" s="1"/>
  <c r="S32" i="14"/>
  <c r="AP28" i="25"/>
  <c r="BA31" i="12"/>
  <c r="AX31" i="12"/>
  <c r="BZ23" i="12"/>
  <c r="BA34" i="12"/>
  <c r="AU31" i="12"/>
  <c r="BY23" i="12"/>
  <c r="Z25" i="14"/>
  <c r="AU58" i="12"/>
  <c r="BZ52" i="12"/>
  <c r="BC31" i="12"/>
  <c r="BD31" i="12" s="1"/>
  <c r="BZ54" i="12"/>
  <c r="BC37" i="12"/>
  <c r="BD37" i="12" s="1"/>
  <c r="AF27" i="14"/>
  <c r="AG27" i="14" s="1"/>
  <c r="AO31" i="12"/>
  <c r="X26" i="20" s="1"/>
  <c r="BY24" i="12"/>
  <c r="Z26" i="14"/>
  <c r="BY58" i="12"/>
  <c r="W28" i="14"/>
  <c r="Y28" i="14" s="1"/>
  <c r="AA27" i="21"/>
  <c r="AP28" i="21"/>
  <c r="AQ28" i="21" s="1"/>
  <c r="S35" i="14"/>
  <c r="AL28" i="14"/>
  <c r="W26" i="14"/>
  <c r="Y26" i="14" s="1"/>
  <c r="W25" i="14"/>
  <c r="Y25" i="14" s="1"/>
  <c r="S29" i="14"/>
  <c r="R24" i="14"/>
  <c r="S24" i="14" s="1"/>
  <c r="AR24" i="21"/>
  <c r="AU24" i="21"/>
  <c r="AV24" i="21" s="1"/>
  <c r="R34" i="14"/>
  <c r="W34" i="14" s="1"/>
  <c r="Y34" i="14" s="1"/>
  <c r="O27" i="14"/>
  <c r="W23" i="14"/>
  <c r="Y23" i="14" s="1"/>
  <c r="AU33" i="21"/>
  <c r="AV33" i="21" s="1"/>
  <c r="AJ41" i="21"/>
  <c r="AK41" i="21" s="1"/>
  <c r="W33" i="14"/>
  <c r="Y33" i="14" s="1"/>
  <c r="AH25" i="14"/>
  <c r="AI25" i="14" s="1"/>
  <c r="AQ41" i="25"/>
  <c r="AR41" i="25" s="1"/>
  <c r="AN41" i="25"/>
  <c r="AP41" i="25" s="1"/>
  <c r="AL35" i="21"/>
  <c r="AK35" i="21"/>
  <c r="AL26" i="21"/>
  <c r="AK26" i="21"/>
  <c r="AZ31" i="25"/>
  <c r="BB31" i="25"/>
  <c r="BD31" i="25" s="1"/>
  <c r="X26" i="25"/>
  <c r="Z26" i="25" s="1"/>
  <c r="V26" i="25"/>
  <c r="AP25" i="25"/>
  <c r="AO25" i="25"/>
  <c r="AY25" i="25"/>
  <c r="AU24" i="25"/>
  <c r="AV24" i="25"/>
  <c r="V29" i="25"/>
  <c r="X29" i="25"/>
  <c r="Z29" i="25" s="1"/>
  <c r="AV25" i="25"/>
  <c r="AU25" i="25"/>
  <c r="V33" i="21"/>
  <c r="X33" i="21"/>
  <c r="Z33" i="21" s="1"/>
  <c r="V31" i="21"/>
  <c r="X31" i="21"/>
  <c r="Z31" i="21" s="1"/>
  <c r="V27" i="21"/>
  <c r="X27" i="21"/>
  <c r="Z27" i="21" s="1"/>
  <c r="BB30" i="25"/>
  <c r="BD30" i="25" s="1"/>
  <c r="AZ30" i="25"/>
  <c r="AL25" i="21"/>
  <c r="AK25" i="21"/>
  <c r="AZ36" i="25"/>
  <c r="BB36" i="25"/>
  <c r="BD36" i="25" s="1"/>
  <c r="AZ29" i="25"/>
  <c r="BB29" i="25"/>
  <c r="BD29" i="25" s="1"/>
  <c r="AV33" i="25"/>
  <c r="AU33" i="25"/>
  <c r="AS28" i="25"/>
  <c r="AR28" i="25"/>
  <c r="X24" i="21"/>
  <c r="Z24" i="21" s="1"/>
  <c r="V24" i="21"/>
  <c r="V31" i="25"/>
  <c r="X31" i="25"/>
  <c r="Z31" i="25" s="1"/>
  <c r="V30" i="21"/>
  <c r="X30" i="21"/>
  <c r="Z30" i="21" s="1"/>
  <c r="AF25" i="14"/>
  <c r="AT26" i="25"/>
  <c r="AY26" i="25" s="1"/>
  <c r="R25" i="25"/>
  <c r="Q25" i="25"/>
  <c r="U25" i="25"/>
  <c r="V27" i="25"/>
  <c r="X27" i="25"/>
  <c r="Z27" i="25" s="1"/>
  <c r="Q35" i="21"/>
  <c r="R35" i="21"/>
  <c r="U35" i="21"/>
  <c r="V36" i="25"/>
  <c r="X36" i="25"/>
  <c r="Z36" i="25" s="1"/>
  <c r="AO28" i="21"/>
  <c r="AN28" i="21"/>
  <c r="V24" i="25"/>
  <c r="X24" i="25"/>
  <c r="Z24" i="25" s="1"/>
  <c r="AU35" i="25"/>
  <c r="AV35" i="25"/>
  <c r="AO25" i="21"/>
  <c r="AN25" i="21"/>
  <c r="AU28" i="25"/>
  <c r="AV28" i="25"/>
  <c r="AA32" i="21"/>
  <c r="AA32" i="25"/>
  <c r="Q35" i="25"/>
  <c r="R35" i="25"/>
  <c r="U35" i="25"/>
  <c r="AZ34" i="25"/>
  <c r="BB34" i="25"/>
  <c r="BD34" i="25" s="1"/>
  <c r="V34" i="21"/>
  <c r="X34" i="21"/>
  <c r="Z34" i="21" s="1"/>
  <c r="AZ32" i="25"/>
  <c r="BB32" i="25"/>
  <c r="BD32" i="25" s="1"/>
  <c r="AR33" i="21"/>
  <c r="AS35" i="25"/>
  <c r="AR35" i="25"/>
  <c r="Q28" i="21"/>
  <c r="R28" i="21"/>
  <c r="U28" i="21"/>
  <c r="AZ24" i="25"/>
  <c r="BB24" i="25"/>
  <c r="BD24" i="25" s="1"/>
  <c r="V33" i="25"/>
  <c r="X33" i="25"/>
  <c r="Z33" i="25" s="1"/>
  <c r="X36" i="21"/>
  <c r="Z36" i="21" s="1"/>
  <c r="V36" i="21"/>
  <c r="X30" i="25"/>
  <c r="Z30" i="25" s="1"/>
  <c r="V30" i="25"/>
  <c r="V32" i="21"/>
  <c r="X32" i="21"/>
  <c r="Z32" i="21" s="1"/>
  <c r="V26" i="21"/>
  <c r="X26" i="21"/>
  <c r="Z26" i="21" s="1"/>
  <c r="AO35" i="21"/>
  <c r="AN35" i="21"/>
  <c r="AY28" i="25"/>
  <c r="V34" i="25"/>
  <c r="X34" i="25"/>
  <c r="Z34" i="25" s="1"/>
  <c r="AS26" i="25"/>
  <c r="AR26" i="25"/>
  <c r="AY33" i="25"/>
  <c r="Q28" i="25"/>
  <c r="R28" i="25"/>
  <c r="U28" i="25"/>
  <c r="Q25" i="21"/>
  <c r="R25" i="21"/>
  <c r="U25" i="21"/>
  <c r="AO35" i="25"/>
  <c r="AP35" i="25"/>
  <c r="AY35" i="25"/>
  <c r="AO26" i="21"/>
  <c r="AN26" i="21"/>
  <c r="AZ27" i="25"/>
  <c r="BB27" i="25"/>
  <c r="BD27" i="25" s="1"/>
  <c r="AP26" i="25"/>
  <c r="AO26" i="25"/>
  <c r="X29" i="21"/>
  <c r="Z29" i="21" s="1"/>
  <c r="V29" i="21"/>
  <c r="V32" i="25"/>
  <c r="X32" i="25"/>
  <c r="Z32" i="25" s="1"/>
  <c r="AU36" i="21"/>
  <c r="AR36" i="21"/>
  <c r="AU29" i="21"/>
  <c r="AR29" i="21"/>
  <c r="AU27" i="21"/>
  <c r="AR27" i="21"/>
  <c r="AU30" i="21"/>
  <c r="AR30" i="21"/>
  <c r="AU34" i="21"/>
  <c r="AR34" i="21"/>
  <c r="AU26" i="21"/>
  <c r="AR26" i="21"/>
  <c r="AU32" i="21"/>
  <c r="AR32" i="21"/>
  <c r="AU31" i="21"/>
  <c r="AR31" i="21"/>
  <c r="AG23" i="14"/>
  <c r="BY29" i="12"/>
  <c r="Z31" i="14"/>
  <c r="S27" i="14"/>
  <c r="W27" i="14"/>
  <c r="AG32" i="14"/>
  <c r="AU37" i="12"/>
  <c r="BA37" i="12"/>
  <c r="BZ61" i="12"/>
  <c r="AU86" i="12"/>
  <c r="AX86" i="12"/>
  <c r="BA86" i="12"/>
  <c r="AJ37" i="19"/>
  <c r="AO35" i="19"/>
  <c r="AQ32" i="14"/>
  <c r="AS32" i="14" s="1"/>
  <c r="AM32" i="14"/>
  <c r="AW7" i="9"/>
  <c r="AM5" i="9"/>
  <c r="BZ32" i="12"/>
  <c r="AO86" i="12"/>
  <c r="AG29" i="14"/>
  <c r="X30" i="20"/>
  <c r="CA27" i="12"/>
  <c r="U30" i="13"/>
  <c r="AM23" i="14"/>
  <c r="AQ23" i="14"/>
  <c r="AS23" i="14" s="1"/>
  <c r="AO25" i="19"/>
  <c r="AN25" i="19"/>
  <c r="BX61" i="12"/>
  <c r="BY61" i="12"/>
  <c r="AO80" i="19"/>
  <c r="AJ86" i="19"/>
  <c r="AG31" i="14"/>
  <c r="AA35" i="21"/>
  <c r="Z34" i="14"/>
  <c r="BY32" i="12"/>
  <c r="X31" i="20"/>
  <c r="U31" i="13"/>
  <c r="CA28" i="12"/>
  <c r="AX37" i="12"/>
  <c r="AG35" i="14"/>
  <c r="X32" i="20"/>
  <c r="U32" i="13"/>
  <c r="CA29" i="12"/>
  <c r="AA28" i="21"/>
  <c r="BY25" i="12"/>
  <c r="Z27" i="14"/>
  <c r="AG28" i="14"/>
  <c r="AJ31" i="19"/>
  <c r="AO29" i="19"/>
  <c r="AF24" i="14"/>
  <c r="AP25" i="21"/>
  <c r="AG26" i="14"/>
  <c r="AG33" i="14"/>
  <c r="X23" i="20"/>
  <c r="CA20" i="12"/>
  <c r="U23" i="13"/>
  <c r="AO58" i="19"/>
  <c r="AN58" i="19"/>
  <c r="AO51" i="19"/>
  <c r="AN51" i="19"/>
  <c r="X27" i="20"/>
  <c r="CA24" i="12"/>
  <c r="U27" i="13"/>
  <c r="AO65" i="19"/>
  <c r="AN65" i="19"/>
  <c r="AO26" i="19"/>
  <c r="AJ28" i="19"/>
  <c r="AO79" i="19"/>
  <c r="AN79" i="19"/>
  <c r="AP35" i="21"/>
  <c r="AQ35" i="21" s="1"/>
  <c r="AF34" i="14"/>
  <c r="AL34" i="14" s="1"/>
  <c r="AN93" i="19"/>
  <c r="AO93" i="19"/>
  <c r="AG30" i="14"/>
  <c r="AO34" i="19"/>
  <c r="AN34" i="19"/>
  <c r="BZ25" i="12"/>
  <c r="AO37" i="12"/>
  <c r="CJ48" i="12"/>
  <c r="AO72" i="19"/>
  <c r="AN72" i="19"/>
  <c r="AJ24" i="14"/>
  <c r="AM41" i="21"/>
  <c r="AS16" i="14"/>
  <c r="AQ5" i="14"/>
  <c r="AH64" i="14"/>
  <c r="AI64" i="14" s="1"/>
  <c r="BX54" i="12"/>
  <c r="BY54" i="12"/>
  <c r="AN44" i="19"/>
  <c r="AO44" i="19"/>
  <c r="AS20" i="14"/>
  <c r="CA30" i="12" l="1"/>
  <c r="U33" i="13"/>
  <c r="AL27" i="14"/>
  <c r="AM27" i="14" s="1"/>
  <c r="U26" i="13"/>
  <c r="CA23" i="12"/>
  <c r="AR28" i="21"/>
  <c r="AU28" i="21"/>
  <c r="AX28" i="21" s="1"/>
  <c r="AZ28" i="21" s="1"/>
  <c r="AH55" i="14"/>
  <c r="AI55" i="14" s="1"/>
  <c r="AL55" i="14" s="1"/>
  <c r="W24" i="14"/>
  <c r="AH56" i="14" s="1"/>
  <c r="AH40" i="14"/>
  <c r="AI40" i="14" s="1"/>
  <c r="AL41" i="21"/>
  <c r="S34" i="14"/>
  <c r="W7" i="14"/>
  <c r="Y7" i="14" s="1"/>
  <c r="AL25" i="14"/>
  <c r="AQ25" i="14" s="1"/>
  <c r="AG25" i="14"/>
  <c r="AX24" i="21"/>
  <c r="AZ24" i="21" s="1"/>
  <c r="AX33" i="21"/>
  <c r="AZ33" i="21" s="1"/>
  <c r="AW10" i="9"/>
  <c r="AO41" i="25"/>
  <c r="AS41" i="25"/>
  <c r="AO41" i="21"/>
  <c r="AN41" i="21"/>
  <c r="V28" i="21"/>
  <c r="X28" i="21"/>
  <c r="Z28" i="21" s="1"/>
  <c r="AR25" i="21"/>
  <c r="AQ25" i="21"/>
  <c r="AZ33" i="25"/>
  <c r="BB33" i="25"/>
  <c r="BD33" i="25" s="1"/>
  <c r="V25" i="25"/>
  <c r="X25" i="25"/>
  <c r="Z25" i="25" s="1"/>
  <c r="AZ28" i="25"/>
  <c r="BB28" i="25"/>
  <c r="BD28" i="25" s="1"/>
  <c r="AZ35" i="25"/>
  <c r="BB35" i="25"/>
  <c r="BD35" i="25" s="1"/>
  <c r="V35" i="25"/>
  <c r="X35" i="25"/>
  <c r="Z35" i="25" s="1"/>
  <c r="X25" i="21"/>
  <c r="Z25" i="21" s="1"/>
  <c r="V25" i="21"/>
  <c r="BB26" i="25"/>
  <c r="BD26" i="25" s="1"/>
  <c r="AZ26" i="25"/>
  <c r="V28" i="25"/>
  <c r="X28" i="25"/>
  <c r="Z28" i="25" s="1"/>
  <c r="X35" i="21"/>
  <c r="Z35" i="21" s="1"/>
  <c r="V35" i="21"/>
  <c r="AU26" i="25"/>
  <c r="AV26" i="25"/>
  <c r="AZ25" i="25"/>
  <c r="BB25" i="25"/>
  <c r="BD25" i="25" s="1"/>
  <c r="AU35" i="21"/>
  <c r="AR35" i="21"/>
  <c r="AU25" i="21"/>
  <c r="AV25" i="21" s="1"/>
  <c r="AL24" i="14"/>
  <c r="Y27" i="14"/>
  <c r="AH57" i="14"/>
  <c r="AI57" i="14" s="1"/>
  <c r="AM26" i="14"/>
  <c r="AQ26" i="14"/>
  <c r="AQ30" i="14"/>
  <c r="AS30" i="14" s="1"/>
  <c r="AM30" i="14"/>
  <c r="AG34" i="14"/>
  <c r="AG24" i="14"/>
  <c r="AV34" i="21"/>
  <c r="AX34" i="21"/>
  <c r="AZ34" i="21" s="1"/>
  <c r="AM28" i="14"/>
  <c r="AQ28" i="14"/>
  <c r="AS28" i="14" s="1"/>
  <c r="AM35" i="14"/>
  <c r="AQ35" i="14"/>
  <c r="AS35" i="14" s="1"/>
  <c r="AV26" i="21"/>
  <c r="AX26" i="21"/>
  <c r="AZ26" i="21" s="1"/>
  <c r="AN31" i="19"/>
  <c r="AO31" i="19"/>
  <c r="AX36" i="21"/>
  <c r="AZ36" i="21" s="1"/>
  <c r="AV36" i="21"/>
  <c r="AQ64" i="14"/>
  <c r="AL64" i="14"/>
  <c r="AV29" i="21"/>
  <c r="AX29" i="21"/>
  <c r="AZ29" i="21" s="1"/>
  <c r="AM29" i="14"/>
  <c r="AQ29" i="14"/>
  <c r="AV31" i="21"/>
  <c r="AX31" i="21"/>
  <c r="AZ31" i="21" s="1"/>
  <c r="AQ31" i="14"/>
  <c r="AS31" i="14" s="1"/>
  <c r="AM31" i="14"/>
  <c r="AK24" i="14"/>
  <c r="AJ40" i="14"/>
  <c r="AK40" i="14" s="1"/>
  <c r="AM33" i="14"/>
  <c r="AQ33" i="14"/>
  <c r="AS33" i="14" s="1"/>
  <c r="X35" i="20"/>
  <c r="CA32" i="12"/>
  <c r="U35" i="13"/>
  <c r="X28" i="20"/>
  <c r="CA25" i="12"/>
  <c r="U28" i="13"/>
  <c r="AS5" i="14"/>
  <c r="AR5" i="14"/>
  <c r="AV32" i="21"/>
  <c r="AX32" i="21"/>
  <c r="AZ32" i="21" s="1"/>
  <c r="AN28" i="19"/>
  <c r="AO28" i="19"/>
  <c r="AV30" i="21"/>
  <c r="AX30" i="21"/>
  <c r="AZ30" i="21" s="1"/>
  <c r="AO37" i="19"/>
  <c r="AN37" i="19"/>
  <c r="AX27" i="21"/>
  <c r="AZ27" i="21" s="1"/>
  <c r="AV27" i="21"/>
  <c r="AD20" i="10"/>
  <c r="AD19" i="10"/>
  <c r="K20" i="7"/>
  <c r="AI19" i="10" l="1"/>
  <c r="AH19" i="10"/>
  <c r="AI20" i="10"/>
  <c r="AH20" i="10"/>
  <c r="AQ27" i="14"/>
  <c r="AS27" i="14" s="1"/>
  <c r="AM15" i="29"/>
  <c r="BD15" i="29" s="1"/>
  <c r="AS20" i="12"/>
  <c r="AM16" i="29"/>
  <c r="BD16" i="29" s="1"/>
  <c r="AS21" i="12"/>
  <c r="AV28" i="21"/>
  <c r="AQ55" i="14"/>
  <c r="AM25" i="14"/>
  <c r="Y24" i="14"/>
  <c r="X7" i="14"/>
  <c r="AX25" i="21"/>
  <c r="AZ25" i="21" s="1"/>
  <c r="F20" i="19"/>
  <c r="AF20" i="19" s="1"/>
  <c r="AQ57" i="14"/>
  <c r="AL57" i="14"/>
  <c r="F21" i="19"/>
  <c r="AF21" i="19" s="1"/>
  <c r="AJ21" i="19" s="1"/>
  <c r="AO21" i="19" s="1"/>
  <c r="AI56" i="14"/>
  <c r="AQ20" i="7"/>
  <c r="AS29" i="14"/>
  <c r="AH66" i="14"/>
  <c r="AI66" i="14" s="1"/>
  <c r="AS25" i="14"/>
  <c r="AQ34" i="14"/>
  <c r="AS34" i="14" s="1"/>
  <c r="AM34" i="14"/>
  <c r="AV35" i="21"/>
  <c r="AX35" i="21"/>
  <c r="AZ35" i="21" s="1"/>
  <c r="AQ24" i="14"/>
  <c r="AS24" i="14" s="1"/>
  <c r="AM24" i="14"/>
  <c r="AS26" i="14"/>
  <c r="W16" i="23"/>
  <c r="Z16" i="23" s="1"/>
  <c r="O20" i="11"/>
  <c r="Q20" i="11" s="1"/>
  <c r="AM15" i="17"/>
  <c r="W17" i="23"/>
  <c r="Z17" i="23" s="1"/>
  <c r="O21" i="11"/>
  <c r="Q21" i="11" s="1"/>
  <c r="AM16" i="17"/>
  <c r="K21" i="7"/>
  <c r="AU20" i="7"/>
  <c r="AQ7" i="14" l="1"/>
  <c r="AR7" i="14" s="1"/>
  <c r="AP15" i="29"/>
  <c r="AP16" i="29"/>
  <c r="BC15" i="17"/>
  <c r="BE15" i="17" s="1"/>
  <c r="BC16" i="17"/>
  <c r="BE16" i="17" s="1"/>
  <c r="AL56" i="14"/>
  <c r="AQ56" i="14"/>
  <c r="AE22" i="7"/>
  <c r="AH67" i="14"/>
  <c r="AI67" i="14" s="1"/>
  <c r="AH68" i="14"/>
  <c r="AI68" i="14" s="1"/>
  <c r="AQ66" i="14"/>
  <c r="AL66" i="14"/>
  <c r="AU21" i="7"/>
  <c r="AU22" i="7" s="1"/>
  <c r="AU3" i="7" s="1"/>
  <c r="AW5" i="7" s="1"/>
  <c r="AQ21" i="7"/>
  <c r="AQ22" i="7" s="1"/>
  <c r="AT23" i="25" s="1"/>
  <c r="AP15" i="17"/>
  <c r="AF22" i="19"/>
  <c r="AF3" i="19" s="1"/>
  <c r="AH5" i="19" s="1"/>
  <c r="AJ20" i="19"/>
  <c r="AP16" i="17"/>
  <c r="AT22" i="12"/>
  <c r="AS7" i="14" l="1"/>
  <c r="AV23" i="25"/>
  <c r="AU23" i="25"/>
  <c r="AT41" i="25"/>
  <c r="P23" i="25"/>
  <c r="P23" i="21"/>
  <c r="AE3" i="7"/>
  <c r="AG5" i="7" s="1"/>
  <c r="AZ6" i="7" s="1"/>
  <c r="AZ7" i="7" s="1"/>
  <c r="N22" i="14"/>
  <c r="AQ68" i="14"/>
  <c r="AL68" i="14"/>
  <c r="AL67" i="14"/>
  <c r="AQ67" i="14"/>
  <c r="AO20" i="19"/>
  <c r="AJ22" i="19"/>
  <c r="AU22" i="12"/>
  <c r="BA22" i="12"/>
  <c r="AP23" i="21"/>
  <c r="AQ23" i="21" s="1"/>
  <c r="AF22" i="14"/>
  <c r="AQ3" i="7"/>
  <c r="AS5" i="7" s="1"/>
  <c r="AZ11" i="7" s="1"/>
  <c r="R23" i="25" l="1"/>
  <c r="Q23" i="25"/>
  <c r="P41" i="25"/>
  <c r="Q41" i="25" s="1"/>
  <c r="U23" i="25"/>
  <c r="Q23" i="21"/>
  <c r="R23" i="21"/>
  <c r="U23" i="21"/>
  <c r="P41" i="21"/>
  <c r="AY23" i="25"/>
  <c r="AL22" i="14"/>
  <c r="AU41" i="25"/>
  <c r="AV41" i="25"/>
  <c r="AU23" i="21"/>
  <c r="AR23" i="21"/>
  <c r="O22" i="14"/>
  <c r="R22" i="14"/>
  <c r="N40" i="14"/>
  <c r="O40" i="14" s="1"/>
  <c r="AZ12" i="7"/>
  <c r="AZ13" i="7" s="1"/>
  <c r="AZ16" i="7" s="1"/>
  <c r="AG22" i="14"/>
  <c r="AF40" i="14"/>
  <c r="AG40" i="14" s="1"/>
  <c r="AO22" i="19"/>
  <c r="AN22" i="19"/>
  <c r="AJ3" i="19"/>
  <c r="AP41" i="21"/>
  <c r="R41" i="21" l="1"/>
  <c r="Q41" i="21"/>
  <c r="AR41" i="21"/>
  <c r="AQ41" i="21"/>
  <c r="V23" i="21"/>
  <c r="X23" i="21"/>
  <c r="U41" i="21"/>
  <c r="V41" i="21" s="1"/>
  <c r="V23" i="25"/>
  <c r="X23" i="25"/>
  <c r="U41" i="25"/>
  <c r="V41" i="25" s="1"/>
  <c r="AZ23" i="25"/>
  <c r="BB23" i="25"/>
  <c r="AY41" i="25"/>
  <c r="AZ41" i="25" s="1"/>
  <c r="S22" i="14"/>
  <c r="W22" i="14"/>
  <c r="R40" i="14"/>
  <c r="S40" i="14" s="1"/>
  <c r="AM22" i="14"/>
  <c r="AL40" i="14"/>
  <c r="AM40" i="14" s="1"/>
  <c r="AQ22" i="14"/>
  <c r="AU41" i="21"/>
  <c r="AV41" i="21" s="1"/>
  <c r="AX23" i="21"/>
  <c r="AV23" i="21"/>
  <c r="AV3" i="19"/>
  <c r="AV7" i="19" s="1"/>
  <c r="AV10" i="19" s="1"/>
  <c r="AV13" i="19" s="1"/>
  <c r="AL5" i="19"/>
  <c r="Z23" i="25" l="1"/>
  <c r="X41" i="25"/>
  <c r="Z41" i="25" s="1"/>
  <c r="BD23" i="25"/>
  <c r="BB41" i="25"/>
  <c r="BD41" i="25" s="1"/>
  <c r="Z23" i="21"/>
  <c r="X41" i="21"/>
  <c r="Z41" i="21" s="1"/>
  <c r="Y22" i="14"/>
  <c r="AH54" i="14"/>
  <c r="W40" i="14"/>
  <c r="W6" i="14"/>
  <c r="AZ23" i="21"/>
  <c r="AX41" i="21"/>
  <c r="AZ41" i="21" s="1"/>
  <c r="AH65" i="14"/>
  <c r="AS22" i="14"/>
  <c r="AQ40" i="14"/>
  <c r="AQ6" i="14"/>
  <c r="X6" i="14" l="1"/>
  <c r="W8" i="14"/>
  <c r="Y8" i="14" s="1"/>
  <c r="Y6" i="14"/>
  <c r="Y40" i="14"/>
  <c r="X8" i="14"/>
  <c r="AI54" i="14"/>
  <c r="AH58" i="14"/>
  <c r="AR8" i="14"/>
  <c r="AS40" i="14"/>
  <c r="AQ8" i="14"/>
  <c r="AS8" i="14" s="1"/>
  <c r="AR6" i="14"/>
  <c r="AS6" i="14"/>
  <c r="AH69" i="14"/>
  <c r="AI65" i="14"/>
  <c r="AL54" i="14" l="1"/>
  <c r="AQ54" i="14"/>
  <c r="AI58" i="14"/>
  <c r="AQ65" i="14"/>
  <c r="AI69" i="14"/>
  <c r="AL65" i="14"/>
  <c r="AL58" i="14" l="1"/>
  <c r="AQ58" i="14"/>
  <c r="AL69" i="14"/>
  <c r="AQ69" i="14"/>
  <c r="K24" i="11" l="1"/>
  <c r="M24" i="11" l="1"/>
  <c r="Z23" i="10"/>
  <c r="AA23" i="10" s="1"/>
  <c r="AI23" i="10" s="1"/>
  <c r="BD19" i="29"/>
  <c r="L24" i="11"/>
  <c r="AB19" i="17"/>
  <c r="AI19" i="17" s="1"/>
  <c r="M26" i="28" l="1"/>
  <c r="N28" i="28" s="1"/>
  <c r="O28" i="28" s="1"/>
  <c r="J26" i="28"/>
  <c r="L28" i="28" s="1"/>
  <c r="T26" i="12"/>
  <c r="U28" i="12" s="1"/>
  <c r="BV22" i="12" s="1"/>
  <c r="AI26" i="12"/>
  <c r="AJ28" i="12" s="1"/>
  <c r="L26" i="12"/>
  <c r="Q24" i="11"/>
  <c r="X19" i="17"/>
  <c r="AY26" i="12" l="1"/>
  <c r="AZ28" i="12" s="1"/>
  <c r="AV26" i="12"/>
  <c r="AW28" i="12" s="1"/>
  <c r="BB26" i="12"/>
  <c r="AS26" i="12"/>
  <c r="AT28" i="12" s="1"/>
  <c r="V28" i="12"/>
  <c r="BW22" i="12" s="1"/>
  <c r="AC19" i="17"/>
  <c r="AE19" i="17"/>
  <c r="O28" i="12"/>
  <c r="BC28" i="12" s="1"/>
  <c r="BD28" i="12" s="1"/>
  <c r="P28" i="12"/>
  <c r="AM26" i="12"/>
  <c r="AN28" i="12" s="1"/>
  <c r="BU51" i="12"/>
  <c r="AL28" i="12"/>
  <c r="BX22" i="12"/>
  <c r="AK28" i="12"/>
  <c r="BZ51" i="12" l="1"/>
  <c r="AU28" i="12"/>
  <c r="BA28" i="12"/>
  <c r="AX28" i="12"/>
  <c r="AA25" i="25"/>
  <c r="Z24" i="14"/>
  <c r="BY22" i="12"/>
  <c r="AA25" i="21"/>
  <c r="BX51" i="12"/>
  <c r="BY51" i="12"/>
  <c r="CJ47" i="12"/>
  <c r="AJ19" i="17"/>
  <c r="AO28" i="12"/>
  <c r="BZ22" i="12"/>
  <c r="CA22" i="12" l="1"/>
  <c r="X25" i="20"/>
  <c r="U25" i="13"/>
  <c r="AZ9" i="9" l="1"/>
  <c r="AZ12" i="9" s="1"/>
  <c r="AW12" i="9" s="1"/>
  <c r="AW13" i="9" s="1"/>
  <c r="AL74" i="10" l="1"/>
  <c r="AN74" i="10" s="1"/>
  <c r="U75" i="11"/>
  <c r="AP88" i="12" s="1"/>
  <c r="W75" i="11"/>
  <c r="AL77" i="10"/>
  <c r="AN77" i="10" s="1"/>
  <c r="U78" i="11"/>
  <c r="AP91" i="12" s="1"/>
  <c r="W78" i="11"/>
  <c r="P91" i="28" l="1"/>
  <c r="BE91" i="12"/>
  <c r="AX77" i="10"/>
  <c r="BG73" i="17"/>
  <c r="P88" i="28"/>
  <c r="BE88" i="12"/>
  <c r="AL30" i="10"/>
  <c r="AN30" i="10" s="1"/>
  <c r="U31" i="11"/>
  <c r="AP36" i="12" s="1"/>
  <c r="W31" i="11"/>
  <c r="AX74" i="10"/>
  <c r="BG70" i="17"/>
  <c r="AL78" i="10"/>
  <c r="AN78" i="10" s="1"/>
  <c r="U79" i="11"/>
  <c r="AP92" i="12" s="1"/>
  <c r="W79" i="11"/>
  <c r="AL76" i="10"/>
  <c r="AN76" i="10" s="1"/>
  <c r="U77" i="11"/>
  <c r="AP90" i="12" s="1"/>
  <c r="W77" i="11"/>
  <c r="AL75" i="10"/>
  <c r="AN75" i="10" s="1"/>
  <c r="U76" i="11"/>
  <c r="AP89" i="12" s="1"/>
  <c r="W76" i="11"/>
  <c r="AX76" i="10" l="1"/>
  <c r="BG72" i="17"/>
  <c r="P89" i="28"/>
  <c r="BE89" i="12"/>
  <c r="P36" i="28"/>
  <c r="BE36" i="12"/>
  <c r="AL73" i="10"/>
  <c r="AN73" i="10" s="1"/>
  <c r="U74" i="11"/>
  <c r="AP87" i="12" s="1"/>
  <c r="AQ93" i="12" s="1"/>
  <c r="W74" i="11"/>
  <c r="BE92" i="12"/>
  <c r="P92" i="28"/>
  <c r="AX75" i="10"/>
  <c r="BG71" i="17"/>
  <c r="AX30" i="10"/>
  <c r="BG26" i="17"/>
  <c r="AL29" i="10"/>
  <c r="AN29" i="10" s="1"/>
  <c r="U30" i="11"/>
  <c r="AP35" i="12" s="1"/>
  <c r="AQ37" i="12" s="1"/>
  <c r="W30" i="11"/>
  <c r="P90" i="28"/>
  <c r="BE90" i="12"/>
  <c r="AX78" i="10"/>
  <c r="BG74" i="17"/>
  <c r="AX73" i="10" l="1"/>
  <c r="BG69" i="17"/>
  <c r="BE35" i="12"/>
  <c r="BF37" i="12" s="1"/>
  <c r="P35" i="28"/>
  <c r="Q37" i="28" s="1"/>
  <c r="R37" i="28" s="1"/>
  <c r="AR37" i="12"/>
  <c r="CC25" i="12" s="1"/>
  <c r="CB25" i="12"/>
  <c r="P87" i="28"/>
  <c r="Q93" i="28" s="1"/>
  <c r="R93" i="28" s="1"/>
  <c r="BE87" i="12"/>
  <c r="BF93" i="12" s="1"/>
  <c r="AX29" i="10"/>
  <c r="BG25" i="17"/>
  <c r="AR93" i="12"/>
  <c r="CC33" i="12" s="1"/>
  <c r="CB33" i="12"/>
  <c r="CA54" i="12" l="1"/>
  <c r="BG37" i="12"/>
  <c r="CD25" i="12"/>
  <c r="BH37" i="12"/>
  <c r="AL16" i="10"/>
  <c r="AN16" i="10" s="1"/>
  <c r="U17" i="11"/>
  <c r="AP17" i="12" s="1"/>
  <c r="AQ17" i="12" s="1"/>
  <c r="W17" i="11"/>
  <c r="BH93" i="12"/>
  <c r="CA62" i="12"/>
  <c r="CD33" i="12"/>
  <c r="BG93" i="12"/>
  <c r="AL79" i="10"/>
  <c r="AN79" i="10" s="1"/>
  <c r="BG75" i="17" s="1"/>
  <c r="U80" i="11"/>
  <c r="AP94" i="12" s="1"/>
  <c r="AQ94" i="12" s="1"/>
  <c r="W80" i="11"/>
  <c r="AL80" i="10"/>
  <c r="AN80" i="10" s="1"/>
  <c r="BG76" i="17" s="1"/>
  <c r="U81" i="11"/>
  <c r="AP95" i="12" s="1"/>
  <c r="AQ95" i="12" s="1"/>
  <c r="W81" i="11"/>
  <c r="AL21" i="10" l="1"/>
  <c r="AN21" i="10" s="1"/>
  <c r="U22" i="11"/>
  <c r="AP23" i="12" s="1"/>
  <c r="W22" i="11"/>
  <c r="P17" i="28"/>
  <c r="Q17" i="28" s="1"/>
  <c r="R17" i="28" s="1"/>
  <c r="BE17" i="12"/>
  <c r="BF17" i="12" s="1"/>
  <c r="AL13" i="10"/>
  <c r="AN13" i="10" s="1"/>
  <c r="U14" i="11"/>
  <c r="AP14" i="12" s="1"/>
  <c r="AQ14" i="12" s="1"/>
  <c r="W14" i="11"/>
  <c r="AX79" i="10"/>
  <c r="P94" i="28"/>
  <c r="Q94" i="28" s="1"/>
  <c r="R94" i="28" s="1"/>
  <c r="BE94" i="12"/>
  <c r="BF94" i="12" s="1"/>
  <c r="CB17" i="12"/>
  <c r="AR17" i="12"/>
  <c r="CC17" i="12" s="1"/>
  <c r="AL23" i="10"/>
  <c r="AN23" i="10" s="1"/>
  <c r="BG19" i="17" s="1"/>
  <c r="U24" i="11"/>
  <c r="AP26" i="12" s="1"/>
  <c r="AQ28" i="12" s="1"/>
  <c r="W24" i="11"/>
  <c r="AL63" i="10"/>
  <c r="AN63" i="10" s="1"/>
  <c r="U64" i="11"/>
  <c r="AP75" i="12" s="1"/>
  <c r="W64" i="11"/>
  <c r="AL52" i="10"/>
  <c r="AN52" i="10" s="1"/>
  <c r="U53" i="11"/>
  <c r="AP62" i="12" s="1"/>
  <c r="W53" i="11"/>
  <c r="CB34" i="12"/>
  <c r="AR94" i="12"/>
  <c r="CC34" i="12" s="1"/>
  <c r="AX16" i="10"/>
  <c r="BG12" i="17"/>
  <c r="AL25" i="10"/>
  <c r="AN25" i="10" s="1"/>
  <c r="U26" i="11"/>
  <c r="AP29" i="12" s="1"/>
  <c r="AQ31" i="12" s="1"/>
  <c r="W26" i="11"/>
  <c r="AL50" i="10"/>
  <c r="AN50" i="10" s="1"/>
  <c r="U51" i="11"/>
  <c r="AP60" i="12" s="1"/>
  <c r="W51" i="11"/>
  <c r="AL65" i="10"/>
  <c r="AN65" i="10" s="1"/>
  <c r="U66" i="11"/>
  <c r="AP77" i="12" s="1"/>
  <c r="W66" i="11"/>
  <c r="AL48" i="10"/>
  <c r="AN48" i="10" s="1"/>
  <c r="U49" i="11"/>
  <c r="AP57" i="12" s="1"/>
  <c r="W49" i="11"/>
  <c r="AR95" i="12"/>
  <c r="CC35" i="12" s="1"/>
  <c r="CB35" i="12"/>
  <c r="AL46" i="10"/>
  <c r="AN46" i="10" s="1"/>
  <c r="U47" i="11"/>
  <c r="AP55" i="12" s="1"/>
  <c r="W47" i="11"/>
  <c r="AL70" i="10"/>
  <c r="AN70" i="10" s="1"/>
  <c r="U71" i="11"/>
  <c r="AP83" i="12" s="1"/>
  <c r="W71" i="11"/>
  <c r="AL71" i="10"/>
  <c r="AN71" i="10" s="1"/>
  <c r="U72" i="11"/>
  <c r="AP84" i="12" s="1"/>
  <c r="W72" i="11"/>
  <c r="AL19" i="10"/>
  <c r="AN19" i="10" s="1"/>
  <c r="U20" i="11"/>
  <c r="AP20" i="12" s="1"/>
  <c r="W20" i="11"/>
  <c r="AL59" i="10"/>
  <c r="AN59" i="10" s="1"/>
  <c r="U60" i="11"/>
  <c r="AP70" i="12" s="1"/>
  <c r="W60" i="11"/>
  <c r="CE33" i="12"/>
  <c r="AT35" i="14" s="1"/>
  <c r="BE36" i="25"/>
  <c r="BA36" i="21"/>
  <c r="AL49" i="10"/>
  <c r="AN49" i="10" s="1"/>
  <c r="U50" i="11"/>
  <c r="AP59" i="12" s="1"/>
  <c r="W50" i="11"/>
  <c r="CE25" i="12"/>
  <c r="AT27" i="14" s="1"/>
  <c r="BE28" i="25"/>
  <c r="BA28" i="21"/>
  <c r="AL72" i="10"/>
  <c r="AN72" i="10" s="1"/>
  <c r="BG68" i="17" s="1"/>
  <c r="U73" i="11"/>
  <c r="AP85" i="12" s="1"/>
  <c r="W73" i="11"/>
  <c r="AL24" i="10"/>
  <c r="AN24" i="10" s="1"/>
  <c r="U25" i="11"/>
  <c r="AP27" i="12" s="1"/>
  <c r="W25" i="11"/>
  <c r="AX80" i="10"/>
  <c r="P95" i="28"/>
  <c r="Q95" i="28" s="1"/>
  <c r="R95" i="28" s="1"/>
  <c r="BE95" i="12"/>
  <c r="BF95" i="12" s="1"/>
  <c r="CD62" i="12"/>
  <c r="CE62" i="12"/>
  <c r="CD54" i="12"/>
  <c r="CE54" i="12"/>
  <c r="AL14" i="10" l="1"/>
  <c r="AN14" i="10" s="1"/>
  <c r="U15" i="11"/>
  <c r="AP15" i="12" s="1"/>
  <c r="AQ15" i="12" s="1"/>
  <c r="W15" i="11"/>
  <c r="AL41" i="10"/>
  <c r="AN41" i="10" s="1"/>
  <c r="U42" i="11"/>
  <c r="AP49" i="12" s="1"/>
  <c r="W42" i="11"/>
  <c r="AL57" i="10"/>
  <c r="AN57" i="10" s="1"/>
  <c r="U58" i="11"/>
  <c r="AP68" i="12" s="1"/>
  <c r="W58" i="11"/>
  <c r="AL43" i="10"/>
  <c r="AN43" i="10" s="1"/>
  <c r="U44" i="11"/>
  <c r="AP52" i="12" s="1"/>
  <c r="W44" i="11"/>
  <c r="AL33" i="10"/>
  <c r="AN33" i="10" s="1"/>
  <c r="U34" i="11"/>
  <c r="AP40" i="12" s="1"/>
  <c r="W34" i="11"/>
  <c r="P70" i="28"/>
  <c r="BE70" i="12"/>
  <c r="AX71" i="10"/>
  <c r="BG67" i="17"/>
  <c r="AR28" i="12"/>
  <c r="CC22" i="12" s="1"/>
  <c r="CB22" i="12"/>
  <c r="AR14" i="12"/>
  <c r="CC14" i="12" s="1"/>
  <c r="CB14" i="12"/>
  <c r="AL55" i="10"/>
  <c r="AN55" i="10" s="1"/>
  <c r="U56" i="11"/>
  <c r="AP66" i="12" s="1"/>
  <c r="W56" i="11"/>
  <c r="AL53" i="10"/>
  <c r="AN53" i="10" s="1"/>
  <c r="U54" i="11"/>
  <c r="AP63" i="12" s="1"/>
  <c r="W54" i="11"/>
  <c r="AL54" i="10"/>
  <c r="AN54" i="10" s="1"/>
  <c r="U55" i="11"/>
  <c r="AP64" i="12" s="1"/>
  <c r="W55" i="11"/>
  <c r="P27" i="28"/>
  <c r="BE27" i="12"/>
  <c r="P83" i="28"/>
  <c r="BE83" i="12"/>
  <c r="P57" i="28"/>
  <c r="BE57" i="12"/>
  <c r="AX50" i="10"/>
  <c r="BG46" i="17"/>
  <c r="P62" i="28"/>
  <c r="BE62" i="12"/>
  <c r="AX13" i="10"/>
  <c r="BG9" i="17"/>
  <c r="AL56" i="10"/>
  <c r="AN56" i="10" s="1"/>
  <c r="U57" i="11"/>
  <c r="AP67" i="12" s="1"/>
  <c r="W57" i="11"/>
  <c r="AL62" i="10"/>
  <c r="AN62" i="10" s="1"/>
  <c r="U63" i="11"/>
  <c r="AP74" i="12" s="1"/>
  <c r="W63" i="11"/>
  <c r="AL44" i="10"/>
  <c r="AN44" i="10" s="1"/>
  <c r="U45" i="11"/>
  <c r="AP53" i="12" s="1"/>
  <c r="W45" i="11"/>
  <c r="AL67" i="10"/>
  <c r="AN67" i="10" s="1"/>
  <c r="U68" i="11"/>
  <c r="AP80" i="12" s="1"/>
  <c r="AQ86" i="12" s="1"/>
  <c r="W68" i="11"/>
  <c r="P59" i="28"/>
  <c r="BE59" i="12"/>
  <c r="AX59" i="10"/>
  <c r="BG55" i="17"/>
  <c r="P29" i="28"/>
  <c r="Q31" i="28" s="1"/>
  <c r="R31" i="28" s="1"/>
  <c r="BE29" i="12"/>
  <c r="BF31" i="12" s="1"/>
  <c r="BG17" i="12"/>
  <c r="BH17" i="12"/>
  <c r="CA46" i="12"/>
  <c r="CD17" i="12"/>
  <c r="AL32" i="10"/>
  <c r="AN32" i="10" s="1"/>
  <c r="U33" i="11"/>
  <c r="AP39" i="12" s="1"/>
  <c r="W33" i="11"/>
  <c r="AL61" i="10"/>
  <c r="AN61" i="10" s="1"/>
  <c r="U62" i="11"/>
  <c r="AP73" i="12" s="1"/>
  <c r="AQ79" i="12" s="1"/>
  <c r="W62" i="11"/>
  <c r="AL37" i="10"/>
  <c r="AN37" i="10" s="1"/>
  <c r="U38" i="11"/>
  <c r="AP45" i="12" s="1"/>
  <c r="W38" i="11"/>
  <c r="AX24" i="10"/>
  <c r="BG20" i="17"/>
  <c r="P20" i="28"/>
  <c r="BE20" i="12"/>
  <c r="AX70" i="10"/>
  <c r="BG66" i="17"/>
  <c r="AX48" i="10"/>
  <c r="BG44" i="17"/>
  <c r="AR31" i="12"/>
  <c r="CC23" i="12" s="1"/>
  <c r="CB23" i="12"/>
  <c r="AX52" i="10"/>
  <c r="BG48" i="17"/>
  <c r="AX23" i="10"/>
  <c r="P26" i="28"/>
  <c r="Q28" i="28" s="1"/>
  <c r="R28" i="28" s="1"/>
  <c r="BE26" i="12"/>
  <c r="BF28" i="12" s="1"/>
  <c r="AL26" i="10"/>
  <c r="AN26" i="10" s="1"/>
  <c r="U27" i="11"/>
  <c r="AP30" i="12" s="1"/>
  <c r="W27" i="11"/>
  <c r="AL45" i="10"/>
  <c r="AN45" i="10" s="1"/>
  <c r="U46" i="11"/>
  <c r="AP54" i="12" s="1"/>
  <c r="W46" i="11"/>
  <c r="AL58" i="10"/>
  <c r="AN58" i="10" s="1"/>
  <c r="U59" i="11"/>
  <c r="AP69" i="12" s="1"/>
  <c r="W59" i="11"/>
  <c r="CA64" i="12"/>
  <c r="BH95" i="12"/>
  <c r="BG95" i="12"/>
  <c r="CD35" i="12"/>
  <c r="AX72" i="10"/>
  <c r="BE85" i="12"/>
  <c r="P85" i="28"/>
  <c r="AX49" i="10"/>
  <c r="BG45" i="17"/>
  <c r="P55" i="28"/>
  <c r="BE55" i="12"/>
  <c r="P77" i="28"/>
  <c r="BE77" i="12"/>
  <c r="AX25" i="10"/>
  <c r="BG21" i="17"/>
  <c r="BE75" i="12"/>
  <c r="P75" i="28"/>
  <c r="CA63" i="12"/>
  <c r="CD34" i="12"/>
  <c r="BH94" i="12"/>
  <c r="BG94" i="12"/>
  <c r="P23" i="28"/>
  <c r="BE23" i="12"/>
  <c r="AL64" i="10"/>
  <c r="AN64" i="10" s="1"/>
  <c r="U65" i="11"/>
  <c r="AP76" i="12" s="1"/>
  <c r="W65" i="11"/>
  <c r="AL15" i="10"/>
  <c r="AN15" i="10" s="1"/>
  <c r="BG11" i="17" s="1"/>
  <c r="U16" i="11"/>
  <c r="AP16" i="12" s="1"/>
  <c r="AQ16" i="12" s="1"/>
  <c r="W16" i="11"/>
  <c r="P60" i="28"/>
  <c r="BE60" i="12"/>
  <c r="AX19" i="10"/>
  <c r="BG15" i="17"/>
  <c r="P14" i="28"/>
  <c r="Q14" i="28" s="1"/>
  <c r="R14" i="28" s="1"/>
  <c r="BE14" i="12"/>
  <c r="BF14" i="12" s="1"/>
  <c r="CD14" i="12" s="1"/>
  <c r="AL51" i="10"/>
  <c r="AN51" i="10" s="1"/>
  <c r="U52" i="11"/>
  <c r="AP61" i="12" s="1"/>
  <c r="AQ65" i="12" s="1"/>
  <c r="W52" i="11"/>
  <c r="AL34" i="10"/>
  <c r="AN34" i="10" s="1"/>
  <c r="U35" i="11"/>
  <c r="AP41" i="12" s="1"/>
  <c r="W35" i="11"/>
  <c r="AL60" i="10"/>
  <c r="AN60" i="10" s="1"/>
  <c r="U61" i="11"/>
  <c r="AP71" i="12" s="1"/>
  <c r="W61" i="11"/>
  <c r="P84" i="28"/>
  <c r="BE84" i="12"/>
  <c r="AX46" i="10"/>
  <c r="BG42" i="17"/>
  <c r="AX65" i="10"/>
  <c r="BG61" i="17"/>
  <c r="AX63" i="10"/>
  <c r="BG59" i="17"/>
  <c r="AX21" i="10"/>
  <c r="BG17" i="17"/>
  <c r="AQ58" i="12" l="1"/>
  <c r="AR58" i="12" s="1"/>
  <c r="CC28" i="12" s="1"/>
  <c r="AR65" i="12"/>
  <c r="CC29" i="12" s="1"/>
  <c r="CB29" i="12"/>
  <c r="AX57" i="10"/>
  <c r="BG53" i="17"/>
  <c r="AX51" i="10"/>
  <c r="BG47" i="17"/>
  <c r="AL31" i="10"/>
  <c r="AN31" i="10" s="1"/>
  <c r="U32" i="11"/>
  <c r="AP38" i="12" s="1"/>
  <c r="AQ44" i="12" s="1"/>
  <c r="W32" i="11"/>
  <c r="AQ72" i="12"/>
  <c r="AX34" i="10"/>
  <c r="BG30" i="17"/>
  <c r="AL69" i="10"/>
  <c r="AN69" i="10" s="1"/>
  <c r="U70" i="11"/>
  <c r="AP82" i="12" s="1"/>
  <c r="W70" i="11"/>
  <c r="AX37" i="10"/>
  <c r="BG33" i="17"/>
  <c r="CE46" i="12"/>
  <c r="CD46" i="12"/>
  <c r="BE67" i="12"/>
  <c r="P67" i="28"/>
  <c r="AL40" i="10"/>
  <c r="AN40" i="10" s="1"/>
  <c r="U41" i="11"/>
  <c r="AP48" i="12" s="1"/>
  <c r="W41" i="11"/>
  <c r="AL18" i="10"/>
  <c r="AN18" i="10" s="1"/>
  <c r="U19" i="11"/>
  <c r="AP19" i="12" s="1"/>
  <c r="AQ19" i="12" s="1"/>
  <c r="W19" i="11"/>
  <c r="AL28" i="10"/>
  <c r="AN28" i="10" s="1"/>
  <c r="U29" i="11"/>
  <c r="AP33" i="12" s="1"/>
  <c r="W29" i="11"/>
  <c r="AX26" i="10"/>
  <c r="BG22" i="17"/>
  <c r="P80" i="28"/>
  <c r="Q86" i="28" s="1"/>
  <c r="R86" i="28" s="1"/>
  <c r="BE80" i="12"/>
  <c r="BF86" i="12" s="1"/>
  <c r="CB16" i="12"/>
  <c r="AR16" i="12"/>
  <c r="CC16" i="12" s="1"/>
  <c r="AL42" i="10"/>
  <c r="AN42" i="10" s="1"/>
  <c r="U43" i="11"/>
  <c r="AP50" i="12" s="1"/>
  <c r="W43" i="11"/>
  <c r="CB31" i="12"/>
  <c r="AR79" i="12"/>
  <c r="CC31" i="12" s="1"/>
  <c r="CE17" i="12"/>
  <c r="AT19" i="14" s="1"/>
  <c r="BE20" i="25"/>
  <c r="BA20" i="21"/>
  <c r="P49" i="28"/>
  <c r="BE49" i="12"/>
  <c r="P71" i="28"/>
  <c r="BE71" i="12"/>
  <c r="AL38" i="10"/>
  <c r="AN38" i="10" s="1"/>
  <c r="U39" i="11"/>
  <c r="AP46" i="12" s="1"/>
  <c r="AQ51" i="12" s="1"/>
  <c r="W39" i="11"/>
  <c r="BE61" i="12"/>
  <c r="BF65" i="12" s="1"/>
  <c r="P61" i="28"/>
  <c r="Q65" i="28" s="1"/>
  <c r="R65" i="28" s="1"/>
  <c r="AX61" i="10"/>
  <c r="BG57" i="17"/>
  <c r="BH31" i="12"/>
  <c r="BG31" i="12"/>
  <c r="CA52" i="12"/>
  <c r="CD23" i="12"/>
  <c r="AX67" i="10"/>
  <c r="BG63" i="17"/>
  <c r="AL66" i="10"/>
  <c r="AN66" i="10" s="1"/>
  <c r="U67" i="11"/>
  <c r="AP78" i="12" s="1"/>
  <c r="W67" i="11"/>
  <c r="AL47" i="10"/>
  <c r="AN47" i="10" s="1"/>
  <c r="U48" i="11"/>
  <c r="AP56" i="12" s="1"/>
  <c r="W48" i="11"/>
  <c r="AX58" i="10"/>
  <c r="BG54" i="17"/>
  <c r="AX33" i="10"/>
  <c r="BG29" i="17"/>
  <c r="CA51" i="12"/>
  <c r="BG28" i="12"/>
  <c r="BH28" i="12"/>
  <c r="CD22" i="12"/>
  <c r="AL39" i="10"/>
  <c r="AN39" i="10" s="1"/>
  <c r="U40" i="11"/>
  <c r="AP47" i="12" s="1"/>
  <c r="W40" i="11"/>
  <c r="CB32" i="12"/>
  <c r="AR86" i="12"/>
  <c r="CC32" i="12" s="1"/>
  <c r="AX56" i="10"/>
  <c r="BG52" i="17"/>
  <c r="P64" i="28"/>
  <c r="BE64" i="12"/>
  <c r="AL20" i="10"/>
  <c r="AN20" i="10" s="1"/>
  <c r="BG16" i="17" s="1"/>
  <c r="U21" i="11"/>
  <c r="AP21" i="12" s="1"/>
  <c r="AQ22" i="12" s="1"/>
  <c r="W21" i="11"/>
  <c r="P52" i="28"/>
  <c r="BE52" i="12"/>
  <c r="P76" i="28"/>
  <c r="BE76" i="12"/>
  <c r="CE63" i="12"/>
  <c r="CD63" i="12"/>
  <c r="CE35" i="12"/>
  <c r="AT37" i="14" s="1"/>
  <c r="BE38" i="25"/>
  <c r="BA38" i="21"/>
  <c r="P54" i="28"/>
  <c r="BE54" i="12"/>
  <c r="AL35" i="10"/>
  <c r="AN35" i="10" s="1"/>
  <c r="U36" i="11"/>
  <c r="AP42" i="12" s="1"/>
  <c r="W36" i="11"/>
  <c r="P39" i="28"/>
  <c r="BE39" i="12"/>
  <c r="P53" i="28"/>
  <c r="BE53" i="12"/>
  <c r="AX54" i="10"/>
  <c r="BG50" i="17"/>
  <c r="P66" i="28"/>
  <c r="BE66" i="12"/>
  <c r="AX43" i="10"/>
  <c r="BG39" i="17"/>
  <c r="AX41" i="10"/>
  <c r="BG37" i="17"/>
  <c r="AX15" i="10"/>
  <c r="BE16" i="12"/>
  <c r="P16" i="28"/>
  <c r="Q16" i="28" s="1"/>
  <c r="R16" i="28" s="1"/>
  <c r="BE73" i="12"/>
  <c r="P73" i="28"/>
  <c r="P74" i="28"/>
  <c r="BE74" i="12"/>
  <c r="P15" i="28"/>
  <c r="Q15" i="28" s="1"/>
  <c r="R15" i="28" s="1"/>
  <c r="BE15" i="12"/>
  <c r="BF15" i="12" s="1"/>
  <c r="BE41" i="12"/>
  <c r="P41" i="28"/>
  <c r="CA43" i="12"/>
  <c r="BH14" i="12"/>
  <c r="BG14" i="12"/>
  <c r="CE14" i="12" s="1"/>
  <c r="AX64" i="10"/>
  <c r="BG60" i="17"/>
  <c r="CE64" i="12"/>
  <c r="CD64" i="12"/>
  <c r="AX45" i="10"/>
  <c r="BG41" i="17"/>
  <c r="P45" i="28"/>
  <c r="BE45" i="12"/>
  <c r="AX32" i="10"/>
  <c r="BG28" i="17"/>
  <c r="AX44" i="10"/>
  <c r="BG40" i="17"/>
  <c r="AX55" i="10"/>
  <c r="BG51" i="17"/>
  <c r="CB15" i="12"/>
  <c r="AR15" i="12"/>
  <c r="CC15" i="12" s="1"/>
  <c r="BA37" i="21"/>
  <c r="BE37" i="25"/>
  <c r="CE34" i="12"/>
  <c r="AT36" i="14" s="1"/>
  <c r="AL17" i="10"/>
  <c r="AN17" i="10" s="1"/>
  <c r="U18" i="11"/>
  <c r="AP18" i="12" s="1"/>
  <c r="AQ18" i="12" s="1"/>
  <c r="W18" i="11"/>
  <c r="AX60" i="10"/>
  <c r="BG56" i="17"/>
  <c r="AL36" i="10"/>
  <c r="AN36" i="10" s="1"/>
  <c r="U37" i="11"/>
  <c r="AP43" i="12" s="1"/>
  <c r="W37" i="11"/>
  <c r="P63" i="28"/>
  <c r="BE63" i="12"/>
  <c r="AL22" i="10"/>
  <c r="AN22" i="10" s="1"/>
  <c r="U23" i="11"/>
  <c r="AP24" i="12" s="1"/>
  <c r="AQ25" i="12" s="1"/>
  <c r="W23" i="11"/>
  <c r="AL27" i="10"/>
  <c r="AN27" i="10" s="1"/>
  <c r="U28" i="11"/>
  <c r="AP32" i="12" s="1"/>
  <c r="W28" i="11"/>
  <c r="BE69" i="12"/>
  <c r="P69" i="28"/>
  <c r="P30" i="28"/>
  <c r="BE30" i="12"/>
  <c r="AL68" i="10"/>
  <c r="AN68" i="10" s="1"/>
  <c r="U69" i="11"/>
  <c r="AP81" i="12" s="1"/>
  <c r="W69" i="11"/>
  <c r="AX62" i="10"/>
  <c r="BG58" i="17"/>
  <c r="AX53" i="10"/>
  <c r="BG49" i="17"/>
  <c r="P40" i="28"/>
  <c r="BE40" i="12"/>
  <c r="P68" i="28"/>
  <c r="BE68" i="12"/>
  <c r="AX14" i="10"/>
  <c r="BG10" i="17"/>
  <c r="CB28" i="12" l="1"/>
  <c r="AQ34" i="12"/>
  <c r="AR34" i="12" s="1"/>
  <c r="CC24" i="12" s="1"/>
  <c r="BF79" i="12"/>
  <c r="CA60" i="12" s="1"/>
  <c r="AR51" i="12"/>
  <c r="CC27" i="12" s="1"/>
  <c r="CB27" i="12"/>
  <c r="BE32" i="12"/>
  <c r="P32" i="28"/>
  <c r="AX22" i="10"/>
  <c r="BG18" i="17"/>
  <c r="BA17" i="21"/>
  <c r="AT16" i="14"/>
  <c r="BE17" i="25"/>
  <c r="BF16" i="12"/>
  <c r="BK16" i="12"/>
  <c r="AX35" i="10"/>
  <c r="BG31" i="17"/>
  <c r="P56" i="28"/>
  <c r="BE56" i="12"/>
  <c r="BE46" i="12"/>
  <c r="BF51" i="12" s="1"/>
  <c r="P46" i="28"/>
  <c r="Q51" i="28" s="1"/>
  <c r="R51" i="28" s="1"/>
  <c r="P19" i="28"/>
  <c r="Q19" i="28" s="1"/>
  <c r="R19" i="28" s="1"/>
  <c r="BE19" i="12"/>
  <c r="BF19" i="12" s="1"/>
  <c r="AX69" i="10"/>
  <c r="BG65" i="17"/>
  <c r="AX31" i="10"/>
  <c r="BG27" i="17"/>
  <c r="BG79" i="12"/>
  <c r="CA58" i="12"/>
  <c r="CD29" i="12"/>
  <c r="BG65" i="12"/>
  <c r="BH65" i="12"/>
  <c r="AX27" i="10"/>
  <c r="BG23" i="17"/>
  <c r="AR18" i="12"/>
  <c r="CC18" i="12" s="1"/>
  <c r="CB18" i="12"/>
  <c r="CE43" i="12"/>
  <c r="CD43" i="12"/>
  <c r="BF58" i="12"/>
  <c r="BE25" i="25"/>
  <c r="CE22" i="12"/>
  <c r="AT24" i="14" s="1"/>
  <c r="BA25" i="21"/>
  <c r="AX47" i="10"/>
  <c r="BG43" i="17"/>
  <c r="CE23" i="12"/>
  <c r="AT25" i="14" s="1"/>
  <c r="BA26" i="21"/>
  <c r="BE26" i="25"/>
  <c r="AX38" i="10"/>
  <c r="BG34" i="17"/>
  <c r="AX18" i="10"/>
  <c r="BG14" i="17"/>
  <c r="AX68" i="10"/>
  <c r="BG64" i="17"/>
  <c r="AX17" i="10"/>
  <c r="BG13" i="17"/>
  <c r="Q58" i="28"/>
  <c r="R58" i="28" s="1"/>
  <c r="CE51" i="12"/>
  <c r="CD51" i="12"/>
  <c r="P78" i="28"/>
  <c r="BE78" i="12"/>
  <c r="P48" i="28"/>
  <c r="BE48" i="12"/>
  <c r="CB19" i="12"/>
  <c r="AR19" i="12"/>
  <c r="CC19" i="12" s="1"/>
  <c r="P43" i="28"/>
  <c r="BE43" i="12"/>
  <c r="AX20" i="10"/>
  <c r="P21" i="28"/>
  <c r="Q22" i="28" s="1"/>
  <c r="R22" i="28" s="1"/>
  <c r="BE21" i="12"/>
  <c r="BF22" i="12" s="1"/>
  <c r="P50" i="28"/>
  <c r="BE50" i="12"/>
  <c r="BE18" i="12"/>
  <c r="BF18" i="12" s="1"/>
  <c r="P18" i="28"/>
  <c r="Q18" i="28" s="1"/>
  <c r="R18" i="28" s="1"/>
  <c r="CD52" i="12"/>
  <c r="CE52" i="12"/>
  <c r="Q79" i="28"/>
  <c r="R79" i="28" s="1"/>
  <c r="AR22" i="12"/>
  <c r="CC20" i="12" s="1"/>
  <c r="CB20" i="12"/>
  <c r="P47" i="28"/>
  <c r="BE47" i="12"/>
  <c r="AX66" i="10"/>
  <c r="BG62" i="17"/>
  <c r="BE33" i="12"/>
  <c r="P33" i="28"/>
  <c r="AX40" i="10"/>
  <c r="BG36" i="17"/>
  <c r="CB30" i="12"/>
  <c r="AR72" i="12"/>
  <c r="CC30" i="12" s="1"/>
  <c r="CA61" i="12"/>
  <c r="BH86" i="12"/>
  <c r="BG86" i="12"/>
  <c r="CD32" i="12"/>
  <c r="P24" i="28"/>
  <c r="Q25" i="28" s="1"/>
  <c r="R25" i="28" s="1"/>
  <c r="BE24" i="12"/>
  <c r="BF25" i="12" s="1"/>
  <c r="AX36" i="10"/>
  <c r="BG32" i="17"/>
  <c r="BF72" i="12"/>
  <c r="BE42" i="12"/>
  <c r="P42" i="28"/>
  <c r="AX42" i="10"/>
  <c r="BG38" i="17"/>
  <c r="P82" i="28"/>
  <c r="BE82" i="12"/>
  <c r="P38" i="28"/>
  <c r="Q44" i="28" s="1"/>
  <c r="R44" i="28" s="1"/>
  <c r="BE38" i="12"/>
  <c r="BF44" i="12" s="1"/>
  <c r="CB24" i="12"/>
  <c r="P81" i="28"/>
  <c r="BE81" i="12"/>
  <c r="AR25" i="12"/>
  <c r="CC21" i="12" s="1"/>
  <c r="CB21" i="12"/>
  <c r="BG15" i="12"/>
  <c r="BH15" i="12"/>
  <c r="CD15" i="12"/>
  <c r="CA44" i="12"/>
  <c r="Q72" i="28"/>
  <c r="R72" i="28" s="1"/>
  <c r="AX39" i="10"/>
  <c r="BG35" i="17"/>
  <c r="AX28" i="10"/>
  <c r="BG24" i="17"/>
  <c r="AR44" i="12"/>
  <c r="CC26" i="12" s="1"/>
  <c r="CB26" i="12"/>
  <c r="BH79" i="12" l="1"/>
  <c r="CD31" i="12"/>
  <c r="CD21" i="12"/>
  <c r="BG25" i="12"/>
  <c r="BH25" i="12"/>
  <c r="CA50" i="12"/>
  <c r="BH58" i="12"/>
  <c r="CA57" i="12"/>
  <c r="BG58" i="12"/>
  <c r="CD28" i="12"/>
  <c r="CE44" i="12"/>
  <c r="CD44" i="12"/>
  <c r="CA49" i="12"/>
  <c r="CK45" i="12" s="1"/>
  <c r="CD20" i="12"/>
  <c r="BG22" i="12"/>
  <c r="BH22" i="12"/>
  <c r="CE29" i="12"/>
  <c r="AT31" i="14" s="1"/>
  <c r="BA32" i="21"/>
  <c r="BE32" i="25"/>
  <c r="BA35" i="21"/>
  <c r="CE32" i="12"/>
  <c r="AT34" i="14" s="1"/>
  <c r="BE35" i="25"/>
  <c r="CE58" i="12"/>
  <c r="CD58" i="12"/>
  <c r="CA48" i="12"/>
  <c r="CK47" i="12" s="1"/>
  <c r="BH19" i="12"/>
  <c r="CD19" i="12"/>
  <c r="BG19" i="12"/>
  <c r="BL16" i="12"/>
  <c r="BK19" i="12"/>
  <c r="BL19" i="12" s="1"/>
  <c r="BL20" i="12" s="1"/>
  <c r="Q34" i="28"/>
  <c r="R34" i="28" s="1"/>
  <c r="BE18" i="25"/>
  <c r="CE15" i="12"/>
  <c r="AT17" i="14" s="1"/>
  <c r="BA18" i="21"/>
  <c r="CD26" i="12"/>
  <c r="BH44" i="12"/>
  <c r="BG44" i="12"/>
  <c r="CA55" i="12"/>
  <c r="BH72" i="12"/>
  <c r="CD30" i="12"/>
  <c r="BG72" i="12"/>
  <c r="CA59" i="12"/>
  <c r="CD61" i="12"/>
  <c r="CE61" i="12"/>
  <c r="CA45" i="12"/>
  <c r="CK44" i="12" s="1"/>
  <c r="BG16" i="12"/>
  <c r="CD16" i="12"/>
  <c r="BH16" i="12"/>
  <c r="BF34" i="12"/>
  <c r="CA56" i="12"/>
  <c r="CD27" i="12"/>
  <c r="BG51" i="12"/>
  <c r="BH51" i="12"/>
  <c r="CE31" i="12"/>
  <c r="AT33" i="14" s="1"/>
  <c r="BA34" i="21"/>
  <c r="BE34" i="25"/>
  <c r="CD18" i="12"/>
  <c r="BG18" i="12"/>
  <c r="BH18" i="12"/>
  <c r="CA47" i="12"/>
  <c r="CK46" i="12" s="1"/>
  <c r="CD60" i="12"/>
  <c r="CE60" i="12"/>
  <c r="CD47" i="12" l="1"/>
  <c r="CE47" i="12"/>
  <c r="CE30" i="12"/>
  <c r="AT32" i="14" s="1"/>
  <c r="BA33" i="21"/>
  <c r="BE33" i="25"/>
  <c r="BA31" i="21"/>
  <c r="CE28" i="12"/>
  <c r="AT30" i="14" s="1"/>
  <c r="BE31" i="25"/>
  <c r="BA23" i="21"/>
  <c r="BE23" i="25"/>
  <c r="CE20" i="12"/>
  <c r="AT22" i="14" s="1"/>
  <c r="CE57" i="12"/>
  <c r="CD57" i="12"/>
  <c r="CE16" i="12"/>
  <c r="AT18" i="14" s="1"/>
  <c r="BA19" i="21"/>
  <c r="BE19" i="25"/>
  <c r="CE55" i="12"/>
  <c r="CD55" i="12"/>
  <c r="BE30" i="25"/>
  <c r="BA30" i="21"/>
  <c r="CE27" i="12"/>
  <c r="AT29" i="14" s="1"/>
  <c r="CA53" i="12"/>
  <c r="CK48" i="12" s="1"/>
  <c r="BH34" i="12"/>
  <c r="BG34" i="12"/>
  <c r="CD24" i="12"/>
  <c r="CE48" i="12"/>
  <c r="CD48" i="12"/>
  <c r="CE45" i="12"/>
  <c r="CD45" i="12"/>
  <c r="CE26" i="12"/>
  <c r="AT28" i="14" s="1"/>
  <c r="BE29" i="25"/>
  <c r="BA29" i="21"/>
  <c r="BM16" i="12"/>
  <c r="BL17" i="12"/>
  <c r="CD49" i="12"/>
  <c r="CE49" i="12"/>
  <c r="CD50" i="12"/>
  <c r="CE50" i="12"/>
  <c r="CE19" i="12"/>
  <c r="AT21" i="14" s="1"/>
  <c r="BA22" i="21"/>
  <c r="BE22" i="25"/>
  <c r="BE24" i="25"/>
  <c r="CE21" i="12"/>
  <c r="AT23" i="14" s="1"/>
  <c r="BA24" i="21"/>
  <c r="CE18" i="12"/>
  <c r="AT20" i="14" s="1"/>
  <c r="BE21" i="25"/>
  <c r="BA21" i="21"/>
  <c r="CD56" i="12"/>
  <c r="CE56" i="12"/>
  <c r="CE59" i="12"/>
  <c r="CD59" i="12"/>
  <c r="CD53" i="12" l="1"/>
  <c r="CE53" i="12"/>
  <c r="CE24" i="12"/>
  <c r="AT26" i="14" s="1"/>
  <c r="BE27" i="25"/>
  <c r="BA2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Escoto, Jordan</author>
  </authors>
  <commentList>
    <comment ref="D104" authorId="0" shapeId="0" xr:uid="{A6529F84-916C-4F52-B3EC-82CF08553DF9}">
      <text>
        <r>
          <rPr>
            <b/>
            <sz val="9"/>
            <color indexed="81"/>
            <rFont val="Tahoma"/>
            <family val="2"/>
          </rPr>
          <t>Escoto, Jordan:</t>
        </r>
        <r>
          <rPr>
            <sz val="9"/>
            <color indexed="81"/>
            <rFont val="Tahoma"/>
            <family val="2"/>
          </rPr>
          <t xml:space="preserve">
use this to check </t>
        </r>
      </text>
    </comment>
  </commentList>
</comments>
</file>

<file path=xl/sharedStrings.xml><?xml version="1.0" encoding="utf-8"?>
<sst xmlns="http://schemas.openxmlformats.org/spreadsheetml/2006/main" count="4864" uniqueCount="800">
  <si>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</si>
  <si>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</si>
  <si>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</si>
  <si>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</si>
  <si>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</si>
  <si>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</si>
  <si>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</si>
  <si>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</si>
  <si>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</si>
  <si>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</si>
  <si>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</si>
  <si>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</si>
  <si>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</si>
  <si>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</si>
  <si>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</si>
  <si>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</si>
  <si>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</si>
  <si>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</si>
  <si>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</si>
  <si>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</si>
  <si>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</si>
  <si>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</si>
  <si>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</si>
  <si>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</si>
  <si>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</si>
  <si>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</si>
  <si>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</si>
  <si>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</si>
  <si>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</si>
  <si>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</si>
  <si>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</si>
  <si>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</si>
  <si>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</si>
  <si>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</si>
  <si>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</si>
  <si>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</si>
  <si>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</si>
  <si>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</si>
  <si>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</si>
  <si>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</si>
  <si>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</si>
  <si>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</si>
  <si>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</si>
  <si>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</si>
  <si>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42 CFS Block 1</t>
  </si>
  <si>
    <t>42 CFS Block 2</t>
  </si>
  <si>
    <t>42 CFS Block 3</t>
  </si>
  <si>
    <t>42 CFS Block 4</t>
  </si>
  <si>
    <t>42 CFS Block 5</t>
  </si>
  <si>
    <t>42 CFS Block 6</t>
  </si>
  <si>
    <t>42 IFS Block 1</t>
  </si>
  <si>
    <t>42 IFS Block 2</t>
  </si>
  <si>
    <t>42 IFS Block 3</t>
  </si>
  <si>
    <t>42 IFS Block 4</t>
  </si>
  <si>
    <t>42 IFS Block 5</t>
  </si>
  <si>
    <t>42 IFS Block 6</t>
  </si>
  <si>
    <t>43 FT</t>
  </si>
  <si>
    <t>NCS field</t>
  </si>
  <si>
    <t>Sources:</t>
  </si>
  <si>
    <t>Direct Inputs</t>
  </si>
  <si>
    <t>Equal % of margin</t>
  </si>
  <si>
    <t>Totals</t>
  </si>
  <si>
    <t>Rates in detail</t>
  </si>
  <si>
    <t>Rates in summary</t>
  </si>
  <si>
    <t>Therms in</t>
  </si>
  <si>
    <t>Therms</t>
  </si>
  <si>
    <t>Average use</t>
  </si>
  <si>
    <t>Minimum</t>
  </si>
  <si>
    <t>Monthly</t>
  </si>
  <si>
    <t>Charge</t>
  </si>
  <si>
    <t>Average Bill</t>
  </si>
  <si>
    <t>% Bill Change</t>
  </si>
  <si>
    <t>all additional</t>
  </si>
  <si>
    <t>Customers</t>
  </si>
  <si>
    <t>Average Use</t>
  </si>
  <si>
    <t>per Tariff</t>
  </si>
  <si>
    <t>TOTAL</t>
  </si>
  <si>
    <t>Sources for line 2 above:</t>
  </si>
  <si>
    <t>Inputs page</t>
  </si>
  <si>
    <t>Normal</t>
  </si>
  <si>
    <t>Customer</t>
  </si>
  <si>
    <t>Note: Allocation to rate schedules or blocks with zero volumes is calculated on an overall margin percentage change basis.</t>
  </si>
  <si>
    <t>Sales</t>
  </si>
  <si>
    <t>Volumetric</t>
  </si>
  <si>
    <t>Allocation to RS</t>
  </si>
  <si>
    <t>Year Ended</t>
  </si>
  <si>
    <t>R</t>
  </si>
  <si>
    <t>Base Rate</t>
  </si>
  <si>
    <t>GRAND TOTAL</t>
  </si>
  <si>
    <t>S</t>
  </si>
  <si>
    <t>T</t>
  </si>
  <si>
    <t>U</t>
  </si>
  <si>
    <t>Tariff Schedules:</t>
  </si>
  <si>
    <t>Schedule #</t>
  </si>
  <si>
    <t>Test</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</si>
  <si>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</si>
  <si>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</si>
  <si>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</si>
  <si>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</si>
  <si>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</si>
  <si>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</si>
  <si>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</si>
  <si>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</si>
  <si>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</si>
  <si>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</si>
  <si>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</si>
  <si>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</si>
  <si>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</si>
  <si>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</si>
  <si>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</si>
  <si>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</si>
  <si>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</si>
  <si>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</si>
  <si>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</si>
  <si>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</si>
  <si>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</si>
  <si>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Test Year</t>
  </si>
  <si>
    <t>PROPOSED Fixed Charges and Demand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</si>
  <si>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</si>
  <si>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</si>
  <si>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</si>
  <si>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</si>
  <si>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</si>
  <si>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</si>
  <si>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</si>
  <si>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</si>
  <si>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</si>
  <si>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</si>
  <si>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</si>
  <si>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</si>
  <si>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</si>
  <si>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</si>
  <si>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</si>
  <si>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</si>
  <si>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</si>
  <si>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</si>
  <si>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</si>
  <si>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</si>
  <si>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</si>
  <si>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</si>
  <si>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</si>
  <si>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</si>
  <si>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</si>
  <si>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</si>
  <si>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</si>
  <si>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</si>
  <si>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</si>
  <si>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</si>
  <si>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</si>
  <si>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</si>
  <si>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</si>
  <si>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</si>
  <si>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</si>
  <si>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</si>
  <si>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</si>
  <si>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</si>
  <si>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</si>
  <si>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</si>
  <si>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</si>
  <si>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</si>
  <si>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</si>
  <si>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</si>
  <si>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</si>
  <si>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</si>
  <si>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</si>
  <si>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</si>
  <si>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</si>
  <si>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</si>
  <si>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</si>
  <si>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</si>
  <si>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</si>
  <si>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</si>
  <si>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</si>
  <si>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</si>
  <si>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</si>
  <si>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</si>
  <si>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</si>
  <si>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</si>
  <si>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</si>
  <si>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</si>
  <si>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</si>
  <si>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</si>
  <si>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</si>
  <si>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</si>
  <si>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</si>
  <si>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</si>
  <si>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</si>
  <si>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</si>
  <si>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</si>
  <si>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</si>
  <si>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</si>
  <si>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</si>
  <si>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</si>
  <si>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</si>
  <si>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</si>
  <si>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</si>
  <si>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</si>
  <si>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</si>
  <si>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</si>
  <si>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</si>
  <si>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</si>
  <si>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</si>
  <si>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</si>
  <si>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</si>
  <si>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</si>
  <si>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</si>
  <si>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</si>
  <si>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D = A+C</t>
  </si>
  <si>
    <t>E = B+C</t>
  </si>
  <si>
    <t>Revenue Requirement Adj</t>
  </si>
  <si>
    <t>Unadjusted</t>
  </si>
  <si>
    <t>Total Margin</t>
  </si>
  <si>
    <t>Adjusted</t>
  </si>
  <si>
    <t>Volumetric Margin</t>
  </si>
  <si>
    <t>Temporary Adjustment</t>
  </si>
  <si>
    <t>Pipeline Capacity Rate (Demand)</t>
  </si>
  <si>
    <t>Commodity Rate (WACOG)</t>
  </si>
  <si>
    <t>GRC TEMPS</t>
  </si>
  <si>
    <t>GRC BASE</t>
  </si>
  <si>
    <t>X</t>
  </si>
  <si>
    <t>Base Rate Adj</t>
  </si>
  <si>
    <t>Purchased Gas Adj. (PGA)</t>
  </si>
  <si>
    <t>Revenue
Change
($)</t>
  </si>
  <si>
    <t>Revenue
Change
(%)</t>
  </si>
  <si>
    <t>W</t>
  </si>
  <si>
    <t>Y</t>
  </si>
  <si>
    <t>Z</t>
  </si>
  <si>
    <t>AA</t>
  </si>
  <si>
    <t>PGA</t>
  </si>
  <si>
    <t>Proposed Change</t>
  </si>
  <si>
    <r>
      <t xml:space="preserve">Calculation of Effect on Customer Average Bill by Rate Schedule </t>
    </r>
    <r>
      <rPr>
        <b/>
        <vertAlign val="superscript"/>
        <sz val="11"/>
        <rFont val="Calibri"/>
        <family val="2"/>
        <scheme val="minor"/>
      </rPr>
      <t>[1]</t>
    </r>
  </si>
  <si>
    <t>Billing /Tariff</t>
  </si>
  <si>
    <t>Billing/Tariff</t>
  </si>
  <si>
    <t>2020-21</t>
  </si>
  <si>
    <t>REVENUE REQUIREMENT</t>
  </si>
  <si>
    <t>FINAL</t>
  </si>
  <si>
    <t>PGA Volumes</t>
  </si>
  <si>
    <t>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</si>
  <si>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</si>
  <si>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</si>
  <si>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</si>
  <si>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</si>
  <si>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</si>
  <si>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</si>
  <si>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</si>
  <si>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</si>
  <si>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</si>
  <si>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</si>
  <si>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</si>
  <si>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</si>
  <si>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</si>
  <si>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</si>
  <si>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</si>
  <si>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</si>
  <si>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</si>
  <si>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</si>
  <si>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</si>
  <si>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Average Month Bill Change $</t>
  </si>
  <si>
    <t xml:space="preserve">Rate </t>
  </si>
  <si>
    <t>Average Month Bill Change %</t>
  </si>
  <si>
    <t>COMBINED [1] [2]</t>
  </si>
  <si>
    <t>UG XXXXXX</t>
  </si>
  <si>
    <t>Test Year Ending September 30, 2020</t>
  </si>
  <si>
    <t>Sep. 30, 2020</t>
  </si>
  <si>
    <t>Washington Volumes (therms)</t>
  </si>
  <si>
    <t>Washington Jurisdictional Rate Case</t>
  </si>
  <si>
    <t>Test Year Twelve Months Ended September 30, 2020</t>
  </si>
  <si>
    <t>WA GRC</t>
  </si>
  <si>
    <t>1R</t>
  </si>
  <si>
    <t>1C</t>
  </si>
  <si>
    <t>n/a</t>
  </si>
  <si>
    <t>Class</t>
  </si>
  <si>
    <t>41C Firm Sales</t>
  </si>
  <si>
    <t>42C Firm Sales</t>
  </si>
  <si>
    <t>41C Interr Sales</t>
  </si>
  <si>
    <t>42C Interr Sales</t>
  </si>
  <si>
    <t>41 CFS Block 1</t>
  </si>
  <si>
    <t>41 CFS Block 2</t>
  </si>
  <si>
    <t>41 CIS Block 1</t>
  </si>
  <si>
    <t>41 CIS Block 2</t>
  </si>
  <si>
    <t>41I Firm Sales</t>
  </si>
  <si>
    <t>41 IFS Block 2</t>
  </si>
  <si>
    <t>41 IFS Block 1</t>
  </si>
  <si>
    <t>41I Firm Transpt</t>
  </si>
  <si>
    <t>42C Firm Transpt</t>
  </si>
  <si>
    <t>42I Firm Transpt</t>
  </si>
  <si>
    <t>41I Interr Sales</t>
  </si>
  <si>
    <t>42I Interr Sales</t>
  </si>
  <si>
    <t>41 IIS Block 1</t>
  </si>
  <si>
    <t>41 IIS Block 2</t>
  </si>
  <si>
    <t>41 IFT Block 1</t>
  </si>
  <si>
    <t>41 IFT Block 2</t>
  </si>
  <si>
    <t>42I Firm Sales</t>
  </si>
  <si>
    <t>41C Firm Transpt</t>
  </si>
  <si>
    <t>41 CFT Block 1</t>
  </si>
  <si>
    <t>41 CFT Block 2</t>
  </si>
  <si>
    <t>42 CFT Block 1</t>
  </si>
  <si>
    <t>42 CFT Block 2</t>
  </si>
  <si>
    <t>42 CFT Block 3</t>
  </si>
  <si>
    <t>42 CFT Block 4</t>
  </si>
  <si>
    <t>42 CFT Block 5</t>
  </si>
  <si>
    <t>42 CFT Block 6</t>
  </si>
  <si>
    <t>42 IFT Block 1</t>
  </si>
  <si>
    <t>42 IFT Block 2</t>
  </si>
  <si>
    <t>42 IFT Block 3</t>
  </si>
  <si>
    <t>42 IFT Block 4</t>
  </si>
  <si>
    <t>42 IFT Block 5</t>
  </si>
  <si>
    <t>42 IFT Block 6</t>
  </si>
  <si>
    <t>42 IIS Block 1</t>
  </si>
  <si>
    <t>42 IIS Block 3</t>
  </si>
  <si>
    <t>42 IIS Block 4</t>
  </si>
  <si>
    <t>42 IIS Block 5</t>
  </si>
  <si>
    <t>42 IIS Block 6</t>
  </si>
  <si>
    <t>42 IIS Block 2</t>
  </si>
  <si>
    <t>42 CIS Block 1</t>
  </si>
  <si>
    <t>42 CIS Block 2</t>
  </si>
  <si>
    <t>42 CIS Block 3</t>
  </si>
  <si>
    <t>42 CIS Block 4</t>
  </si>
  <si>
    <t>42 CIS Block 5</t>
  </si>
  <si>
    <t>42 CIS Block 6</t>
  </si>
  <si>
    <t>42C Inter Transpt</t>
  </si>
  <si>
    <t>42 CIT Block 1</t>
  </si>
  <si>
    <t>42 CIT Block 3</t>
  </si>
  <si>
    <t>42 CIT Block 4</t>
  </si>
  <si>
    <t>42 CIT Block 5</t>
  </si>
  <si>
    <t>42 CIT Block 6</t>
  </si>
  <si>
    <t>42 CIT Block 2</t>
  </si>
  <si>
    <t>42I Inter Transpt</t>
  </si>
  <si>
    <t>42 IIT Block 1</t>
  </si>
  <si>
    <t>42 IIT Block 2</t>
  </si>
  <si>
    <t>42 IIT Block 3</t>
  </si>
  <si>
    <t>42 IIT Block 4</t>
  </si>
  <si>
    <t>42 IIT Block 5</t>
  </si>
  <si>
    <t>42 IIT Block 6</t>
  </si>
  <si>
    <t>43 Firm Transpt</t>
  </si>
  <si>
    <t>43 IT</t>
  </si>
  <si>
    <t>43 Interr Transpt</t>
  </si>
  <si>
    <t>F = (B/E)/12</t>
  </si>
  <si>
    <t>D = (A/H)/12</t>
  </si>
  <si>
    <t>41CFS</t>
  </si>
  <si>
    <t>41IFS</t>
  </si>
  <si>
    <t>Washington Total</t>
  </si>
  <si>
    <t>41CIS</t>
  </si>
  <si>
    <t>41IIS</t>
  </si>
  <si>
    <t>41CTF</t>
  </si>
  <si>
    <t>41ITF</t>
  </si>
  <si>
    <t>42CFS</t>
  </si>
  <si>
    <t>42IFS</t>
  </si>
  <si>
    <t>42CFT</t>
  </si>
  <si>
    <t>42IFT</t>
  </si>
  <si>
    <t>42CIS</t>
  </si>
  <si>
    <t>42IIS</t>
  </si>
  <si>
    <t>Sale</t>
  </si>
  <si>
    <t>42CIT</t>
  </si>
  <si>
    <t>42IIT</t>
  </si>
  <si>
    <t>Special Contract</t>
  </si>
  <si>
    <t>Adj</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</si>
  <si>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</si>
  <si>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</si>
  <si>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</si>
  <si>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</si>
  <si>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</si>
  <si>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</si>
  <si>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</si>
  <si>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</si>
  <si>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</si>
  <si>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</si>
  <si>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 xml:space="preserve">CHANGE </t>
  </si>
  <si>
    <t>E = A…D</t>
  </si>
  <si>
    <t>G= E+F</t>
  </si>
  <si>
    <t>Open</t>
  </si>
  <si>
    <t>for</t>
  </si>
  <si>
    <t>Use</t>
  </si>
  <si>
    <t>Special</t>
  </si>
  <si>
    <t>[1] Due to optionality, demand charges are not included in the calculations for Rate Schedule 41 &amp; 42.</t>
  </si>
  <si>
    <t>11-1-20 Current 
Rates:
Base Rate</t>
  </si>
  <si>
    <t>11-1-20 Current 
Rates:
Pipeline Capacity</t>
  </si>
  <si>
    <t>11-1-20 Current 
Rates:
Commodity</t>
  </si>
  <si>
    <t>11-1-20 Current 
Rates:
Temporary Adj</t>
  </si>
  <si>
    <t>11-1-20 Current Billing Rates</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</si>
  <si>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</si>
  <si>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</si>
  <si>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</si>
  <si>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</si>
  <si>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</si>
  <si>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</si>
  <si>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</si>
  <si>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</si>
  <si>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</si>
  <si>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</si>
  <si>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</si>
  <si>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</si>
  <si>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</si>
  <si>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</si>
  <si>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</si>
  <si>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</si>
  <si>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</si>
  <si>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</si>
  <si>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</si>
  <si>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</si>
  <si>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</si>
  <si>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</si>
  <si>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</si>
  <si>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</si>
  <si>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</si>
  <si>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 xml:space="preserve"> Margin 
Decrease
($)</t>
  </si>
  <si>
    <t>Margin 
Decrease 
(%)</t>
  </si>
  <si>
    <t>Margin 
Increase
($)</t>
  </si>
  <si>
    <t>Rates Effective November 1, 2021</t>
  </si>
  <si>
    <t>2022-23 PGA</t>
  </si>
  <si>
    <t>AC</t>
  </si>
  <si>
    <t>AJ</t>
  </si>
  <si>
    <t>AN</t>
  </si>
  <si>
    <t>AR</t>
  </si>
  <si>
    <t>AS</t>
  </si>
  <si>
    <t>AT</t>
  </si>
  <si>
    <t>K = G…J</t>
  </si>
  <si>
    <t xml:space="preserve">REVENUE REQUIREMENT </t>
  </si>
  <si>
    <t>to all customers</t>
  </si>
  <si>
    <t>01R</t>
  </si>
  <si>
    <t>01C</t>
  </si>
  <si>
    <t>02R</t>
  </si>
  <si>
    <t>03C</t>
  </si>
  <si>
    <t>03I</t>
  </si>
  <si>
    <t>*Note: Margin used for spread excludes special contract revenues.</t>
  </si>
  <si>
    <t>Note: Proposal places entire increment on volumetric rates.</t>
  </si>
  <si>
    <t>5a</t>
  </si>
  <si>
    <t>5b</t>
  </si>
  <si>
    <t>5c</t>
  </si>
  <si>
    <t>5d</t>
  </si>
  <si>
    <t>Post Year 1 Margin:</t>
  </si>
  <si>
    <t>Equal % of Margin Adjustment</t>
  </si>
  <si>
    <t>Less: Plant EDIT Amortization Credit</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</si>
  <si>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</si>
  <si>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</si>
  <si>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</si>
  <si>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</si>
  <si>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</si>
  <si>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</si>
  <si>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</si>
  <si>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</si>
  <si>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</si>
  <si>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</si>
  <si>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</si>
  <si>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r>
      <t xml:space="preserve">Revenue Requirement to Spread - </t>
    </r>
    <r>
      <rPr>
        <b/>
        <sz val="10"/>
        <color rgb="FFFF0000"/>
        <rFont val="Calibri"/>
        <family val="2"/>
        <scheme val="minor"/>
      </rPr>
      <t>YEAR 1</t>
    </r>
  </si>
  <si>
    <r>
      <t xml:space="preserve">Revenue Requirement to Spread - </t>
    </r>
    <r>
      <rPr>
        <b/>
        <sz val="10"/>
        <color rgb="FFFF0000"/>
        <rFont val="Calibri"/>
        <family val="2"/>
        <scheme val="minor"/>
      </rPr>
      <t>YEAR 2</t>
    </r>
  </si>
  <si>
    <t>Astoria Property Sale</t>
  </si>
  <si>
    <t>Astoria Prop Sale</t>
  </si>
  <si>
    <t>Historic EE</t>
  </si>
  <si>
    <t>Year 1 Temp Adjustments</t>
  </si>
  <si>
    <t>Year 2 Temp Adjustments</t>
  </si>
  <si>
    <t>Plant EDIT Credit</t>
  </si>
  <si>
    <t>(3)</t>
  </si>
  <si>
    <t>F = B+C+D</t>
  </si>
  <si>
    <t>P = M…O</t>
  </si>
  <si>
    <t>T = Q…S</t>
  </si>
  <si>
    <t>Z = U…Y</t>
  </si>
  <si>
    <t>AF = AA…AE</t>
  </si>
  <si>
    <t>AH</t>
  </si>
  <si>
    <t>AK</t>
  </si>
  <si>
    <t>AQ</t>
  </si>
  <si>
    <t>(4)</t>
  </si>
  <si>
    <t>Margin
Increase
($)</t>
  </si>
  <si>
    <t>Revenue
Decrease
($)</t>
  </si>
  <si>
    <t>Revenue
Decrease 
(%)</t>
  </si>
  <si>
    <t>Revenue 
Decrease
($)</t>
  </si>
  <si>
    <t>Customers {1]</t>
  </si>
  <si>
    <t>Annual Avg</t>
  </si>
  <si>
    <t>[1]  Customer count is the annual average for trialing twelve month ending February 2020 for the following rate schedules: 3 IFS, 41 IFS, 42 IFS,  41 CIS, 41 IIS, 42 CIS, 41 CFT, 41 IFT, 42 CFT, and 42 CIT, except for 42 IIS and 42 IIT</t>
  </si>
  <si>
    <t>E = A+C+D</t>
  </si>
  <si>
    <t>Revenue
Increase
($)</t>
  </si>
  <si>
    <t>Rev % Increase</t>
  </si>
  <si>
    <t>Avg Bill Increase</t>
  </si>
  <si>
    <t>Customer Counts</t>
  </si>
  <si>
    <t>Rates Effective November 1, 2022</t>
  </si>
  <si>
    <t>Incremental</t>
  </si>
  <si>
    <t>MARGIN AT PROPOSED RATES</t>
  </si>
  <si>
    <t>NET REVENUE CHANGE AT PROPOSED RATES PROOF</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</si>
  <si>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</si>
  <si>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</si>
  <si>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</si>
  <si>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</si>
  <si>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</si>
  <si>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</si>
  <si>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</si>
  <si>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</si>
  <si>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</si>
  <si>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</si>
  <si>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</si>
  <si>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</si>
  <si>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</si>
  <si>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</si>
  <si>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</si>
  <si>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</si>
  <si>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</si>
  <si>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</si>
  <si>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</si>
  <si>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</si>
  <si>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</si>
  <si>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</si>
  <si>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</si>
  <si>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</si>
  <si>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</si>
  <si>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Current Avg Bill</t>
  </si>
  <si>
    <t>UG-20XXXX</t>
  </si>
  <si>
    <t>Proposed Avg Bill</t>
  </si>
  <si>
    <t xml:space="preserve">Weighted </t>
  </si>
  <si>
    <t>Avg Bill</t>
  </si>
  <si>
    <t xml:space="preserve"> and credit of Block 24 property net gain on sale.</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</si>
  <si>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</si>
  <si>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</si>
  <si>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</si>
  <si>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</si>
  <si>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</si>
  <si>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</si>
  <si>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</si>
  <si>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</si>
  <si>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</si>
  <si>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</si>
  <si>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</si>
  <si>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</si>
  <si>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</si>
  <si>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</si>
  <si>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</si>
  <si>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</si>
  <si>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</si>
  <si>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</si>
  <si>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</si>
  <si>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</si>
  <si>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t>Current 
Rates:
Base Rate</t>
  </si>
  <si>
    <t>Current 
Rates:
Pipeline Capacity</t>
  </si>
  <si>
    <t>Current 
Rates:
Commodity</t>
  </si>
  <si>
    <t>Current 
Billing 
Rates</t>
  </si>
  <si>
    <t>Current 
Rates:
Temporary 
Adjustment</t>
  </si>
  <si>
    <t>UG Proposed</t>
  </si>
  <si>
    <t>Current Tariff Rate</t>
  </si>
  <si>
    <t>O = L+M+N</t>
  </si>
  <si>
    <t>For Year One and Year Two of the Multi-Year Plan</t>
  </si>
  <si>
    <t>Q=O+P</t>
  </si>
  <si>
    <t>Year Two</t>
  </si>
  <si>
    <t>Year One</t>
  </si>
  <si>
    <t>M= K+L-C</t>
  </si>
  <si>
    <t>K=F+(E * H)</t>
  </si>
  <si>
    <t>J=F+(D * H)</t>
  </si>
  <si>
    <t>M=F+(D * I)</t>
  </si>
  <si>
    <t>AF</t>
  </si>
  <si>
    <t>AI</t>
  </si>
  <si>
    <t>Prior to Rate Mitigation Proposal</t>
  </si>
  <si>
    <t>Year One: October 1, 2020 through October 31, 2021</t>
  </si>
  <si>
    <t>Year One: November 1, 2021 through October 31, 2022</t>
  </si>
  <si>
    <t>Reduced by 1 to reflect dual bill for 1 customers per Billing Dept.</t>
  </si>
  <si>
    <t>Reduced by 3 to reflect dual bill for 3 customers per Billing Dept.</t>
  </si>
  <si>
    <t>Source: Margin Model*</t>
  </si>
  <si>
    <t>*Margin Model:</t>
  </si>
  <si>
    <t>20XXXX-NWN-Exh-KTW-4-Walker-WP1-12-18-2020</t>
  </si>
  <si>
    <t>Incremental Revenue Requirement</t>
  </si>
  <si>
    <t>* held for future use</t>
  </si>
  <si>
    <t>Exh. RJW-1T</t>
  </si>
  <si>
    <t>Exh. KTW-1T</t>
  </si>
  <si>
    <t>Reference</t>
  </si>
  <si>
    <t>Washington Jurisdiction Rate Case</t>
  </si>
  <si>
    <t>Test Year Based on Twelve Months Ended September 30, 2020</t>
  </si>
  <si>
    <t>Workpaper: Rate Spread Proposal, Proposed Rates</t>
  </si>
  <si>
    <t>"20XXXX-NWN-Exh-RJW-3-Wyman-WP1-12-18-2020"</t>
  </si>
  <si>
    <r>
      <rPr>
        <b/>
        <u/>
        <sz val="10"/>
        <rFont val="Tahoma"/>
        <family val="2"/>
      </rPr>
      <t>NOTE</t>
    </r>
    <r>
      <rPr>
        <b/>
        <sz val="10"/>
        <rFont val="Tahoma"/>
        <family val="2"/>
      </rPr>
      <t>:</t>
    </r>
  </si>
  <si>
    <t>Tabs are color-coded by data source and function:</t>
  </si>
  <si>
    <t>This file builds the revenue requirement presented in Exh. KTW-1T</t>
  </si>
  <si>
    <t>into a proposed rate spread and proposed billing rates</t>
  </si>
  <si>
    <t>by rate schedule and rate block.</t>
  </si>
  <si>
    <t>and the rate spread proposal (including rate mitigation) presented in Exh. RJW-1T</t>
  </si>
  <si>
    <t>---&gt;&gt;&gt; Spread of temporary increments to rate schedules and rate blocks</t>
  </si>
  <si>
    <t>---&gt;&gt;&gt; Revenue Requirement rate spread based on proposal presented in Exh. RJW-1T</t>
  </si>
  <si>
    <t>---&gt;&gt;&gt; Proof: Builds / confirms revenues based on proposed rates</t>
  </si>
  <si>
    <t>---&gt;&gt;&gt; Rate summaries and average bill impact calculations</t>
  </si>
  <si>
    <t>---&gt;&gt;&gt; Tables that produce Exh. RJW-3 and Exh. RJW-4</t>
  </si>
  <si>
    <t>---&gt;&gt;&gt; Rate Tables: By Multi-Year Rate Plan year; pre- and post-rate mitigation</t>
  </si>
  <si>
    <t>This file contains inputs from the following workpaper(s)*:</t>
  </si>
  <si>
    <t>20XXXX-NWN-Exh-KTW-3-Walker-WP1-12-18-2020.xlsx</t>
  </si>
  <si>
    <t>--&gt;Total split for 2 Years</t>
  </si>
  <si>
    <r>
      <t xml:space="preserve">Rate Spread </t>
    </r>
    <r>
      <rPr>
        <b/>
        <sz val="11"/>
        <color rgb="FFFF0000"/>
        <rFont val="Calibri"/>
        <family val="2"/>
        <scheme val="minor"/>
      </rPr>
      <t>SETTLEMENT</t>
    </r>
  </si>
  <si>
    <t>* to be spread to all schedules on an equal percent of margin, through the base rate</t>
  </si>
  <si>
    <t>Revenue Requirement to Spread - Settlement</t>
  </si>
  <si>
    <r>
      <rPr>
        <b/>
        <sz val="10"/>
        <rFont val="Calibri"/>
        <family val="2"/>
        <scheme val="minor"/>
      </rPr>
      <t>Step 2</t>
    </r>
    <r>
      <rPr>
        <sz val="10"/>
        <rFont val="Calibri"/>
        <family val="2"/>
        <scheme val="minor"/>
      </rPr>
      <t>: Rate Impacts - Settled Rate Spread w/ EDIT</t>
    </r>
  </si>
  <si>
    <r>
      <rPr>
        <b/>
        <sz val="10"/>
        <rFont val="Calibri"/>
        <family val="2"/>
        <scheme val="minor"/>
      </rPr>
      <t>Step 2</t>
    </r>
    <r>
      <rPr>
        <sz val="10"/>
        <rFont val="Calibri"/>
        <family val="2"/>
        <scheme val="minor"/>
      </rPr>
      <t>: Rate Impacts - Settled Rate Spread w/o EDIT</t>
    </r>
  </si>
  <si>
    <t>Rate Spread Settlement Notes:</t>
  </si>
  <si>
    <t>(Testimony References: Exh. RJW-1T)</t>
  </si>
  <si>
    <t>Rate Spread: UG-200994 Settled Rate Spread</t>
  </si>
  <si>
    <t>Rate Spread: UG-200994 - Attestation Adjustment</t>
  </si>
  <si>
    <t>Rate Spread: UG-200994 YEAR ONE FINAL SPREAD</t>
  </si>
  <si>
    <t>7a</t>
  </si>
  <si>
    <t>7b</t>
  </si>
  <si>
    <t>8b</t>
  </si>
  <si>
    <t>Proposed UG-200994 Revenue</t>
  </si>
  <si>
    <t>Proposed UG-200994 Margin</t>
  </si>
  <si>
    <r>
      <t xml:space="preserve">RATE SPREAD </t>
    </r>
    <r>
      <rPr>
        <b/>
        <u/>
        <sz val="10"/>
        <color rgb="FFFF0000"/>
        <rFont val="Tahoma"/>
        <family val="2"/>
      </rPr>
      <t>SETTLEMENT</t>
    </r>
    <r>
      <rPr>
        <b/>
        <u/>
        <sz val="10"/>
        <color rgb="FF0000FF"/>
        <rFont val="Tahoma"/>
        <family val="2"/>
      </rPr>
      <t xml:space="preserve"> - YEAR 1</t>
    </r>
  </si>
  <si>
    <r>
      <t xml:space="preserve">RATE SPREAD </t>
    </r>
    <r>
      <rPr>
        <b/>
        <u/>
        <sz val="10"/>
        <color rgb="FFFF0000"/>
        <rFont val="Tahoma"/>
        <family val="2"/>
      </rPr>
      <t>SETTLEMENT</t>
    </r>
    <r>
      <rPr>
        <b/>
        <u/>
        <sz val="10"/>
        <color rgb="FF0000FF"/>
        <rFont val="Tahoma"/>
        <family val="2"/>
      </rPr>
      <t xml:space="preserve"> - YEAR 2</t>
    </r>
  </si>
  <si>
    <r>
      <rPr>
        <b/>
        <sz val="10"/>
        <rFont val="Calibri"/>
        <family val="2"/>
        <scheme val="minor"/>
      </rPr>
      <t>Step 1</t>
    </r>
    <r>
      <rPr>
        <sz val="10"/>
        <rFont val="Calibri"/>
        <family val="2"/>
        <scheme val="minor"/>
      </rPr>
      <t>: Rate Impacts - Settled Rate Spread</t>
    </r>
  </si>
  <si>
    <t xml:space="preserve">Rate Spread: UG-200994 YEAR TWO FINAL </t>
  </si>
  <si>
    <t>Proposed UG-200994 Year 2 Margin</t>
  </si>
  <si>
    <t>UG-200994</t>
  </si>
  <si>
    <t>11/01/2021</t>
  </si>
  <si>
    <t>11/01/2022</t>
  </si>
  <si>
    <t>F = D+E</t>
  </si>
  <si>
    <t>Derivation of All Combined Items Under Settled Rates - YEAR ONE</t>
  </si>
  <si>
    <t>Derivation of Rate Migitation Items Under Settled Rates</t>
  </si>
  <si>
    <t>Derivation of Rev Req Under Settled Rates</t>
  </si>
  <si>
    <t>Derivation of All Combined Items Under Settled Rates - YEAR TWO</t>
  </si>
  <si>
    <t>Calculation of Settled Rates - DETAIL</t>
  </si>
  <si>
    <t>Calculation of Settled Rates - SUMMARY</t>
  </si>
  <si>
    <t>UG-200994 + PGA</t>
  </si>
  <si>
    <t>Incremental Revenue Requirement Allocation by Rate Schedule - Revenue Requirement Effects</t>
  </si>
  <si>
    <t>Prior to Rate Mitigation</t>
  </si>
  <si>
    <t>Includes Rate Mitigation</t>
  </si>
  <si>
    <t>Base and Total Billing Rates by Rate Schedule and Block - Combined Effects</t>
  </si>
  <si>
    <t xml:space="preserve">UG-200994 
Base Rate </t>
  </si>
  <si>
    <t xml:space="preserve">UG-200994
 Base  + Temp Rate </t>
  </si>
  <si>
    <t>Total PGA Rate</t>
  </si>
  <si>
    <t>Monthly 
Base Charge</t>
  </si>
  <si>
    <t>Increase:
Base Rates</t>
  </si>
  <si>
    <t>Decrease:
Base Rates</t>
  </si>
  <si>
    <t>Decrease:
Base Rate</t>
  </si>
  <si>
    <t>Decrease:
Temporary Rate</t>
  </si>
  <si>
    <t>Total 
PGA + Year 1 GRC Rate</t>
  </si>
  <si>
    <t>UG-200994 Tariff Base + Temp Rate</t>
  </si>
  <si>
    <t>Total 
PGA Rate</t>
  </si>
  <si>
    <t>Total 
PGA + Year 2 GRC Rate</t>
  </si>
  <si>
    <t>--&gt; Margin allocation to 41CIS to match 41CSF and 42CIS.</t>
  </si>
  <si>
    <t>--&gt; Margin allocation to schedules with no customers, except 41CIS.</t>
  </si>
  <si>
    <r>
      <t xml:space="preserve">Impacts of Revenue Requirement items of $5.0M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</si>
  <si>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$3.0M, </t>
    </r>
    <r>
      <rPr>
        <i/>
        <u/>
        <sz val="10"/>
        <color rgb="FF0000FF"/>
        <rFont val="Calibri"/>
        <family val="2"/>
        <scheme val="minor"/>
      </rPr>
      <t>prior to</t>
    </r>
    <r>
      <rPr>
        <i/>
        <sz val="10"/>
        <color rgb="FF0000FF"/>
        <rFont val="Calibri"/>
        <family val="2"/>
        <scheme val="minor"/>
      </rPr>
      <t xml:space="preserve"> rate mitigation adjustment: Suspension of Historical Energy Efficiency Deferral,</t>
    </r>
  </si>
  <si>
    <t>credit of Block 24 property net gain on sale, and credit of Astoria Resource Center property net gain on sale.</t>
  </si>
  <si>
    <r>
      <t xml:space="preserve">NOTE </t>
    </r>
    <r>
      <rPr>
        <b/>
        <sz val="10"/>
        <rFont val="Calibri"/>
        <family val="2"/>
        <scheme val="minor"/>
      </rPr>
      <t>(1):</t>
    </r>
    <r>
      <rPr>
        <sz val="10"/>
        <rFont val="Calibri"/>
        <family val="2"/>
        <scheme val="minor"/>
      </rPr>
      <t xml:space="preserve"> Revenue Requirement spread to all rate schedules based on All-Party Settlement.</t>
    </r>
  </si>
  <si>
    <r>
      <rPr>
        <sz val="10"/>
        <color theme="0"/>
        <rFont val="Calibri"/>
        <family val="2"/>
        <scheme val="minor"/>
      </rPr>
      <t xml:space="preserve">NOTE:       </t>
    </r>
    <r>
      <rPr>
        <sz val="10"/>
        <rFont val="Calibri"/>
        <family val="2"/>
        <scheme val="minor"/>
      </rPr>
      <t>Therefore, there may be a small discrepancy with the All-Party settled revenue requirement.</t>
    </r>
  </si>
  <si>
    <r>
      <t xml:space="preserve">Impacts of Revenue Requirement items of $3.0M, </t>
    </r>
    <r>
      <rPr>
        <i/>
        <u/>
        <sz val="10"/>
        <color rgb="FF0000FF"/>
        <rFont val="Calibri"/>
        <family val="2"/>
        <scheme val="minor"/>
      </rPr>
      <t>including</t>
    </r>
    <r>
      <rPr>
        <i/>
        <sz val="10"/>
        <color rgb="FF0000FF"/>
        <rFont val="Calibri"/>
        <family val="2"/>
        <scheme val="minor"/>
      </rPr>
      <t xml:space="preserve"> rate mitigation adjustment: Suspension of Historical Energy Efficiency Deferral,</t>
    </r>
  </si>
  <si>
    <r>
      <t xml:space="preserve">NOTE </t>
    </r>
    <r>
      <rPr>
        <b/>
        <sz val="10"/>
        <rFont val="Calibri"/>
        <family val="2"/>
        <scheme val="minor"/>
      </rPr>
      <t>(2):</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</si>
  <si>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(3):</t>
    </r>
    <r>
      <rPr>
        <sz val="10"/>
        <rFont val="Calibri"/>
        <family val="2"/>
        <scheme val="minor"/>
      </rPr>
      <t xml:space="preserve"> Block 24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</si>
  <si>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Astoria Resource Center property net gain on sale spread to all rate schedules on equal percent of margin basis.  See Exh. RJW-1T.</t>
    </r>
  </si>
  <si>
    <t>M= A+C</t>
  </si>
  <si>
    <t>N=B+K</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</si>
  <si>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</si>
  <si>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t>Base and Total Billing Rates by Rate Schedule and Block - Revenue Requirement Effects</t>
  </si>
  <si>
    <t>Base and Total Billing Rates by Rate Schedule and Block - Revenue Requirement Effects with Rate Mitigation</t>
  </si>
  <si>
    <t>UG-200994 Increase:
Base Rates</t>
  </si>
  <si>
    <t>UG-200994 Decrease:
Base Rates</t>
  </si>
  <si>
    <t>Year One 
Rates</t>
  </si>
  <si>
    <t>Year Two 
Rates</t>
  </si>
  <si>
    <t>Year One  
Base + Temp Rates</t>
  </si>
  <si>
    <t>UG-200994 Decrease:
Temporary Rate</t>
  </si>
  <si>
    <t>Year Two
Base + Temp Rates</t>
  </si>
  <si>
    <t>G = A * B</t>
  </si>
  <si>
    <t>H = A * D</t>
  </si>
  <si>
    <t>I = A * F</t>
  </si>
  <si>
    <t>N = (J*K*12)+I</t>
  </si>
  <si>
    <t>M = (J*K*12)+H</t>
  </si>
  <si>
    <t>L = (J*K*12)+G</t>
  </si>
  <si>
    <t>&lt; based on pre Year 1 margin rates &gt;</t>
  </si>
  <si>
    <t>UG-200994 Washington Jurisdictional Rate Case</t>
  </si>
  <si>
    <t>UG- 200994 Washington Jurisdictional Rate Case</t>
  </si>
  <si>
    <t>Conservation Potential Assessment Deferral</t>
  </si>
  <si>
    <t>CPA</t>
  </si>
  <si>
    <t>Conservation Potential Assessment</t>
  </si>
  <si>
    <r>
      <t xml:space="preserve">Impacts of Revenue Requirement items of $5.0M (Incl. Plant EDIT Amortization Credits), </t>
    </r>
    <r>
      <rPr>
        <i/>
        <u/>
        <sz val="10"/>
        <color rgb="FF0000FF"/>
        <rFont val="Calibri"/>
        <family val="2"/>
        <scheme val="minor"/>
      </rPr>
      <t xml:space="preserve">prior to </t>
    </r>
    <r>
      <rPr>
        <i/>
        <sz val="10"/>
        <color rgb="FF0000FF"/>
        <rFont val="Calibri"/>
        <family val="2"/>
        <scheme val="minor"/>
      </rPr>
      <t>Conservation Potential Assessment Costs Deferral and</t>
    </r>
  </si>
  <si>
    <t xml:space="preserve"> rate mitigation adjustments: Suspension of Historical Energy Efficiency Deferraland credit of Block 24 property net gain on sale.</t>
  </si>
  <si>
    <t>rate mitigation adjustments: Suspension of Historical Energy Efficiency Deferral and credit of Block 24 property net gain on sale.</t>
  </si>
  <si>
    <t>CPA Deferral</t>
  </si>
  <si>
    <r>
      <t xml:space="preserve">Impacts of Revenue Requirement items of $5.0M (Incl. Plant EDIT Amortization Credits), </t>
    </r>
    <r>
      <rPr>
        <i/>
        <u/>
        <sz val="10"/>
        <color rgb="FF0000FF"/>
        <rFont val="Calibri"/>
        <family val="2"/>
        <scheme val="minor"/>
      </rPr>
      <t xml:space="preserve">including </t>
    </r>
    <r>
      <rPr>
        <i/>
        <sz val="10"/>
        <color rgb="FF0000FF"/>
        <rFont val="Calibri"/>
        <family val="2"/>
        <scheme val="minor"/>
      </rPr>
      <t>Conservation Potential Assessment (CPA) Costs Deferral and</t>
    </r>
  </si>
  <si>
    <t>Revenue
Increase 
(%)</t>
  </si>
  <si>
    <t>Margin Revenue 
at 
Year 1
Rates</t>
  </si>
  <si>
    <t>Total Revenue
 at 
Year 1
Rates</t>
  </si>
  <si>
    <t>Total Revenue 
at 
Year 1
Rates</t>
  </si>
  <si>
    <t>Margin Revenue 
at 
Year 2
Rates</t>
  </si>
  <si>
    <t>Total Revenue
 at 
Year 2
Rates</t>
  </si>
  <si>
    <t>M=C+E</t>
  </si>
  <si>
    <t>O=C+E+G+I+K</t>
  </si>
  <si>
    <t>Q= A+M</t>
  </si>
  <si>
    <t>R=B+O</t>
  </si>
  <si>
    <t>Increase:
Temporary Rate</t>
  </si>
  <si>
    <t>Conservation Potential Assessment (CPA)</t>
  </si>
  <si>
    <t>(7)</t>
  </si>
  <si>
    <r>
      <t xml:space="preserve">NOTE </t>
    </r>
    <r>
      <rPr>
        <b/>
        <sz val="10"/>
        <rFont val="Calibri"/>
        <family val="2"/>
        <scheme val="minor"/>
      </rPr>
      <t>(5):</t>
    </r>
    <r>
      <rPr>
        <sz val="10"/>
        <rFont val="Calibri"/>
        <family val="2"/>
        <scheme val="minor"/>
      </rPr>
      <t xml:space="preserve"> Conservation Potential Assessment (CPA) Costs spread to all rate schedules on equal percent of margin basis.  See UG-210085 Petition for Deferred Accounting.</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</si>
  <si>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</si>
  <si>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r>
      <t>NOTE</t>
    </r>
    <r>
      <rPr>
        <b/>
        <sz val="10"/>
        <rFont val="Calibri"/>
        <family val="2"/>
        <scheme val="minor"/>
      </rPr>
      <t xml:space="preserve"> (7):</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</si>
  <si>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t>O=C+E+G+K</t>
  </si>
  <si>
    <t>Margin
Decrease 
(%)</t>
  </si>
  <si>
    <t>UG-200994 Increase:
Temporary Rate</t>
  </si>
  <si>
    <t>S = O+P+Q+R</t>
  </si>
  <si>
    <t>X=S+T+U+V+W-(P+Q+R)</t>
  </si>
  <si>
    <t>Year 1 Incremental Revenue Requirement Allocation by Rate Schedule - Revenue Requirement Effects Including Rate Mitigation</t>
  </si>
  <si>
    <t>Year 1 Rate Credit by Rate Schedule Due to Revenue Requirement Rate Mitigation</t>
  </si>
  <si>
    <t>Year 2 Rate Credit by Rate Schedule Due to Revenue Requirement Rate Mitigation</t>
  </si>
  <si>
    <r>
      <t xml:space="preserve">NOTE </t>
    </r>
    <r>
      <rPr>
        <b/>
        <sz val="10"/>
        <rFont val="Calibri"/>
        <family val="2"/>
        <scheme val="minor"/>
      </rPr>
      <t>(1):</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</si>
  <si>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(2):</t>
    </r>
    <r>
      <rPr>
        <sz val="10"/>
        <rFont val="Calibri"/>
        <family val="2"/>
        <scheme val="minor"/>
      </rPr>
      <t xml:space="preserve"> Block 24 property net gain on sale spread to all rate schedules on equal percent of margin basis.  See Exh. RJW-1T.</t>
    </r>
  </si>
  <si>
    <t>Historical Energy Efficiency</t>
  </si>
  <si>
    <t>Block 24 Gain on Sale</t>
  </si>
  <si>
    <t>Impacts of Year 1 revenue requirement rate mitigation adjustments:</t>
  </si>
  <si>
    <t>Suspension of Historical Energy Efficiency Deferral and credit of Block 24 property net gain on sale.</t>
  </si>
  <si>
    <t>Impacts of Year 2 revenue requirement rate mitigation adjustments:</t>
  </si>
  <si>
    <t>Suspension of Historical Energy Efficiency Deferral, credit of Block 24 property net gain on sale, and credit of Astoria Resource Center property net gain on sale.</t>
  </si>
  <si>
    <t>Astoria Property Gain on Sale</t>
  </si>
  <si>
    <r>
      <t xml:space="preserve">NOTE </t>
    </r>
    <r>
      <rPr>
        <b/>
        <sz val="10"/>
        <rFont val="Calibri"/>
        <family val="2"/>
        <scheme val="minor"/>
      </rPr>
      <t>(3):</t>
    </r>
    <r>
      <rPr>
        <sz val="10"/>
        <rFont val="Calibri"/>
        <family val="2"/>
        <scheme val="minor"/>
      </rPr>
      <t xml:space="preserve"> Astoria Resource Center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</si>
  <si>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The proposed margin revenue increase is based on volumetric billing rates rounded to the fifth decimal as necessitated by the Company's tariff.</t>
    </r>
  </si>
  <si>
    <t>Multi-Party Settlement Agreement - Attachment 2</t>
  </si>
  <si>
    <r>
      <t xml:space="preserve">NOTE </t>
    </r>
    <r>
      <rPr>
        <b/>
        <sz val="10"/>
        <rFont val="Calibri"/>
        <family val="2"/>
        <scheme val="minor"/>
      </rPr>
      <t>(1):</t>
    </r>
    <r>
      <rPr>
        <sz val="10"/>
        <rFont val="Calibri"/>
        <family val="2"/>
        <scheme val="minor"/>
      </rPr>
      <t xml:space="preserve"> Revenue Requirement spread to all rate schedules based on Multi-Party Settlement.</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</si>
  <si>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</si>
  <si>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</si>
  <si>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Multi-Party Settlement Agreement - Attachment </t>
    </r>
    <r>
      <rPr>
        <b/>
        <sz val="10"/>
        <color rgb="FFFF0000"/>
        <rFont val="Calibri"/>
        <family val="2"/>
        <scheme val="minor"/>
      </rPr>
      <t>XXX</t>
    </r>
  </si>
  <si>
    <r>
      <rPr>
        <sz val="10"/>
        <color theme="0"/>
        <rFont val="Calibri"/>
        <family val="2"/>
        <scheme val="minor"/>
      </rPr>
      <t xml:space="preserve">NOTE (3): </t>
    </r>
    <r>
      <rPr>
        <sz val="10"/>
        <rFont val="Calibri"/>
        <family val="2"/>
        <scheme val="minor"/>
      </rPr>
      <t>Therefore, there may be a small discrepancy with the Multi-Party settled revenue requirement.</t>
    </r>
  </si>
  <si>
    <t>P=C+E</t>
  </si>
  <si>
    <t>R=C+E+G+J+M</t>
  </si>
  <si>
    <t>T= A+P</t>
  </si>
  <si>
    <t>U=B+R</t>
  </si>
  <si>
    <t>P= C+E+H+K</t>
  </si>
  <si>
    <t>R= A+C</t>
  </si>
  <si>
    <t>S=B+P</t>
  </si>
  <si>
    <t>UG-200994, UG-200995, UG-200996 &amp; UG-210085</t>
  </si>
  <si>
    <t>Year 2 Incremental Revenue Requirement Allocation by Rate Schedule - Revenue Requirement Effects Including Rate Mitigation</t>
  </si>
  <si>
    <t>* to be spread to all schedules per multi-party settlement position</t>
  </si>
  <si>
    <t>SPREAD REVENUE REQUIREMENT INCREMENT BASED ON SETTLEMENT</t>
  </si>
  <si>
    <t>WA PGA</t>
  </si>
  <si>
    <t>Net Change WACOG</t>
  </si>
  <si>
    <t>Net Change Demand</t>
  </si>
  <si>
    <t>Net Change Temps</t>
  </si>
  <si>
    <t>L=F+(D * I)</t>
  </si>
  <si>
    <t>AO</t>
  </si>
  <si>
    <t>AU</t>
  </si>
  <si>
    <t>AV</t>
  </si>
  <si>
    <t>AX</t>
  </si>
  <si>
    <t>AY</t>
  </si>
  <si>
    <t>AZ</t>
  </si>
  <si>
    <t>[2] Average Monthly Bill Change are calculated based on UG 200994 volumes and customer counts.</t>
  </si>
  <si>
    <t>AQ = AL…AP</t>
  </si>
  <si>
    <t>AK=AG...AJ</t>
  </si>
  <si>
    <t>AX = AR…AV</t>
  </si>
  <si>
    <t>UG 200994</t>
  </si>
  <si>
    <t>Billing Rate</t>
  </si>
  <si>
    <t>Updated from PGA</t>
  </si>
  <si>
    <t>2021-22</t>
  </si>
  <si>
    <t>NET REVENUE CHANGE FOR TEMPS</t>
  </si>
  <si>
    <t>Pipeline Capacity Rate (Demand) [1]</t>
  </si>
  <si>
    <t>UG-200994, UG-210698, UG-210699, UG-170094, UG-210555 &amp; UG-210701</t>
  </si>
  <si>
    <t>H=D+(F * C)</t>
  </si>
  <si>
    <t>I=D+(G * C)</t>
  </si>
  <si>
    <t>K=E+(J*C)</t>
  </si>
  <si>
    <t>L=(K-H)/H</t>
  </si>
  <si>
    <t>O=(N-I)/I</t>
  </si>
  <si>
    <t>N=(E+(M*C)</t>
  </si>
  <si>
    <t>[1] Rate Schedule 41 and 42 customers may choose demand charges at a volumetric rate or based on MDDV. For convenience of presentation, demand charges are not inlcuded in the calculations for those schedules.</t>
  </si>
  <si>
    <t>RM Temp</t>
  </si>
  <si>
    <t>%</t>
  </si>
  <si>
    <t>Ave Bill</t>
  </si>
  <si>
    <t>UG-200994+PGA</t>
  </si>
  <si>
    <t>CURRENT RATES</t>
  </si>
  <si>
    <t>2022-23</t>
  </si>
  <si>
    <t>WA Res. Rate Mit.</t>
  </si>
  <si>
    <t>Rate Mitigation</t>
  </si>
  <si>
    <t>Residential Rate Mitigation</t>
  </si>
  <si>
    <t>UG-220734</t>
  </si>
  <si>
    <t>2022-2023 PGA + Other Filings</t>
  </si>
  <si>
    <t>Residential Rate Mitigation (Temp Adj.)</t>
  </si>
  <si>
    <t>PRE UG-200994 RATES AT 11/01/2020</t>
  </si>
  <si>
    <t>GRC RATES</t>
  </si>
  <si>
    <t>ONLY</t>
  </si>
  <si>
    <t>TARIFFED</t>
  </si>
  <si>
    <t>UG 200994+</t>
  </si>
  <si>
    <t>21-22 PGA</t>
  </si>
  <si>
    <t>K=I…J</t>
  </si>
  <si>
    <t>O=L…N</t>
  </si>
  <si>
    <t>22-23 PGA</t>
  </si>
  <si>
    <t>PROPOSED</t>
  </si>
  <si>
    <t>T=P…S</t>
  </si>
  <si>
    <t>Z=V…X</t>
  </si>
  <si>
    <t>UG-200994 YEAR 1 Volumetric Rates                                                                                                         UG-200994 YEAR 1 Volumetric Rates</t>
  </si>
  <si>
    <t>ACTUAL</t>
  </si>
  <si>
    <t>UG-200994 YEAR 2 Volumetric Rates                                                                       UG-200994 YEAR 2 Volumetric Rates</t>
  </si>
  <si>
    <t>AF=AA…AE</t>
  </si>
  <si>
    <t>AA=T…X</t>
  </si>
  <si>
    <t>PRE-</t>
  </si>
  <si>
    <t>UG-200994 +</t>
  </si>
  <si>
    <t>YEAR ONE AVERAGE BILL IMPACTS                                                                                                                                                           YEAR ONE AVERAGE BILL IMPACTS</t>
  </si>
  <si>
    <t>YEAR TWO AVERAGE BILL IMPACTS                                                                                                                                                           YEAR TWO AVERAGE BILL IMPACTS</t>
  </si>
  <si>
    <t>YEAR 2 COMBINED IMPACTS</t>
  </si>
  <si>
    <t>YEAR 1 COMBINED IMPACTS</t>
  </si>
  <si>
    <t>PRE UG-200994 Tariff Rate</t>
  </si>
  <si>
    <t>11-1-20 
Rates:
Base Rate</t>
  </si>
  <si>
    <t>11-1-20 
Rates:
Pipeline Capacity</t>
  </si>
  <si>
    <t>11-1-20 
Rates:
Commodity</t>
  </si>
  <si>
    <t>11-1-20 
Rates:
Temporary Adj</t>
  </si>
  <si>
    <t>11-1-20 
Billing
Rates</t>
  </si>
  <si>
    <t>UG-200994 YEAR 1</t>
  </si>
  <si>
    <t>RATES</t>
  </si>
  <si>
    <t>UG-200994 YEAR 1 + 2021-2022 PGA</t>
  </si>
  <si>
    <t>UG-200994 YEAR 2</t>
  </si>
  <si>
    <t>PRPOPOSED</t>
  </si>
  <si>
    <t>UG-200994 YEAR 2 + 2022-2023 PGA</t>
  </si>
  <si>
    <t>Check:</t>
  </si>
  <si>
    <t>UG-200994, UG-220541, UG-220693, UG-220694, UG-220697 &amp; UG-220734</t>
  </si>
  <si>
    <t>Pre UG-200994</t>
  </si>
  <si>
    <t>Current Tariff</t>
  </si>
  <si>
    <t>UG-200994 + 21-22 PGA</t>
  </si>
  <si>
    <t>UG-200994 + 22-23 PGA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</si>
</sst>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 numFmtId="252" formatCode="_(* #,##0.0000_);_(* \(#,##0.0000\);_(* &quot;-&quot;??_);_(@_)"/>
  </numFmts>
  <fonts count="237"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u/>
      <sz val="10"/>
      <color rgb="FF0000FF"/>
      <name val="Tahoma"/>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b/>
      <sz val="10"/>
      <color rgb="FFC0000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
      <b/>
      <sz val="10"/>
      <color rgb="FF0000FF"/>
      <name val="Times New Roman"/>
      <family val="1"/>
    </font>
    <font>
      <b/>
      <sz val="11"/>
      <color rgb="FFFF0000"/>
      <name val="Calibri"/>
      <family val="2"/>
      <scheme val="minor"/>
    </font>
    <font>
      <b/>
      <u/>
      <sz val="10"/>
      <color rgb="FFFF0000"/>
      <name val="Tahoma"/>
      <family val="2"/>
    </font>
    <font>
      <sz val="9"/>
      <color indexed="81"/>
      <name val="Tahoma"/>
      <family val="2"/>
    </font>
    <font>
      <b/>
      <sz val="9"/>
      <color indexed="81"/>
      <name val="Tahoma"/>
      <family val="2"/>
    </font>
    <font>
      <b/>
      <sz val="10"/>
      <color rgb="FFFF0000"/>
      <name val="Times New Roman"/>
      <family val="1"/>
    </font>
  </fonts>
  <fills count="171">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99FF"/>
        <bgColor indexed="64"/>
      </patternFill>
    </fill>
    <fill>
      <patternFill patternType="solid">
        <fgColor rgb="FFFFFF99"/>
        <bgColor indexed="64"/>
      </patternFill>
    </fill>
    <fill>
      <patternFill patternType="solid">
        <fgColor theme="6"/>
        <bgColor indexed="64"/>
      </patternFill>
    </fill>
    <fill>
      <patternFill patternType="solid">
        <fgColor theme="6" tint="0.39997558519241921"/>
        <bgColor indexed="64"/>
      </patternFill>
    </fill>
    <fill>
      <patternFill patternType="solid">
        <fgColor rgb="FFFFCCFF"/>
        <bgColor indexed="64"/>
      </patternFill>
    </fill>
  </fills>
  <borders count="134">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dashed">
        <color indexed="64"/>
      </left>
      <right style="hair">
        <color indexed="64"/>
      </right>
      <top style="medium">
        <color indexed="64"/>
      </top>
      <bottom style="thin">
        <color indexed="64"/>
      </bottom>
      <diagonal/>
    </border>
    <border>
      <left style="dashed">
        <color indexed="64"/>
      </left>
      <right style="hair">
        <color indexed="64"/>
      </right>
      <top/>
      <bottom/>
      <diagonal/>
    </border>
    <border>
      <left style="dashed">
        <color indexed="64"/>
      </left>
      <right style="hair">
        <color indexed="64"/>
      </right>
      <top style="thin">
        <color indexed="64"/>
      </top>
      <bottom style="medium">
        <color indexed="64"/>
      </bottom>
      <diagonal/>
    </border>
    <border>
      <left/>
      <right style="hair">
        <color indexed="64"/>
      </right>
      <top/>
      <bottom/>
      <diagonal/>
    </border>
    <border>
      <left style="thin">
        <color auto="1"/>
      </left>
      <right style="medium">
        <color indexed="64"/>
      </right>
      <top style="thin">
        <color auto="1"/>
      </top>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style="thin">
        <color auto="1"/>
      </left>
      <right style="medium">
        <color indexed="64"/>
      </right>
      <top/>
      <bottom style="medium">
        <color auto="1"/>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style="thin">
        <color indexed="64"/>
      </bottom>
      <diagonal/>
    </border>
  </borders>
  <cellStyleXfs count="56368">
    <xf numFmtId="0" fontId="0"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11" fillId="0" borderId="0"/>
    <xf numFmtId="175" fontId="11" fillId="0" borderId="0" applyFont="0" applyFill="0" applyBorder="0" applyAlignment="0" applyProtection="0"/>
    <xf numFmtId="9" fontId="11" fillId="0" borderId="0" applyFon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1" fillId="14" borderId="0" applyNumberFormat="0" applyBorder="0" applyAlignment="0" applyProtection="0"/>
    <xf numFmtId="1" fontId="22" fillId="0" borderId="24">
      <alignment vertical="top"/>
    </xf>
    <xf numFmtId="43" fontId="2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alignment vertical="top"/>
    </xf>
    <xf numFmtId="177" fontId="11" fillId="0" borderId="0" applyFont="0" applyFill="0" applyBorder="0" applyAlignment="0" applyProtection="0">
      <alignment vertical="top"/>
    </xf>
    <xf numFmtId="174" fontId="24" fillId="0" borderId="0"/>
    <xf numFmtId="5" fontId="11" fillId="0" borderId="0">
      <alignment vertical="top"/>
    </xf>
    <xf numFmtId="44" fontId="23"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5" fontId="11" fillId="0" borderId="0" applyFont="0" applyFill="0" applyBorder="0" applyAlignment="0" applyProtection="0">
      <alignment vertical="top"/>
    </xf>
    <xf numFmtId="177" fontId="11" fillId="0" borderId="0">
      <alignment vertical="top"/>
    </xf>
    <xf numFmtId="15" fontId="11" fillId="0" borderId="0" applyFont="0" applyFill="0" applyBorder="0" applyAlignment="0" applyProtection="0">
      <alignment vertical="top"/>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179" fontId="26" fillId="0" borderId="0">
      <protection locked="0"/>
    </xf>
    <xf numFmtId="174" fontId="14" fillId="0" borderId="0"/>
    <xf numFmtId="0" fontId="27" fillId="0" borderId="0">
      <protection locked="0"/>
    </xf>
    <xf numFmtId="0" fontId="27" fillId="0" borderId="0">
      <protection locked="0"/>
    </xf>
    <xf numFmtId="180" fontId="14" fillId="0" borderId="0"/>
    <xf numFmtId="181" fontId="14" fillId="0" borderId="0"/>
    <xf numFmtId="0" fontId="23" fillId="0" borderId="0"/>
    <xf numFmtId="10" fontId="11" fillId="0" borderId="0" applyFont="0" applyFill="0" applyBorder="0" applyAlignment="0" applyProtection="0">
      <alignment vertical="top"/>
    </xf>
    <xf numFmtId="182" fontId="28" fillId="0" borderId="0"/>
    <xf numFmtId="4" fontId="29" fillId="18" borderId="45" applyNumberFormat="0" applyProtection="0">
      <alignment vertical="center"/>
    </xf>
    <xf numFmtId="4" fontId="30" fillId="18" borderId="45" applyNumberFormat="0" applyProtection="0">
      <alignment vertical="center"/>
    </xf>
    <xf numFmtId="4" fontId="29" fillId="18" borderId="45" applyNumberFormat="0" applyProtection="0">
      <alignment horizontal="left" vertical="center" indent="1"/>
    </xf>
    <xf numFmtId="0" fontId="29" fillId="18" borderId="45" applyNumberFormat="0" applyProtection="0">
      <alignment horizontal="left" vertical="top" indent="1"/>
    </xf>
    <xf numFmtId="4" fontId="29" fillId="19" borderId="0" applyNumberFormat="0" applyProtection="0">
      <alignment horizontal="left" vertical="center" indent="1"/>
    </xf>
    <xf numFmtId="4" fontId="31" fillId="20" borderId="45" applyNumberFormat="0" applyProtection="0">
      <alignment horizontal="right" vertical="center"/>
    </xf>
    <xf numFmtId="4" fontId="31" fillId="21" borderId="45" applyNumberFormat="0" applyProtection="0">
      <alignment horizontal="right" vertical="center"/>
    </xf>
    <xf numFmtId="4" fontId="31" fillId="22" borderId="45" applyNumberFormat="0" applyProtection="0">
      <alignment horizontal="right" vertical="center"/>
    </xf>
    <xf numFmtId="4" fontId="31" fillId="23" borderId="45" applyNumberFormat="0" applyProtection="0">
      <alignment horizontal="right" vertical="center"/>
    </xf>
    <xf numFmtId="4" fontId="31" fillId="24" borderId="45" applyNumberFormat="0" applyProtection="0">
      <alignment horizontal="right" vertical="center"/>
    </xf>
    <xf numFmtId="4" fontId="31" fillId="25" borderId="45" applyNumberFormat="0" applyProtection="0">
      <alignment horizontal="right" vertical="center"/>
    </xf>
    <xf numFmtId="4" fontId="31" fillId="26" borderId="45" applyNumberFormat="0" applyProtection="0">
      <alignment horizontal="right" vertical="center"/>
    </xf>
    <xf numFmtId="4" fontId="31" fillId="27" borderId="45" applyNumberFormat="0" applyProtection="0">
      <alignment horizontal="right" vertical="center"/>
    </xf>
    <xf numFmtId="4" fontId="31" fillId="28" borderId="45" applyNumberFormat="0" applyProtection="0">
      <alignment horizontal="right" vertical="center"/>
    </xf>
    <xf numFmtId="4" fontId="29" fillId="29" borderId="46" applyNumberFormat="0" applyProtection="0">
      <alignment horizontal="left" vertical="center" indent="1"/>
    </xf>
    <xf numFmtId="4" fontId="31" fillId="30" borderId="0" applyNumberFormat="0" applyProtection="0">
      <alignment horizontal="left" vertical="center" indent="1"/>
    </xf>
    <xf numFmtId="4" fontId="32" fillId="31" borderId="0" applyNumberFormat="0" applyProtection="0">
      <alignment horizontal="left" vertical="center" indent="1"/>
    </xf>
    <xf numFmtId="4" fontId="31" fillId="19" borderId="45" applyNumberFormat="0" applyProtection="0">
      <alignment horizontal="right" vertical="center"/>
    </xf>
    <xf numFmtId="4" fontId="31" fillId="30" borderId="0" applyNumberFormat="0" applyProtection="0">
      <alignment horizontal="left" vertical="center" indent="1"/>
    </xf>
    <xf numFmtId="4" fontId="31" fillId="19" borderId="0" applyNumberFormat="0" applyProtection="0">
      <alignment horizontal="left" vertical="center" indent="1"/>
    </xf>
    <xf numFmtId="0" fontId="11" fillId="31" borderId="45" applyNumberFormat="0" applyProtection="0">
      <alignment horizontal="left" vertical="center" indent="1"/>
    </xf>
    <xf numFmtId="0" fontId="11" fillId="31" borderId="45" applyNumberFormat="0" applyProtection="0">
      <alignment horizontal="left" vertical="top" indent="1"/>
    </xf>
    <xf numFmtId="0" fontId="11" fillId="19" borderId="45" applyNumberFormat="0" applyProtection="0">
      <alignment horizontal="left" vertical="center" indent="1"/>
    </xf>
    <xf numFmtId="0" fontId="11" fillId="19" borderId="45" applyNumberFormat="0" applyProtection="0">
      <alignment horizontal="left" vertical="top" indent="1"/>
    </xf>
    <xf numFmtId="0" fontId="11" fillId="32" borderId="45" applyNumberFormat="0" applyProtection="0">
      <alignment horizontal="left" vertical="center" indent="1"/>
    </xf>
    <xf numFmtId="0" fontId="11" fillId="32" borderId="45" applyNumberFormat="0" applyProtection="0">
      <alignment horizontal="left" vertical="top" indent="1"/>
    </xf>
    <xf numFmtId="0" fontId="11" fillId="30" borderId="45" applyNumberFormat="0" applyProtection="0">
      <alignment horizontal="left" vertical="center" indent="1"/>
    </xf>
    <xf numFmtId="0" fontId="11" fillId="30" borderId="45" applyNumberFormat="0" applyProtection="0">
      <alignment horizontal="left" vertical="top" indent="1"/>
    </xf>
    <xf numFmtId="177" fontId="11" fillId="33" borderId="38" applyNumberFormat="0">
      <protection locked="0"/>
    </xf>
    <xf numFmtId="4" fontId="31" fillId="34" borderId="45" applyNumberFormat="0" applyProtection="0">
      <alignment vertical="center"/>
    </xf>
    <xf numFmtId="4" fontId="33" fillId="34" borderId="45" applyNumberFormat="0" applyProtection="0">
      <alignment vertical="center"/>
    </xf>
    <xf numFmtId="4" fontId="31" fillId="34" borderId="45" applyNumberFormat="0" applyProtection="0">
      <alignment horizontal="left" vertical="center" indent="1"/>
    </xf>
    <xf numFmtId="0" fontId="31" fillId="34" borderId="45" applyNumberFormat="0" applyProtection="0">
      <alignment horizontal="left" vertical="top" indent="1"/>
    </xf>
    <xf numFmtId="4" fontId="31" fillId="30" borderId="45" applyNumberFormat="0" applyProtection="0">
      <alignment horizontal="right" vertical="center"/>
    </xf>
    <xf numFmtId="4" fontId="33" fillId="30" borderId="45" applyNumberFormat="0" applyProtection="0">
      <alignment horizontal="right" vertical="center"/>
    </xf>
    <xf numFmtId="4" fontId="31" fillId="19" borderId="45" applyNumberFormat="0" applyProtection="0">
      <alignment horizontal="left" vertical="center" indent="1"/>
    </xf>
    <xf numFmtId="0" fontId="31" fillId="19" borderId="45" applyNumberFormat="0" applyProtection="0">
      <alignment horizontal="left" vertical="top" indent="1"/>
    </xf>
    <xf numFmtId="4" fontId="34" fillId="35" borderId="0" applyNumberFormat="0" applyProtection="0">
      <alignment horizontal="left" vertical="center" indent="1"/>
    </xf>
    <xf numFmtId="4" fontId="35" fillId="30" borderId="45" applyNumberFormat="0" applyProtection="0">
      <alignment horizontal="right" vertical="center"/>
    </xf>
    <xf numFmtId="0" fontId="36" fillId="0" borderId="0" applyNumberFormat="0" applyFill="0" applyBorder="0" applyAlignment="0" applyProtection="0"/>
    <xf numFmtId="182" fontId="37" fillId="0" borderId="0"/>
    <xf numFmtId="174" fontId="13" fillId="0" borderId="0"/>
    <xf numFmtId="182" fontId="38" fillId="36" borderId="0" applyFont="0" applyBorder="0" applyAlignment="0">
      <alignment vertical="top" wrapText="1"/>
    </xf>
    <xf numFmtId="182" fontId="39" fillId="36" borderId="47" applyBorder="0">
      <alignment horizontal="right" vertical="top" wrapText="1"/>
    </xf>
    <xf numFmtId="182" fontId="22" fillId="0" borderId="34" applyAlignment="0">
      <alignment horizontal="right"/>
    </xf>
    <xf numFmtId="180" fontId="22" fillId="0" borderId="34" applyAlignment="0"/>
    <xf numFmtId="181" fontId="22" fillId="0" borderId="34" applyAlignment="0"/>
    <xf numFmtId="0" fontId="12" fillId="0" borderId="34" applyFont="0" applyFill="0" applyBorder="0" applyAlignment="0" applyProtection="0"/>
    <xf numFmtId="0" fontId="8" fillId="0" borderId="0"/>
    <xf numFmtId="0" fontId="11" fillId="0" borderId="0"/>
    <xf numFmtId="185" fontId="9" fillId="0" borderId="0"/>
    <xf numFmtId="0" fontId="52" fillId="0" borderId="0" applyNumberFormat="0" applyFill="0" applyBorder="0" applyAlignment="0" applyProtection="0"/>
    <xf numFmtId="0" fontId="53" fillId="0" borderId="57" applyNumberFormat="0" applyFill="0" applyAlignment="0" applyProtection="0"/>
    <xf numFmtId="0" fontId="54" fillId="0" borderId="58" applyNumberFormat="0" applyFill="0" applyAlignment="0" applyProtection="0"/>
    <xf numFmtId="0" fontId="55" fillId="0" borderId="59" applyNumberFormat="0" applyFill="0" applyAlignment="0" applyProtection="0"/>
    <xf numFmtId="0" fontId="55" fillId="0" borderId="0" applyNumberFormat="0" applyFill="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0" fontId="59" fillId="43" borderId="60" applyNumberFormat="0" applyAlignment="0" applyProtection="0"/>
    <xf numFmtId="0" fontId="60" fillId="44" borderId="61" applyNumberFormat="0" applyAlignment="0" applyProtection="0"/>
    <xf numFmtId="0" fontId="61" fillId="44" borderId="60" applyNumberFormat="0" applyAlignment="0" applyProtection="0"/>
    <xf numFmtId="0" fontId="62" fillId="0" borderId="62" applyNumberFormat="0" applyFill="0" applyAlignment="0" applyProtection="0"/>
    <xf numFmtId="0" fontId="63" fillId="45" borderId="63"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49" fillId="0" borderId="65" applyNumberFormat="0" applyFill="0" applyAlignment="0" applyProtection="0"/>
    <xf numFmtId="0" fontId="6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0" borderId="0"/>
    <xf numFmtId="43" fontId="6" fillId="0" borderId="0" applyFont="0" applyFill="0" applyBorder="0" applyAlignment="0" applyProtection="0"/>
    <xf numFmtId="0" fontId="6" fillId="46" borderId="64" applyNumberFormat="0" applyFont="0" applyAlignment="0" applyProtection="0"/>
    <xf numFmtId="9" fontId="6" fillId="0" borderId="0" applyFont="0" applyFill="0" applyBorder="0" applyAlignment="0" applyProtection="0"/>
    <xf numFmtId="0" fontId="23" fillId="0" borderId="0"/>
    <xf numFmtId="0" fontId="23"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9" fillId="0" borderId="0"/>
    <xf numFmtId="43"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4" fillId="0" borderId="0"/>
    <xf numFmtId="43" fontId="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20" fillId="7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2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7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7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1"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2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73"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3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23"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1" fillId="76"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2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10"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1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187" fontId="11" fillId="94" borderId="68">
      <alignment horizontal="center" vertical="center"/>
    </xf>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5" fillId="96" borderId="70"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9"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11" fillId="0" borderId="0">
      <alignment vertical="top"/>
    </xf>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 fontId="11" fillId="0" borderId="0" applyFill="0" applyBorder="0" applyProtection="0">
      <alignment horizontal="right" vertical="top"/>
    </xf>
    <xf numFmtId="4" fontId="4" fillId="0" borderId="0" applyFill="0" applyBorder="0" applyProtection="0">
      <alignment horizontal="right" vertical="top"/>
    </xf>
    <xf numFmtId="0" fontId="77" fillId="0" borderId="0"/>
    <xf numFmtId="0" fontId="77" fillId="0" borderId="0"/>
    <xf numFmtId="37" fontId="78" fillId="0" borderId="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0" fontId="77" fillId="0" borderId="0"/>
    <xf numFmtId="0" fontId="11" fillId="0" borderId="0" applyFont="0" applyFill="0" applyBorder="0" applyAlignment="0" applyProtection="0">
      <alignment vertical="top"/>
    </xf>
    <xf numFmtId="0" fontId="77" fillId="0" borderId="0"/>
    <xf numFmtId="0" fontId="77" fillId="0" borderId="0"/>
    <xf numFmtId="5" fontId="4" fillId="0" borderId="0">
      <alignment vertical="top"/>
    </xf>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7" fontId="4" fillId="0" borderId="0" applyFont="0" applyFill="0" applyBorder="0" applyAlignment="0" applyProtection="0">
      <alignment vertical="top"/>
    </xf>
    <xf numFmtId="178"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37" fontId="78" fillId="0" borderId="0" applyFill="0" applyBorder="0" applyAlignment="0" applyProtection="0">
      <alignment vertical="top"/>
    </xf>
    <xf numFmtId="0" fontId="11" fillId="0" borderId="0">
      <alignment vertical="top"/>
    </xf>
    <xf numFmtId="15" fontId="11" fillId="0" borderId="0" applyFont="0" applyFill="0" applyBorder="0" applyAlignment="0" applyProtection="0">
      <alignment vertical="top"/>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4" fillId="0" borderId="0" applyFont="0" applyFill="0" applyBorder="0" applyAlignment="0" applyProtection="0">
      <alignment vertical="top"/>
    </xf>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80" fillId="0" borderId="0" applyNumberFormat="0" applyFill="0" applyBorder="0" applyAlignment="0" applyProtection="0"/>
    <xf numFmtId="2" fontId="11" fillId="0" borderId="0" applyFont="0" applyFill="0" applyBorder="0" applyAlignment="0" applyProtection="0">
      <alignment vertical="top"/>
    </xf>
    <xf numFmtId="0" fontId="77"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38" fontId="14" fillId="2" borderId="0" applyNumberFormat="0" applyBorder="0" applyAlignment="0" applyProtection="0"/>
    <xf numFmtId="0" fontId="82" fillId="0" borderId="0" applyNumberFormat="0" applyFill="0" applyBorder="0" applyAlignment="0" applyProtection="0"/>
    <xf numFmtId="0" fontId="13" fillId="0" borderId="29" applyNumberFormat="0" applyAlignment="0" applyProtection="0">
      <alignment horizontal="left" vertical="center"/>
    </xf>
    <xf numFmtId="0" fontId="13" fillId="0" borderId="27">
      <alignment horizontal="left" vertical="center"/>
    </xf>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53" fillId="0" borderId="57"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9" fontId="11" fillId="0" borderId="0">
      <protection locked="0"/>
    </xf>
    <xf numFmtId="189" fontId="11" fillId="0" borderId="0">
      <protection locked="0"/>
    </xf>
    <xf numFmtId="0" fontId="11" fillId="0" borderId="0">
      <alignment horizontal="right" vertical="top"/>
    </xf>
    <xf numFmtId="0" fontId="86" fillId="0" borderId="0">
      <alignment vertical="top"/>
    </xf>
    <xf numFmtId="0" fontId="71" fillId="0" borderId="77" applyNumberFormat="0" applyFill="0" applyAlignment="0" applyProtection="0"/>
    <xf numFmtId="10" fontId="14" fillId="100" borderId="38" applyNumberFormat="0" applyBorder="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37" fontId="90" fillId="0" borderId="0"/>
    <xf numFmtId="190" fontId="11"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0" fontId="11" fillId="0" borderId="0"/>
    <xf numFmtId="0" fontId="14" fillId="101" borderId="0"/>
    <xf numFmtId="0" fontId="14" fillId="101" borderId="0"/>
    <xf numFmtId="0" fontId="14" fillId="101"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4" fillId="101" borderId="0"/>
    <xf numFmtId="0" fontId="14" fillId="101" borderId="0"/>
    <xf numFmtId="0" fontId="23" fillId="0" borderId="0"/>
    <xf numFmtId="0" fontId="15" fillId="0" borderId="0"/>
    <xf numFmtId="0" fontId="14" fillId="101" borderId="0"/>
    <xf numFmtId="0" fontId="14" fillId="101" borderId="0"/>
    <xf numFmtId="0" fontId="14" fillId="101" borderId="0"/>
    <xf numFmtId="0" fontId="14" fillId="101" borderId="0"/>
    <xf numFmtId="0" fontId="14" fillId="101" borderId="0"/>
    <xf numFmtId="0" fontId="15" fillId="0" borderId="0"/>
    <xf numFmtId="0" fontId="11" fillId="0" borderId="0"/>
    <xf numFmtId="0" fontId="79" fillId="0" borderId="0"/>
    <xf numFmtId="0" fontId="20" fillId="0" borderId="0"/>
    <xf numFmtId="0" fontId="11" fillId="0" borderId="0"/>
    <xf numFmtId="0" fontId="11" fillId="0" borderId="0"/>
    <xf numFmtId="0" fontId="11" fillId="0" borderId="0"/>
    <xf numFmtId="0" fontId="11" fillId="0" borderId="0"/>
    <xf numFmtId="0" fontId="11" fillId="0" borderId="0"/>
    <xf numFmtId="0" fontId="23" fillId="0" borderId="0"/>
    <xf numFmtId="0" fontId="79" fillId="0" borderId="0"/>
    <xf numFmtId="0" fontId="11" fillId="0" borderId="0">
      <alignment vertical="top"/>
    </xf>
    <xf numFmtId="0" fontId="4" fillId="0" borderId="0">
      <alignment vertical="top"/>
    </xf>
    <xf numFmtId="0" fontId="4" fillId="0" borderId="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3" fontId="86" fillId="0" borderId="81">
      <alignment vertical="top"/>
    </xf>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40" fontId="92" fillId="102" borderId="0">
      <alignment horizontal="right"/>
    </xf>
    <xf numFmtId="0" fontId="93" fillId="102" borderId="0">
      <alignment horizontal="right"/>
    </xf>
    <xf numFmtId="0" fontId="94" fillId="102" borderId="8"/>
    <xf numFmtId="0" fontId="94" fillId="0" borderId="0" applyBorder="0">
      <alignment horizontal="centerContinuous"/>
    </xf>
    <xf numFmtId="0" fontId="95" fillId="0" borderId="0" applyBorder="0">
      <alignment horizontal="centerContinuous"/>
    </xf>
    <xf numFmtId="0" fontId="77" fillId="0" borderId="0"/>
    <xf numFmtId="10"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0" fontId="11" fillId="0" borderId="0" applyNumberFormat="0" applyFont="0" applyFill="0" applyBorder="0" applyAlignment="0" applyProtection="0"/>
    <xf numFmtId="9" fontId="4" fillId="0" borderId="0" applyFill="0" applyBorder="0" applyAlignment="0" applyProtection="0">
      <alignment vertical="top"/>
    </xf>
    <xf numFmtId="10" fontId="4" fillId="0" borderId="0" applyFont="0" applyFill="0" applyBorder="0" applyAlignment="0" applyProtection="0">
      <alignment vertical="top"/>
    </xf>
    <xf numFmtId="0" fontId="11" fillId="0" borderId="0" applyFont="0" applyFill="0" applyBorder="0" applyAlignment="0" applyProtection="0">
      <alignment vertical="top"/>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96" fillId="0" borderId="12">
      <alignment horizontal="center"/>
    </xf>
    <xf numFmtId="3" fontId="23" fillId="0" borderId="0" applyFont="0" applyFill="0" applyBorder="0" applyAlignment="0" applyProtection="0"/>
    <xf numFmtId="0" fontId="23" fillId="103" borderId="0" applyNumberFormat="0" applyFont="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99" fillId="31" borderId="85" applyBorder="0"/>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0" fontId="14" fillId="107" borderId="38"/>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35" fillId="30" borderId="45"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0" fontId="31" fillId="0" borderId="0" applyNumberFormat="0" applyBorder="0" applyAlignment="0"/>
    <xf numFmtId="0" fontId="103" fillId="0" borderId="0" applyNumberFormat="0" applyBorder="0" applyAlignment="0"/>
    <xf numFmtId="0" fontId="24" fillId="0" borderId="0" applyNumberFormat="0" applyBorder="0" applyAlignment="0"/>
    <xf numFmtId="0" fontId="104" fillId="0" borderId="0" applyNumberFormat="0" applyBorder="0" applyAlignment="0"/>
    <xf numFmtId="0" fontId="31" fillId="0" borderId="0" applyNumberFormat="0" applyBorder="0" applyAlignment="0"/>
    <xf numFmtId="0" fontId="105" fillId="0" borderId="0" applyNumberFormat="0" applyBorder="0" applyAlignment="0"/>
    <xf numFmtId="174" fontId="106" fillId="0" borderId="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49" fillId="0" borderId="65" applyNumberFormat="0" applyFill="0" applyAlignment="0" applyProtection="0"/>
    <xf numFmtId="37" fontId="14" fillId="3" borderId="0" applyNumberFormat="0" applyBorder="0" applyAlignment="0" applyProtection="0"/>
    <xf numFmtId="37" fontId="14" fillId="0" borderId="0"/>
    <xf numFmtId="3" fontId="107" fillId="0" borderId="77"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8" fontId="23" fillId="108" borderId="0"/>
    <xf numFmtId="44" fontId="4" fillId="0" borderId="0" applyFont="0" applyFill="0" applyBorder="0" applyAlignment="0" applyProtection="0"/>
    <xf numFmtId="43" fontId="20" fillId="0" borderId="0" applyFont="0" applyFill="0" applyBorder="0" applyAlignment="0" applyProtection="0"/>
    <xf numFmtId="9" fontId="4" fillId="0" borderId="0" applyFont="0" applyFill="0" applyBorder="0" applyAlignment="0" applyProtection="0"/>
    <xf numFmtId="185" fontId="9" fillId="0" borderId="0"/>
    <xf numFmtId="9" fontId="9" fillId="0" borderId="0" applyFont="0" applyFill="0" applyBorder="0" applyAlignment="0" applyProtection="0"/>
    <xf numFmtId="43" fontId="9" fillId="0" borderId="0" applyFont="0" applyFill="0" applyBorder="0" applyAlignment="0" applyProtection="0"/>
    <xf numFmtId="185" fontId="9" fillId="0" borderId="0"/>
    <xf numFmtId="191" fontId="11" fillId="0" borderId="0">
      <alignment horizontal="right" wrapText="1"/>
    </xf>
    <xf numFmtId="192" fontId="11" fillId="0" borderId="0">
      <alignment horizontal="right" wrapText="1"/>
    </xf>
    <xf numFmtId="193" fontId="11" fillId="0" borderId="0">
      <alignment horizontal="right" wrapText="1"/>
    </xf>
    <xf numFmtId="194" fontId="11" fillId="0" borderId="0">
      <alignment horizontal="right" wrapText="1"/>
    </xf>
    <xf numFmtId="195" fontId="11" fillId="0" borderId="0">
      <alignment horizontal="right" wrapText="1"/>
    </xf>
    <xf numFmtId="196" fontId="41" fillId="0" borderId="0" applyFont="0" applyFill="0" applyBorder="0" applyAlignment="0" applyProtection="0"/>
    <xf numFmtId="197" fontId="112" fillId="0" borderId="0">
      <alignment horizontal="center"/>
    </xf>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185" fontId="78"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1" borderId="0" applyNumberFormat="0" applyBorder="0" applyAlignment="0" applyProtection="0"/>
    <xf numFmtId="185" fontId="20" fillId="71"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185" fontId="78"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0" borderId="0" applyNumberFormat="0" applyBorder="0" applyAlignment="0" applyProtection="0"/>
    <xf numFmtId="185" fontId="20" fillId="20"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185" fontId="78"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20" fillId="72" borderId="0" applyNumberFormat="0" applyBorder="0" applyAlignment="0" applyProtection="0"/>
    <xf numFmtId="185" fontId="20" fillId="72"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185" fontId="78"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185" fontId="78"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4" borderId="0" applyNumberFormat="0" applyBorder="0" applyAlignment="0" applyProtection="0"/>
    <xf numFmtId="185" fontId="20" fillId="7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20" fillId="75" borderId="0" applyNumberFormat="0" applyBorder="0" applyAlignment="0" applyProtection="0"/>
    <xf numFmtId="185" fontId="20" fillId="75"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185" fontId="7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185" fontId="78"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1" borderId="0" applyNumberFormat="0" applyBorder="0" applyAlignment="0" applyProtection="0"/>
    <xf numFmtId="185" fontId="20" fillId="21"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185" fontId="7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20" fillId="28" borderId="0" applyNumberFormat="0" applyBorder="0" applyAlignment="0" applyProtection="0"/>
    <xf numFmtId="185" fontId="20" fillId="28"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185" fontId="78"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185" fontId="78"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185" fontId="78"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20" fillId="23" borderId="0" applyNumberFormat="0" applyBorder="0" applyAlignment="0" applyProtection="0"/>
    <xf numFmtId="185" fontId="20" fillId="23"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6" borderId="0" applyNumberFormat="0" applyBorder="0" applyAlignment="0" applyProtection="0"/>
    <xf numFmtId="185" fontId="21" fillId="76" borderId="0" applyNumberFormat="0" applyBorder="0" applyAlignment="0" applyProtection="0"/>
    <xf numFmtId="0" fontId="66" fillId="50"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5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4" fillId="5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3" fillId="50"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113" fillId="50"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21" borderId="0" applyNumberFormat="0" applyBorder="0" applyAlignment="0" applyProtection="0"/>
    <xf numFmtId="185" fontId="21" fillId="21" borderId="0" applyNumberFormat="0" applyBorder="0" applyAlignment="0" applyProtection="0"/>
    <xf numFmtId="0" fontId="66" fillId="54" borderId="0" applyNumberFormat="0" applyBorder="0" applyAlignment="0" applyProtection="0"/>
    <xf numFmtId="185" fontId="21" fillId="110" borderId="0" applyNumberFormat="0" applyBorder="0" applyAlignment="0" applyProtection="0"/>
    <xf numFmtId="0" fontId="66" fillId="19" borderId="0" applyNumberFormat="0" applyBorder="0" applyAlignment="0" applyProtection="0"/>
    <xf numFmtId="0" fontId="113" fillId="54"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4" fillId="54"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3" fillId="54"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113" fillId="54"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28" borderId="0" applyNumberFormat="0" applyBorder="0" applyAlignment="0" applyProtection="0"/>
    <xf numFmtId="185" fontId="21" fillId="28" borderId="0" applyNumberFormat="0" applyBorder="0" applyAlignment="0" applyProtection="0"/>
    <xf numFmtId="0" fontId="66" fillId="58" borderId="0" applyNumberFormat="0" applyBorder="0" applyAlignment="0" applyProtection="0"/>
    <xf numFmtId="185" fontId="21" fillId="114" borderId="0" applyNumberFormat="0" applyBorder="0" applyAlignment="0" applyProtection="0"/>
    <xf numFmtId="0" fontId="66" fillId="26" borderId="0" applyNumberFormat="0" applyBorder="0" applyAlignment="0" applyProtection="0"/>
    <xf numFmtId="0" fontId="113" fillId="58"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4" fillId="58"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3" fillId="58"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113" fillId="58"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77" borderId="0" applyNumberFormat="0" applyBorder="0" applyAlignment="0" applyProtection="0"/>
    <xf numFmtId="185" fontId="21" fillId="77" borderId="0" applyNumberFormat="0" applyBorder="0" applyAlignment="0" applyProtection="0"/>
    <xf numFmtId="0" fontId="66" fillId="62" borderId="0" applyNumberFormat="0" applyBorder="0" applyAlignment="0" applyProtection="0"/>
    <xf numFmtId="185" fontId="21" fillId="116" borderId="0" applyNumberFormat="0" applyBorder="0" applyAlignment="0" applyProtection="0"/>
    <xf numFmtId="0" fontId="66" fillId="115" borderId="0" applyNumberFormat="0" applyBorder="0" applyAlignment="0" applyProtection="0"/>
    <xf numFmtId="0" fontId="113" fillId="62"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4" fillId="62"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3" fillId="62"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113" fillId="62"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8" borderId="0" applyNumberFormat="0" applyBorder="0" applyAlignment="0" applyProtection="0"/>
    <xf numFmtId="185" fontId="21" fillId="78" borderId="0" applyNumberFormat="0" applyBorder="0" applyAlignment="0" applyProtection="0"/>
    <xf numFmtId="0" fontId="66" fillId="66"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66"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4" fillId="66"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3" fillId="66"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113" fillId="66"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24" borderId="0" applyNumberFormat="0" applyBorder="0" applyAlignment="0" applyProtection="0"/>
    <xf numFmtId="185" fontId="21" fillId="24" borderId="0" applyNumberFormat="0" applyBorder="0" applyAlignment="0" applyProtection="0"/>
    <xf numFmtId="0" fontId="66" fillId="70" borderId="0" applyNumberFormat="0" applyBorder="0" applyAlignment="0" applyProtection="0"/>
    <xf numFmtId="185" fontId="21" fillId="121" borderId="0" applyNumberFormat="0" applyBorder="0" applyAlignment="0" applyProtection="0"/>
    <xf numFmtId="0" fontId="66" fillId="23" borderId="0" applyNumberFormat="0" applyBorder="0" applyAlignment="0" applyProtection="0"/>
    <xf numFmtId="0" fontId="113" fillId="70"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4" fillId="70"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3" fillId="7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113" fillId="70"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79" borderId="0" applyNumberFormat="0" applyBorder="0" applyAlignment="0" applyProtection="0"/>
    <xf numFmtId="185" fontId="20" fillId="79" borderId="0" applyNumberFormat="0" applyBorder="0" applyAlignment="0" applyProtection="0"/>
    <xf numFmtId="185" fontId="20" fillId="122"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113"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185" fontId="21" fillId="81"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0" fontId="114"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113" fillId="47" borderId="0" applyNumberFormat="0" applyBorder="0" applyAlignment="0" applyProtection="0"/>
    <xf numFmtId="185" fontId="21" fillId="123"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85" fontId="20" fillId="7" borderId="0" applyNumberFormat="0" applyBorder="0" applyAlignment="0" applyProtection="0"/>
    <xf numFmtId="185"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0"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8" borderId="0" applyNumberFormat="0" applyBorder="0" applyAlignment="0" applyProtection="0"/>
    <xf numFmtId="185" fontId="21" fillId="8" borderId="0" applyNumberFormat="0" applyBorder="0" applyAlignment="0" applyProtection="0"/>
    <xf numFmtId="185" fontId="21" fillId="125"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185" fontId="66" fillId="51" borderId="0" applyNumberFormat="0" applyBorder="0" applyAlignment="0" applyProtection="0"/>
    <xf numFmtId="185" fontId="113"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185" fontId="21" fillId="83"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0" fontId="114" fillId="51"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113" fillId="51" borderId="0" applyNumberFormat="0" applyBorder="0" applyAlignment="0" applyProtection="0"/>
    <xf numFmtId="185" fontId="21" fillId="3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84" borderId="0" applyNumberFormat="0" applyBorder="0" applyAlignment="0" applyProtection="0"/>
    <xf numFmtId="185" fontId="20" fillId="84" borderId="0" applyNumberFormat="0" applyBorder="0" applyAlignment="0" applyProtection="0"/>
    <xf numFmtId="185" fontId="20" fillId="127"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86" borderId="0" applyNumberFormat="0" applyBorder="0" applyAlignment="0" applyProtection="0"/>
    <xf numFmtId="185" fontId="21" fillId="86" borderId="0" applyNumberFormat="0" applyBorder="0" applyAlignment="0" applyProtection="0"/>
    <xf numFmtId="185" fontId="21" fillId="111"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0" fontId="113" fillId="55" borderId="0" applyNumberFormat="0" applyBorder="0" applyAlignment="0" applyProtection="0"/>
    <xf numFmtId="185"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0" fontId="114" fillId="55"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21" fillId="87"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21" fillId="114"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9" borderId="0" applyNumberFormat="0" applyBorder="0" applyAlignment="0" applyProtection="0"/>
    <xf numFmtId="185" fontId="20" fillId="9" borderId="0" applyNumberFormat="0" applyBorder="0" applyAlignment="0" applyProtection="0"/>
    <xf numFmtId="185" fontId="20" fillId="12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1" borderId="0" applyNumberFormat="0" applyBorder="0" applyAlignment="0" applyProtection="0"/>
    <xf numFmtId="185" fontId="21" fillId="11" borderId="0" applyNumberFormat="0" applyBorder="0" applyAlignment="0" applyProtection="0"/>
    <xf numFmtId="185" fontId="21" fillId="110"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59"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0" fontId="66" fillId="59"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0" fontId="113" fillId="59" borderId="0" applyNumberFormat="0" applyBorder="0" applyAlignment="0" applyProtection="0"/>
    <xf numFmtId="185"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114" fillId="59"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21" fillId="88"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1" fillId="13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9"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117"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63"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0" fontId="66" fillId="63"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0" fontId="113" fillId="63" borderId="0" applyNumberFormat="0" applyBorder="0" applyAlignment="0" applyProtection="0"/>
    <xf numFmtId="185"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114" fillId="63"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21" fillId="80"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0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14" borderId="0" applyNumberFormat="0" applyBorder="0" applyAlignment="0" applyProtection="0"/>
    <xf numFmtId="185" fontId="20" fillId="14" borderId="0" applyNumberFormat="0" applyBorder="0" applyAlignment="0" applyProtection="0"/>
    <xf numFmtId="185" fontId="20" fillId="11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91" borderId="0" applyNumberFormat="0" applyBorder="0" applyAlignment="0" applyProtection="0"/>
    <xf numFmtId="185" fontId="21" fillId="91" borderId="0" applyNumberFormat="0" applyBorder="0" applyAlignment="0" applyProtection="0"/>
    <xf numFmtId="185" fontId="21" fillId="12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0" fontId="113" fillId="67" borderId="0" applyNumberFormat="0" applyBorder="0" applyAlignment="0" applyProtection="0"/>
    <xf numFmtId="185"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0" fontId="114" fillId="67"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21" fillId="92"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21" fillId="13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71" fillId="0" borderId="0" applyNumberFormat="0" applyFill="0" applyBorder="0" applyAlignment="0">
      <protection locked="0"/>
    </xf>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57" fillId="41"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0" fontId="57" fillId="41"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0" fontId="116" fillId="41" borderId="0" applyNumberFormat="0" applyBorder="0" applyAlignment="0" applyProtection="0"/>
    <xf numFmtId="185"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57" fillId="41" borderId="0" applyNumberFormat="0" applyBorder="0" applyAlignment="0" applyProtection="0"/>
    <xf numFmtId="0" fontId="73" fillId="8" borderId="0" applyNumberFormat="0" applyBorder="0" applyAlignment="0" applyProtection="0"/>
    <xf numFmtId="0" fontId="116" fillId="41"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7" fillId="41"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72" fillId="100"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8" fillId="134" borderId="0" applyNumberFormat="0" applyFont="0" applyFill="0" applyBorder="0" applyProtection="0">
      <alignment horizontal="center"/>
    </xf>
    <xf numFmtId="0" fontId="118" fillId="134" borderId="0" applyNumberFormat="0" applyFont="0" applyFill="0" applyBorder="0" applyProtection="0">
      <alignment horizontal="left"/>
    </xf>
    <xf numFmtId="0" fontId="118" fillId="134" borderId="0" applyNumberFormat="0" applyFont="0" applyFill="0" applyBorder="0" applyProtection="0">
      <alignment horizontal="right"/>
    </xf>
    <xf numFmtId="0" fontId="119" fillId="135" borderId="87" applyNumberFormat="0" applyAlignment="0" applyProtection="0">
      <alignment horizontal="center"/>
      <protection locked="0"/>
    </xf>
    <xf numFmtId="0" fontId="119" fillId="136" borderId="87" applyNumberFormat="0" applyAlignment="0" applyProtection="0">
      <alignment horizontal="center"/>
      <protection locked="0"/>
    </xf>
    <xf numFmtId="0" fontId="118" fillId="57" borderId="87" applyNumberFormat="0" applyAlignment="0" applyProtection="0">
      <alignment horizontal="center"/>
      <protection locked="0"/>
    </xf>
    <xf numFmtId="0" fontId="118" fillId="137" borderId="87" applyNumberFormat="0" applyAlignment="0" applyProtection="0">
      <alignment horizontal="center"/>
    </xf>
    <xf numFmtId="0" fontId="119" fillId="138" borderId="87" applyNumberFormat="0" applyAlignment="0" applyProtection="0">
      <alignment horizontal="center"/>
      <protection locked="0"/>
    </xf>
    <xf numFmtId="0" fontId="118" fillId="139" borderId="87" applyNumberFormat="0" applyAlignment="0" applyProtection="0">
      <alignment horizontal="center"/>
      <protection locked="0"/>
    </xf>
    <xf numFmtId="0" fontId="118" fillId="134" borderId="87" applyNumberFormat="0" applyAlignment="0" applyProtection="0"/>
    <xf numFmtId="0" fontId="120" fillId="134" borderId="0" applyNumberFormat="0" applyFill="0" applyBorder="0" applyAlignment="0" applyProtection="0"/>
    <xf numFmtId="0" fontId="121" fillId="134" borderId="0" applyFill="0" applyProtection="0"/>
    <xf numFmtId="0" fontId="122" fillId="134" borderId="0" applyFill="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61" fillId="44" borderId="60"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0" fontId="75" fillId="96" borderId="70" applyNumberFormat="0" applyAlignment="0" applyProtection="0"/>
    <xf numFmtId="185" fontId="75" fillId="96" borderId="70" applyNumberFormat="0" applyAlignment="0" applyProtection="0"/>
    <xf numFmtId="0" fontId="61"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5" fillId="96" borderId="70" applyNumberFormat="0" applyAlignment="0" applyProtection="0"/>
    <xf numFmtId="185" fontId="75" fillId="96" borderId="70"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5" fillId="96" borderId="70" applyNumberFormat="0" applyAlignment="0" applyProtection="0"/>
    <xf numFmtId="185" fontId="75" fillId="96" borderId="70" applyNumberFormat="0" applyAlignment="0" applyProtection="0"/>
    <xf numFmtId="185" fontId="75" fillId="96" borderId="70" applyNumberFormat="0" applyAlignment="0" applyProtection="0"/>
    <xf numFmtId="0" fontId="123" fillId="44" borderId="60" applyNumberFormat="0" applyAlignment="0" applyProtection="0"/>
    <xf numFmtId="185" fontId="123" fillId="44" borderId="60" applyNumberFormat="0" applyAlignment="0" applyProtection="0"/>
    <xf numFmtId="0" fontId="123" fillId="44" borderId="60" applyNumberFormat="0" applyAlignment="0" applyProtection="0"/>
    <xf numFmtId="0" fontId="123" fillId="44" borderId="60" applyNumberFormat="0" applyAlignment="0" applyProtection="0"/>
    <xf numFmtId="0" fontId="61" fillId="44" borderId="60" applyNumberFormat="0" applyAlignment="0" applyProtection="0"/>
    <xf numFmtId="0" fontId="75" fillId="96" borderId="70" applyNumberFormat="0" applyAlignment="0" applyProtection="0"/>
    <xf numFmtId="0" fontId="123"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4"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3"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5" fillId="0" borderId="0" applyFill="0" applyBorder="0" applyProtection="0">
      <alignment horizontal="center"/>
      <protection locked="0"/>
    </xf>
    <xf numFmtId="198" fontId="11" fillId="0" borderId="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45"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0" fontId="63" fillId="19" borderId="63" applyNumberFormat="0" applyAlignment="0" applyProtection="0"/>
    <xf numFmtId="185" fontId="63" fillId="19" borderId="63"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0" fontId="63" fillId="45" borderId="63" applyNumberFormat="0" applyAlignment="0" applyProtection="0"/>
    <xf numFmtId="185" fontId="63" fillId="19"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9" borderId="71" applyNumberFormat="0" applyAlignment="0" applyProtection="0"/>
    <xf numFmtId="185" fontId="76" fillId="9" borderId="71" applyNumberFormat="0" applyAlignment="0" applyProtection="0"/>
    <xf numFmtId="185" fontId="76" fillId="9" borderId="71" applyNumberFormat="0" applyAlignment="0" applyProtection="0"/>
    <xf numFmtId="0" fontId="126" fillId="45" borderId="63" applyNumberFormat="0" applyAlignment="0" applyProtection="0"/>
    <xf numFmtId="185" fontId="126" fillId="45" borderId="63" applyNumberFormat="0" applyAlignment="0" applyProtection="0"/>
    <xf numFmtId="0" fontId="126" fillId="45" borderId="63" applyNumberFormat="0" applyAlignment="0" applyProtection="0"/>
    <xf numFmtId="0" fontId="126" fillId="45" borderId="63" applyNumberFormat="0" applyAlignment="0" applyProtection="0"/>
    <xf numFmtId="0" fontId="63" fillId="45" borderId="63" applyNumberFormat="0" applyAlignment="0" applyProtection="0"/>
    <xf numFmtId="0" fontId="76" fillId="9" borderId="71" applyNumberFormat="0" applyAlignment="0" applyProtection="0"/>
    <xf numFmtId="0" fontId="126" fillId="45"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0" fontId="127" fillId="45"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131" borderId="71" applyNumberFormat="0" applyAlignment="0" applyProtection="0"/>
    <xf numFmtId="185" fontId="76" fillId="131" borderId="71" applyNumberFormat="0" applyAlignment="0" applyProtection="0"/>
    <xf numFmtId="0" fontId="76" fillId="131" borderId="71" applyNumberFormat="0" applyAlignment="0" applyProtection="0"/>
    <xf numFmtId="185" fontId="76" fillId="131" borderId="71" applyNumberFormat="0" applyAlignment="0" applyProtection="0"/>
    <xf numFmtId="0" fontId="76" fillId="88" borderId="71" applyNumberFormat="0" applyAlignment="0" applyProtection="0"/>
    <xf numFmtId="185" fontId="76" fillId="88" borderId="71" applyNumberFormat="0" applyAlignment="0" applyProtection="0"/>
    <xf numFmtId="185" fontId="76" fillId="131"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99" fillId="0" borderId="2">
      <alignment horizontal="center"/>
    </xf>
    <xf numFmtId="199" fontId="11" fillId="0" borderId="0" applyFont="0" applyFill="0" applyBorder="0" applyAlignment="0" applyProtection="0"/>
    <xf numFmtId="200" fontId="128" fillId="0" borderId="0" applyFont="0" applyFill="0" applyBorder="0" applyAlignment="0" applyProtection="0"/>
    <xf numFmtId="201" fontId="112" fillId="0" borderId="0" applyFont="0" applyFill="0" applyBorder="0" applyAlignment="0" applyProtection="0"/>
    <xf numFmtId="202" fontId="129" fillId="0" borderId="0" applyFont="0" applyFill="0" applyBorder="0" applyAlignment="0" applyProtection="0"/>
    <xf numFmtId="203" fontId="112" fillId="0" borderId="0" applyFont="0" applyFill="0" applyBorder="0" applyAlignment="0" applyProtection="0"/>
    <xf numFmtId="204" fontId="129" fillId="0" borderId="0" applyFont="0" applyFill="0" applyBorder="0" applyAlignment="0" applyProtection="0"/>
    <xf numFmtId="205" fontId="112" fillId="0" borderId="0" applyFont="0" applyFill="0" applyBorder="0" applyAlignment="0" applyProtection="0"/>
    <xf numFmtId="43" fontId="1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206" fontId="11" fillId="0" borderId="0" applyFill="0" applyBorder="0" applyAlignment="0" applyProtection="0"/>
    <xf numFmtId="43" fontId="23" fillId="0" borderId="0" applyFont="0" applyFill="0" applyBorder="0" applyAlignment="0" applyProtection="0"/>
    <xf numFmtId="43" fontId="78"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79"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86" fillId="0" borderId="0" applyFill="0" applyBorder="0" applyAlignment="0" applyProtection="0"/>
    <xf numFmtId="0" fontId="11" fillId="0" borderId="0" applyFont="0" applyFill="0" applyBorder="0" applyAlignment="0" applyProtection="0">
      <alignment vertical="top"/>
    </xf>
    <xf numFmtId="177" fontId="11" fillId="0" borderId="0" applyFont="0" applyFill="0" applyBorder="0" applyAlignment="0" applyProtection="0">
      <alignment vertical="top"/>
    </xf>
    <xf numFmtId="0" fontId="132" fillId="0" borderId="0" applyNumberFormat="0" applyFill="0" applyBorder="0" applyAlignment="0" applyProtection="0"/>
    <xf numFmtId="207" fontId="133" fillId="0" borderId="0" applyFill="0" applyBorder="0" applyProtection="0"/>
    <xf numFmtId="208" fontId="128" fillId="0" borderId="0" applyFont="0" applyFill="0" applyBorder="0" applyAlignment="0" applyProtection="0"/>
    <xf numFmtId="209" fontId="9" fillId="0" borderId="0" applyFill="0" applyBorder="0" applyProtection="0"/>
    <xf numFmtId="209" fontId="9" fillId="0" borderId="9" applyFill="0" applyProtection="0"/>
    <xf numFmtId="209" fontId="9" fillId="0" borderId="66" applyFill="0" applyProtection="0"/>
    <xf numFmtId="210" fontId="11" fillId="0" borderId="0" applyFont="0" applyFill="0" applyBorder="0" applyAlignment="0" applyProtection="0"/>
    <xf numFmtId="211" fontId="71" fillId="0" borderId="0" applyFont="0" applyFill="0" applyBorder="0" applyAlignment="0" applyProtection="0">
      <alignment horizontal="left"/>
    </xf>
    <xf numFmtId="212" fontId="11" fillId="0" borderId="0" applyFont="0" applyFill="0" applyBorder="0" applyAlignment="0" applyProtection="0"/>
    <xf numFmtId="213" fontId="134" fillId="140" borderId="38" applyFont="0" applyFill="0" applyBorder="0" applyAlignment="0" applyProtection="0"/>
    <xf numFmtId="214" fontId="129" fillId="0" borderId="0" applyFont="0" applyFill="0" applyBorder="0" applyAlignment="0" applyProtection="0"/>
    <xf numFmtId="215" fontId="112" fillId="0" borderId="0" applyFont="0" applyFill="0" applyBorder="0" applyAlignment="0" applyProtection="0"/>
    <xf numFmtId="216" fontId="129" fillId="0" borderId="0" applyFont="0" applyFill="0" applyBorder="0" applyAlignment="0" applyProtection="0"/>
    <xf numFmtId="217" fontId="112" fillId="0" borderId="0" applyFont="0" applyFill="0" applyBorder="0" applyAlignment="0" applyProtection="0"/>
    <xf numFmtId="218" fontId="129" fillId="0" borderId="0" applyFont="0" applyFill="0" applyBorder="0" applyAlignment="0" applyProtection="0"/>
    <xf numFmtId="219" fontId="112"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79" fillId="0" borderId="0" applyFont="0" applyFill="0" applyBorder="0" applyAlignment="0" applyProtection="0">
      <alignment vertical="top"/>
    </xf>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11" fillId="0" borderId="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79"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0" fontId="11" fillId="0" borderId="0">
      <alignment vertical="top"/>
    </xf>
    <xf numFmtId="177" fontId="11" fillId="0" borderId="0">
      <alignment vertical="top"/>
    </xf>
    <xf numFmtId="0" fontId="11" fillId="94" borderId="0" applyNumberFormat="0" applyAlignment="0">
      <alignment horizontal="right"/>
    </xf>
    <xf numFmtId="0" fontId="11" fillId="118" borderId="0" applyNumberFormat="0" applyAlignment="0"/>
    <xf numFmtId="0"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11" fillId="0" borderId="0" applyFont="0" applyFill="0" applyBorder="0" applyAlignment="0" applyProtection="0">
      <alignment vertical="top"/>
    </xf>
    <xf numFmtId="221" fontId="86" fillId="0" borderId="0" applyFill="0" applyBorder="0" applyAlignment="0" applyProtection="0"/>
    <xf numFmtId="0" fontId="11" fillId="0" borderId="0" applyFont="0" applyFill="0" applyBorder="0" applyAlignment="0" applyProtection="0">
      <alignment vertical="top"/>
    </xf>
    <xf numFmtId="222" fontId="9" fillId="0" borderId="0" applyFill="0" applyBorder="0" applyProtection="0"/>
    <xf numFmtId="222" fontId="9" fillId="0" borderId="9" applyFill="0" applyProtection="0"/>
    <xf numFmtId="222" fontId="9" fillId="0" borderId="66" applyFill="0" applyProtection="0"/>
    <xf numFmtId="223" fontId="11" fillId="0" borderId="0" applyFont="0" applyFill="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135" fillId="0" borderId="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80" fillId="0" borderId="0" applyNumberFormat="0" applyFill="0" applyBorder="0" applyAlignment="0" applyProtection="0"/>
    <xf numFmtId="185" fontId="80" fillId="0" borderId="0" applyNumberFormat="0" applyFill="0" applyBorder="0" applyAlignment="0" applyProtection="0"/>
    <xf numFmtId="0"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8"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2" fontId="11" fillId="0" borderId="0" applyFont="0" applyFill="0" applyBorder="0" applyAlignment="0" applyProtection="0"/>
    <xf numFmtId="2" fontId="86" fillId="0" borderId="0" applyFill="0" applyBorder="0" applyAlignment="0" applyProtection="0"/>
    <xf numFmtId="179" fontId="26" fillId="0" borderId="0">
      <protection locked="0"/>
    </xf>
    <xf numFmtId="179" fontId="26" fillId="0" borderId="0">
      <protection locked="0"/>
    </xf>
    <xf numFmtId="179" fontId="26" fillId="0" borderId="0">
      <protection locked="0"/>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24" fontId="139" fillId="0" borderId="0"/>
    <xf numFmtId="224"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4" fontId="139" fillId="0" borderId="0"/>
    <xf numFmtId="224" fontId="139" fillId="0" borderId="0"/>
    <xf numFmtId="226"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6" fontId="139" fillId="0" borderId="0"/>
    <xf numFmtId="227" fontId="139" fillId="0" borderId="0"/>
    <xf numFmtId="227" fontId="139" fillId="0" borderId="0"/>
    <xf numFmtId="227" fontId="139" fillId="0" borderId="0"/>
    <xf numFmtId="227"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56" fillId="40"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0" fontId="81" fillId="99" borderId="0" applyNumberFormat="0" applyBorder="0" applyAlignment="0" applyProtection="0"/>
    <xf numFmtId="185" fontId="81" fillId="99" borderId="0" applyNumberFormat="0" applyBorder="0" applyAlignment="0" applyProtection="0"/>
    <xf numFmtId="0" fontId="56" fillId="40"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0" fontId="141" fillId="40" borderId="0" applyNumberFormat="0" applyBorder="0" applyAlignment="0" applyProtection="0"/>
    <xf numFmtId="185"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56" fillId="40" borderId="0" applyNumberFormat="0" applyBorder="0" applyAlignment="0" applyProtection="0"/>
    <xf numFmtId="0" fontId="81" fillId="99" borderId="0" applyNumberFormat="0" applyBorder="0" applyAlignment="0" applyProtection="0"/>
    <xf numFmtId="0" fontId="141" fillId="40"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142" fillId="40"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4" fontId="41" fillId="141" borderId="12">
      <alignment horizontal="center" vertical="center" wrapText="1"/>
    </xf>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144" fillId="0" borderId="0" applyNumberFormat="0" applyFill="0" applyBorder="0" applyAlignment="0" applyProtection="0">
      <alignment vertical="top"/>
    </xf>
    <xf numFmtId="185" fontId="145" fillId="0" borderId="57" applyNumberFormat="0" applyFill="0" applyAlignment="0" applyProtection="0"/>
    <xf numFmtId="0" fontId="144" fillId="0" borderId="0" applyNumberFormat="0" applyFill="0" applyBorder="0" applyAlignment="0" applyProtection="0">
      <alignment vertical="top"/>
    </xf>
    <xf numFmtId="185" fontId="144" fillId="0" borderId="0" applyNumberFormat="0" applyFill="0" applyBorder="0" applyAlignment="0" applyProtection="0">
      <alignment vertical="top"/>
    </xf>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6" fillId="0" borderId="88" applyNumberFormat="0" applyFill="0" applyAlignment="0" applyProtection="0"/>
    <xf numFmtId="0" fontId="146" fillId="0" borderId="88"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83" fillId="0" borderId="72" applyNumberFormat="0" applyFill="0" applyAlignment="0" applyProtection="0"/>
    <xf numFmtId="0" fontId="53" fillId="0" borderId="57"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0" fontId="147"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54"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9" fillId="0" borderId="74" applyNumberFormat="0" applyFill="0" applyAlignment="0" applyProtection="0"/>
    <xf numFmtId="0" fontId="149" fillId="0" borderId="74"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185" fontId="84" fillId="0" borderId="74"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150" fillId="0" borderId="58"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0" fontId="84" fillId="0" borderId="73" applyNumberFormat="0" applyFill="0" applyAlignment="0" applyProtection="0"/>
    <xf numFmtId="0" fontId="150" fillId="0" borderId="58" applyNumberFormat="0" applyFill="0" applyAlignment="0" applyProtection="0"/>
    <xf numFmtId="185" fontId="148"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185" fontId="150" fillId="0" borderId="58" applyNumberFormat="0" applyFill="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4" fillId="0" borderId="74" applyNumberFormat="0" applyFill="0" applyAlignment="0" applyProtection="0"/>
    <xf numFmtId="0"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151" fillId="0" borderId="58" applyNumberFormat="0" applyFill="0" applyAlignment="0" applyProtection="0"/>
    <xf numFmtId="185" fontId="148" fillId="0" borderId="58" applyNumberFormat="0" applyFill="0" applyAlignment="0" applyProtection="0"/>
    <xf numFmtId="185"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0"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0" fontId="152" fillId="0" borderId="59" applyNumberFormat="0" applyFill="0" applyAlignment="0" applyProtection="0"/>
    <xf numFmtId="185" fontId="152" fillId="0" borderId="59" applyNumberFormat="0" applyFill="0" applyAlignment="0" applyProtection="0"/>
    <xf numFmtId="0" fontId="152" fillId="0" borderId="59" applyNumberFormat="0" applyFill="0" applyAlignment="0" applyProtection="0"/>
    <xf numFmtId="0" fontId="152" fillId="0" borderId="59" applyNumberFormat="0" applyFill="0" applyAlignment="0" applyProtection="0"/>
    <xf numFmtId="0" fontId="55" fillId="0" borderId="59" applyNumberFormat="0" applyFill="0" applyAlignment="0" applyProtection="0"/>
    <xf numFmtId="0" fontId="85" fillId="0" borderId="76" applyNumberFormat="0" applyFill="0" applyAlignment="0" applyProtection="0"/>
    <xf numFmtId="0" fontId="152" fillId="0" borderId="59" applyNumberFormat="0" applyFill="0" applyAlignment="0" applyProtection="0"/>
    <xf numFmtId="0" fontId="153"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152"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3"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125" fillId="0" borderId="0" applyFill="0" applyAlignment="0" applyProtection="0">
      <protection locked="0"/>
    </xf>
    <xf numFmtId="0" fontId="125" fillId="0" borderId="14" applyFill="0" applyAlignment="0" applyProtection="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154" fillId="0" borderId="0" applyNumberFormat="0" applyFill="0" applyBorder="0" applyAlignment="0" applyProtection="0"/>
    <xf numFmtId="0" fontId="155" fillId="0" borderId="0" applyNumberFormat="0" applyFill="0" applyBorder="0" applyAlignment="0" applyProtection="0">
      <alignment vertical="top"/>
      <protection locked="0"/>
    </xf>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0" fontId="59" fillId="43" borderId="69" applyNumberFormat="0" applyAlignment="0" applyProtection="0"/>
    <xf numFmtId="185" fontId="59" fillId="43"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0" fontId="59" fillId="43" borderId="6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70" applyNumberFormat="0" applyAlignment="0" applyProtection="0"/>
    <xf numFmtId="185" fontId="87" fillId="14" borderId="70" applyNumberFormat="0" applyAlignment="0" applyProtection="0"/>
    <xf numFmtId="185" fontId="87" fillId="14" borderId="70" applyNumberFormat="0" applyAlignment="0" applyProtection="0"/>
    <xf numFmtId="0" fontId="156" fillId="43" borderId="60" applyNumberFormat="0" applyAlignment="0" applyProtection="0"/>
    <xf numFmtId="185" fontId="156" fillId="43" borderId="60" applyNumberFormat="0" applyAlignment="0" applyProtection="0"/>
    <xf numFmtId="0" fontId="156" fillId="43" borderId="60" applyNumberFormat="0" applyAlignment="0" applyProtection="0"/>
    <xf numFmtId="0" fontId="156" fillId="43" borderId="60" applyNumberFormat="0" applyAlignment="0" applyProtection="0"/>
    <xf numFmtId="0" fontId="59" fillId="43" borderId="60" applyNumberFormat="0" applyAlignment="0" applyProtection="0"/>
    <xf numFmtId="0" fontId="87" fillId="14" borderId="70" applyNumberFormat="0" applyAlignment="0" applyProtection="0"/>
    <xf numFmtId="0" fontId="156" fillId="43" borderId="60"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0" fontId="157" fillId="43" borderId="60"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4" borderId="69" applyNumberFormat="0" applyAlignment="0" applyProtection="0"/>
    <xf numFmtId="185" fontId="87" fillId="14" borderId="69" applyNumberFormat="0" applyAlignment="0" applyProtection="0"/>
    <xf numFmtId="185" fontId="87" fillId="118"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37" fontId="11" fillId="0" borderId="0" applyFont="0" applyFill="0" applyBorder="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0"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0" fontId="158" fillId="0" borderId="62" applyNumberFormat="0" applyFill="0" applyAlignment="0" applyProtection="0"/>
    <xf numFmtId="185" fontId="158" fillId="0" borderId="62" applyNumberFormat="0" applyFill="0" applyAlignment="0" applyProtection="0"/>
    <xf numFmtId="0" fontId="158" fillId="0" borderId="62" applyNumberFormat="0" applyFill="0" applyAlignment="0" applyProtection="0"/>
    <xf numFmtId="0" fontId="158" fillId="0" borderId="62" applyNumberFormat="0" applyFill="0" applyAlignment="0" applyProtection="0"/>
    <xf numFmtId="0" fontId="62" fillId="0" borderId="62" applyNumberFormat="0" applyFill="0" applyAlignment="0" applyProtection="0"/>
    <xf numFmtId="0" fontId="88" fillId="0" borderId="79" applyNumberFormat="0" applyFill="0" applyAlignment="0" applyProtection="0"/>
    <xf numFmtId="0" fontId="158" fillId="0" borderId="62" applyNumberFormat="0" applyFill="0" applyAlignment="0" applyProtection="0"/>
    <xf numFmtId="0" fontId="159"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229" fontId="11" fillId="0" borderId="0" applyFont="0" applyFill="0" applyBorder="0" applyAlignment="0" applyProtection="0"/>
    <xf numFmtId="230" fontId="11" fillId="0" borderId="14" applyFont="0" applyFill="0" applyBorder="0" applyAlignment="0" applyProtection="0">
      <alignment horizontal="centerContinuous"/>
    </xf>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111" fillId="42"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0" fontId="11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0" fontId="160" fillId="42" borderId="0" applyNumberFormat="0" applyBorder="0" applyAlignment="0" applyProtection="0"/>
    <xf numFmtId="185"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1" fillId="42" borderId="0" applyNumberFormat="0" applyBorder="0" applyAlignment="0" applyProtection="0"/>
    <xf numFmtId="0" fontId="89" fillId="14" borderId="0" applyNumberFormat="0" applyBorder="0" applyAlignment="0" applyProtection="0"/>
    <xf numFmtId="0" fontId="160"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16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81" fillId="118"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4" fillId="0" borderId="0"/>
    <xf numFmtId="185" fontId="4" fillId="0" borderId="0"/>
    <xf numFmtId="185" fontId="4" fillId="0" borderId="0"/>
    <xf numFmtId="0" fontId="11" fillId="0" borderId="0"/>
    <xf numFmtId="185" fontId="11" fillId="0" borderId="0"/>
    <xf numFmtId="0" fontId="11" fillId="0" borderId="0"/>
    <xf numFmtId="185" fontId="11" fillId="0" borderId="0"/>
    <xf numFmtId="185" fontId="11" fillId="0" borderId="0"/>
    <xf numFmtId="185" fontId="11" fillId="0" borderId="0"/>
    <xf numFmtId="0" fontId="11" fillId="0" borderId="0"/>
    <xf numFmtId="185" fontId="4" fillId="0" borderId="0"/>
    <xf numFmtId="0" fontId="11" fillId="0" borderId="0"/>
    <xf numFmtId="185" fontId="11" fillId="0" borderId="0"/>
    <xf numFmtId="0" fontId="11" fillId="0" borderId="0"/>
    <xf numFmtId="185" fontId="4" fillId="0" borderId="0"/>
    <xf numFmtId="0" fontId="11" fillId="0" borderId="0"/>
    <xf numFmtId="0" fontId="23" fillId="0" borderId="0"/>
    <xf numFmtId="0" fontId="23" fillId="0" borderId="0"/>
    <xf numFmtId="0" fontId="23" fillId="0" borderId="0"/>
    <xf numFmtId="0" fontId="11" fillId="0" borderId="0"/>
    <xf numFmtId="0"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185" fontId="9"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14" fillId="101"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1" fillId="0" borderId="0"/>
    <xf numFmtId="0" fontId="11" fillId="0" borderId="0"/>
    <xf numFmtId="185" fontId="11" fillId="0" borderId="0"/>
    <xf numFmtId="185" fontId="11"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11" fillId="0" borderId="0"/>
    <xf numFmtId="0" fontId="11" fillId="0" borderId="0"/>
    <xf numFmtId="0" fontId="14" fillId="101" borderId="0"/>
    <xf numFmtId="0" fontId="11" fillId="0" borderId="0"/>
    <xf numFmtId="185"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14" fillId="101" borderId="0"/>
    <xf numFmtId="185" fontId="14" fillId="101" borderId="0"/>
    <xf numFmtId="185" fontId="11" fillId="0" borderId="0"/>
    <xf numFmtId="185" fontId="11" fillId="0" borderId="0"/>
    <xf numFmtId="0" fontId="14" fillId="101" borderId="0"/>
    <xf numFmtId="185" fontId="14" fillId="101" borderId="0"/>
    <xf numFmtId="0" fontId="14" fillId="101" borderId="0"/>
    <xf numFmtId="0" fontId="4" fillId="0" borderId="0"/>
    <xf numFmtId="185" fontId="11" fillId="0" borderId="0"/>
    <xf numFmtId="0" fontId="4" fillId="0" borderId="0"/>
    <xf numFmtId="0" fontId="11" fillId="0" borderId="0"/>
    <xf numFmtId="0" fontId="11" fillId="0" borderId="0"/>
    <xf numFmtId="0" fontId="9" fillId="0" borderId="0"/>
    <xf numFmtId="185" fontId="11" fillId="0" borderId="0"/>
    <xf numFmtId="185" fontId="23"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78" fillId="0" borderId="0"/>
    <xf numFmtId="185" fontId="11" fillId="0" borderId="0"/>
    <xf numFmtId="185" fontId="11" fillId="0" borderId="0"/>
    <xf numFmtId="0" fontId="23"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185" fontId="14" fillId="101" borderId="0"/>
    <xf numFmtId="185" fontId="11" fillId="0" borderId="0"/>
    <xf numFmtId="185" fontId="11" fillId="0" borderId="0"/>
    <xf numFmtId="185" fontId="14" fillId="101" borderId="0"/>
    <xf numFmtId="0" fontId="14" fillId="101" borderId="0"/>
    <xf numFmtId="0" fontId="4" fillId="0" borderId="0"/>
    <xf numFmtId="0" fontId="4" fillId="0" borderId="0"/>
    <xf numFmtId="0" fontId="4" fillId="0" borderId="0"/>
    <xf numFmtId="185" fontId="78" fillId="0" borderId="0"/>
    <xf numFmtId="185"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0" fontId="11" fillId="0" borderId="0"/>
    <xf numFmtId="0" fontId="14" fillId="101" borderId="0"/>
    <xf numFmtId="185" fontId="14" fillId="101"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130"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185" fontId="9" fillId="0" borderId="0"/>
    <xf numFmtId="0" fontId="14" fillId="101" borderId="0"/>
    <xf numFmtId="185" fontId="14" fillId="101" borderId="0"/>
    <xf numFmtId="0" fontId="11" fillId="0" borderId="0"/>
    <xf numFmtId="185" fontId="14" fillId="101" borderId="0"/>
    <xf numFmtId="0" fontId="14" fillId="101" borderId="0"/>
    <xf numFmtId="185" fontId="9"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37" fontId="162" fillId="0" borderId="0"/>
    <xf numFmtId="0" fontId="9" fillId="0" borderId="0"/>
    <xf numFmtId="0" fontId="31" fillId="0" borderId="0">
      <alignment vertical="top"/>
    </xf>
    <xf numFmtId="185" fontId="23" fillId="0" borderId="0"/>
    <xf numFmtId="0" fontId="23" fillId="0" borderId="0"/>
    <xf numFmtId="0" fontId="11" fillId="0" borderId="0"/>
    <xf numFmtId="185" fontId="11" fillId="0" borderId="0"/>
    <xf numFmtId="185" fontId="11"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3" fillId="0" borderId="0"/>
    <xf numFmtId="0" fontId="4" fillId="0" borderId="0"/>
    <xf numFmtId="0" fontId="11" fillId="0" borderId="0"/>
    <xf numFmtId="185" fontId="11" fillId="0" borderId="0"/>
    <xf numFmtId="185"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14" fillId="101" borderId="0"/>
    <xf numFmtId="185" fontId="11" fillId="0" borderId="0"/>
    <xf numFmtId="0" fontId="4" fillId="0" borderId="0"/>
    <xf numFmtId="0" fontId="4" fillId="0" borderId="0"/>
    <xf numFmtId="185" fontId="78" fillId="0" borderId="0"/>
    <xf numFmtId="0" fontId="20" fillId="0" borderId="0"/>
    <xf numFmtId="0" fontId="4" fillId="0" borderId="0"/>
    <xf numFmtId="185" fontId="14" fillId="101" borderId="0"/>
    <xf numFmtId="185" fontId="23" fillId="0" borderId="0"/>
    <xf numFmtId="0" fontId="11" fillId="0" borderId="0"/>
    <xf numFmtId="185" fontId="14" fillId="101" borderId="0"/>
    <xf numFmtId="0" fontId="4" fillId="0" borderId="0"/>
    <xf numFmtId="0" fontId="4" fillId="0" borderId="0"/>
    <xf numFmtId="0" fontId="4" fillId="0" borderId="0"/>
    <xf numFmtId="0" fontId="130" fillId="0" borderId="0"/>
    <xf numFmtId="185" fontId="23" fillId="0" borderId="0"/>
    <xf numFmtId="0" fontId="11"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185" fontId="14" fillId="101"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9" fillId="0" borderId="0"/>
    <xf numFmtId="177" fontId="9" fillId="0" borderId="0"/>
    <xf numFmtId="0" fontId="11" fillId="0" borderId="0"/>
    <xf numFmtId="0" fontId="79"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78" fillId="0" borderId="0"/>
    <xf numFmtId="185" fontId="14" fillId="101"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185" fontId="11" fillId="0" borderId="0"/>
    <xf numFmtId="185"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5" fillId="0" borderId="0"/>
    <xf numFmtId="0" fontId="15" fillId="0" borderId="0"/>
    <xf numFmtId="0" fontId="11" fillId="0" borderId="0"/>
    <xf numFmtId="185" fontId="15"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134"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5" fillId="0" borderId="0"/>
    <xf numFmtId="185" fontId="15" fillId="0" borderId="0"/>
    <xf numFmtId="0" fontId="11" fillId="0" borderId="0"/>
    <xf numFmtId="185" fontId="15" fillId="0" borderId="0"/>
    <xf numFmtId="0" fontId="11" fillId="0" borderId="0"/>
    <xf numFmtId="185" fontId="14" fillId="101" borderId="0"/>
    <xf numFmtId="0"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79" fillId="0" borderId="0"/>
    <xf numFmtId="0" fontId="11" fillId="0" borderId="0"/>
    <xf numFmtId="0" fontId="4" fillId="0" borderId="0"/>
    <xf numFmtId="0" fontId="4" fillId="0" borderId="0"/>
    <xf numFmtId="0" fontId="4" fillId="0" borderId="0"/>
    <xf numFmtId="0" fontId="4" fillId="0" borderId="0"/>
    <xf numFmtId="185" fontId="14" fillId="101" borderId="0"/>
    <xf numFmtId="0" fontId="9" fillId="0" borderId="0"/>
    <xf numFmtId="0" fontId="9"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0" fontId="79"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79" fillId="0" borderId="0"/>
    <xf numFmtId="185" fontId="11" fillId="0" borderId="0"/>
    <xf numFmtId="185" fontId="11" fillId="0"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11" fillId="0" borderId="0"/>
    <xf numFmtId="185" fontId="11" fillId="0" borderId="0"/>
    <xf numFmtId="185" fontId="11" fillId="0" borderId="0"/>
    <xf numFmtId="0" fontId="78" fillId="0" borderId="0"/>
    <xf numFmtId="185" fontId="11" fillId="0" borderId="0"/>
    <xf numFmtId="0" fontId="79" fillId="0" borderId="0">
      <alignment vertical="top"/>
    </xf>
    <xf numFmtId="185" fontId="11" fillId="0" borderId="0"/>
    <xf numFmtId="185" fontId="11" fillId="0" borderId="0"/>
    <xf numFmtId="0" fontId="11" fillId="0" borderId="0"/>
    <xf numFmtId="0" fontId="11" fillId="0" borderId="0"/>
    <xf numFmtId="185" fontId="11" fillId="0" borderId="0"/>
    <xf numFmtId="185" fontId="11" fillId="0" borderId="0"/>
    <xf numFmtId="0" fontId="78" fillId="0" borderId="0"/>
    <xf numFmtId="185" fontId="11" fillId="0" borderId="0"/>
    <xf numFmtId="185" fontId="11" fillId="0" borderId="0"/>
    <xf numFmtId="185" fontId="11" fillId="0" borderId="0"/>
    <xf numFmtId="185" fontId="11" fillId="0" borderId="0"/>
    <xf numFmtId="0" fontId="79" fillId="0" borderId="0">
      <alignment vertical="top"/>
    </xf>
    <xf numFmtId="185" fontId="78"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79" fillId="0" borderId="0">
      <alignment vertical="top"/>
    </xf>
    <xf numFmtId="185" fontId="78"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11" fillId="0" borderId="0"/>
    <xf numFmtId="0" fontId="11"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4" fillId="0" borderId="0"/>
    <xf numFmtId="0" fontId="4" fillId="0" borderId="0"/>
    <xf numFmtId="0" fontId="4" fillId="0" borderId="0"/>
    <xf numFmtId="0" fontId="4" fillId="0" borderId="0"/>
    <xf numFmtId="0" fontId="11"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185" fontId="78"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4" fillId="0" borderId="0"/>
    <xf numFmtId="185" fontId="11" fillId="0" borderId="0"/>
    <xf numFmtId="0" fontId="11" fillId="0" borderId="0"/>
    <xf numFmtId="0" fontId="11" fillId="0" borderId="0"/>
    <xf numFmtId="0" fontId="4" fillId="0" borderId="0"/>
    <xf numFmtId="0"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4" fillId="0" borderId="0"/>
    <xf numFmtId="0" fontId="4" fillId="0" borderId="0"/>
    <xf numFmtId="0" fontId="11" fillId="0" borderId="0"/>
    <xf numFmtId="185" fontId="11" fillId="0" borderId="0"/>
    <xf numFmtId="0" fontId="11" fillId="0" borderId="0"/>
    <xf numFmtId="185" fontId="11" fillId="0" borderId="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78"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185" fontId="14" fillId="13" borderId="69"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20" fillId="46" borderId="64" applyNumberFormat="0" applyFont="0" applyAlignment="0" applyProtection="0"/>
    <xf numFmtId="185" fontId="78"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44"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0" fontId="60" fillId="112" borderId="61" applyNumberFormat="0" applyAlignment="0" applyProtection="0"/>
    <xf numFmtId="185" fontId="60" fillId="112" borderId="61"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0" fontId="60" fillId="44" borderId="61" applyNumberFormat="0" applyAlignment="0" applyProtection="0"/>
    <xf numFmtId="185" fontId="60" fillId="112"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6" borderId="82" applyNumberFormat="0" applyAlignment="0" applyProtection="0"/>
    <xf numFmtId="185" fontId="91" fillId="96" borderId="82" applyNumberFormat="0" applyAlignment="0" applyProtection="0"/>
    <xf numFmtId="185" fontId="91" fillId="96" borderId="82" applyNumberFormat="0" applyAlignment="0" applyProtection="0"/>
    <xf numFmtId="0" fontId="163" fillId="44" borderId="61" applyNumberFormat="0" applyAlignment="0" applyProtection="0"/>
    <xf numFmtId="185" fontId="163" fillId="44" borderId="61" applyNumberFormat="0" applyAlignment="0" applyProtection="0"/>
    <xf numFmtId="0" fontId="163" fillId="44" borderId="61" applyNumberFormat="0" applyAlignment="0" applyProtection="0"/>
    <xf numFmtId="0" fontId="163" fillId="44" borderId="61" applyNumberFormat="0" applyAlignment="0" applyProtection="0"/>
    <xf numFmtId="0" fontId="60" fillId="44" borderId="61" applyNumberFormat="0" applyAlignment="0" applyProtection="0"/>
    <xf numFmtId="0" fontId="91" fillId="96" borderId="82" applyNumberFormat="0" applyAlignment="0" applyProtection="0"/>
    <xf numFmtId="0" fontId="163"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0" fontId="164"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113" borderId="82" applyNumberFormat="0" applyAlignment="0" applyProtection="0"/>
    <xf numFmtId="185" fontId="91" fillId="113" borderId="82" applyNumberFormat="0" applyAlignment="0" applyProtection="0"/>
    <xf numFmtId="0" fontId="91" fillId="113" borderId="82" applyNumberFormat="0" applyAlignment="0" applyProtection="0"/>
    <xf numFmtId="185" fontId="91" fillId="113" borderId="82" applyNumberFormat="0" applyAlignment="0" applyProtection="0"/>
    <xf numFmtId="0" fontId="91" fillId="95" borderId="82" applyNumberFormat="0" applyAlignment="0" applyProtection="0"/>
    <xf numFmtId="185" fontId="91" fillId="95" borderId="82" applyNumberFormat="0" applyAlignment="0" applyProtection="0"/>
    <xf numFmtId="185" fontId="91" fillId="113"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231" fontId="125" fillId="0" borderId="0" applyFont="0" applyFill="0" applyBorder="0" applyAlignment="0" applyProtection="0"/>
    <xf numFmtId="232" fontId="128" fillId="0" borderId="0" applyFont="0" applyFill="0" applyBorder="0" applyAlignment="0" applyProtection="0"/>
    <xf numFmtId="233" fontId="129" fillId="0" borderId="0" applyFont="0" applyFill="0" applyBorder="0" applyAlignment="0" applyProtection="0"/>
    <xf numFmtId="234" fontId="11" fillId="0" borderId="0" applyFont="0" applyFill="0" applyBorder="0" applyAlignment="0" applyProtection="0"/>
    <xf numFmtId="169" fontId="11" fillId="0" borderId="0" applyFont="0" applyFill="0" applyBorder="0" applyAlignment="0" applyProtection="0"/>
    <xf numFmtId="235" fontId="129" fillId="0" borderId="0" applyFont="0" applyFill="0" applyBorder="0" applyAlignment="0" applyProtection="0"/>
    <xf numFmtId="236" fontId="128" fillId="0" borderId="0" applyFont="0" applyFill="0" applyBorder="0" applyAlignment="0" applyProtection="0"/>
    <xf numFmtId="237" fontId="129" fillId="0" borderId="0" applyFont="0" applyFill="0" applyBorder="0" applyAlignment="0" applyProtection="0"/>
    <xf numFmtId="238" fontId="128" fillId="0" borderId="0" applyFont="0" applyFill="0" applyBorder="0" applyAlignment="0" applyProtection="0"/>
    <xf numFmtId="239" fontId="129" fillId="0" borderId="0" applyFont="0" applyFill="0" applyBorder="0" applyAlignment="0" applyProtection="0"/>
    <xf numFmtId="240"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79" fillId="0" borderId="0" applyFont="0" applyFill="0" applyBorder="0" applyAlignment="0" applyProtection="0">
      <alignment vertical="top"/>
    </xf>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3"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30" fillId="18" borderId="45" applyNumberFormat="0" applyProtection="0">
      <alignment vertical="center"/>
    </xf>
    <xf numFmtId="4" fontId="30" fillId="18" borderId="45"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98" fillId="18" borderId="45" applyNumberFormat="0" applyProtection="0">
      <alignment horizontal="left" vertical="top" indent="1"/>
    </xf>
    <xf numFmtId="185" fontId="98" fillId="18" borderId="45" applyNumberFormat="0" applyProtection="0">
      <alignment horizontal="left" vertical="top" indent="1"/>
    </xf>
    <xf numFmtId="185" fontId="98" fillId="3"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25"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43"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144"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121"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145"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132"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114"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111"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1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1" fillId="30"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2" fillId="31"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10"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09"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1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2" borderId="69" applyNumberFormat="0" applyProtection="0">
      <alignment horizontal="left" vertical="center" indent="1"/>
    </xf>
    <xf numFmtId="185" fontId="14" fillId="2"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117"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46" borderId="69" applyNumberFormat="0" applyProtection="0">
      <alignment horizontal="left" vertical="center" indent="1"/>
    </xf>
    <xf numFmtId="185" fontId="14" fillId="14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10"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94" borderId="69" applyNumberFormat="0" applyProtection="0">
      <alignment horizontal="left" vertical="center" indent="1"/>
    </xf>
    <xf numFmtId="185" fontId="14" fillId="94"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94"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109" borderId="69" applyNumberFormat="0" applyProtection="0">
      <alignment horizontal="left" vertical="center" indent="1"/>
    </xf>
    <xf numFmtId="185" fontId="14" fillId="109"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109"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102"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0" fontId="99" fillId="117" borderId="85" applyBorder="0"/>
    <xf numFmtId="0" fontId="99" fillId="31" borderId="85" applyBorder="0"/>
    <xf numFmtId="185" fontId="99" fillId="31" borderId="85" applyBorder="0"/>
    <xf numFmtId="185" fontId="99" fillId="117" borderId="85" applyBorder="0"/>
    <xf numFmtId="185" fontId="99" fillId="31" borderId="85" applyBorder="0"/>
    <xf numFmtId="4" fontId="100" fillId="34" borderId="45" applyNumberFormat="0" applyProtection="0">
      <alignment vertical="center"/>
    </xf>
    <xf numFmtId="4" fontId="31" fillId="34" borderId="45" applyNumberFormat="0" applyProtection="0">
      <alignment vertical="center"/>
    </xf>
    <xf numFmtId="4" fontId="100" fillId="100" borderId="45" applyNumberFormat="0" applyProtection="0">
      <alignment vertical="center"/>
    </xf>
    <xf numFmtId="4" fontId="31" fillId="34" borderId="45" applyNumberFormat="0" applyProtection="0">
      <alignment vertical="center"/>
    </xf>
    <xf numFmtId="4" fontId="33" fillId="34" borderId="45" applyNumberFormat="0" applyProtection="0">
      <alignment vertical="center"/>
    </xf>
    <xf numFmtId="4" fontId="33" fillId="34" borderId="45" applyNumberFormat="0" applyProtection="0">
      <alignment vertical="center"/>
    </xf>
    <xf numFmtId="4" fontId="100" fillId="105" borderId="45" applyNumberFormat="0" applyProtection="0">
      <alignment horizontal="left" vertical="center" indent="1"/>
    </xf>
    <xf numFmtId="4" fontId="31" fillId="34" borderId="45" applyNumberFormat="0" applyProtection="0">
      <alignment horizontal="left" vertical="center" indent="1"/>
    </xf>
    <xf numFmtId="4" fontId="100" fillId="2" borderId="45" applyNumberFormat="0" applyProtection="0">
      <alignment horizontal="left" vertical="center" indent="1"/>
    </xf>
    <xf numFmtId="4" fontId="31" fillId="34" borderId="45" applyNumberFormat="0" applyProtection="0">
      <alignment horizontal="left" vertical="center"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100" fillId="34" borderId="45" applyNumberFormat="0" applyProtection="0">
      <alignment horizontal="left" vertical="top" indent="1"/>
    </xf>
    <xf numFmtId="185" fontId="100" fillId="34" borderId="45" applyNumberFormat="0" applyProtection="0">
      <alignment horizontal="left" vertical="top" indent="1"/>
    </xf>
    <xf numFmtId="185" fontId="100" fillId="100"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1" fillId="30" borderId="45" applyNumberFormat="0" applyProtection="0">
      <alignment horizontal="right" vertical="center"/>
    </xf>
    <xf numFmtId="4" fontId="31" fillId="30" borderId="45"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3" fillId="30" borderId="45" applyNumberFormat="0" applyProtection="0">
      <alignment horizontal="right" vertical="center"/>
    </xf>
    <xf numFmtId="4" fontId="33" fillId="30" borderId="45"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100" fillId="19" borderId="45" applyNumberFormat="0" applyProtection="0">
      <alignment horizontal="left" vertical="top" indent="1"/>
    </xf>
    <xf numFmtId="185" fontId="100" fillId="19" borderId="45" applyNumberFormat="0" applyProtection="0">
      <alignment horizontal="left" vertical="top" indent="1"/>
    </xf>
    <xf numFmtId="185" fontId="100" fillId="110"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4" fontId="101" fillId="35" borderId="83" applyNumberFormat="0" applyProtection="0">
      <alignment horizontal="left" vertical="center" indent="1"/>
    </xf>
    <xf numFmtId="4" fontId="34" fillId="35" borderId="0" applyNumberFormat="0" applyProtection="0">
      <alignment horizontal="left" vertical="center" indent="1"/>
    </xf>
    <xf numFmtId="4" fontId="101" fillId="147" borderId="83" applyNumberFormat="0" applyProtection="0">
      <alignment horizontal="left" vertical="center" indent="1"/>
    </xf>
    <xf numFmtId="4" fontId="34" fillId="35" borderId="0" applyNumberFormat="0" applyProtection="0">
      <alignment horizontal="left" vertical="center" indent="1"/>
    </xf>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185" fontId="14" fillId="148"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4" fontId="102" fillId="33" borderId="69" applyNumberFormat="0" applyProtection="0">
      <alignment horizontal="right" vertical="center"/>
    </xf>
    <xf numFmtId="4" fontId="35" fillId="30" borderId="45" applyNumberFormat="0" applyProtection="0">
      <alignment horizontal="right" vertical="center"/>
    </xf>
    <xf numFmtId="4" fontId="102" fillId="102" borderId="69" applyNumberFormat="0" applyProtection="0">
      <alignment horizontal="right" vertical="center"/>
    </xf>
    <xf numFmtId="4" fontId="35" fillId="30" borderId="45" applyNumberFormat="0" applyProtection="0">
      <alignment horizontal="right" vertical="center"/>
    </xf>
    <xf numFmtId="0" fontId="11" fillId="149" borderId="0" applyNumberFormat="0" applyFont="0" applyBorder="0" applyAlignment="0" applyProtection="0"/>
    <xf numFmtId="0" fontId="77" fillId="150" borderId="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Border="0" applyAlignment="0"/>
    <xf numFmtId="0" fontId="139" fillId="0" borderId="0"/>
    <xf numFmtId="0" fontId="139" fillId="0" borderId="0"/>
    <xf numFmtId="0" fontId="139" fillId="0" borderId="0"/>
    <xf numFmtId="0" fontId="31" fillId="0" borderId="0" applyNumberFormat="0" applyBorder="0" applyAlignment="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65" fillId="0" borderId="0" applyNumberFormat="0" applyBorder="0" applyAlignment="0"/>
    <xf numFmtId="0" fontId="166" fillId="0" borderId="0" applyNumberFormat="0" applyBorder="0" applyAlignment="0"/>
    <xf numFmtId="0" fontId="167" fillId="0" borderId="0"/>
    <xf numFmtId="0" fontId="167" fillId="0" borderId="0"/>
    <xf numFmtId="0" fontId="167" fillId="0" borderId="0"/>
    <xf numFmtId="0" fontId="166" fillId="0" borderId="0" applyNumberFormat="0" applyBorder="0" applyAlignment="0"/>
    <xf numFmtId="0" fontId="168"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9" fillId="0" borderId="0" applyNumberFormat="0" applyBorder="0" applyAlignment="0"/>
    <xf numFmtId="0" fontId="170" fillId="0" borderId="0"/>
    <xf numFmtId="0" fontId="170" fillId="0" borderId="0"/>
    <xf numFmtId="0" fontId="170" fillId="0" borderId="0"/>
    <xf numFmtId="0" fontId="169" fillId="0" borderId="0" applyNumberFormat="0" applyBorder="0" applyAlignment="0"/>
    <xf numFmtId="0" fontId="167"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1" fillId="0" borderId="0" applyNumberFormat="0" applyBorder="0" applyAlignment="0"/>
    <xf numFmtId="0" fontId="168" fillId="0" borderId="0"/>
    <xf numFmtId="0" fontId="168"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0" fillId="0" borderId="0"/>
    <xf numFmtId="0" fontId="172" fillId="105" borderId="0" applyNumberFormat="0" applyBorder="0" applyAlignment="0"/>
    <xf numFmtId="0" fontId="173"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32" fillId="0" borderId="0" applyNumberFormat="0" applyBorder="0" applyAlignment="0"/>
    <xf numFmtId="0" fontId="170"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67" fillId="0" borderId="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68" fillId="0" borderId="0"/>
    <xf numFmtId="0" fontId="175" fillId="0" borderId="0" applyFill="0" applyBorder="0" applyProtection="0">
      <alignment horizontal="left" vertical="top"/>
    </xf>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7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74" fontId="106" fillId="0" borderId="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177" fillId="0" borderId="65" applyNumberFormat="0" applyFill="0" applyAlignment="0" applyProtection="0"/>
    <xf numFmtId="185" fontId="11" fillId="0" borderId="90" applyNumberFormat="0" applyFont="0" applyFill="0" applyAlignment="0" applyProtection="0">
      <alignment vertical="top"/>
    </xf>
    <xf numFmtId="185" fontId="11" fillId="0" borderId="90" applyNumberFormat="0" applyFont="0" applyFill="0" applyAlignment="0" applyProtection="0">
      <alignment vertical="top"/>
    </xf>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177" fillId="0" borderId="65" applyNumberFormat="0" applyFill="0" applyAlignment="0" applyProtection="0"/>
    <xf numFmtId="185" fontId="25" fillId="0" borderId="86" applyNumberFormat="0" applyFill="0" applyAlignment="0" applyProtection="0"/>
    <xf numFmtId="0" fontId="49" fillId="0" borderId="65" applyNumberFormat="0" applyFill="0" applyAlignment="0" applyProtection="0"/>
    <xf numFmtId="0" fontId="177"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0" fontId="178"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0"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0" fontId="47" fillId="0" borderId="0" applyNumberFormat="0" applyFill="0" applyBorder="0" applyAlignment="0" applyProtection="0"/>
    <xf numFmtId="185"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4" fillId="0" borderId="0" applyNumberFormat="0" applyFill="0" applyBorder="0" applyAlignment="0" applyProtection="0"/>
    <xf numFmtId="0" fontId="109" fillId="0" borderId="0" applyNumberFormat="0" applyFill="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0" fontId="11"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cellStyleXfs>
  <cellXfs count="1985">
    <xf numFmtId="0" fontId="0" fillId="0" borderId="0" xfId="0"/>
    <xf numFmtId="0" fontId="11" fillId="0" borderId="0" xfId="5" applyFont="1" applyAlignment="1"/>
    <xf numFmtId="0" fontId="41" fillId="0" borderId="0" xfId="5" applyFont="1" applyAlignment="1">
      <alignment horizontal="centerContinuous"/>
    </xf>
    <xf numFmtId="0" fontId="42" fillId="0" borderId="0" xfId="5" applyFont="1" applyAlignment="1">
      <alignment horizontal="center"/>
    </xf>
    <xf numFmtId="0" fontId="43" fillId="0" borderId="0" xfId="0" applyFont="1" applyAlignment="1">
      <alignment horizontal="right"/>
    </xf>
    <xf numFmtId="0" fontId="42" fillId="0" borderId="0" xfId="0" applyFont="1" applyAlignment="1">
      <alignment horizontal="right"/>
    </xf>
    <xf numFmtId="0" fontId="42" fillId="0" borderId="53" xfId="5" applyFont="1" applyBorder="1" applyAlignment="1">
      <alignment horizontal="center"/>
    </xf>
    <xf numFmtId="0" fontId="43" fillId="0" borderId="53" xfId="0" applyFont="1" applyBorder="1" applyAlignment="1">
      <alignment horizontal="right"/>
    </xf>
    <xf numFmtId="0" fontId="42" fillId="0" borderId="0" xfId="5" applyFont="1"/>
    <xf numFmtId="0" fontId="42" fillId="0" borderId="0" xfId="5" applyFont="1" applyBorder="1" applyAlignment="1">
      <alignment horizontal="center"/>
    </xf>
    <xf numFmtId="0" fontId="42" fillId="0" borderId="0" xfId="5" applyFont="1" applyBorder="1"/>
    <xf numFmtId="184" fontId="42" fillId="0" borderId="0" xfId="4" applyNumberFormat="1" applyFont="1"/>
    <xf numFmtId="0" fontId="42" fillId="0" borderId="0" xfId="5" applyFont="1" applyAlignment="1">
      <alignment horizontal="center" vertical="center"/>
    </xf>
    <xf numFmtId="0" fontId="42" fillId="0" borderId="0" xfId="5" applyFont="1" applyFill="1" applyAlignment="1">
      <alignment vertical="center"/>
    </xf>
    <xf numFmtId="9" fontId="42" fillId="0" borderId="0" xfId="4" applyFont="1"/>
    <xf numFmtId="184" fontId="44" fillId="0" borderId="0" xfId="2" applyNumberFormat="1" applyFont="1" applyFill="1" applyBorder="1" applyAlignment="1">
      <alignment vertical="center"/>
    </xf>
    <xf numFmtId="0" fontId="42" fillId="0" borderId="0" xfId="5" applyFont="1" applyFill="1" applyBorder="1"/>
    <xf numFmtId="10" fontId="46" fillId="0" borderId="0" xfId="4" applyNumberFormat="1" applyFont="1"/>
    <xf numFmtId="0" fontId="43" fillId="38" borderId="26" xfId="5" applyFont="1" applyFill="1" applyBorder="1" applyAlignment="1">
      <alignment horizontal="left"/>
    </xf>
    <xf numFmtId="184" fontId="0" fillId="0" borderId="0" xfId="0" applyNumberFormat="1"/>
    <xf numFmtId="0" fontId="42" fillId="0" borderId="0" xfId="5" applyFont="1" applyFill="1" applyBorder="1" applyAlignment="1">
      <alignment horizontal="center"/>
    </xf>
    <xf numFmtId="184" fontId="46" fillId="0" borderId="0" xfId="2" applyNumberFormat="1" applyFont="1"/>
    <xf numFmtId="184" fontId="46" fillId="0" borderId="0" xfId="4" applyNumberFormat="1" applyFont="1"/>
    <xf numFmtId="184" fontId="46" fillId="0" borderId="0" xfId="2" applyNumberFormat="1" applyFont="1" applyFill="1"/>
    <xf numFmtId="0" fontId="11" fillId="0" borderId="0" xfId="5" applyFont="1" applyFill="1" applyAlignment="1"/>
    <xf numFmtId="184" fontId="43" fillId="39" borderId="14" xfId="2" applyNumberFormat="1" applyFont="1" applyFill="1" applyBorder="1"/>
    <xf numFmtId="37" fontId="48" fillId="0" borderId="0" xfId="0" applyNumberFormat="1" applyFont="1" applyBorder="1" applyAlignment="1"/>
    <xf numFmtId="0" fontId="0" fillId="0" borderId="0" xfId="0" applyFill="1"/>
    <xf numFmtId="0" fontId="42" fillId="0" borderId="0" xfId="5" applyFont="1" applyFill="1"/>
    <xf numFmtId="10" fontId="46" fillId="0" borderId="0" xfId="4" applyNumberFormat="1" applyFont="1" applyFill="1" applyBorder="1"/>
    <xf numFmtId="0" fontId="42" fillId="0" borderId="0" xfId="5" applyFont="1" applyFill="1" applyAlignment="1">
      <alignment horizontal="center"/>
    </xf>
    <xf numFmtId="0" fontId="43" fillId="0" borderId="0" xfId="0" applyFont="1" applyBorder="1" applyAlignment="1">
      <alignment horizontal="right"/>
    </xf>
    <xf numFmtId="0" fontId="43" fillId="0" borderId="0" xfId="0" applyFont="1" applyBorder="1" applyAlignment="1">
      <alignment horizontal="center"/>
    </xf>
    <xf numFmtId="0" fontId="7" fillId="0" borderId="0" xfId="0" quotePrefix="1" applyFont="1" applyBorder="1" applyAlignment="1">
      <alignment horizontal="center"/>
    </xf>
    <xf numFmtId="0" fontId="7" fillId="0" borderId="0" xfId="0" applyFont="1" applyBorder="1" applyAlignment="1">
      <alignment horizontal="center"/>
    </xf>
    <xf numFmtId="0" fontId="7" fillId="0" borderId="0" xfId="0" applyFont="1" applyFill="1" applyBorder="1" applyAlignment="1">
      <alignment horizontal="center"/>
    </xf>
    <xf numFmtId="0" fontId="5" fillId="0" borderId="0" xfId="0" applyFont="1" applyFill="1" applyBorder="1" applyAlignment="1">
      <alignment horizontal="center"/>
    </xf>
    <xf numFmtId="0" fontId="43" fillId="38" borderId="38" xfId="5" applyFont="1" applyFill="1" applyBorder="1" applyAlignment="1">
      <alignment horizontal="left"/>
    </xf>
    <xf numFmtId="184" fontId="43" fillId="0" borderId="0" xfId="2" applyNumberFormat="1" applyFont="1" applyFill="1" applyBorder="1"/>
    <xf numFmtId="184" fontId="43" fillId="0" borderId="38" xfId="2" applyNumberFormat="1" applyFont="1" applyFill="1" applyBorder="1"/>
    <xf numFmtId="184" fontId="43" fillId="0" borderId="14" xfId="2" applyNumberFormat="1" applyFont="1" applyFill="1" applyBorder="1"/>
    <xf numFmtId="0" fontId="18" fillId="0" borderId="38" xfId="0" applyFont="1" applyBorder="1" applyAlignment="1">
      <alignment horizontal="center" vertical="center"/>
    </xf>
    <xf numFmtId="0" fontId="70" fillId="0" borderId="0" xfId="5" applyFont="1" applyFill="1"/>
    <xf numFmtId="0" fontId="43" fillId="0" borderId="0" xfId="5" applyFont="1" applyFill="1" applyBorder="1" applyAlignment="1">
      <alignment horizontal="left"/>
    </xf>
    <xf numFmtId="0" fontId="43" fillId="0" borderId="0" xfId="5" applyFont="1" applyFill="1" applyBorder="1" applyAlignment="1">
      <alignment vertical="center" wrapText="1"/>
    </xf>
    <xf numFmtId="184" fontId="42" fillId="0" borderId="0" xfId="4" applyNumberFormat="1" applyFont="1" applyFill="1" applyBorder="1" applyAlignment="1">
      <alignment vertical="center"/>
    </xf>
    <xf numFmtId="167" fontId="42" fillId="0" borderId="0" xfId="1" applyNumberFormat="1" applyFont="1" applyFill="1" applyBorder="1"/>
    <xf numFmtId="9" fontId="42" fillId="0" borderId="0" xfId="4" applyFont="1" applyFill="1" applyBorder="1"/>
    <xf numFmtId="184" fontId="42" fillId="0" borderId="14" xfId="2" applyNumberFormat="1" applyFont="1" applyFill="1" applyBorder="1"/>
    <xf numFmtId="184" fontId="42" fillId="0" borderId="0" xfId="2" applyNumberFormat="1" applyFont="1" applyFill="1" applyBorder="1"/>
    <xf numFmtId="184" fontId="42"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42" fillId="134" borderId="0" xfId="0" applyFont="1" applyFill="1" applyBorder="1"/>
    <xf numFmtId="0" fontId="42" fillId="134" borderId="0" xfId="0" applyFont="1" applyFill="1"/>
    <xf numFmtId="0" fontId="43" fillId="134" borderId="0" xfId="0" applyFont="1" applyFill="1" applyBorder="1" applyAlignment="1">
      <alignment horizontal="right"/>
    </xf>
    <xf numFmtId="0" fontId="43" fillId="134" borderId="0" xfId="0" applyFont="1" applyFill="1" applyBorder="1" applyAlignment="1">
      <alignment horizontal="center"/>
    </xf>
    <xf numFmtId="0" fontId="43" fillId="134" borderId="0" xfId="0" applyFont="1" applyFill="1" applyAlignment="1">
      <alignment horizontal="center"/>
    </xf>
    <xf numFmtId="0" fontId="43" fillId="134" borderId="0" xfId="0" applyFont="1" applyFill="1"/>
    <xf numFmtId="0" fontId="42" fillId="134" borderId="0" xfId="0" applyFont="1" applyFill="1" applyAlignment="1">
      <alignment horizontal="center"/>
    </xf>
    <xf numFmtId="0" fontId="16" fillId="134" borderId="0" xfId="0" applyFont="1" applyFill="1"/>
    <xf numFmtId="0" fontId="11" fillId="134" borderId="0" xfId="5" applyFont="1" applyFill="1" applyAlignment="1"/>
    <xf numFmtId="0" fontId="180" fillId="134" borderId="0" xfId="0" applyFont="1" applyFill="1"/>
    <xf numFmtId="0" fontId="183" fillId="134" borderId="0" xfId="0" applyFont="1" applyFill="1"/>
    <xf numFmtId="0" fontId="50" fillId="134" borderId="9" xfId="0" applyFont="1" applyFill="1" applyBorder="1" applyAlignment="1">
      <alignment horizontal="center" vertical="center" wrapText="1"/>
    </xf>
    <xf numFmtId="0" fontId="50" fillId="134" borderId="40" xfId="0" applyFont="1" applyFill="1" applyBorder="1" applyAlignment="1">
      <alignment horizontal="center" vertical="center" wrapText="1"/>
    </xf>
    <xf numFmtId="0" fontId="50" fillId="134" borderId="7" xfId="0" applyFont="1" applyFill="1" applyBorder="1" applyAlignment="1">
      <alignment horizontal="center" vertical="center" wrapText="1"/>
    </xf>
    <xf numFmtId="0" fontId="50" fillId="134" borderId="0" xfId="0" applyFont="1" applyFill="1" applyBorder="1" applyAlignment="1">
      <alignment horizontal="center" vertical="center" wrapText="1"/>
    </xf>
    <xf numFmtId="0" fontId="50" fillId="134" borderId="1" xfId="0" applyFont="1" applyFill="1" applyBorder="1" applyAlignment="1">
      <alignment horizontal="center" vertical="center" wrapText="1"/>
    </xf>
    <xf numFmtId="0" fontId="42" fillId="134" borderId="5" xfId="5" applyFont="1" applyFill="1" applyBorder="1" applyAlignment="1">
      <alignment horizontal="center" vertical="center" wrapText="1"/>
    </xf>
    <xf numFmtId="0" fontId="50" fillId="134" borderId="14" xfId="0" applyFont="1" applyFill="1" applyBorder="1" applyAlignment="1">
      <alignment horizontal="center" vertical="center" wrapText="1"/>
    </xf>
    <xf numFmtId="0" fontId="50" fillId="134" borderId="48" xfId="0" applyFont="1" applyFill="1" applyBorder="1" applyAlignment="1">
      <alignment horizontal="center" vertical="center" wrapText="1"/>
    </xf>
    <xf numFmtId="0" fontId="50" fillId="134" borderId="22" xfId="0" applyFont="1" applyFill="1" applyBorder="1" applyAlignment="1">
      <alignment horizontal="center" vertical="center" wrapText="1"/>
    </xf>
    <xf numFmtId="0" fontId="42" fillId="134" borderId="54" xfId="5" applyFont="1" applyFill="1" applyBorder="1" applyAlignment="1">
      <alignment horizontal="center"/>
    </xf>
    <xf numFmtId="0" fontId="50" fillId="134" borderId="53" xfId="0" applyFont="1" applyFill="1" applyBorder="1" applyAlignment="1">
      <alignment horizontal="center" vertical="center" wrapText="1"/>
    </xf>
    <xf numFmtId="0" fontId="42" fillId="134" borderId="4" xfId="5" applyFont="1" applyFill="1" applyBorder="1" applyAlignment="1">
      <alignment horizontal="center"/>
    </xf>
    <xf numFmtId="0" fontId="51" fillId="134" borderId="0" xfId="0" applyFont="1" applyFill="1" applyBorder="1" applyAlignment="1">
      <alignment horizontal="center" vertical="center" wrapText="1"/>
    </xf>
    <xf numFmtId="0" fontId="42" fillId="134" borderId="0" xfId="0" quotePrefix="1" applyFont="1" applyFill="1" applyBorder="1" applyAlignment="1">
      <alignment horizontal="center"/>
    </xf>
    <xf numFmtId="184" fontId="50" fillId="134" borderId="0" xfId="2" applyNumberFormat="1" applyFont="1" applyFill="1" applyBorder="1"/>
    <xf numFmtId="184" fontId="50" fillId="134" borderId="0" xfId="0" applyNumberFormat="1" applyFont="1" applyFill="1" applyBorder="1"/>
    <xf numFmtId="184" fontId="50" fillId="134" borderId="40" xfId="0" applyNumberFormat="1" applyFont="1" applyFill="1" applyBorder="1"/>
    <xf numFmtId="10" fontId="50" fillId="134" borderId="7" xfId="4" applyNumberFormat="1" applyFont="1" applyFill="1" applyBorder="1" applyAlignment="1">
      <alignment horizontal="center"/>
    </xf>
    <xf numFmtId="10" fontId="50" fillId="134" borderId="0" xfId="4" applyNumberFormat="1" applyFont="1" applyFill="1" applyBorder="1" applyAlignment="1">
      <alignment horizontal="center"/>
    </xf>
    <xf numFmtId="10" fontId="50" fillId="134" borderId="1" xfId="4" applyNumberFormat="1" applyFont="1" applyFill="1" applyBorder="1" applyAlignment="1">
      <alignment horizontal="center"/>
    </xf>
    <xf numFmtId="0" fontId="42"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7" xfId="0" applyFill="1" applyBorder="1"/>
    <xf numFmtId="0" fontId="0" fillId="134" borderId="99" xfId="0" applyFill="1" applyBorder="1"/>
    <xf numFmtId="3" fontId="17" fillId="134" borderId="0" xfId="100" applyNumberFormat="1" applyFont="1" applyFill="1"/>
    <xf numFmtId="0" fontId="182" fillId="134" borderId="0" xfId="0" applyFont="1" applyFill="1"/>
    <xf numFmtId="0" fontId="181" fillId="134" borderId="22" xfId="0" quotePrefix="1" applyFont="1" applyFill="1" applyBorder="1" applyAlignment="1">
      <alignment horizontal="center" vertical="center" wrapText="1"/>
    </xf>
    <xf numFmtId="0" fontId="51" fillId="134" borderId="7" xfId="0" applyFont="1" applyFill="1" applyBorder="1" applyAlignment="1">
      <alignment horizontal="center" vertical="center" wrapText="1"/>
    </xf>
    <xf numFmtId="184" fontId="50" fillId="134" borderId="7" xfId="0" applyNumberFormat="1" applyFont="1" applyFill="1" applyBorder="1"/>
    <xf numFmtId="243" fontId="50" fillId="134" borderId="7" xfId="2" applyNumberFormat="1" applyFont="1" applyFill="1" applyBorder="1"/>
    <xf numFmtId="0" fontId="16" fillId="134" borderId="0" xfId="0" applyFont="1" applyFill="1" applyAlignment="1">
      <alignment vertical="center"/>
    </xf>
    <xf numFmtId="3" fontId="19" fillId="134" borderId="0" xfId="100" applyNumberFormat="1" applyFont="1" applyFill="1" applyAlignment="1">
      <alignment vertical="center"/>
    </xf>
    <xf numFmtId="3" fontId="19" fillId="134" borderId="0" xfId="100" applyNumberFormat="1" applyFont="1" applyFill="1"/>
    <xf numFmtId="184" fontId="16" fillId="134" borderId="0" xfId="0" applyNumberFormat="1" applyFont="1" applyFill="1"/>
    <xf numFmtId="168" fontId="0" fillId="134" borderId="0" xfId="0" applyNumberFormat="1" applyFill="1"/>
    <xf numFmtId="0" fontId="190" fillId="134" borderId="0" xfId="0" applyFont="1" applyFill="1" applyBorder="1" applyAlignment="1">
      <alignment horizontal="center"/>
    </xf>
    <xf numFmtId="0" fontId="50" fillId="134" borderId="0" xfId="0" applyFont="1" applyFill="1"/>
    <xf numFmtId="0" fontId="179" fillId="134" borderId="38" xfId="0" applyFont="1" applyFill="1" applyBorder="1" applyAlignment="1">
      <alignment horizontal="center"/>
    </xf>
    <xf numFmtId="0" fontId="42" fillId="134" borderId="2" xfId="5" applyFont="1" applyFill="1" applyBorder="1" applyAlignment="1">
      <alignment horizontal="center" vertical="center"/>
    </xf>
    <xf numFmtId="0" fontId="50" fillId="134" borderId="10" xfId="0" applyFont="1" applyFill="1" applyBorder="1" applyAlignment="1">
      <alignment horizontal="center" vertical="center" wrapText="1"/>
    </xf>
    <xf numFmtId="0" fontId="50" fillId="134" borderId="15" xfId="0" applyFont="1" applyFill="1" applyBorder="1" applyAlignment="1">
      <alignment horizontal="center" vertical="center" wrapText="1"/>
    </xf>
    <xf numFmtId="0" fontId="185" fillId="134" borderId="0" xfId="0" applyFont="1" applyFill="1" applyAlignment="1">
      <alignment horizontal="center"/>
    </xf>
    <xf numFmtId="0" fontId="181" fillId="134" borderId="53" xfId="0" applyFont="1" applyFill="1" applyBorder="1" applyAlignment="1">
      <alignment horizontal="center" vertical="center" wrapText="1"/>
    </xf>
    <xf numFmtId="0" fontId="50" fillId="134" borderId="3" xfId="0" applyFont="1" applyFill="1" applyBorder="1" applyAlignment="1">
      <alignment horizontal="center"/>
    </xf>
    <xf numFmtId="185" fontId="42" fillId="134" borderId="14" xfId="101" applyFont="1" applyFill="1" applyBorder="1" applyAlignment="1">
      <alignment horizontal="center"/>
    </xf>
    <xf numFmtId="37" fontId="42" fillId="134" borderId="14" xfId="101" applyNumberFormat="1" applyFont="1" applyFill="1" applyBorder="1" applyAlignment="1">
      <alignment horizontal="center"/>
    </xf>
    <xf numFmtId="167" fontId="42" fillId="134" borderId="14" xfId="143" applyNumberFormat="1" applyFont="1" applyFill="1" applyBorder="1" applyAlignment="1">
      <alignment horizontal="center"/>
    </xf>
    <xf numFmtId="168" fontId="42" fillId="134" borderId="16" xfId="143" applyNumberFormat="1" applyFont="1" applyFill="1" applyBorder="1" applyAlignment="1">
      <alignment horizontal="center"/>
    </xf>
    <xf numFmtId="37" fontId="42" fillId="134" borderId="0" xfId="101" applyNumberFormat="1" applyFont="1" applyFill="1" applyBorder="1" applyAlignment="1">
      <alignment horizontal="center"/>
    </xf>
    <xf numFmtId="167" fontId="42" fillId="134" borderId="0" xfId="143" applyNumberFormat="1" applyFont="1" applyFill="1" applyBorder="1" applyAlignment="1">
      <alignment horizontal="center"/>
    </xf>
    <xf numFmtId="168" fontId="42" fillId="134" borderId="3" xfId="143" applyNumberFormat="1" applyFont="1" applyFill="1" applyBorder="1" applyAlignment="1">
      <alignment horizontal="center"/>
    </xf>
    <xf numFmtId="168" fontId="42" fillId="134" borderId="26" xfId="143" applyNumberFormat="1" applyFont="1" applyFill="1" applyBorder="1" applyAlignment="1">
      <alignment horizontal="center"/>
    </xf>
    <xf numFmtId="168" fontId="42" fillId="134" borderId="38" xfId="143" applyNumberFormat="1" applyFont="1" applyFill="1" applyBorder="1" applyAlignment="1">
      <alignment horizontal="center"/>
    </xf>
    <xf numFmtId="0" fontId="50" fillId="152" borderId="10" xfId="0" applyFont="1" applyFill="1" applyBorder="1" applyAlignment="1">
      <alignment horizontal="center" vertical="center" wrapText="1"/>
    </xf>
    <xf numFmtId="0" fontId="50" fillId="152" borderId="9" xfId="0" applyFont="1" applyFill="1" applyBorder="1" applyAlignment="1">
      <alignment horizontal="center" vertical="center" wrapText="1"/>
    </xf>
    <xf numFmtId="168" fontId="42" fillId="134" borderId="0" xfId="0" applyNumberFormat="1" applyFont="1" applyFill="1" applyBorder="1"/>
    <xf numFmtId="168" fontId="42" fillId="134" borderId="14" xfId="0" applyNumberFormat="1" applyFont="1" applyFill="1" applyBorder="1"/>
    <xf numFmtId="0" fontId="43" fillId="134" borderId="14" xfId="0" applyFont="1" applyFill="1" applyBorder="1" applyAlignment="1">
      <alignment horizontal="center"/>
    </xf>
    <xf numFmtId="0" fontId="181" fillId="134" borderId="55" xfId="0" applyFont="1" applyFill="1" applyBorder="1" applyAlignment="1">
      <alignment horizontal="center" vertical="center" wrapText="1"/>
    </xf>
    <xf numFmtId="0" fontId="181" fillId="134" borderId="56" xfId="0" applyFont="1" applyFill="1" applyBorder="1" applyAlignment="1">
      <alignment horizontal="center" vertical="center" wrapText="1"/>
    </xf>
    <xf numFmtId="0" fontId="181" fillId="134" borderId="100" xfId="0" applyFont="1" applyFill="1" applyBorder="1" applyAlignment="1">
      <alignment horizontal="center" vertical="center" wrapText="1"/>
    </xf>
    <xf numFmtId="0" fontId="181" fillId="134" borderId="101" xfId="0" applyFont="1" applyFill="1" applyBorder="1" applyAlignment="1">
      <alignment horizontal="center" vertical="center" wrapText="1"/>
    </xf>
    <xf numFmtId="0" fontId="181" fillId="134" borderId="96" xfId="0" applyFont="1" applyFill="1" applyBorder="1" applyAlignment="1">
      <alignment horizontal="center" vertical="center" wrapText="1"/>
    </xf>
    <xf numFmtId="0" fontId="185" fillId="134" borderId="0" xfId="0" applyFont="1" applyFill="1"/>
    <xf numFmtId="168" fontId="185" fillId="134" borderId="0" xfId="0" applyNumberFormat="1" applyFont="1" applyFill="1"/>
    <xf numFmtId="0" fontId="186" fillId="134" borderId="0" xfId="0" applyFont="1" applyFill="1" applyBorder="1"/>
    <xf numFmtId="0" fontId="186" fillId="134" borderId="0" xfId="0" applyFont="1" applyFill="1" applyBorder="1" applyAlignment="1">
      <alignment horizontal="center"/>
    </xf>
    <xf numFmtId="0" fontId="192" fillId="134" borderId="0" xfId="0" applyFont="1" applyFill="1" applyBorder="1" applyAlignment="1">
      <alignment horizontal="right"/>
    </xf>
    <xf numFmtId="241" fontId="42" fillId="134" borderId="14" xfId="2" applyNumberFormat="1" applyFont="1" applyFill="1" applyBorder="1" applyAlignment="1">
      <alignment horizontal="center"/>
    </xf>
    <xf numFmtId="241" fontId="42" fillId="0" borderId="14" xfId="2" applyNumberFormat="1" applyFont="1" applyFill="1" applyBorder="1" applyAlignment="1">
      <alignment horizontal="center"/>
    </xf>
    <xf numFmtId="241" fontId="42" fillId="134" borderId="0" xfId="2" applyNumberFormat="1" applyFont="1" applyFill="1" applyBorder="1" applyAlignment="1">
      <alignment horizontal="center"/>
    </xf>
    <xf numFmtId="168" fontId="182" fillId="134" borderId="0" xfId="0" applyNumberFormat="1" applyFont="1" applyFill="1"/>
    <xf numFmtId="0" fontId="43" fillId="134" borderId="0" xfId="0" applyFont="1" applyFill="1" applyBorder="1"/>
    <xf numFmtId="171" fontId="42" fillId="134" borderId="0" xfId="0" applyNumberFormat="1" applyFont="1" applyFill="1"/>
    <xf numFmtId="0" fontId="42" fillId="134" borderId="17" xfId="0" applyFont="1" applyFill="1" applyBorder="1"/>
    <xf numFmtId="166" fontId="43" fillId="134" borderId="0" xfId="5" applyNumberFormat="1" applyFont="1" applyFill="1" applyBorder="1" applyAlignment="1">
      <alignment horizontal="center"/>
    </xf>
    <xf numFmtId="14" fontId="42" fillId="134" borderId="0" xfId="5" applyNumberFormat="1" applyFont="1" applyFill="1" applyBorder="1" applyAlignment="1">
      <alignment horizontal="center"/>
    </xf>
    <xf numFmtId="0" fontId="43" fillId="134" borderId="0" xfId="1" applyNumberFormat="1" applyFont="1" applyFill="1" applyAlignment="1">
      <alignment horizontal="center"/>
    </xf>
    <xf numFmtId="166" fontId="42" fillId="134" borderId="0" xfId="5" applyNumberFormat="1" applyFont="1" applyFill="1" applyBorder="1" applyAlignment="1">
      <alignment horizontal="center"/>
    </xf>
    <xf numFmtId="0" fontId="193" fillId="134" borderId="0" xfId="0" applyFont="1" applyFill="1" applyBorder="1" applyAlignment="1">
      <alignment horizontal="center"/>
    </xf>
    <xf numFmtId="0" fontId="42" fillId="134" borderId="0" xfId="0" applyFont="1" applyFill="1" applyAlignment="1"/>
    <xf numFmtId="0" fontId="43" fillId="134" borderId="7" xfId="0" applyFont="1" applyFill="1" applyBorder="1" applyAlignment="1">
      <alignment horizontal="center"/>
    </xf>
    <xf numFmtId="0" fontId="43" fillId="134" borderId="1" xfId="0" applyFont="1" applyFill="1" applyBorder="1" applyAlignment="1">
      <alignment horizontal="right"/>
    </xf>
    <xf numFmtId="0" fontId="43" fillId="134" borderId="0" xfId="0" applyFont="1" applyFill="1" applyAlignment="1">
      <alignment horizontal="right"/>
    </xf>
    <xf numFmtId="0" fontId="43" fillId="134" borderId="7" xfId="0" applyFont="1" applyFill="1" applyBorder="1" applyAlignment="1">
      <alignment horizontal="right"/>
    </xf>
    <xf numFmtId="0" fontId="43" fillId="134" borderId="48" xfId="0" applyFont="1" applyFill="1" applyBorder="1" applyAlignment="1">
      <alignment horizontal="center"/>
    </xf>
    <xf numFmtId="171" fontId="42" fillId="134" borderId="14" xfId="0" applyNumberFormat="1" applyFont="1" applyFill="1" applyBorder="1"/>
    <xf numFmtId="44" fontId="42" fillId="134" borderId="0" xfId="2" applyFont="1" applyFill="1" applyBorder="1"/>
    <xf numFmtId="7" fontId="42" fillId="134" borderId="7" xfId="2" applyNumberFormat="1" applyFont="1" applyFill="1" applyBorder="1"/>
    <xf numFmtId="7" fontId="42" fillId="134" borderId="0" xfId="2" applyNumberFormat="1" applyFont="1" applyFill="1" applyBorder="1"/>
    <xf numFmtId="171" fontId="42" fillId="134" borderId="0" xfId="0" applyNumberFormat="1" applyFont="1" applyFill="1" applyBorder="1"/>
    <xf numFmtId="171" fontId="42" fillId="134" borderId="1" xfId="0" applyNumberFormat="1" applyFont="1" applyFill="1" applyBorder="1"/>
    <xf numFmtId="171" fontId="42" fillId="134" borderId="27" xfId="0" applyNumberFormat="1" applyFont="1" applyFill="1" applyBorder="1"/>
    <xf numFmtId="171" fontId="44" fillId="134" borderId="0" xfId="0" applyNumberFormat="1" applyFont="1" applyFill="1" applyBorder="1"/>
    <xf numFmtId="0" fontId="42" fillId="134" borderId="14" xfId="0" applyFont="1" applyFill="1" applyBorder="1" applyAlignment="1">
      <alignment horizontal="center"/>
    </xf>
    <xf numFmtId="171" fontId="42" fillId="134" borderId="0" xfId="0" applyNumberFormat="1" applyFont="1" applyFill="1" applyBorder="1" applyAlignment="1"/>
    <xf numFmtId="171" fontId="42" fillId="134" borderId="14" xfId="0" applyNumberFormat="1" applyFont="1" applyFill="1" applyBorder="1" applyAlignment="1"/>
    <xf numFmtId="171" fontId="42" fillId="134" borderId="27" xfId="0" applyNumberFormat="1" applyFont="1" applyFill="1" applyBorder="1" applyAlignment="1"/>
    <xf numFmtId="171" fontId="42" fillId="134" borderId="12" xfId="0" applyNumberFormat="1" applyFont="1" applyFill="1" applyBorder="1" applyAlignment="1"/>
    <xf numFmtId="171" fontId="42" fillId="134" borderId="97" xfId="0" applyNumberFormat="1" applyFont="1" applyFill="1" applyBorder="1" applyAlignment="1"/>
    <xf numFmtId="171" fontId="44" fillId="134" borderId="12" xfId="0" applyNumberFormat="1" applyFont="1" applyFill="1" applyBorder="1" applyAlignment="1"/>
    <xf numFmtId="0" fontId="69" fillId="134" borderId="0" xfId="0" applyFont="1" applyFill="1"/>
    <xf numFmtId="37" fontId="43" fillId="134" borderId="0" xfId="0" applyNumberFormat="1" applyFont="1" applyFill="1" applyAlignment="1" applyProtection="1">
      <alignment horizontal="left"/>
    </xf>
    <xf numFmtId="37" fontId="196" fillId="134" borderId="0" xfId="0" applyNumberFormat="1" applyFont="1" applyFill="1" applyAlignment="1" applyProtection="1">
      <alignment horizontal="left"/>
    </xf>
    <xf numFmtId="168" fontId="42" fillId="134" borderId="0" xfId="0" applyNumberFormat="1" applyFont="1" applyFill="1"/>
    <xf numFmtId="0" fontId="43" fillId="134" borderId="12" xfId="0" applyFont="1" applyFill="1" applyBorder="1" applyAlignment="1">
      <alignment horizontal="center"/>
    </xf>
    <xf numFmtId="0" fontId="192" fillId="134" borderId="0" xfId="0" applyFont="1" applyFill="1" applyBorder="1"/>
    <xf numFmtId="0" fontId="186" fillId="134" borderId="0" xfId="0" applyFont="1" applyFill="1"/>
    <xf numFmtId="171" fontId="197" fillId="134" borderId="0" xfId="0" applyNumberFormat="1" applyFont="1" applyFill="1" applyBorder="1" applyAlignment="1">
      <alignment horizontal="center" vertical="center"/>
    </xf>
    <xf numFmtId="171" fontId="186" fillId="134" borderId="0" xfId="0" applyNumberFormat="1" applyFont="1" applyFill="1"/>
    <xf numFmtId="0" fontId="197" fillId="134" borderId="0" xfId="0" applyFont="1" applyFill="1" applyBorder="1" applyAlignment="1">
      <alignment horizontal="center" vertical="center"/>
    </xf>
    <xf numFmtId="0" fontId="186" fillId="134" borderId="0" xfId="0" applyFont="1" applyFill="1" applyAlignment="1">
      <alignment horizontal="center"/>
    </xf>
    <xf numFmtId="168" fontId="186" fillId="134" borderId="0" xfId="0" applyNumberFormat="1" applyFont="1" applyFill="1"/>
    <xf numFmtId="183" fontId="186" fillId="134" borderId="0" xfId="0" applyNumberFormat="1" applyFont="1" applyFill="1"/>
    <xf numFmtId="171" fontId="198" fillId="134" borderId="0" xfId="0" applyNumberFormat="1" applyFont="1" applyFill="1" applyAlignment="1">
      <alignment horizontal="center"/>
    </xf>
    <xf numFmtId="166" fontId="192" fillId="134" borderId="0" xfId="5" applyNumberFormat="1" applyFont="1" applyFill="1" applyBorder="1" applyAlignment="1">
      <alignment horizontal="center"/>
    </xf>
    <xf numFmtId="0" fontId="192" fillId="134" borderId="7" xfId="0" applyFont="1" applyFill="1" applyBorder="1" applyAlignment="1">
      <alignment horizontal="center" vertical="center"/>
    </xf>
    <xf numFmtId="0" fontId="192" fillId="134" borderId="0" xfId="0" applyFont="1" applyFill="1" applyBorder="1" applyAlignment="1">
      <alignment horizontal="center" vertical="center"/>
    </xf>
    <xf numFmtId="14" fontId="199" fillId="152" borderId="92" xfId="0" applyNumberFormat="1" applyFont="1" applyFill="1" applyBorder="1" applyAlignment="1">
      <alignment horizontal="center" vertical="center"/>
    </xf>
    <xf numFmtId="166" fontId="192" fillId="134" borderId="0" xfId="5" applyNumberFormat="1" applyFont="1" applyFill="1" applyBorder="1" applyAlignment="1">
      <alignment horizontal="center" vertical="center"/>
    </xf>
    <xf numFmtId="14" fontId="192" fillId="134" borderId="7" xfId="0" applyNumberFormat="1" applyFont="1" applyFill="1" applyBorder="1" applyAlignment="1">
      <alignment horizontal="center" vertical="center"/>
    </xf>
    <xf numFmtId="14" fontId="192" fillId="134" borderId="0" xfId="0" applyNumberFormat="1" applyFont="1" applyFill="1" applyBorder="1" applyAlignment="1">
      <alignment horizontal="center" vertical="center"/>
    </xf>
    <xf numFmtId="14" fontId="192" fillId="134" borderId="1" xfId="0" applyNumberFormat="1" applyFont="1" applyFill="1" applyBorder="1" applyAlignment="1">
      <alignment horizontal="center" vertical="center"/>
    </xf>
    <xf numFmtId="0" fontId="186" fillId="134" borderId="0" xfId="0" applyFont="1" applyFill="1" applyBorder="1" applyAlignment="1">
      <alignment vertical="center"/>
    </xf>
    <xf numFmtId="14" fontId="186" fillId="134" borderId="0" xfId="5" applyNumberFormat="1" applyFont="1" applyFill="1" applyBorder="1" applyAlignment="1">
      <alignment horizontal="center"/>
    </xf>
    <xf numFmtId="0" fontId="192" fillId="134" borderId="0" xfId="1" applyNumberFormat="1" applyFont="1" applyFill="1" applyAlignment="1">
      <alignment horizontal="center"/>
    </xf>
    <xf numFmtId="0" fontId="192" fillId="152" borderId="92" xfId="0" applyFont="1" applyFill="1" applyBorder="1" applyAlignment="1">
      <alignment horizontal="center" vertical="center"/>
    </xf>
    <xf numFmtId="14" fontId="186" fillId="134" borderId="0" xfId="5" applyNumberFormat="1" applyFont="1" applyFill="1" applyBorder="1" applyAlignment="1">
      <alignment horizontal="center" vertical="center"/>
    </xf>
    <xf numFmtId="14" fontId="186" fillId="134" borderId="7" xfId="5" applyNumberFormat="1" applyFont="1" applyFill="1" applyBorder="1" applyAlignment="1">
      <alignment horizontal="center" vertical="center"/>
    </xf>
    <xf numFmtId="14" fontId="192" fillId="134" borderId="0" xfId="0" applyNumberFormat="1" applyFont="1" applyFill="1" applyAlignment="1">
      <alignment horizontal="center"/>
    </xf>
    <xf numFmtId="0" fontId="192" fillId="134" borderId="1" xfId="0" applyFont="1" applyFill="1" applyBorder="1" applyAlignment="1">
      <alignment horizontal="center" vertical="center"/>
    </xf>
    <xf numFmtId="166" fontId="186" fillId="134" borderId="0" xfId="5" applyNumberFormat="1" applyFont="1" applyFill="1" applyBorder="1" applyAlignment="1">
      <alignment horizontal="center"/>
    </xf>
    <xf numFmtId="0" fontId="192" fillId="134" borderId="0" xfId="0" applyFont="1" applyFill="1" applyAlignment="1">
      <alignment horizontal="center"/>
    </xf>
    <xf numFmtId="166" fontId="186" fillId="134" borderId="0" xfId="5" applyNumberFormat="1" applyFont="1" applyFill="1" applyBorder="1" applyAlignment="1">
      <alignment horizontal="center" vertical="center"/>
    </xf>
    <xf numFmtId="166" fontId="186" fillId="134" borderId="7" xfId="5" applyNumberFormat="1" applyFont="1" applyFill="1" applyBorder="1" applyAlignment="1">
      <alignment horizontal="center" vertical="center"/>
    </xf>
    <xf numFmtId="0" fontId="197" fillId="134" borderId="0" xfId="0" applyFont="1" applyFill="1" applyBorder="1" applyAlignment="1">
      <alignment horizontal="center"/>
    </xf>
    <xf numFmtId="0" fontId="186" fillId="134" borderId="0" xfId="0" applyFont="1" applyFill="1" applyAlignment="1"/>
    <xf numFmtId="0" fontId="192" fillId="134" borderId="12" xfId="0" applyFont="1" applyFill="1" applyBorder="1" applyAlignment="1">
      <alignment horizontal="center"/>
    </xf>
    <xf numFmtId="0" fontId="192" fillId="152" borderId="93" xfId="0" applyFont="1" applyFill="1" applyBorder="1" applyAlignment="1">
      <alignment horizontal="center" vertical="center"/>
    </xf>
    <xf numFmtId="0" fontId="192" fillId="134" borderId="7" xfId="0" applyFont="1" applyFill="1" applyBorder="1" applyAlignment="1">
      <alignment horizontal="center"/>
    </xf>
    <xf numFmtId="0" fontId="192" fillId="134" borderId="0" xfId="0" applyFont="1" applyFill="1" applyBorder="1" applyAlignment="1">
      <alignment horizontal="center"/>
    </xf>
    <xf numFmtId="0" fontId="192" fillId="134" borderId="1" xfId="0" applyFont="1" applyFill="1" applyBorder="1" applyAlignment="1">
      <alignment horizontal="right"/>
    </xf>
    <xf numFmtId="0" fontId="192" fillId="134" borderId="7" xfId="0" applyFont="1" applyFill="1" applyBorder="1" applyAlignment="1">
      <alignment horizontal="right"/>
    </xf>
    <xf numFmtId="0" fontId="201" fillId="134" borderId="0" xfId="0" applyFont="1" applyFill="1" applyBorder="1" applyAlignment="1">
      <alignment horizontal="center" vertical="center"/>
    </xf>
    <xf numFmtId="0" fontId="192" fillId="134" borderId="48" xfId="0" applyFont="1" applyFill="1" applyBorder="1" applyAlignment="1">
      <alignment horizontal="center"/>
    </xf>
    <xf numFmtId="0" fontId="192" fillId="134" borderId="14" xfId="0" applyFont="1" applyFill="1" applyBorder="1" applyAlignment="1">
      <alignment horizontal="center"/>
    </xf>
    <xf numFmtId="0" fontId="192" fillId="134" borderId="22" xfId="0" applyFont="1" applyFill="1" applyBorder="1" applyAlignment="1">
      <alignment horizontal="center"/>
    </xf>
    <xf numFmtId="0" fontId="192" fillId="152" borderId="94" xfId="0" applyFont="1" applyFill="1" applyBorder="1" applyAlignment="1">
      <alignment horizontal="center"/>
    </xf>
    <xf numFmtId="171" fontId="200" fillId="134" borderId="48" xfId="0" applyNumberFormat="1" applyFont="1" applyFill="1" applyBorder="1"/>
    <xf numFmtId="171" fontId="200" fillId="134" borderId="14" xfId="0" applyNumberFormat="1" applyFont="1" applyFill="1" applyBorder="1"/>
    <xf numFmtId="171" fontId="186" fillId="134" borderId="14" xfId="0" applyNumberFormat="1" applyFont="1" applyFill="1" applyBorder="1"/>
    <xf numFmtId="171" fontId="186" fillId="134" borderId="22" xfId="0" applyNumberFormat="1" applyFont="1" applyFill="1" applyBorder="1"/>
    <xf numFmtId="44" fontId="186" fillId="134" borderId="0" xfId="2" applyFont="1" applyFill="1" applyBorder="1"/>
    <xf numFmtId="171" fontId="186" fillId="134" borderId="48" xfId="0" applyNumberFormat="1" applyFont="1" applyFill="1" applyBorder="1"/>
    <xf numFmtId="7" fontId="186" fillId="134" borderId="7" xfId="2" applyNumberFormat="1" applyFont="1" applyFill="1" applyBorder="1"/>
    <xf numFmtId="7" fontId="186" fillId="134" borderId="0" xfId="2" applyNumberFormat="1" applyFont="1" applyFill="1" applyBorder="1"/>
    <xf numFmtId="171" fontId="186" fillId="134" borderId="0" xfId="0" applyNumberFormat="1" applyFont="1" applyFill="1" applyBorder="1"/>
    <xf numFmtId="171" fontId="186" fillId="134" borderId="1" xfId="0" applyNumberFormat="1" applyFont="1" applyFill="1" applyBorder="1"/>
    <xf numFmtId="171" fontId="200" fillId="134" borderId="0" xfId="0" applyNumberFormat="1" applyFont="1" applyFill="1" applyBorder="1"/>
    <xf numFmtId="171" fontId="200" fillId="134" borderId="7" xfId="0" applyNumberFormat="1" applyFont="1" applyFill="1" applyBorder="1"/>
    <xf numFmtId="171" fontId="186" fillId="134" borderId="7" xfId="0" applyNumberFormat="1" applyFont="1" applyFill="1" applyBorder="1"/>
    <xf numFmtId="171" fontId="202" fillId="134" borderId="0" xfId="0" applyNumberFormat="1" applyFont="1" applyFill="1" applyBorder="1"/>
    <xf numFmtId="171" fontId="200" fillId="134" borderId="7" xfId="0" applyNumberFormat="1" applyFont="1" applyFill="1" applyBorder="1" applyAlignment="1"/>
    <xf numFmtId="171" fontId="186" fillId="134" borderId="0" xfId="0" applyNumberFormat="1" applyFont="1" applyFill="1" applyBorder="1" applyAlignment="1"/>
    <xf numFmtId="171" fontId="200" fillId="134" borderId="0" xfId="0" applyNumberFormat="1" applyFont="1" applyFill="1" applyBorder="1" applyAlignment="1"/>
    <xf numFmtId="171" fontId="186" fillId="134" borderId="1" xfId="0" applyNumberFormat="1" applyFont="1" applyFill="1" applyBorder="1" applyAlignment="1"/>
    <xf numFmtId="171" fontId="186" fillId="134" borderId="7" xfId="0" applyNumberFormat="1" applyFont="1" applyFill="1" applyBorder="1" applyAlignment="1"/>
    <xf numFmtId="171" fontId="200" fillId="134" borderId="48" xfId="0" applyNumberFormat="1" applyFont="1" applyFill="1" applyBorder="1" applyAlignment="1"/>
    <xf numFmtId="171" fontId="186" fillId="134" borderId="14" xfId="0" applyNumberFormat="1" applyFont="1" applyFill="1" applyBorder="1" applyAlignment="1"/>
    <xf numFmtId="171" fontId="200" fillId="134" borderId="14" xfId="0" applyNumberFormat="1" applyFont="1" applyFill="1" applyBorder="1" applyAlignment="1"/>
    <xf numFmtId="171" fontId="186" fillId="134" borderId="22" xfId="0" applyNumberFormat="1" applyFont="1" applyFill="1" applyBorder="1" applyAlignment="1"/>
    <xf numFmtId="171" fontId="186" fillId="134" borderId="48" xfId="0" applyNumberFormat="1" applyFont="1" applyFill="1" applyBorder="1" applyAlignment="1"/>
    <xf numFmtId="171" fontId="200" fillId="134" borderId="44" xfId="0" applyNumberFormat="1" applyFont="1" applyFill="1" applyBorder="1" applyAlignment="1"/>
    <xf numFmtId="171" fontId="186" fillId="134" borderId="27" xfId="0" applyNumberFormat="1" applyFont="1" applyFill="1" applyBorder="1" applyAlignment="1"/>
    <xf numFmtId="171" fontId="200" fillId="134" borderId="27" xfId="0" applyNumberFormat="1" applyFont="1" applyFill="1" applyBorder="1" applyAlignment="1"/>
    <xf numFmtId="171" fontId="186" fillId="134" borderId="49" xfId="0" applyNumberFormat="1" applyFont="1" applyFill="1" applyBorder="1" applyAlignment="1"/>
    <xf numFmtId="171" fontId="186" fillId="134" borderId="44" xfId="0" applyNumberFormat="1" applyFont="1" applyFill="1" applyBorder="1" applyAlignment="1"/>
    <xf numFmtId="171" fontId="186" fillId="134" borderId="6" xfId="0" applyNumberFormat="1" applyFont="1" applyFill="1" applyBorder="1" applyAlignment="1"/>
    <xf numFmtId="171" fontId="186" fillId="134" borderId="97" xfId="0" applyNumberFormat="1" applyFont="1" applyFill="1" applyBorder="1" applyAlignment="1"/>
    <xf numFmtId="37" fontId="192" fillId="134" borderId="0" xfId="0" applyNumberFormat="1" applyFont="1" applyFill="1" applyAlignment="1" applyProtection="1">
      <alignment horizontal="left"/>
    </xf>
    <xf numFmtId="37" fontId="203" fillId="134" borderId="0" xfId="0" applyNumberFormat="1" applyFont="1" applyFill="1" applyAlignment="1" applyProtection="1">
      <alignment horizontal="left"/>
    </xf>
    <xf numFmtId="244" fontId="186" fillId="134" borderId="0" xfId="2" applyNumberFormat="1" applyFont="1" applyFill="1"/>
    <xf numFmtId="0" fontId="181" fillId="155" borderId="104" xfId="0" applyFont="1" applyFill="1" applyBorder="1" applyAlignment="1">
      <alignment horizontal="center" vertical="center" wrapText="1"/>
    </xf>
    <xf numFmtId="168" fontId="43" fillId="155" borderId="42" xfId="143" applyNumberFormat="1" applyFont="1" applyFill="1" applyBorder="1" applyAlignment="1">
      <alignment horizontal="center"/>
    </xf>
    <xf numFmtId="168" fontId="43" fillId="155" borderId="40" xfId="143" applyNumberFormat="1" applyFont="1" applyFill="1" applyBorder="1" applyAlignment="1">
      <alignment horizontal="center"/>
    </xf>
    <xf numFmtId="168" fontId="43" fillId="155" borderId="67" xfId="143" applyNumberFormat="1" applyFont="1" applyFill="1" applyBorder="1" applyAlignment="1">
      <alignment horizontal="center"/>
    </xf>
    <xf numFmtId="0" fontId="43" fillId="155" borderId="103" xfId="0" applyFont="1" applyFill="1" applyBorder="1" applyAlignment="1">
      <alignment horizontal="center"/>
    </xf>
    <xf numFmtId="0" fontId="191" fillId="156" borderId="103" xfId="0" applyFont="1" applyFill="1" applyBorder="1" applyAlignment="1">
      <alignment horizontal="center"/>
    </xf>
    <xf numFmtId="0" fontId="181" fillId="156" borderId="104" xfId="0" applyFont="1" applyFill="1" applyBorder="1" applyAlignment="1">
      <alignment horizontal="center" vertical="center" wrapText="1"/>
    </xf>
    <xf numFmtId="168" fontId="43" fillId="156" borderId="42" xfId="143" applyNumberFormat="1" applyFont="1" applyFill="1" applyBorder="1" applyAlignment="1">
      <alignment horizontal="center"/>
    </xf>
    <xf numFmtId="168" fontId="43" fillId="156" borderId="40" xfId="143" applyNumberFormat="1" applyFont="1" applyFill="1" applyBorder="1" applyAlignment="1">
      <alignment horizontal="center"/>
    </xf>
    <xf numFmtId="168" fontId="43" fillId="156" borderId="67" xfId="143" applyNumberFormat="1" applyFont="1" applyFill="1" applyBorder="1" applyAlignment="1">
      <alignment horizontal="center"/>
    </xf>
    <xf numFmtId="0" fontId="195" fillId="134" borderId="0" xfId="1" applyNumberFormat="1" applyFont="1" applyFill="1" applyAlignment="1">
      <alignment horizontal="center"/>
    </xf>
    <xf numFmtId="5" fontId="42" fillId="134" borderId="0" xfId="0" applyNumberFormat="1" applyFont="1" applyFill="1"/>
    <xf numFmtId="166" fontId="42" fillId="134" borderId="0" xfId="4" applyNumberFormat="1" applyFont="1" applyFill="1"/>
    <xf numFmtId="166" fontId="42" fillId="134" borderId="17" xfId="5" applyNumberFormat="1" applyFont="1" applyFill="1" applyBorder="1" applyAlignment="1">
      <alignment horizontal="center"/>
    </xf>
    <xf numFmtId="166" fontId="42" fillId="134" borderId="18" xfId="5" applyNumberFormat="1" applyFont="1" applyFill="1" applyBorder="1" applyAlignment="1">
      <alignment horizontal="center"/>
    </xf>
    <xf numFmtId="166" fontId="42" fillId="134" borderId="21" xfId="5" applyNumberFormat="1" applyFont="1" applyFill="1" applyBorder="1" applyAlignment="1">
      <alignment horizontal="center"/>
    </xf>
    <xf numFmtId="5" fontId="42" fillId="134" borderId="7" xfId="0" applyNumberFormat="1" applyFont="1" applyFill="1" applyBorder="1"/>
    <xf numFmtId="5" fontId="42" fillId="134" borderId="0" xfId="0" applyNumberFormat="1" applyFont="1" applyFill="1" applyBorder="1"/>
    <xf numFmtId="5" fontId="42" fillId="134" borderId="1" xfId="0" applyNumberFormat="1" applyFont="1" applyFill="1" applyBorder="1"/>
    <xf numFmtId="184" fontId="42" fillId="134" borderId="0" xfId="2" applyNumberFormat="1" applyFont="1" applyFill="1"/>
    <xf numFmtId="0" fontId="42" fillId="134" borderId="7" xfId="0" applyFont="1" applyFill="1" applyBorder="1"/>
    <xf numFmtId="166" fontId="42" fillId="134" borderId="1" xfId="5" applyNumberFormat="1" applyFont="1" applyFill="1" applyBorder="1" applyAlignment="1">
      <alignment horizontal="center"/>
    </xf>
    <xf numFmtId="0" fontId="42" fillId="134" borderId="6" xfId="0" applyFont="1" applyFill="1" applyBorder="1"/>
    <xf numFmtId="0" fontId="42" fillId="134" borderId="12" xfId="0" applyFont="1" applyFill="1" applyBorder="1"/>
    <xf numFmtId="5" fontId="42" fillId="134" borderId="13" xfId="0" applyNumberFormat="1" applyFont="1" applyFill="1" applyBorder="1"/>
    <xf numFmtId="0" fontId="42" fillId="134" borderId="0" xfId="5" applyFont="1" applyFill="1" applyBorder="1" applyAlignment="1">
      <alignment horizontal="center"/>
    </xf>
    <xf numFmtId="0" fontId="44" fillId="134" borderId="0" xfId="5" applyFont="1" applyFill="1" applyBorder="1" applyAlignment="1">
      <alignment horizontal="center" vertical="center"/>
    </xf>
    <xf numFmtId="176" fontId="42" fillId="134" borderId="0" xfId="0" applyNumberFormat="1" applyFont="1" applyFill="1"/>
    <xf numFmtId="184" fontId="42" fillId="134" borderId="9" xfId="2" applyNumberFormat="1" applyFont="1" applyFill="1" applyBorder="1"/>
    <xf numFmtId="0" fontId="42" fillId="134" borderId="18" xfId="0" applyFont="1" applyFill="1" applyBorder="1"/>
    <xf numFmtId="0" fontId="42" fillId="134" borderId="21" xfId="0" applyFont="1" applyFill="1" applyBorder="1"/>
    <xf numFmtId="0" fontId="42" fillId="134" borderId="7" xfId="5" applyFont="1" applyFill="1" applyBorder="1" applyAlignment="1">
      <alignment horizontal="center"/>
    </xf>
    <xf numFmtId="0" fontId="42" fillId="134" borderId="1" xfId="5" applyFont="1" applyFill="1" applyBorder="1" applyAlignment="1">
      <alignment horizontal="center"/>
    </xf>
    <xf numFmtId="0" fontId="42" fillId="134" borderId="6" xfId="5" applyFont="1" applyFill="1" applyBorder="1" applyAlignment="1">
      <alignment horizontal="center"/>
    </xf>
    <xf numFmtId="0" fontId="42" fillId="134" borderId="12" xfId="5" applyFont="1" applyFill="1" applyBorder="1" applyAlignment="1">
      <alignment horizontal="center"/>
    </xf>
    <xf numFmtId="0" fontId="42" fillId="134" borderId="13" xfId="5" applyFont="1" applyFill="1" applyBorder="1" applyAlignment="1">
      <alignment horizontal="center"/>
    </xf>
    <xf numFmtId="166" fontId="42" fillId="134" borderId="7" xfId="5" applyNumberFormat="1" applyFont="1" applyFill="1" applyBorder="1" applyAlignment="1">
      <alignment horizontal="center"/>
    </xf>
    <xf numFmtId="0" fontId="193" fillId="134" borderId="7" xfId="0" applyFont="1" applyFill="1" applyBorder="1" applyAlignment="1">
      <alignment horizontal="center"/>
    </xf>
    <xf numFmtId="0" fontId="193" fillId="134" borderId="1" xfId="0" applyFont="1" applyFill="1" applyBorder="1" applyAlignment="1">
      <alignment horizontal="center"/>
    </xf>
    <xf numFmtId="184" fontId="42" fillId="134" borderId="2" xfId="2" applyNumberFormat="1" applyFont="1" applyFill="1" applyBorder="1" applyAlignment="1">
      <alignment horizontal="center"/>
    </xf>
    <xf numFmtId="0" fontId="42" fillId="134" borderId="0" xfId="0" applyFont="1" applyFill="1" applyBorder="1" applyAlignment="1">
      <alignment horizontal="left"/>
    </xf>
    <xf numFmtId="0" fontId="43" fillId="134" borderId="97" xfId="0" applyFont="1" applyFill="1" applyBorder="1" applyAlignment="1">
      <alignment horizontal="center"/>
    </xf>
    <xf numFmtId="0" fontId="43" fillId="134" borderId="98" xfId="0" applyFont="1" applyFill="1" applyBorder="1" applyAlignment="1">
      <alignment horizontal="center"/>
    </xf>
    <xf numFmtId="0" fontId="43" fillId="134" borderId="99" xfId="0" applyFont="1" applyFill="1" applyBorder="1" applyAlignment="1">
      <alignment horizontal="center"/>
    </xf>
    <xf numFmtId="0" fontId="43" fillId="134" borderId="1" xfId="0" applyFont="1" applyFill="1" applyBorder="1" applyAlignment="1">
      <alignment horizontal="center"/>
    </xf>
    <xf numFmtId="37" fontId="42" fillId="134" borderId="7" xfId="0" applyNumberFormat="1" applyFont="1" applyFill="1" applyBorder="1"/>
    <xf numFmtId="37" fontId="42" fillId="134" borderId="0" xfId="0" applyNumberFormat="1" applyFont="1" applyFill="1" applyBorder="1"/>
    <xf numFmtId="170" fontId="42" fillId="134" borderId="0" xfId="0" applyNumberFormat="1" applyFont="1" applyFill="1" applyBorder="1"/>
    <xf numFmtId="170" fontId="42" fillId="134" borderId="1" xfId="0" applyNumberFormat="1" applyFont="1" applyFill="1" applyBorder="1"/>
    <xf numFmtId="176" fontId="42" fillId="134" borderId="51" xfId="0" applyNumberFormat="1" applyFont="1" applyFill="1" applyBorder="1"/>
    <xf numFmtId="176" fontId="42" fillId="134" borderId="24" xfId="0" applyNumberFormat="1" applyFont="1" applyFill="1" applyBorder="1"/>
    <xf numFmtId="176" fontId="42" fillId="134" borderId="52" xfId="0" applyNumberFormat="1" applyFont="1" applyFill="1" applyBorder="1"/>
    <xf numFmtId="176" fontId="42" fillId="134" borderId="0" xfId="2" applyNumberFormat="1" applyFont="1" applyFill="1" applyBorder="1"/>
    <xf numFmtId="176" fontId="42" fillId="134" borderId="48" xfId="0" applyNumberFormat="1" applyFont="1" applyFill="1" applyBorder="1"/>
    <xf numFmtId="176" fontId="42" fillId="134" borderId="14" xfId="0" applyNumberFormat="1" applyFont="1" applyFill="1" applyBorder="1"/>
    <xf numFmtId="176" fontId="42" fillId="134" borderId="22" xfId="0" applyNumberFormat="1" applyFont="1" applyFill="1" applyBorder="1"/>
    <xf numFmtId="176" fontId="42" fillId="134" borderId="0" xfId="0" applyNumberFormat="1" applyFont="1" applyFill="1" applyBorder="1"/>
    <xf numFmtId="5" fontId="42" fillId="134" borderId="0" xfId="2" applyNumberFormat="1" applyFont="1" applyFill="1" applyBorder="1"/>
    <xf numFmtId="37" fontId="44" fillId="134" borderId="0" xfId="0" applyNumberFormat="1" applyFont="1" applyFill="1" applyBorder="1"/>
    <xf numFmtId="171" fontId="42" fillId="134" borderId="9" xfId="0" applyNumberFormat="1" applyFont="1" applyFill="1" applyBorder="1"/>
    <xf numFmtId="176" fontId="42" fillId="134" borderId="7" xfId="0" applyNumberFormat="1" applyFont="1" applyFill="1" applyBorder="1"/>
    <xf numFmtId="176" fontId="42" fillId="134" borderId="1" xfId="0" applyNumberFormat="1" applyFont="1" applyFill="1" applyBorder="1"/>
    <xf numFmtId="176" fontId="43" fillId="134" borderId="48" xfId="0" applyNumberFormat="1" applyFont="1" applyFill="1" applyBorder="1"/>
    <xf numFmtId="176" fontId="43" fillId="134" borderId="14" xfId="0" applyNumberFormat="1" applyFont="1" applyFill="1" applyBorder="1"/>
    <xf numFmtId="176" fontId="43" fillId="134" borderId="22" xfId="0" applyNumberFormat="1" applyFont="1" applyFill="1" applyBorder="1"/>
    <xf numFmtId="186" fontId="42" fillId="134" borderId="0" xfId="2" applyNumberFormat="1" applyFont="1" applyFill="1" applyBorder="1"/>
    <xf numFmtId="166" fontId="42" fillId="134" borderId="0" xfId="4" applyNumberFormat="1" applyFont="1" applyFill="1" applyBorder="1"/>
    <xf numFmtId="176" fontId="42" fillId="134" borderId="0" xfId="0" applyNumberFormat="1" applyFont="1" applyFill="1" applyBorder="1" applyAlignment="1"/>
    <xf numFmtId="176" fontId="42" fillId="134" borderId="14" xfId="0" applyNumberFormat="1" applyFont="1" applyFill="1" applyBorder="1" applyAlignment="1"/>
    <xf numFmtId="176" fontId="42" fillId="134" borderId="48" xfId="0" applyNumberFormat="1" applyFont="1" applyFill="1" applyBorder="1" applyAlignment="1"/>
    <xf numFmtId="176" fontId="42" fillId="134" borderId="22" xfId="0" applyNumberFormat="1" applyFont="1" applyFill="1" applyBorder="1" applyAlignment="1"/>
    <xf numFmtId="176" fontId="42" fillId="134" borderId="6" xfId="0" applyNumberFormat="1" applyFont="1" applyFill="1" applyBorder="1" applyAlignment="1"/>
    <xf numFmtId="176" fontId="42" fillId="134" borderId="12" xfId="0" applyNumberFormat="1" applyFont="1" applyFill="1" applyBorder="1" applyAlignment="1"/>
    <xf numFmtId="176" fontId="42" fillId="134" borderId="13" xfId="0" applyNumberFormat="1" applyFont="1" applyFill="1" applyBorder="1" applyAlignment="1"/>
    <xf numFmtId="37" fontId="42" fillId="134" borderId="0" xfId="0" applyNumberFormat="1" applyFont="1" applyFill="1"/>
    <xf numFmtId="176" fontId="43" fillId="134" borderId="0" xfId="0" applyNumberFormat="1" applyFont="1" applyFill="1" applyBorder="1"/>
    <xf numFmtId="14" fontId="43" fillId="134" borderId="7" xfId="0" applyNumberFormat="1" applyFont="1" applyFill="1" applyBorder="1" applyAlignment="1">
      <alignment horizontal="center"/>
    </xf>
    <xf numFmtId="14" fontId="43" fillId="134" borderId="0" xfId="0" applyNumberFormat="1" applyFont="1" applyFill="1" applyBorder="1" applyAlignment="1">
      <alignment horizontal="center"/>
    </xf>
    <xf numFmtId="14" fontId="43" fillId="134" borderId="1" xfId="0" applyNumberFormat="1" applyFont="1" applyFill="1" applyBorder="1" applyAlignment="1">
      <alignment horizontal="center"/>
    </xf>
    <xf numFmtId="14" fontId="42" fillId="134" borderId="7" xfId="5" applyNumberFormat="1" applyFont="1" applyFill="1" applyBorder="1" applyAlignment="1">
      <alignment horizontal="center"/>
    </xf>
    <xf numFmtId="166" fontId="42" fillId="134" borderId="6" xfId="5" applyNumberFormat="1" applyFont="1" applyFill="1" applyBorder="1" applyAlignment="1">
      <alignment horizontal="center"/>
    </xf>
    <xf numFmtId="166" fontId="42" fillId="134" borderId="12" xfId="5" applyNumberFormat="1" applyFont="1" applyFill="1" applyBorder="1" applyAlignment="1">
      <alignment horizontal="center"/>
    </xf>
    <xf numFmtId="0" fontId="43" fillId="134" borderId="17" xfId="0" applyFont="1" applyFill="1" applyBorder="1" applyAlignment="1">
      <alignment horizontal="right"/>
    </xf>
    <xf numFmtId="0" fontId="43" fillId="134" borderId="18" xfId="0" applyFont="1" applyFill="1" applyBorder="1" applyAlignment="1">
      <alignment horizontal="right"/>
    </xf>
    <xf numFmtId="0" fontId="43" fillId="134" borderId="21" xfId="0" applyFont="1" applyFill="1" applyBorder="1" applyAlignment="1">
      <alignment horizontal="right"/>
    </xf>
    <xf numFmtId="10" fontId="42" fillId="134" borderId="0" xfId="4" applyNumberFormat="1" applyFont="1" applyFill="1" applyBorder="1"/>
    <xf numFmtId="166" fontId="43" fillId="134" borderId="0" xfId="4" applyNumberFormat="1" applyFont="1" applyFill="1" applyBorder="1" applyAlignment="1">
      <alignment horizontal="center"/>
    </xf>
    <xf numFmtId="166" fontId="42" fillId="134" borderId="0" xfId="4" applyNumberFormat="1" applyFont="1" applyFill="1" applyBorder="1" applyAlignment="1">
      <alignment horizontal="center"/>
    </xf>
    <xf numFmtId="0" fontId="50" fillId="151" borderId="38" xfId="0" applyFont="1" applyFill="1" applyBorder="1" applyAlignment="1">
      <alignment horizontal="center" vertical="center" wrapText="1"/>
    </xf>
    <xf numFmtId="0" fontId="181" fillId="151" borderId="38" xfId="0" applyFont="1" applyFill="1" applyBorder="1" applyAlignment="1">
      <alignment horizontal="center" vertical="center" wrapText="1"/>
    </xf>
    <xf numFmtId="168" fontId="42" fillId="151" borderId="16" xfId="143" applyNumberFormat="1" applyFont="1" applyFill="1" applyBorder="1" applyAlignment="1">
      <alignment horizontal="center"/>
    </xf>
    <xf numFmtId="168" fontId="42" fillId="151" borderId="3" xfId="143" applyNumberFormat="1" applyFont="1" applyFill="1" applyBorder="1" applyAlignment="1">
      <alignment horizontal="center"/>
    </xf>
    <xf numFmtId="168" fontId="42" fillId="151" borderId="38" xfId="143" applyNumberFormat="1" applyFont="1" applyFill="1" applyBorder="1" applyAlignment="1">
      <alignment horizontal="center"/>
    </xf>
    <xf numFmtId="0" fontId="50" fillId="154" borderId="38" xfId="0" applyFont="1" applyFill="1" applyBorder="1" applyAlignment="1">
      <alignment horizontal="center" vertical="center" wrapText="1"/>
    </xf>
    <xf numFmtId="0" fontId="181" fillId="154" borderId="38" xfId="0" applyFont="1" applyFill="1" applyBorder="1" applyAlignment="1">
      <alignment horizontal="center" vertical="center" wrapText="1"/>
    </xf>
    <xf numFmtId="168" fontId="42" fillId="154" borderId="16" xfId="143" applyNumberFormat="1" applyFont="1" applyFill="1" applyBorder="1" applyAlignment="1">
      <alignment horizontal="center"/>
    </xf>
    <xf numFmtId="168" fontId="42" fillId="154" borderId="3" xfId="143" applyNumberFormat="1" applyFont="1" applyFill="1" applyBorder="1" applyAlignment="1">
      <alignment horizontal="center"/>
    </xf>
    <xf numFmtId="168" fontId="42" fillId="154" borderId="38" xfId="143" applyNumberFormat="1" applyFont="1" applyFill="1" applyBorder="1" applyAlignment="1">
      <alignment horizontal="center"/>
    </xf>
    <xf numFmtId="39" fontId="42" fillId="134" borderId="0" xfId="0" applyNumberFormat="1" applyFont="1" applyFill="1"/>
    <xf numFmtId="7" fontId="42" fillId="134" borderId="0" xfId="0" applyNumberFormat="1" applyFont="1" applyFill="1"/>
    <xf numFmtId="14" fontId="42" fillId="134" borderId="0" xfId="0" applyNumberFormat="1" applyFont="1" applyFill="1" applyAlignment="1">
      <alignment horizontal="center"/>
    </xf>
    <xf numFmtId="14" fontId="44" fillId="134" borderId="0" xfId="0" applyNumberFormat="1" applyFont="1" applyFill="1" applyAlignment="1">
      <alignment horizontal="center"/>
    </xf>
    <xf numFmtId="14" fontId="44" fillId="134" borderId="7" xfId="0" applyNumberFormat="1" applyFont="1" applyFill="1" applyBorder="1" applyAlignment="1">
      <alignment horizontal="center"/>
    </xf>
    <xf numFmtId="14" fontId="42" fillId="134" borderId="0" xfId="0" applyNumberFormat="1" applyFont="1" applyFill="1" applyBorder="1" applyAlignment="1">
      <alignment horizontal="center"/>
    </xf>
    <xf numFmtId="14" fontId="42" fillId="134" borderId="40" xfId="0" applyNumberFormat="1" applyFont="1" applyFill="1" applyBorder="1" applyAlignment="1">
      <alignment horizontal="center"/>
    </xf>
    <xf numFmtId="0" fontId="42" fillId="134" borderId="12" xfId="0" applyFont="1" applyFill="1" applyBorder="1" applyAlignment="1">
      <alignment horizontal="center"/>
    </xf>
    <xf numFmtId="0" fontId="42" fillId="134" borderId="97" xfId="0" applyFont="1" applyFill="1" applyBorder="1" applyAlignment="1">
      <alignment horizontal="center"/>
    </xf>
    <xf numFmtId="0" fontId="43" fillId="134" borderId="41" xfId="0" applyFont="1" applyFill="1" applyBorder="1" applyAlignment="1">
      <alignment horizontal="center"/>
    </xf>
    <xf numFmtId="0" fontId="43" fillId="134" borderId="18" xfId="0" applyFont="1" applyFill="1" applyBorder="1" applyAlignment="1">
      <alignment horizontal="center"/>
    </xf>
    <xf numFmtId="0" fontId="43" fillId="134" borderId="39" xfId="0" applyFont="1" applyFill="1" applyBorder="1" applyAlignment="1">
      <alignment horizontal="right"/>
    </xf>
    <xf numFmtId="0" fontId="43" fillId="134" borderId="42" xfId="0" applyFont="1" applyFill="1" applyBorder="1" applyAlignment="1">
      <alignment horizontal="center"/>
    </xf>
    <xf numFmtId="37" fontId="42" fillId="134" borderId="14" xfId="0" applyNumberFormat="1" applyFont="1" applyFill="1" applyBorder="1"/>
    <xf numFmtId="171" fontId="42" fillId="134" borderId="14" xfId="0" applyNumberFormat="1" applyFont="1" applyFill="1" applyBorder="1" applyAlignment="1">
      <alignment horizontal="center"/>
    </xf>
    <xf numFmtId="170" fontId="42" fillId="134" borderId="14" xfId="0" applyNumberFormat="1" applyFont="1" applyFill="1" applyBorder="1"/>
    <xf numFmtId="7" fontId="42" fillId="134" borderId="14" xfId="0" applyNumberFormat="1" applyFont="1" applyFill="1" applyBorder="1"/>
    <xf numFmtId="168" fontId="42" fillId="134" borderId="48" xfId="0" applyNumberFormat="1" applyFont="1" applyFill="1" applyBorder="1"/>
    <xf numFmtId="166" fontId="42" fillId="134" borderId="42" xfId="4" applyNumberFormat="1" applyFont="1" applyFill="1" applyBorder="1"/>
    <xf numFmtId="166" fontId="42" fillId="134" borderId="0" xfId="0" applyNumberFormat="1" applyFont="1" applyFill="1" applyBorder="1"/>
    <xf numFmtId="37" fontId="42" fillId="134" borderId="0" xfId="0" applyNumberFormat="1" applyFont="1" applyFill="1" applyBorder="1" applyAlignment="1">
      <alignment horizontal="center"/>
    </xf>
    <xf numFmtId="7" fontId="42" fillId="134" borderId="0" xfId="0" applyNumberFormat="1" applyFont="1" applyFill="1" applyBorder="1"/>
    <xf numFmtId="168" fontId="42" fillId="134" borderId="7" xfId="0" applyNumberFormat="1" applyFont="1" applyFill="1" applyBorder="1"/>
    <xf numFmtId="166" fontId="42" fillId="134" borderId="40" xfId="4" applyNumberFormat="1" applyFont="1" applyFill="1" applyBorder="1"/>
    <xf numFmtId="37" fontId="43" fillId="134" borderId="14" xfId="0" applyNumberFormat="1" applyFont="1" applyFill="1" applyBorder="1"/>
    <xf numFmtId="37" fontId="43" fillId="134" borderId="14" xfId="0" applyNumberFormat="1" applyFont="1" applyFill="1" applyBorder="1" applyAlignment="1">
      <alignment horizontal="center"/>
    </xf>
    <xf numFmtId="170" fontId="43" fillId="134" borderId="14" xfId="0" applyNumberFormat="1" applyFont="1" applyFill="1" applyBorder="1"/>
    <xf numFmtId="168" fontId="43" fillId="134" borderId="14" xfId="0" applyNumberFormat="1" applyFont="1" applyFill="1" applyBorder="1"/>
    <xf numFmtId="7" fontId="43" fillId="134" borderId="14" xfId="0" applyNumberFormat="1" applyFont="1" applyFill="1" applyBorder="1"/>
    <xf numFmtId="7" fontId="43" fillId="134" borderId="48" xfId="0" applyNumberFormat="1" applyFont="1" applyFill="1" applyBorder="1"/>
    <xf numFmtId="168" fontId="43" fillId="134" borderId="48" xfId="0" applyNumberFormat="1" applyFont="1" applyFill="1" applyBorder="1"/>
    <xf numFmtId="166" fontId="43" fillId="134" borderId="42" xfId="4" applyNumberFormat="1" applyFont="1" applyFill="1" applyBorder="1"/>
    <xf numFmtId="170" fontId="43" fillId="134" borderId="0" xfId="0" applyNumberFormat="1" applyFont="1" applyFill="1" applyBorder="1"/>
    <xf numFmtId="37" fontId="42" fillId="134" borderId="0" xfId="0" applyNumberFormat="1" applyFont="1" applyFill="1" applyBorder="1" applyAlignment="1"/>
    <xf numFmtId="170" fontId="42" fillId="134" borderId="0" xfId="0" applyNumberFormat="1" applyFont="1" applyFill="1" applyBorder="1" applyAlignment="1"/>
    <xf numFmtId="168" fontId="42" fillId="134" borderId="0" xfId="0" applyNumberFormat="1" applyFont="1" applyFill="1" applyBorder="1" applyAlignment="1"/>
    <xf numFmtId="168" fontId="42" fillId="134" borderId="7" xfId="0" applyNumberFormat="1" applyFont="1" applyFill="1" applyBorder="1" applyAlignment="1"/>
    <xf numFmtId="168" fontId="43" fillId="134" borderId="7" xfId="0" applyNumberFormat="1" applyFont="1" applyFill="1" applyBorder="1"/>
    <xf numFmtId="37" fontId="42" fillId="134" borderId="27" xfId="0" applyNumberFormat="1" applyFont="1" applyFill="1" applyBorder="1" applyAlignment="1"/>
    <xf numFmtId="171" fontId="42" fillId="134" borderId="27" xfId="0" applyNumberFormat="1" applyFont="1" applyFill="1" applyBorder="1" applyAlignment="1">
      <alignment horizontal="center"/>
    </xf>
    <xf numFmtId="170" fontId="42" fillId="134" borderId="27" xfId="0" applyNumberFormat="1" applyFont="1" applyFill="1" applyBorder="1" applyAlignment="1"/>
    <xf numFmtId="168" fontId="42" fillId="134" borderId="27" xfId="0" applyNumberFormat="1" applyFont="1" applyFill="1" applyBorder="1" applyAlignment="1"/>
    <xf numFmtId="168" fontId="42" fillId="134" borderId="44" xfId="0" applyNumberFormat="1" applyFont="1" applyFill="1" applyBorder="1" applyAlignment="1"/>
    <xf numFmtId="166" fontId="42" fillId="134" borderId="43" xfId="4" applyNumberFormat="1" applyFont="1" applyFill="1" applyBorder="1"/>
    <xf numFmtId="168" fontId="42" fillId="134" borderId="44" xfId="0" applyNumberFormat="1" applyFont="1" applyFill="1" applyBorder="1"/>
    <xf numFmtId="168" fontId="42" fillId="134" borderId="48" xfId="0" applyNumberFormat="1" applyFont="1" applyFill="1" applyBorder="1" applyAlignment="1"/>
    <xf numFmtId="170" fontId="42" fillId="134" borderId="14" xfId="0" applyNumberFormat="1" applyFont="1" applyFill="1" applyBorder="1" applyAlignment="1"/>
    <xf numFmtId="39" fontId="42" fillId="134" borderId="98" xfId="0" applyNumberFormat="1" applyFont="1" applyFill="1" applyBorder="1"/>
    <xf numFmtId="39" fontId="42" fillId="134" borderId="97" xfId="0" applyNumberFormat="1" applyFont="1" applyFill="1" applyBorder="1"/>
    <xf numFmtId="171" fontId="42" fillId="134" borderId="98" xfId="0" applyNumberFormat="1" applyFont="1" applyFill="1" applyBorder="1" applyAlignment="1"/>
    <xf numFmtId="39" fontId="42" fillId="134" borderId="41" xfId="0" applyNumberFormat="1" applyFont="1" applyFill="1" applyBorder="1"/>
    <xf numFmtId="39" fontId="42" fillId="134" borderId="0" xfId="0" applyNumberFormat="1" applyFont="1" applyFill="1" applyBorder="1"/>
    <xf numFmtId="0" fontId="69" fillId="134" borderId="0" xfId="0" applyFont="1" applyFill="1" applyAlignment="1"/>
    <xf numFmtId="0" fontId="43" fillId="134" borderId="0" xfId="0" applyFont="1" applyFill="1" applyBorder="1" applyAlignment="1">
      <alignment horizontal="centerContinuous"/>
    </xf>
    <xf numFmtId="7" fontId="43" fillId="134" borderId="0" xfId="0" applyNumberFormat="1" applyFont="1" applyFill="1" applyBorder="1" applyAlignment="1">
      <alignment horizontal="center"/>
    </xf>
    <xf numFmtId="7" fontId="43" fillId="134" borderId="7" xfId="0" applyNumberFormat="1" applyFont="1" applyFill="1" applyBorder="1" applyAlignment="1">
      <alignment horizontal="center"/>
    </xf>
    <xf numFmtId="7" fontId="43" fillId="134" borderId="1" xfId="0" applyNumberFormat="1" applyFont="1" applyFill="1" applyBorder="1" applyAlignment="1">
      <alignment horizontal="center"/>
    </xf>
    <xf numFmtId="0" fontId="43" fillId="134" borderId="4" xfId="0" applyFont="1" applyFill="1" applyBorder="1" applyAlignment="1">
      <alignment horizontal="right"/>
    </xf>
    <xf numFmtId="0" fontId="43" fillId="134" borderId="14" xfId="0" applyFont="1" applyFill="1" applyBorder="1" applyAlignment="1">
      <alignment horizontal="right"/>
    </xf>
    <xf numFmtId="0" fontId="42" fillId="134" borderId="4" xfId="0" applyFont="1" applyFill="1" applyBorder="1"/>
    <xf numFmtId="0" fontId="42" fillId="134" borderId="8" xfId="0" applyFont="1" applyFill="1" applyBorder="1"/>
    <xf numFmtId="37" fontId="43" fillId="134" borderId="0" xfId="0" applyNumberFormat="1" applyFont="1" applyFill="1" applyBorder="1" applyAlignment="1" applyProtection="1">
      <alignment wrapText="1"/>
    </xf>
    <xf numFmtId="37" fontId="43" fillId="134" borderId="0" xfId="0" applyNumberFormat="1" applyFont="1" applyFill="1" applyAlignment="1" applyProtection="1">
      <alignment wrapText="1"/>
    </xf>
    <xf numFmtId="0" fontId="43" fillId="134" borderId="0" xfId="0" applyFont="1" applyFill="1" applyBorder="1" applyAlignment="1">
      <alignment wrapText="1"/>
    </xf>
    <xf numFmtId="0" fontId="192" fillId="134" borderId="0" xfId="0" applyFont="1" applyFill="1" applyBorder="1" applyAlignment="1">
      <alignment horizontal="left"/>
    </xf>
    <xf numFmtId="171" fontId="200" fillId="134" borderId="7" xfId="0" applyNumberFormat="1" applyFont="1" applyFill="1" applyBorder="1" applyAlignment="1">
      <alignment horizontal="center" vertical="center"/>
    </xf>
    <xf numFmtId="171" fontId="200" fillId="134" borderId="0" xfId="0" applyNumberFormat="1" applyFont="1" applyFill="1" applyBorder="1" applyAlignment="1">
      <alignment horizontal="center" vertical="center"/>
    </xf>
    <xf numFmtId="0" fontId="200" fillId="134" borderId="7" xfId="0" applyFont="1" applyFill="1" applyBorder="1" applyAlignment="1">
      <alignment horizontal="center" vertical="center"/>
    </xf>
    <xf numFmtId="0" fontId="200" fillId="134" borderId="12" xfId="0" applyFont="1" applyFill="1" applyBorder="1" applyAlignment="1">
      <alignment horizontal="center" vertical="center"/>
    </xf>
    <xf numFmtId="0" fontId="200" fillId="134" borderId="97" xfId="0" applyFont="1" applyFill="1" applyBorder="1" applyAlignment="1">
      <alignment horizontal="center" vertical="center"/>
    </xf>
    <xf numFmtId="43" fontId="43" fillId="134" borderId="0" xfId="1" applyFont="1" applyFill="1" applyBorder="1" applyAlignment="1">
      <alignment horizontal="center"/>
    </xf>
    <xf numFmtId="0" fontId="42" fillId="134" borderId="7" xfId="0" applyFont="1" applyFill="1" applyBorder="1" applyAlignment="1">
      <alignment horizontal="center"/>
    </xf>
    <xf numFmtId="0" fontId="44" fillId="134" borderId="1" xfId="0" applyFont="1" applyFill="1" applyBorder="1" applyAlignment="1">
      <alignment horizontal="center"/>
    </xf>
    <xf numFmtId="0" fontId="44" fillId="134" borderId="0" xfId="0" applyFont="1" applyFill="1" applyBorder="1" applyAlignment="1">
      <alignment horizontal="center"/>
    </xf>
    <xf numFmtId="0" fontId="42" fillId="134" borderId="6" xfId="0" applyFont="1" applyFill="1" applyBorder="1" applyAlignment="1">
      <alignment horizontal="center"/>
    </xf>
    <xf numFmtId="0" fontId="44" fillId="134" borderId="13" xfId="0" applyFont="1" applyFill="1" applyBorder="1" applyAlignment="1">
      <alignment horizontal="center"/>
    </xf>
    <xf numFmtId="0" fontId="44" fillId="134" borderId="12" xfId="0" applyFont="1" applyFill="1" applyBorder="1" applyAlignment="1">
      <alignment horizontal="center"/>
    </xf>
    <xf numFmtId="0" fontId="45" fillId="134" borderId="0" xfId="0" applyFont="1" applyFill="1"/>
    <xf numFmtId="0" fontId="45" fillId="134" borderId="0" xfId="0" applyFont="1" applyFill="1" applyAlignment="1">
      <alignment horizontal="center"/>
    </xf>
    <xf numFmtId="184" fontId="45" fillId="134" borderId="0" xfId="0" applyNumberFormat="1" applyFont="1" applyFill="1"/>
    <xf numFmtId="37" fontId="45" fillId="134" borderId="0" xfId="0" applyNumberFormat="1" applyFont="1" applyFill="1"/>
    <xf numFmtId="10" fontId="42" fillId="134" borderId="0" xfId="4" applyNumberFormat="1" applyFont="1" applyFill="1"/>
    <xf numFmtId="184" fontId="42" fillId="134" borderId="0" xfId="0" applyNumberFormat="1" applyFont="1" applyFill="1"/>
    <xf numFmtId="0" fontId="208" fillId="134" borderId="0" xfId="0" applyFont="1" applyFill="1" applyBorder="1"/>
    <xf numFmtId="172" fontId="42" fillId="134" borderId="0" xfId="0" applyNumberFormat="1" applyFont="1" applyFill="1"/>
    <xf numFmtId="10" fontId="45" fillId="134" borderId="0" xfId="4" applyNumberFormat="1" applyFont="1" applyFill="1" applyAlignment="1">
      <alignment horizontal="center"/>
    </xf>
    <xf numFmtId="0" fontId="209" fillId="134" borderId="0" xfId="0" applyFont="1" applyFill="1" applyBorder="1"/>
    <xf numFmtId="0" fontId="209" fillId="134" borderId="0" xfId="0" applyFont="1" applyFill="1"/>
    <xf numFmtId="0" fontId="43" fillId="134" borderId="0" xfId="0" quotePrefix="1" applyFont="1" applyFill="1" applyAlignment="1">
      <alignment horizontal="center"/>
    </xf>
    <xf numFmtId="14" fontId="42" fillId="134" borderId="0" xfId="0" quotePrefix="1" applyNumberFormat="1" applyFont="1" applyFill="1" applyAlignment="1">
      <alignment horizontal="center"/>
    </xf>
    <xf numFmtId="0" fontId="44" fillId="134" borderId="0" xfId="0" applyFont="1" applyFill="1" applyAlignment="1">
      <alignment horizontal="center"/>
    </xf>
    <xf numFmtId="37" fontId="44" fillId="134" borderId="33" xfId="0" applyNumberFormat="1" applyFont="1" applyFill="1" applyBorder="1"/>
    <xf numFmtId="0" fontId="42" fillId="134" borderId="34" xfId="0" applyFont="1" applyFill="1" applyBorder="1"/>
    <xf numFmtId="171" fontId="42" fillId="134" borderId="35" xfId="0" applyNumberFormat="1" applyFont="1" applyFill="1" applyBorder="1"/>
    <xf numFmtId="0" fontId="42" fillId="134" borderId="0" xfId="1" applyNumberFormat="1" applyFont="1" applyFill="1" applyAlignment="1">
      <alignment horizontal="center"/>
    </xf>
    <xf numFmtId="169" fontId="42" fillId="134" borderId="36" xfId="51236" applyNumberFormat="1" applyFont="1" applyFill="1" applyBorder="1" applyAlignment="1">
      <alignment horizontal="center"/>
    </xf>
    <xf numFmtId="0" fontId="42" fillId="134" borderId="29" xfId="0" applyFont="1" applyFill="1" applyBorder="1" applyAlignment="1">
      <alignment horizontal="left"/>
    </xf>
    <xf numFmtId="171" fontId="42" fillId="134" borderId="37" xfId="0" applyNumberFormat="1" applyFont="1" applyFill="1" applyBorder="1" applyAlignment="1">
      <alignment horizontal="left"/>
    </xf>
    <xf numFmtId="0" fontId="42" fillId="134" borderId="12" xfId="1" applyNumberFormat="1" applyFont="1" applyFill="1" applyBorder="1" applyAlignment="1">
      <alignment horizontal="center"/>
    </xf>
    <xf numFmtId="0" fontId="43" fillId="134" borderId="12" xfId="1" applyNumberFormat="1" applyFont="1" applyFill="1" applyBorder="1" applyAlignment="1">
      <alignment horizontal="center"/>
    </xf>
    <xf numFmtId="37" fontId="43" fillId="134" borderId="23" xfId="0" applyNumberFormat="1" applyFont="1" applyFill="1" applyBorder="1"/>
    <xf numFmtId="171" fontId="42" fillId="134" borderId="25" xfId="0" applyNumberFormat="1" applyFont="1" applyFill="1" applyBorder="1"/>
    <xf numFmtId="0" fontId="43" fillId="134" borderId="19" xfId="0" applyFont="1" applyFill="1" applyBorder="1" applyAlignment="1">
      <alignment wrapText="1"/>
    </xf>
    <xf numFmtId="0" fontId="43" fillId="153" borderId="2" xfId="0" applyFont="1" applyFill="1" applyBorder="1" applyAlignment="1">
      <alignment horizontal="right"/>
    </xf>
    <xf numFmtId="185" fontId="43" fillId="134" borderId="0" xfId="101" applyFont="1" applyFill="1" applyBorder="1" applyAlignment="1">
      <alignment horizontal="center"/>
    </xf>
    <xf numFmtId="185" fontId="43" fillId="134" borderId="8" xfId="101" applyFont="1" applyFill="1" applyBorder="1" applyAlignment="1">
      <alignment horizontal="center"/>
    </xf>
    <xf numFmtId="0" fontId="43" fillId="153" borderId="16" xfId="0" applyFont="1" applyFill="1" applyBorder="1" applyAlignment="1">
      <alignment horizontal="center"/>
    </xf>
    <xf numFmtId="0" fontId="43" fillId="134" borderId="5" xfId="0" applyFont="1" applyFill="1" applyBorder="1" applyAlignment="1">
      <alignment horizontal="center"/>
    </xf>
    <xf numFmtId="185" fontId="43" fillId="134" borderId="14" xfId="101" applyFont="1" applyFill="1" applyBorder="1" applyAlignment="1">
      <alignment horizontal="center"/>
    </xf>
    <xf numFmtId="185" fontId="43" fillId="134" borderId="11" xfId="101" applyFont="1" applyFill="1" applyBorder="1" applyAlignment="1">
      <alignment horizontal="center"/>
    </xf>
    <xf numFmtId="171" fontId="42" fillId="153" borderId="16" xfId="0" applyNumberFormat="1" applyFont="1" applyFill="1" applyBorder="1"/>
    <xf numFmtId="172" fontId="42" fillId="134" borderId="14" xfId="0" applyNumberFormat="1" applyFont="1" applyFill="1" applyBorder="1"/>
    <xf numFmtId="170" fontId="45" fillId="134" borderId="5" xfId="0" applyNumberFormat="1" applyFont="1" applyFill="1" applyBorder="1" applyAlignment="1">
      <alignment horizontal="center"/>
    </xf>
    <xf numFmtId="5" fontId="42" fillId="134" borderId="14" xfId="0" applyNumberFormat="1" applyFont="1" applyFill="1" applyBorder="1"/>
    <xf numFmtId="167" fontId="42" fillId="134" borderId="14" xfId="1" applyNumberFormat="1" applyFont="1" applyFill="1" applyBorder="1"/>
    <xf numFmtId="184" fontId="42" fillId="134" borderId="14" xfId="2" applyNumberFormat="1" applyFont="1" applyFill="1" applyBorder="1"/>
    <xf numFmtId="44" fontId="42" fillId="134" borderId="14" xfId="2" applyFont="1" applyFill="1" applyBorder="1"/>
    <xf numFmtId="168" fontId="42" fillId="134" borderId="14" xfId="56362" applyNumberFormat="1" applyFont="1" applyFill="1" applyBorder="1"/>
    <xf numFmtId="168" fontId="42" fillId="134" borderId="11" xfId="56362" applyNumberFormat="1" applyFont="1" applyFill="1" applyBorder="1"/>
    <xf numFmtId="168" fontId="42" fillId="134" borderId="0" xfId="56362" applyNumberFormat="1" applyFont="1" applyFill="1" applyBorder="1"/>
    <xf numFmtId="167" fontId="42" fillId="134" borderId="9" xfId="1" applyNumberFormat="1" applyFont="1" applyFill="1" applyBorder="1"/>
    <xf numFmtId="172" fontId="42" fillId="134" borderId="0" xfId="0" applyNumberFormat="1" applyFont="1" applyFill="1" applyBorder="1"/>
    <xf numFmtId="184" fontId="42" fillId="134" borderId="0" xfId="2" applyNumberFormat="1" applyFont="1" applyFill="1" applyBorder="1"/>
    <xf numFmtId="171" fontId="42" fillId="153" borderId="3" xfId="0" applyNumberFormat="1" applyFont="1" applyFill="1" applyBorder="1"/>
    <xf numFmtId="170" fontId="45" fillId="134" borderId="4" xfId="0" applyNumberFormat="1" applyFont="1" applyFill="1" applyBorder="1" applyAlignment="1">
      <alignment horizontal="center"/>
    </xf>
    <xf numFmtId="5" fontId="42" fillId="134" borderId="0" xfId="3" applyNumberFormat="1" applyFont="1" applyFill="1" applyBorder="1"/>
    <xf numFmtId="168" fontId="42" fillId="134" borderId="8" xfId="56362" applyNumberFormat="1" applyFont="1" applyFill="1" applyBorder="1"/>
    <xf numFmtId="167" fontId="42" fillId="134" borderId="0" xfId="1" applyNumberFormat="1" applyFont="1" applyFill="1" applyBorder="1"/>
    <xf numFmtId="5" fontId="42" fillId="134" borderId="0" xfId="3" quotePrefix="1" applyNumberFormat="1" applyFont="1" applyFill="1" applyBorder="1"/>
    <xf numFmtId="172" fontId="42" fillId="134" borderId="0" xfId="0" applyNumberFormat="1" applyFont="1" applyFill="1" applyBorder="1" applyAlignment="1"/>
    <xf numFmtId="171" fontId="42" fillId="153" borderId="3" xfId="0" applyNumberFormat="1" applyFont="1" applyFill="1" applyBorder="1" applyAlignment="1"/>
    <xf numFmtId="172" fontId="42" fillId="134" borderId="14" xfId="0" applyNumberFormat="1" applyFont="1" applyFill="1" applyBorder="1" applyAlignment="1"/>
    <xf numFmtId="171" fontId="42" fillId="153" borderId="16" xfId="0" applyNumberFormat="1" applyFont="1" applyFill="1" applyBorder="1" applyAlignment="1"/>
    <xf numFmtId="172" fontId="42" fillId="134" borderId="27" xfId="0" applyNumberFormat="1" applyFont="1" applyFill="1" applyBorder="1" applyAlignment="1"/>
    <xf numFmtId="171" fontId="42" fillId="153" borderId="38" xfId="0" applyNumberFormat="1" applyFont="1" applyFill="1" applyBorder="1" applyAlignment="1"/>
    <xf numFmtId="170" fontId="45" fillId="134" borderId="26" xfId="0" applyNumberFormat="1" applyFont="1" applyFill="1" applyBorder="1" applyAlignment="1">
      <alignment horizontal="center"/>
    </xf>
    <xf numFmtId="172" fontId="45" fillId="134" borderId="0" xfId="0" applyNumberFormat="1" applyFont="1" applyFill="1"/>
    <xf numFmtId="173" fontId="45" fillId="134" borderId="0" xfId="0" applyNumberFormat="1" applyFont="1" applyFill="1"/>
    <xf numFmtId="170" fontId="45" fillId="134" borderId="0" xfId="0" applyNumberFormat="1" applyFont="1" applyFill="1" applyAlignment="1">
      <alignment horizontal="center"/>
    </xf>
    <xf numFmtId="37" fontId="42" fillId="134" borderId="0" xfId="101" applyNumberFormat="1" applyFont="1" applyFill="1"/>
    <xf numFmtId="176" fontId="45" fillId="134" borderId="0" xfId="0" applyNumberFormat="1" applyFont="1" applyFill="1"/>
    <xf numFmtId="170" fontId="42" fillId="134" borderId="0" xfId="0" applyNumberFormat="1" applyFont="1" applyFill="1"/>
    <xf numFmtId="170" fontId="42" fillId="134" borderId="0" xfId="0" quotePrefix="1" applyNumberFormat="1" applyFont="1" applyFill="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171" fontId="42" fillId="134" borderId="0" xfId="0" applyNumberFormat="1" applyFont="1" applyFill="1" applyBorder="1" applyAlignment="1">
      <alignment horizontal="center"/>
    </xf>
    <xf numFmtId="0" fontId="43" fillId="134" borderId="4" xfId="0" applyFont="1" applyFill="1" applyBorder="1" applyAlignment="1">
      <alignment horizontal="center"/>
    </xf>
    <xf numFmtId="171" fontId="42" fillId="134" borderId="8" xfId="0" applyNumberFormat="1" applyFont="1" applyFill="1" applyBorder="1" applyAlignment="1">
      <alignment horizontal="center"/>
    </xf>
    <xf numFmtId="171" fontId="43" fillId="134" borderId="11" xfId="0" applyNumberFormat="1" applyFont="1" applyFill="1" applyBorder="1" applyAlignment="1">
      <alignment horizontal="center"/>
    </xf>
    <xf numFmtId="0" fontId="43" fillId="134" borderId="27" xfId="0" applyFont="1" applyFill="1" applyBorder="1" applyAlignment="1">
      <alignment horizontal="center"/>
    </xf>
    <xf numFmtId="185" fontId="42" fillId="134" borderId="0" xfId="101" applyFont="1" applyFill="1"/>
    <xf numFmtId="185" fontId="45" fillId="134" borderId="0" xfId="101" applyFont="1" applyFill="1"/>
    <xf numFmtId="185" fontId="187" fillId="134" borderId="0" xfId="101" applyFont="1" applyFill="1" applyBorder="1"/>
    <xf numFmtId="4" fontId="45" fillId="134" borderId="0" xfId="101" applyNumberFormat="1" applyFont="1" applyFill="1" applyBorder="1"/>
    <xf numFmtId="185" fontId="42" fillId="134" borderId="0" xfId="101" applyFont="1" applyFill="1" applyBorder="1"/>
    <xf numFmtId="4" fontId="42" fillId="134" borderId="0" xfId="101" applyNumberFormat="1" applyFont="1" applyFill="1" applyBorder="1"/>
    <xf numFmtId="167" fontId="42" fillId="134" borderId="0" xfId="56361" applyNumberFormat="1" applyFont="1" applyFill="1" applyBorder="1"/>
    <xf numFmtId="0" fontId="42" fillId="134" borderId="0" xfId="39305" applyNumberFormat="1" applyFont="1" applyFill="1" applyBorder="1"/>
    <xf numFmtId="185" fontId="45" fillId="134" borderId="0" xfId="101" applyFont="1" applyFill="1" applyBorder="1"/>
    <xf numFmtId="242" fontId="42" fillId="134" borderId="0" xfId="101" applyNumberFormat="1" applyFont="1" applyFill="1" applyBorder="1"/>
    <xf numFmtId="185" fontId="42" fillId="134" borderId="0" xfId="101" quotePrefix="1" applyFont="1" applyFill="1" applyBorder="1"/>
    <xf numFmtId="3" fontId="42" fillId="134" borderId="0" xfId="101" applyNumberFormat="1" applyFont="1" applyFill="1" applyBorder="1"/>
    <xf numFmtId="185" fontId="45" fillId="134" borderId="0" xfId="101" applyFont="1" applyFill="1" applyBorder="1" applyAlignment="1">
      <alignment horizontal="center"/>
    </xf>
    <xf numFmtId="37" fontId="210" fillId="134" borderId="0" xfId="101" applyNumberFormat="1" applyFont="1" applyFill="1" applyBorder="1"/>
    <xf numFmtId="185" fontId="43" fillId="134" borderId="0" xfId="101" applyFont="1" applyFill="1" applyAlignment="1">
      <alignment horizontal="center"/>
    </xf>
    <xf numFmtId="185" fontId="188" fillId="134" borderId="0" xfId="101" applyFont="1" applyFill="1" applyBorder="1"/>
    <xf numFmtId="171" fontId="42" fillId="134" borderId="0" xfId="0" applyNumberFormat="1" applyFont="1" applyFill="1" applyAlignment="1">
      <alignment horizontal="center"/>
    </xf>
    <xf numFmtId="185" fontId="43" fillId="134" borderId="0" xfId="101" applyFont="1" applyFill="1" applyBorder="1" applyAlignment="1">
      <alignment horizontal="left"/>
    </xf>
    <xf numFmtId="37" fontId="42" fillId="134" borderId="36" xfId="101" applyNumberFormat="1" applyFont="1" applyFill="1" applyBorder="1"/>
    <xf numFmtId="185" fontId="42" fillId="134" borderId="29" xfId="101" applyFont="1" applyFill="1" applyBorder="1"/>
    <xf numFmtId="185" fontId="42" fillId="134" borderId="37" xfId="101" applyFont="1" applyFill="1" applyBorder="1"/>
    <xf numFmtId="37" fontId="42" fillId="134" borderId="29" xfId="101" applyNumberFormat="1" applyFont="1" applyFill="1" applyBorder="1"/>
    <xf numFmtId="169" fontId="42" fillId="134" borderId="29" xfId="51236" applyNumberFormat="1" applyFont="1" applyFill="1" applyBorder="1" applyAlignment="1">
      <alignment horizontal="center"/>
    </xf>
    <xf numFmtId="37" fontId="43" fillId="134" borderId="36" xfId="101" applyNumberFormat="1" applyFont="1" applyFill="1" applyBorder="1"/>
    <xf numFmtId="37" fontId="42" fillId="134" borderId="37" xfId="101" applyNumberFormat="1" applyFont="1" applyFill="1" applyBorder="1"/>
    <xf numFmtId="37" fontId="43" fillId="134" borderId="29" xfId="101" applyNumberFormat="1" applyFont="1" applyFill="1" applyBorder="1"/>
    <xf numFmtId="185" fontId="43" fillId="134" borderId="0" xfId="101" applyFont="1" applyFill="1" applyBorder="1" applyAlignment="1">
      <alignment horizontal="right"/>
    </xf>
    <xf numFmtId="37" fontId="42" fillId="134" borderId="0" xfId="101" applyNumberFormat="1" applyFont="1" applyFill="1" applyBorder="1"/>
    <xf numFmtId="185" fontId="43" fillId="134" borderId="4" xfId="101" applyFont="1" applyFill="1" applyBorder="1" applyAlignment="1">
      <alignment horizontal="center"/>
    </xf>
    <xf numFmtId="185" fontId="43" fillId="134" borderId="5" xfId="101" applyFont="1" applyFill="1" applyBorder="1" applyAlignment="1">
      <alignment horizontal="center"/>
    </xf>
    <xf numFmtId="170" fontId="45" fillId="134" borderId="26" xfId="101" applyNumberFormat="1" applyFont="1" applyFill="1" applyBorder="1" applyAlignment="1">
      <alignment horizontal="center"/>
    </xf>
    <xf numFmtId="37" fontId="42" fillId="134" borderId="14" xfId="101" applyNumberFormat="1" applyFont="1" applyFill="1" applyBorder="1"/>
    <xf numFmtId="170" fontId="45" fillId="134" borderId="27" xfId="101" applyNumberFormat="1" applyFont="1" applyFill="1" applyBorder="1" applyAlignment="1">
      <alignment horizontal="center"/>
    </xf>
    <xf numFmtId="170" fontId="45" fillId="134" borderId="5" xfId="101" applyNumberFormat="1" applyFont="1" applyFill="1" applyBorder="1" applyAlignment="1">
      <alignment horizontal="center"/>
    </xf>
    <xf numFmtId="170" fontId="45" fillId="134" borderId="14" xfId="101" applyNumberFormat="1" applyFont="1" applyFill="1" applyBorder="1" applyAlignment="1">
      <alignment horizontal="center"/>
    </xf>
    <xf numFmtId="170" fontId="45" fillId="134" borderId="4" xfId="101" applyNumberFormat="1" applyFont="1" applyFill="1" applyBorder="1" applyAlignment="1">
      <alignment horizontal="center"/>
    </xf>
    <xf numFmtId="170" fontId="45" fillId="134" borderId="0" xfId="101" applyNumberFormat="1" applyFont="1" applyFill="1" applyBorder="1" applyAlignment="1">
      <alignment horizontal="center"/>
    </xf>
    <xf numFmtId="37" fontId="42" fillId="134" borderId="27" xfId="0" applyNumberFormat="1" applyFont="1" applyFill="1" applyBorder="1"/>
    <xf numFmtId="37" fontId="45" fillId="134" borderId="0" xfId="101" applyNumberFormat="1" applyFont="1" applyFill="1"/>
    <xf numFmtId="0" fontId="185" fillId="134" borderId="14" xfId="0" applyFont="1" applyFill="1" applyBorder="1" applyAlignment="1">
      <alignment horizontal="center" vertical="center"/>
    </xf>
    <xf numFmtId="172" fontId="211" fillId="134" borderId="18" xfId="0" applyNumberFormat="1" applyFont="1" applyFill="1" applyBorder="1" applyAlignment="1">
      <alignment horizontal="center"/>
    </xf>
    <xf numFmtId="170" fontId="42" fillId="0" borderId="0" xfId="0" applyNumberFormat="1" applyFont="1" applyFill="1" applyBorder="1" applyAlignment="1"/>
    <xf numFmtId="171" fontId="43" fillId="134" borderId="0" xfId="0" applyNumberFormat="1" applyFont="1" applyFill="1"/>
    <xf numFmtId="0" fontId="195" fillId="134" borderId="0" xfId="0" applyFont="1" applyFill="1" applyBorder="1" applyAlignment="1">
      <alignment horizontal="center"/>
    </xf>
    <xf numFmtId="37" fontId="194" fillId="134" borderId="18" xfId="0" applyNumberFormat="1" applyFont="1" applyFill="1" applyBorder="1" applyAlignment="1">
      <alignment horizontal="center"/>
    </xf>
    <xf numFmtId="0" fontId="43" fillId="134" borderId="40" xfId="0" applyFont="1" applyFill="1" applyBorder="1" applyAlignment="1">
      <alignment horizontal="center"/>
    </xf>
    <xf numFmtId="0" fontId="42" fillId="134" borderId="0" xfId="1" applyNumberFormat="1" applyFont="1" applyFill="1" applyBorder="1" applyAlignment="1">
      <alignment horizontal="center"/>
    </xf>
    <xf numFmtId="0" fontId="43" fillId="134" borderId="102" xfId="0" applyFont="1" applyFill="1" applyBorder="1" applyAlignment="1">
      <alignment horizontal="center"/>
    </xf>
    <xf numFmtId="0" fontId="42" fillId="134" borderId="0" xfId="0" applyFont="1" applyFill="1" applyAlignment="1">
      <alignment vertical="top"/>
    </xf>
    <xf numFmtId="0" fontId="43" fillId="134" borderId="0" xfId="0" applyFont="1" applyFill="1" applyAlignment="1">
      <alignment vertical="top"/>
    </xf>
    <xf numFmtId="0" fontId="195" fillId="134" borderId="91" xfId="0" applyFont="1" applyFill="1" applyBorder="1" applyAlignment="1">
      <alignment horizontal="center"/>
    </xf>
    <xf numFmtId="10" fontId="0" fillId="0" borderId="0" xfId="4" applyNumberFormat="1" applyFont="1"/>
    <xf numFmtId="0" fontId="42" fillId="134" borderId="98" xfId="0" applyFont="1" applyFill="1" applyBorder="1"/>
    <xf numFmtId="0" fontId="42" fillId="134" borderId="97" xfId="0" applyFont="1" applyFill="1" applyBorder="1"/>
    <xf numFmtId="5" fontId="42" fillId="134" borderId="99" xfId="0" applyNumberFormat="1" applyFont="1" applyFill="1" applyBorder="1"/>
    <xf numFmtId="243" fontId="42" fillId="134" borderId="7" xfId="2" applyNumberFormat="1" applyFont="1" applyFill="1" applyBorder="1"/>
    <xf numFmtId="0" fontId="42" fillId="134" borderId="39" xfId="0" applyFont="1" applyFill="1" applyBorder="1"/>
    <xf numFmtId="166" fontId="43" fillId="134" borderId="40" xfId="5" applyNumberFormat="1" applyFont="1" applyFill="1" applyBorder="1" applyAlignment="1">
      <alignment horizontal="center"/>
    </xf>
    <xf numFmtId="0" fontId="42" fillId="134" borderId="40" xfId="5" applyFont="1" applyFill="1" applyBorder="1" applyAlignment="1">
      <alignment horizontal="center"/>
    </xf>
    <xf numFmtId="0" fontId="42" fillId="134" borderId="102" xfId="5" applyFont="1" applyFill="1" applyBorder="1" applyAlignment="1">
      <alignment horizontal="center"/>
    </xf>
    <xf numFmtId="171" fontId="42" fillId="134" borderId="40" xfId="0" applyNumberFormat="1" applyFont="1" applyFill="1" applyBorder="1" applyAlignment="1"/>
    <xf numFmtId="167" fontId="42" fillId="134" borderId="40" xfId="1" applyNumberFormat="1" applyFont="1" applyFill="1" applyBorder="1" applyAlignment="1"/>
    <xf numFmtId="0" fontId="43" fillId="151" borderId="40" xfId="0" applyFont="1" applyFill="1" applyBorder="1" applyAlignment="1">
      <alignment horizontal="center"/>
    </xf>
    <xf numFmtId="14" fontId="43" fillId="151" borderId="40" xfId="0" applyNumberFormat="1" applyFont="1" applyFill="1" applyBorder="1" applyAlignment="1">
      <alignment horizontal="center"/>
    </xf>
    <xf numFmtId="0" fontId="43" fillId="151" borderId="102" xfId="0" applyFont="1" applyFill="1" applyBorder="1" applyAlignment="1">
      <alignment horizontal="center"/>
    </xf>
    <xf numFmtId="0" fontId="43" fillId="151" borderId="42" xfId="0" applyFont="1" applyFill="1" applyBorder="1" applyAlignment="1">
      <alignment horizontal="center"/>
    </xf>
    <xf numFmtId="171" fontId="43" fillId="151" borderId="43" xfId="0" applyNumberFormat="1" applyFont="1" applyFill="1" applyBorder="1" applyAlignment="1">
      <alignment horizontal="center"/>
    </xf>
    <xf numFmtId="171" fontId="43" fillId="151" borderId="42" xfId="0" applyNumberFormat="1" applyFont="1" applyFill="1" applyBorder="1" applyAlignment="1">
      <alignment horizontal="center"/>
    </xf>
    <xf numFmtId="171" fontId="43" fillId="151" borderId="40" xfId="0" applyNumberFormat="1" applyFont="1" applyFill="1" applyBorder="1" applyAlignment="1">
      <alignment horizontal="center"/>
    </xf>
    <xf numFmtId="37" fontId="43" fillId="134" borderId="40" xfId="0" applyNumberFormat="1" applyFont="1" applyFill="1" applyBorder="1" applyAlignment="1">
      <alignment horizontal="center"/>
    </xf>
    <xf numFmtId="14" fontId="42" fillId="134" borderId="7" xfId="0" applyNumberFormat="1" applyFont="1" applyFill="1" applyBorder="1" applyAlignment="1">
      <alignment horizontal="center"/>
    </xf>
    <xf numFmtId="0" fontId="42" fillId="134" borderId="1" xfId="0" applyFont="1" applyFill="1" applyBorder="1"/>
    <xf numFmtId="0" fontId="42" fillId="134" borderId="40" xfId="0" applyFont="1" applyFill="1" applyBorder="1" applyAlignment="1">
      <alignment horizontal="center"/>
    </xf>
    <xf numFmtId="166" fontId="42" fillId="134" borderId="42" xfId="0" applyNumberFormat="1" applyFont="1" applyFill="1" applyBorder="1"/>
    <xf numFmtId="7" fontId="42" fillId="134" borderId="40" xfId="0" applyNumberFormat="1" applyFont="1" applyFill="1" applyBorder="1"/>
    <xf numFmtId="166" fontId="43" fillId="134" borderId="42" xfId="0" applyNumberFormat="1" applyFont="1" applyFill="1" applyBorder="1"/>
    <xf numFmtId="39" fontId="42" fillId="134" borderId="102" xfId="0" applyNumberFormat="1" applyFont="1" applyFill="1" applyBorder="1"/>
    <xf numFmtId="10" fontId="16" fillId="134" borderId="0" xfId="4" applyNumberFormat="1" applyFont="1" applyFill="1"/>
    <xf numFmtId="0" fontId="50" fillId="154" borderId="7" xfId="0" applyFont="1" applyFill="1" applyBorder="1" applyAlignment="1">
      <alignment horizontal="center" vertical="center" wrapText="1"/>
    </xf>
    <xf numFmtId="0" fontId="50" fillId="154" borderId="1" xfId="0" applyFont="1" applyFill="1" applyBorder="1" applyAlignment="1">
      <alignment horizontal="center" vertical="center" wrapText="1"/>
    </xf>
    <xf numFmtId="0" fontId="181" fillId="154" borderId="48" xfId="0" quotePrefix="1" applyFont="1" applyFill="1" applyBorder="1" applyAlignment="1">
      <alignment horizontal="center" vertical="center" wrapText="1"/>
    </xf>
    <xf numFmtId="0" fontId="50" fillId="154" borderId="22" xfId="0" applyFont="1" applyFill="1" applyBorder="1" applyAlignment="1">
      <alignment horizontal="center" vertical="center" wrapText="1"/>
    </xf>
    <xf numFmtId="0" fontId="181" fillId="154" borderId="55" xfId="0" applyFont="1" applyFill="1" applyBorder="1" applyAlignment="1">
      <alignment horizontal="center" vertical="center" wrapText="1"/>
    </xf>
    <xf numFmtId="0" fontId="181" fillId="154" borderId="56" xfId="0" applyFont="1" applyFill="1" applyBorder="1" applyAlignment="1">
      <alignment horizontal="center" vertical="center" wrapText="1"/>
    </xf>
    <xf numFmtId="0" fontId="0" fillId="154" borderId="7" xfId="0" applyFill="1" applyBorder="1"/>
    <xf numFmtId="184" fontId="50" fillId="154" borderId="7" xfId="0" applyNumberFormat="1" applyFont="1" applyFill="1" applyBorder="1"/>
    <xf numFmtId="166" fontId="50" fillId="134" borderId="1" xfId="4" applyNumberFormat="1" applyFont="1" applyFill="1" applyBorder="1" applyAlignment="1">
      <alignment horizontal="left" indent="1"/>
    </xf>
    <xf numFmtId="7" fontId="42" fillId="0" borderId="0" xfId="2" applyNumberFormat="1" applyFont="1" applyFill="1" applyBorder="1"/>
    <xf numFmtId="37" fontId="44" fillId="0" borderId="33" xfId="0" applyNumberFormat="1" applyFont="1" applyFill="1" applyBorder="1"/>
    <xf numFmtId="10" fontId="50" fillId="154" borderId="1" xfId="4" applyNumberFormat="1" applyFont="1" applyFill="1" applyBorder="1" applyAlignment="1">
      <alignment horizontal="center"/>
    </xf>
    <xf numFmtId="0" fontId="181" fillId="134" borderId="14" xfId="0" applyFont="1" applyFill="1" applyBorder="1" applyAlignment="1">
      <alignment horizontal="center" vertical="center" wrapText="1"/>
    </xf>
    <xf numFmtId="0" fontId="181" fillId="134" borderId="48" xfId="0" applyFont="1" applyFill="1" applyBorder="1" applyAlignment="1">
      <alignment horizontal="center" vertical="center" wrapText="1"/>
    </xf>
    <xf numFmtId="184" fontId="42" fillId="134" borderId="0" xfId="2" applyNumberFormat="1" applyFont="1" applyFill="1" applyBorder="1" applyAlignment="1">
      <alignment horizontal="right"/>
    </xf>
    <xf numFmtId="176" fontId="42" fillId="134" borderId="98" xfId="0" applyNumberFormat="1" applyFont="1" applyFill="1" applyBorder="1" applyAlignment="1"/>
    <xf numFmtId="176" fontId="42" fillId="134" borderId="97" xfId="0" applyNumberFormat="1" applyFont="1" applyFill="1" applyBorder="1" applyAlignment="1"/>
    <xf numFmtId="176" fontId="42" fillId="134" borderId="99" xfId="0" applyNumberFormat="1" applyFont="1" applyFill="1" applyBorder="1" applyAlignment="1"/>
    <xf numFmtId="0" fontId="43" fillId="134" borderId="39" xfId="0" applyFont="1" applyFill="1" applyBorder="1" applyAlignment="1">
      <alignment horizontal="center"/>
    </xf>
    <xf numFmtId="0" fontId="212" fillId="134" borderId="0" xfId="0" applyFont="1" applyFill="1"/>
    <xf numFmtId="171" fontId="186" fillId="134" borderId="44" xfId="0" applyNumberFormat="1" applyFont="1" applyFill="1" applyBorder="1"/>
    <xf numFmtId="0" fontId="70" fillId="134" borderId="1" xfId="0" applyFont="1" applyFill="1" applyBorder="1" applyAlignment="1">
      <alignment horizontal="center"/>
    </xf>
    <xf numFmtId="0" fontId="42" fillId="134" borderId="0" xfId="0" applyFont="1" applyFill="1" applyAlignment="1">
      <alignment horizontal="left" indent="2"/>
    </xf>
    <xf numFmtId="5" fontId="42" fillId="0" borderId="0" xfId="2" applyNumberFormat="1" applyFont="1" applyFill="1" applyBorder="1"/>
    <xf numFmtId="0" fontId="9" fillId="134" borderId="0" xfId="0" applyFont="1" applyFill="1"/>
    <xf numFmtId="0" fontId="42" fillId="134" borderId="31" xfId="0" applyFont="1" applyFill="1" applyBorder="1" applyAlignment="1">
      <alignment horizontal="left"/>
    </xf>
    <xf numFmtId="0" fontId="42" fillId="134" borderId="20" xfId="0" applyFont="1" applyFill="1" applyBorder="1" applyAlignment="1">
      <alignment horizontal="left"/>
    </xf>
    <xf numFmtId="0" fontId="43" fillId="134" borderId="26" xfId="0" applyFont="1" applyFill="1" applyBorder="1" applyAlignment="1">
      <alignment horizontal="center"/>
    </xf>
    <xf numFmtId="0" fontId="43" fillId="134" borderId="0" xfId="0" applyFont="1" applyFill="1" applyBorder="1" applyAlignment="1">
      <alignment horizontal="left"/>
    </xf>
    <xf numFmtId="184" fontId="43" fillId="134" borderId="0" xfId="2" applyNumberFormat="1" applyFont="1" applyFill="1"/>
    <xf numFmtId="10" fontId="43" fillId="0" borderId="0" xfId="4" applyNumberFormat="1" applyFont="1" applyFill="1" applyBorder="1"/>
    <xf numFmtId="0" fontId="205" fillId="134" borderId="0" xfId="0" applyFont="1" applyFill="1" applyBorder="1"/>
    <xf numFmtId="0" fontId="69" fillId="134" borderId="0" xfId="0" applyFont="1" applyFill="1" applyBorder="1" applyAlignment="1">
      <alignment horizontal="right"/>
    </xf>
    <xf numFmtId="184" fontId="42" fillId="0" borderId="38" xfId="2" applyNumberFormat="1" applyFont="1" applyFill="1" applyBorder="1" applyAlignment="1">
      <alignment vertical="center"/>
    </xf>
    <xf numFmtId="43" fontId="0" fillId="0" borderId="0" xfId="1" applyFont="1" applyFill="1"/>
    <xf numFmtId="184" fontId="183" fillId="0" borderId="0" xfId="0" applyNumberFormat="1" applyFont="1" applyFill="1"/>
    <xf numFmtId="184" fontId="0" fillId="0" borderId="0" xfId="0" applyNumberFormat="1" applyFill="1"/>
    <xf numFmtId="0" fontId="181" fillId="134" borderId="0" xfId="0" applyFont="1" applyFill="1" applyBorder="1" applyAlignment="1">
      <alignment horizontal="center" vertical="center" wrapText="1"/>
    </xf>
    <xf numFmtId="168" fontId="184" fillId="134" borderId="0" xfId="0" applyNumberFormat="1" applyFont="1" applyFill="1"/>
    <xf numFmtId="44" fontId="42" fillId="134" borderId="14" xfId="2" applyFont="1" applyFill="1" applyBorder="1" applyAlignment="1">
      <alignment horizontal="center"/>
    </xf>
    <xf numFmtId="0" fontId="213" fillId="134" borderId="0" xfId="0" applyFont="1" applyFill="1"/>
    <xf numFmtId="0" fontId="214" fillId="134" borderId="10" xfId="0" applyFont="1" applyFill="1" applyBorder="1" applyAlignment="1">
      <alignment horizontal="center" vertical="center" wrapText="1"/>
    </xf>
    <xf numFmtId="0" fontId="214" fillId="134" borderId="9" xfId="0" applyFont="1" applyFill="1" applyBorder="1" applyAlignment="1">
      <alignment horizontal="center" vertical="center" wrapText="1"/>
    </xf>
    <xf numFmtId="168" fontId="214" fillId="134" borderId="26" xfId="143" applyNumberFormat="1" applyFont="1" applyFill="1" applyBorder="1" applyAlignment="1">
      <alignment horizontal="center"/>
    </xf>
    <xf numFmtId="168" fontId="214" fillId="134" borderId="27" xfId="143" applyNumberFormat="1" applyFont="1" applyFill="1" applyBorder="1" applyAlignment="1">
      <alignment horizontal="center"/>
    </xf>
    <xf numFmtId="168" fontId="214" fillId="134" borderId="5" xfId="143" applyNumberFormat="1" applyFont="1" applyFill="1" applyBorder="1" applyAlignment="1">
      <alignment horizontal="center"/>
    </xf>
    <xf numFmtId="168" fontId="214" fillId="134" borderId="4" xfId="143" applyNumberFormat="1" applyFont="1" applyFill="1" applyBorder="1" applyAlignment="1">
      <alignment horizontal="center"/>
    </xf>
    <xf numFmtId="241" fontId="42" fillId="134" borderId="11" xfId="2" applyNumberFormat="1" applyFont="1" applyFill="1" applyBorder="1" applyAlignment="1">
      <alignment horizontal="center"/>
    </xf>
    <xf numFmtId="168" fontId="214" fillId="134" borderId="0" xfId="143" applyNumberFormat="1" applyFont="1" applyFill="1" applyBorder="1" applyAlignment="1">
      <alignment horizontal="center"/>
    </xf>
    <xf numFmtId="168" fontId="214" fillId="134" borderId="14" xfId="143" applyNumberFormat="1" applyFont="1" applyFill="1" applyBorder="1" applyAlignment="1">
      <alignment horizontal="center"/>
    </xf>
    <xf numFmtId="0" fontId="68" fillId="134" borderId="38" xfId="0" applyFont="1" applyFill="1" applyBorder="1" applyAlignment="1">
      <alignment horizontal="center" wrapText="1"/>
    </xf>
    <xf numFmtId="0" fontId="215" fillId="134" borderId="0" xfId="0" applyFont="1" applyFill="1" applyAlignment="1">
      <alignment horizontal="center"/>
    </xf>
    <xf numFmtId="0" fontId="215" fillId="154" borderId="33" xfId="0" applyFont="1" applyFill="1" applyBorder="1" applyAlignment="1">
      <alignment horizontal="center"/>
    </xf>
    <xf numFmtId="0" fontId="215" fillId="154" borderId="34" xfId="0" applyFont="1" applyFill="1" applyBorder="1" applyAlignment="1">
      <alignment horizontal="center"/>
    </xf>
    <xf numFmtId="0" fontId="215" fillId="154" borderId="35" xfId="0" applyFont="1" applyFill="1" applyBorder="1" applyAlignment="1">
      <alignment horizontal="center"/>
    </xf>
    <xf numFmtId="0" fontId="215" fillId="151" borderId="33" xfId="0" applyFont="1" applyFill="1" applyBorder="1" applyAlignment="1">
      <alignment horizontal="center"/>
    </xf>
    <xf numFmtId="0" fontId="215" fillId="151" borderId="34" xfId="0" applyFont="1" applyFill="1" applyBorder="1" applyAlignment="1">
      <alignment horizontal="center"/>
    </xf>
    <xf numFmtId="0" fontId="215" fillId="151" borderId="35" xfId="0" applyFont="1" applyFill="1" applyBorder="1" applyAlignment="1">
      <alignment horizontal="center"/>
    </xf>
    <xf numFmtId="0" fontId="214" fillId="134" borderId="109" xfId="5" applyFont="1" applyFill="1" applyBorder="1" applyAlignment="1">
      <alignment horizontal="center" vertical="center"/>
    </xf>
    <xf numFmtId="0" fontId="215" fillId="134" borderId="34" xfId="0" applyFont="1" applyFill="1" applyBorder="1" applyAlignment="1">
      <alignment horizontal="center" vertical="center" wrapText="1"/>
    </xf>
    <xf numFmtId="0" fontId="215" fillId="134" borderId="33" xfId="0" applyFont="1" applyFill="1" applyBorder="1" applyAlignment="1">
      <alignment horizontal="center" vertical="center" wrapText="1"/>
    </xf>
    <xf numFmtId="0" fontId="215" fillId="134" borderId="35" xfId="0" applyFont="1" applyFill="1" applyBorder="1" applyAlignment="1">
      <alignment horizontal="center" vertical="center" wrapText="1"/>
    </xf>
    <xf numFmtId="0" fontId="215" fillId="152" borderId="33" xfId="0" applyFont="1" applyFill="1" applyBorder="1" applyAlignment="1">
      <alignment horizontal="center" vertical="center" wrapText="1"/>
    </xf>
    <xf numFmtId="0" fontId="215" fillId="152" borderId="34" xfId="0" applyFont="1" applyFill="1" applyBorder="1" applyAlignment="1">
      <alignment horizontal="center" vertical="center" wrapText="1"/>
    </xf>
    <xf numFmtId="0" fontId="215" fillId="155" borderId="67" xfId="0" applyFont="1" applyFill="1" applyBorder="1" applyAlignment="1">
      <alignment horizontal="center" vertical="center" wrapText="1"/>
    </xf>
    <xf numFmtId="0" fontId="215" fillId="156" borderId="67" xfId="0" applyFont="1" applyFill="1" applyBorder="1" applyAlignment="1">
      <alignment horizontal="center"/>
    </xf>
    <xf numFmtId="10" fontId="50" fillId="154" borderId="1" xfId="4" applyNumberFormat="1" applyFont="1" applyFill="1" applyBorder="1" applyAlignment="1">
      <alignment horizontal="center" vertical="center" wrapText="1"/>
    </xf>
    <xf numFmtId="184" fontId="42" fillId="154" borderId="7" xfId="0" applyNumberFormat="1" applyFont="1" applyFill="1" applyBorder="1"/>
    <xf numFmtId="184" fontId="43" fillId="134" borderId="0" xfId="0" applyNumberFormat="1" applyFont="1" applyFill="1" applyBorder="1" applyAlignment="1">
      <alignment horizontal="right"/>
    </xf>
    <xf numFmtId="184" fontId="43" fillId="134" borderId="0" xfId="0" applyNumberFormat="1" applyFont="1" applyFill="1" applyBorder="1"/>
    <xf numFmtId="0" fontId="42" fillId="134" borderId="0" xfId="0" applyFont="1" applyFill="1" applyBorder="1" applyAlignment="1">
      <alignment horizontal="right"/>
    </xf>
    <xf numFmtId="43" fontId="42" fillId="134" borderId="0" xfId="0" applyNumberFormat="1" applyFont="1" applyFill="1" applyBorder="1"/>
    <xf numFmtId="245" fontId="0" fillId="134" borderId="0" xfId="0" applyNumberFormat="1" applyFill="1"/>
    <xf numFmtId="14" fontId="44" fillId="134" borderId="0" xfId="0" applyNumberFormat="1" applyFont="1" applyFill="1" applyBorder="1" applyAlignment="1">
      <alignment horizontal="left"/>
    </xf>
    <xf numFmtId="167" fontId="42" fillId="134" borderId="14" xfId="1" applyNumberFormat="1" applyFont="1" applyFill="1" applyBorder="1" applyAlignment="1"/>
    <xf numFmtId="167" fontId="42" fillId="134" borderId="0" xfId="1" applyNumberFormat="1" applyFont="1" applyFill="1" applyBorder="1" applyAlignment="1"/>
    <xf numFmtId="7" fontId="43" fillId="134" borderId="0" xfId="0" applyNumberFormat="1" applyFont="1" applyFill="1" applyBorder="1"/>
    <xf numFmtId="7" fontId="42" fillId="134" borderId="0" xfId="0" applyNumberFormat="1" applyFont="1" applyFill="1" applyBorder="1" applyAlignment="1"/>
    <xf numFmtId="7" fontId="42" fillId="134" borderId="27" xfId="0" applyNumberFormat="1" applyFont="1" applyFill="1" applyBorder="1" applyAlignment="1"/>
    <xf numFmtId="0" fontId="186" fillId="134" borderId="0" xfId="0" applyFont="1" applyFill="1" applyBorder="1" applyAlignment="1">
      <alignment horizontal="left"/>
    </xf>
    <xf numFmtId="0" fontId="43" fillId="134" borderId="14" xfId="0" applyFont="1" applyFill="1" applyBorder="1" applyAlignment="1">
      <alignment horizontal="center"/>
    </xf>
    <xf numFmtId="0" fontId="43" fillId="134" borderId="0" xfId="0" applyFont="1" applyFill="1" applyAlignment="1">
      <alignment horizontal="center" vertical="center"/>
    </xf>
    <xf numFmtId="184" fontId="43" fillId="134" borderId="0" xfId="2" applyNumberFormat="1" applyFont="1" applyFill="1" applyBorder="1"/>
    <xf numFmtId="166" fontId="186" fillId="134" borderId="98" xfId="5" applyNumberFormat="1" applyFont="1" applyFill="1" applyBorder="1" applyAlignment="1">
      <alignment horizontal="center" vertical="center"/>
    </xf>
    <xf numFmtId="166" fontId="186" fillId="134" borderId="97" xfId="5" applyNumberFormat="1" applyFont="1" applyFill="1" applyBorder="1" applyAlignment="1">
      <alignment horizontal="center" vertical="center"/>
    </xf>
    <xf numFmtId="171" fontId="200" fillId="134" borderId="97" xfId="0" applyNumberFormat="1" applyFont="1" applyFill="1" applyBorder="1" applyAlignment="1"/>
    <xf numFmtId="171" fontId="186" fillId="134" borderId="99" xfId="0" applyNumberFormat="1" applyFont="1" applyFill="1" applyBorder="1" applyAlignment="1"/>
    <xf numFmtId="0" fontId="192" fillId="156" borderId="40" xfId="0" applyFont="1" applyFill="1" applyBorder="1" applyAlignment="1">
      <alignment horizontal="center" vertical="center"/>
    </xf>
    <xf numFmtId="0" fontId="192" fillId="156" borderId="102" xfId="0" applyFont="1" applyFill="1" applyBorder="1" applyAlignment="1">
      <alignment horizontal="center" vertical="center"/>
    </xf>
    <xf numFmtId="0" fontId="192" fillId="156" borderId="40" xfId="0" applyFont="1" applyFill="1" applyBorder="1" applyAlignment="1">
      <alignment horizontal="center"/>
    </xf>
    <xf numFmtId="0" fontId="192" fillId="156" borderId="42" xfId="0" applyFont="1" applyFill="1" applyBorder="1" applyAlignment="1">
      <alignment horizontal="center"/>
    </xf>
    <xf numFmtId="0" fontId="44" fillId="134" borderId="0" xfId="0" applyFont="1" applyFill="1" applyBorder="1" applyAlignment="1">
      <alignment horizontal="left"/>
    </xf>
    <xf numFmtId="0" fontId="42" fillId="134" borderId="0" xfId="3" applyFont="1" applyFill="1" applyAlignment="1">
      <alignment horizontal="left"/>
    </xf>
    <xf numFmtId="0" fontId="206" fillId="134" borderId="12" xfId="0" applyFont="1" applyFill="1" applyBorder="1" applyAlignment="1">
      <alignment horizontal="center"/>
    </xf>
    <xf numFmtId="43" fontId="42" fillId="134" borderId="0" xfId="0" applyNumberFormat="1" applyFont="1" applyFill="1"/>
    <xf numFmtId="165" fontId="42" fillId="134" borderId="0" xfId="0" applyNumberFormat="1" applyFont="1" applyFill="1" applyBorder="1"/>
    <xf numFmtId="165" fontId="45" fillId="134" borderId="0" xfId="1" applyNumberFormat="1" applyFont="1" applyFill="1"/>
    <xf numFmtId="170" fontId="45" fillId="134" borderId="0" xfId="0" applyNumberFormat="1" applyFont="1" applyFill="1"/>
    <xf numFmtId="165" fontId="42" fillId="134" borderId="0" xfId="1" applyNumberFormat="1" applyFont="1" applyFill="1" applyBorder="1"/>
    <xf numFmtId="0" fontId="205" fillId="134" borderId="0" xfId="0" applyFont="1" applyFill="1" applyBorder="1" applyAlignment="1">
      <alignment horizontal="center"/>
    </xf>
    <xf numFmtId="170" fontId="45" fillId="134" borderId="0" xfId="0" applyNumberFormat="1" applyFont="1" applyFill="1" applyBorder="1" applyAlignment="1"/>
    <xf numFmtId="170" fontId="44" fillId="134" borderId="14" xfId="0" applyNumberFormat="1" applyFont="1" applyFill="1" applyBorder="1" applyAlignment="1"/>
    <xf numFmtId="170" fontId="45" fillId="134" borderId="14" xfId="0" applyNumberFormat="1" applyFont="1" applyFill="1" applyBorder="1" applyAlignment="1"/>
    <xf numFmtId="170" fontId="44" fillId="134" borderId="27" xfId="0" applyNumberFormat="1" applyFont="1" applyFill="1" applyBorder="1" applyAlignment="1"/>
    <xf numFmtId="170" fontId="45" fillId="134" borderId="27" xfId="0" applyNumberFormat="1" applyFont="1" applyFill="1" applyBorder="1" applyAlignment="1"/>
    <xf numFmtId="184" fontId="42" fillId="134" borderId="27" xfId="2" applyNumberFormat="1" applyFont="1" applyFill="1" applyBorder="1" applyAlignment="1"/>
    <xf numFmtId="170" fontId="44" fillId="134" borderId="0" xfId="0" applyNumberFormat="1" applyFont="1" applyFill="1" applyBorder="1" applyAlignment="1"/>
    <xf numFmtId="170" fontId="42" fillId="134" borderId="9" xfId="0" applyNumberFormat="1" applyFont="1" applyFill="1" applyBorder="1" applyAlignment="1"/>
    <xf numFmtId="184" fontId="42" fillId="134" borderId="9" xfId="2" applyNumberFormat="1" applyFont="1" applyFill="1" applyBorder="1" applyAlignment="1"/>
    <xf numFmtId="184" fontId="42" fillId="134" borderId="14" xfId="2" applyNumberFormat="1" applyFont="1" applyFill="1" applyBorder="1" applyAlignment="1"/>
    <xf numFmtId="0" fontId="43" fillId="134" borderId="0" xfId="0" applyFont="1" applyFill="1" applyBorder="1" applyAlignment="1">
      <alignment horizontal="center" vertical="center"/>
    </xf>
    <xf numFmtId="17" fontId="43" fillId="134" borderId="0" xfId="0" applyNumberFormat="1" applyFont="1" applyFill="1" applyAlignment="1">
      <alignment horizontal="center"/>
    </xf>
    <xf numFmtId="184" fontId="42" fillId="134" borderId="0" xfId="2" applyNumberFormat="1" applyFont="1" applyFill="1" applyBorder="1" applyAlignment="1"/>
    <xf numFmtId="17" fontId="206" fillId="134" borderId="97" xfId="0" applyNumberFormat="1" applyFont="1" applyFill="1" applyBorder="1" applyAlignment="1">
      <alignment horizontal="center"/>
    </xf>
    <xf numFmtId="167" fontId="43" fillId="134" borderId="0" xfId="1" applyNumberFormat="1" applyFont="1" applyFill="1" applyBorder="1"/>
    <xf numFmtId="0" fontId="43" fillId="134" borderId="0" xfId="3" applyFont="1" applyFill="1" applyBorder="1" applyAlignment="1">
      <alignment horizontal="left"/>
    </xf>
    <xf numFmtId="37" fontId="43" fillId="134" borderId="0" xfId="101" applyNumberFormat="1" applyFont="1" applyFill="1" applyBorder="1" applyAlignment="1">
      <alignment horizontal="center"/>
    </xf>
    <xf numFmtId="37" fontId="43" fillId="134" borderId="0" xfId="101" applyNumberFormat="1" applyFont="1" applyFill="1"/>
    <xf numFmtId="185" fontId="43" fillId="134" borderId="0" xfId="101" applyFont="1" applyFill="1"/>
    <xf numFmtId="173" fontId="206" fillId="134" borderId="0" xfId="0" applyNumberFormat="1" applyFont="1" applyFill="1"/>
    <xf numFmtId="185" fontId="206" fillId="134" borderId="0" xfId="101" applyFont="1" applyFill="1"/>
    <xf numFmtId="185" fontId="206" fillId="134" borderId="0" xfId="101" applyFont="1" applyFill="1" applyBorder="1" applyAlignment="1">
      <alignment horizontal="center"/>
    </xf>
    <xf numFmtId="167" fontId="43" fillId="134" borderId="0" xfId="56361" applyNumberFormat="1" applyFont="1" applyFill="1" applyBorder="1"/>
    <xf numFmtId="185" fontId="43" fillId="134" borderId="0" xfId="101" applyFont="1" applyFill="1" applyBorder="1"/>
    <xf numFmtId="241" fontId="43" fillId="134" borderId="0" xfId="56362" applyNumberFormat="1" applyFont="1" applyFill="1" applyBorder="1"/>
    <xf numFmtId="0" fontId="192" fillId="134" borderId="9" xfId="0" applyFont="1" applyFill="1" applyBorder="1" applyAlignment="1">
      <alignment horizontal="center"/>
    </xf>
    <xf numFmtId="167" fontId="45" fillId="134" borderId="0" xfId="0" applyNumberFormat="1" applyFont="1" applyFill="1"/>
    <xf numFmtId="0" fontId="192" fillId="134" borderId="98" xfId="0" applyFont="1" applyFill="1" applyBorder="1" applyAlignment="1">
      <alignment horizontal="center" vertical="center"/>
    </xf>
    <xf numFmtId="0" fontId="192" fillId="134" borderId="97" xfId="0" applyFont="1" applyFill="1" applyBorder="1" applyAlignment="1">
      <alignment horizontal="center" vertical="center"/>
    </xf>
    <xf numFmtId="0" fontId="192" fillId="134" borderId="99" xfId="0" applyFont="1" applyFill="1" applyBorder="1" applyAlignment="1">
      <alignment horizontal="center" vertical="center"/>
    </xf>
    <xf numFmtId="172" fontId="186" fillId="134" borderId="97" xfId="0" applyNumberFormat="1" applyFont="1" applyFill="1" applyBorder="1" applyAlignment="1"/>
    <xf numFmtId="170" fontId="45" fillId="0" borderId="0" xfId="0" applyNumberFormat="1" applyFont="1" applyFill="1" applyBorder="1" applyAlignment="1"/>
    <xf numFmtId="0" fontId="43" fillId="134" borderId="14" xfId="0" applyFont="1" applyFill="1" applyBorder="1" applyAlignment="1">
      <alignment horizontal="center"/>
    </xf>
    <xf numFmtId="0" fontId="42" fillId="158" borderId="14" xfId="0" applyFont="1" applyFill="1" applyBorder="1" applyAlignment="1">
      <alignment horizontal="center"/>
    </xf>
    <xf numFmtId="0" fontId="42" fillId="158" borderId="27" xfId="0" applyFont="1" applyFill="1" applyBorder="1" applyAlignment="1">
      <alignment horizontal="center"/>
    </xf>
    <xf numFmtId="0" fontId="42" fillId="158" borderId="0" xfId="0" applyFont="1" applyFill="1" applyBorder="1" applyAlignment="1">
      <alignment horizontal="center"/>
    </xf>
    <xf numFmtId="164" fontId="42" fillId="158" borderId="0" xfId="0" applyNumberFormat="1" applyFont="1" applyFill="1" applyBorder="1" applyAlignment="1">
      <alignment horizontal="center"/>
    </xf>
    <xf numFmtId="164" fontId="42" fillId="158" borderId="14" xfId="0" applyNumberFormat="1" applyFont="1" applyFill="1" applyBorder="1" applyAlignment="1">
      <alignment horizontal="center"/>
    </xf>
    <xf numFmtId="0" fontId="217" fillId="0" borderId="0" xfId="0" applyFont="1"/>
    <xf numFmtId="3" fontId="192" fillId="0" borderId="0" xfId="100" applyNumberFormat="1" applyFont="1"/>
    <xf numFmtId="3" fontId="199" fillId="0" borderId="0" xfId="100" applyNumberFormat="1" applyFont="1"/>
    <xf numFmtId="0" fontId="186" fillId="0" borderId="0" xfId="0" applyFont="1"/>
    <xf numFmtId="171" fontId="186" fillId="0" borderId="99" xfId="0" applyNumberFormat="1" applyFont="1" applyFill="1" applyBorder="1" applyAlignment="1"/>
    <xf numFmtId="0" fontId="42" fillId="158" borderId="9" xfId="0" applyFont="1" applyFill="1" applyBorder="1" applyAlignment="1">
      <alignment horizontal="center"/>
    </xf>
    <xf numFmtId="0" fontId="43" fillId="134" borderId="27" xfId="0" applyFont="1" applyFill="1" applyBorder="1" applyAlignment="1">
      <alignment horizontal="right"/>
    </xf>
    <xf numFmtId="37" fontId="43" fillId="134" borderId="0" xfId="0" applyNumberFormat="1" applyFont="1" applyFill="1"/>
    <xf numFmtId="172" fontId="206" fillId="134" borderId="0" xfId="0" applyNumberFormat="1" applyFont="1" applyFill="1"/>
    <xf numFmtId="0" fontId="206" fillId="134" borderId="0" xfId="0" applyFont="1" applyFill="1"/>
    <xf numFmtId="167" fontId="206" fillId="134" borderId="0" xfId="1" applyNumberFormat="1" applyFont="1" applyFill="1" applyAlignment="1">
      <alignment horizontal="center"/>
    </xf>
    <xf numFmtId="5" fontId="43" fillId="134" borderId="0" xfId="0" applyNumberFormat="1" applyFont="1" applyFill="1"/>
    <xf numFmtId="37" fontId="42" fillId="134" borderId="14" xfId="0" applyNumberFormat="1" applyFont="1" applyFill="1" applyBorder="1" applyAlignment="1">
      <alignment horizontal="center"/>
    </xf>
    <xf numFmtId="0" fontId="43" fillId="134" borderId="9" xfId="0" applyFont="1" applyFill="1" applyBorder="1" applyAlignment="1">
      <alignment horizontal="center"/>
    </xf>
    <xf numFmtId="164" fontId="43" fillId="158" borderId="14" xfId="0" applyNumberFormat="1" applyFont="1" applyFill="1" applyBorder="1" applyAlignment="1">
      <alignment horizontal="center"/>
    </xf>
    <xf numFmtId="7" fontId="42" fillId="134" borderId="7" xfId="0" applyNumberFormat="1" applyFont="1" applyFill="1" applyBorder="1"/>
    <xf numFmtId="37" fontId="43" fillId="134" borderId="0" xfId="0" applyNumberFormat="1" applyFont="1" applyFill="1" applyBorder="1" applyAlignment="1" applyProtection="1">
      <alignment vertical="top"/>
    </xf>
    <xf numFmtId="171" fontId="43" fillId="134" borderId="27" xfId="0" applyNumberFormat="1" applyFont="1" applyFill="1" applyBorder="1" applyAlignment="1">
      <alignment horizontal="center"/>
    </xf>
    <xf numFmtId="44" fontId="45" fillId="134" borderId="14" xfId="2" applyFont="1" applyFill="1" applyBorder="1" applyAlignment="1"/>
    <xf numFmtId="44" fontId="45" fillId="134" borderId="27" xfId="2" applyFont="1" applyFill="1" applyBorder="1" applyAlignment="1"/>
    <xf numFmtId="44" fontId="45" fillId="134" borderId="14" xfId="2" applyFont="1" applyFill="1" applyBorder="1" applyAlignment="1">
      <alignment horizontal="center"/>
    </xf>
    <xf numFmtId="44" fontId="45" fillId="134" borderId="27" xfId="2" applyFont="1" applyFill="1" applyBorder="1" applyAlignment="1">
      <alignment horizontal="center"/>
    </xf>
    <xf numFmtId="44" fontId="45" fillId="134" borderId="0" xfId="2" applyFont="1" applyFill="1" applyBorder="1" applyAlignment="1">
      <alignment horizontal="center"/>
    </xf>
    <xf numFmtId="44" fontId="45" fillId="134" borderId="0" xfId="2" applyFont="1" applyFill="1" applyBorder="1" applyAlignment="1"/>
    <xf numFmtId="44" fontId="43" fillId="134" borderId="0" xfId="2" applyFont="1" applyFill="1" applyBorder="1"/>
    <xf numFmtId="167" fontId="43" fillId="134" borderId="0" xfId="1" applyNumberFormat="1" applyFont="1" applyFill="1"/>
    <xf numFmtId="10" fontId="43" fillId="134" borderId="0" xfId="4" applyNumberFormat="1" applyFont="1" applyFill="1" applyBorder="1"/>
    <xf numFmtId="185" fontId="70" fillId="134" borderId="0" xfId="101" applyFont="1" applyFill="1" applyBorder="1" applyAlignment="1">
      <alignment horizontal="center"/>
    </xf>
    <xf numFmtId="184" fontId="42" fillId="134" borderId="27" xfId="2" applyNumberFormat="1" applyFont="1" applyFill="1" applyBorder="1"/>
    <xf numFmtId="185" fontId="188" fillId="153" borderId="2" xfId="101" applyFont="1" applyFill="1" applyBorder="1" applyAlignment="1">
      <alignment horizontal="right"/>
    </xf>
    <xf numFmtId="185" fontId="188" fillId="153" borderId="3" xfId="101" applyFont="1" applyFill="1" applyBorder="1" applyAlignment="1">
      <alignment horizontal="right"/>
    </xf>
    <xf numFmtId="185" fontId="188" fillId="153" borderId="3" xfId="101" applyFont="1" applyFill="1" applyBorder="1" applyAlignment="1">
      <alignment horizontal="center"/>
    </xf>
    <xf numFmtId="171" fontId="187" fillId="153" borderId="3" xfId="101" applyNumberFormat="1" applyFont="1" applyFill="1" applyBorder="1"/>
    <xf numFmtId="39" fontId="187" fillId="153" borderId="3" xfId="101" applyNumberFormat="1" applyFont="1" applyFill="1" applyBorder="1"/>
    <xf numFmtId="37" fontId="42" fillId="153" borderId="3" xfId="0" applyNumberFormat="1" applyFont="1" applyFill="1" applyBorder="1"/>
    <xf numFmtId="37" fontId="42" fillId="153" borderId="16" xfId="0" applyNumberFormat="1" applyFont="1" applyFill="1" applyBorder="1"/>
    <xf numFmtId="0" fontId="43" fillId="158" borderId="26" xfId="0" applyFont="1" applyFill="1" applyBorder="1"/>
    <xf numFmtId="0" fontId="42" fillId="158" borderId="27" xfId="0" applyFont="1" applyFill="1" applyBorder="1"/>
    <xf numFmtId="171" fontId="42" fillId="158" borderId="27" xfId="0" applyNumberFormat="1" applyFont="1" applyFill="1" applyBorder="1"/>
    <xf numFmtId="171" fontId="42" fillId="158" borderId="28" xfId="0" applyNumberFormat="1" applyFont="1" applyFill="1" applyBorder="1"/>
    <xf numFmtId="44" fontId="42" fillId="134" borderId="14" xfId="0" applyNumberFormat="1" applyFont="1" applyFill="1" applyBorder="1"/>
    <xf numFmtId="0" fontId="201" fillId="134" borderId="0" xfId="0" applyFont="1" applyFill="1" applyBorder="1" applyAlignment="1">
      <alignment horizontal="center"/>
    </xf>
    <xf numFmtId="172" fontId="42" fillId="0" borderId="14" xfId="0" applyNumberFormat="1" applyFont="1" applyFill="1" applyBorder="1"/>
    <xf numFmtId="0" fontId="43" fillId="134" borderId="34" xfId="0" applyFont="1" applyFill="1" applyBorder="1" applyAlignment="1">
      <alignment horizontal="center"/>
    </xf>
    <xf numFmtId="168" fontId="42" fillId="134" borderId="27" xfId="0" applyNumberFormat="1" applyFont="1" applyFill="1" applyBorder="1"/>
    <xf numFmtId="168" fontId="42" fillId="134" borderId="22" xfId="0" applyNumberFormat="1" applyFont="1" applyFill="1" applyBorder="1"/>
    <xf numFmtId="168" fontId="42" fillId="134" borderId="1" xfId="0" applyNumberFormat="1" applyFont="1" applyFill="1" applyBorder="1"/>
    <xf numFmtId="168" fontId="42" fillId="134" borderId="49" xfId="0" applyNumberFormat="1" applyFont="1" applyFill="1" applyBorder="1" applyAlignment="1"/>
    <xf numFmtId="168" fontId="42" fillId="134" borderId="22" xfId="0" applyNumberFormat="1" applyFont="1" applyFill="1" applyBorder="1" applyAlignment="1"/>
    <xf numFmtId="168" fontId="42" fillId="134" borderId="6" xfId="0" applyNumberFormat="1" applyFont="1" applyFill="1" applyBorder="1" applyAlignment="1"/>
    <xf numFmtId="168" fontId="42" fillId="134" borderId="13" xfId="0" applyNumberFormat="1" applyFont="1" applyFill="1" applyBorder="1" applyAlignment="1"/>
    <xf numFmtId="0" fontId="42" fillId="158" borderId="97" xfId="0" applyFont="1" applyFill="1" applyBorder="1" applyAlignment="1">
      <alignment horizontal="center"/>
    </xf>
    <xf numFmtId="0" fontId="42" fillId="158" borderId="34" xfId="0" applyFont="1" applyFill="1" applyBorder="1" applyAlignment="1">
      <alignment horizontal="center"/>
    </xf>
    <xf numFmtId="168" fontId="42" fillId="134" borderId="34" xfId="0" applyNumberFormat="1" applyFont="1" applyFill="1" applyBorder="1" applyAlignment="1"/>
    <xf numFmtId="171" fontId="42" fillId="134" borderId="99" xfId="0" applyNumberFormat="1" applyFont="1" applyFill="1" applyBorder="1" applyAlignment="1"/>
    <xf numFmtId="0" fontId="42" fillId="134" borderId="1" xfId="0" applyFont="1" applyFill="1" applyBorder="1" applyAlignment="1">
      <alignment horizontal="center"/>
    </xf>
    <xf numFmtId="0" fontId="42" fillId="134" borderId="13" xfId="0" applyFont="1" applyFill="1" applyBorder="1" applyAlignment="1">
      <alignment horizontal="center"/>
    </xf>
    <xf numFmtId="7" fontId="42" fillId="134" borderId="98" xfId="2" applyNumberFormat="1" applyFont="1" applyFill="1" applyBorder="1"/>
    <xf numFmtId="7" fontId="42" fillId="134" borderId="97" xfId="2" applyNumberFormat="1" applyFont="1" applyFill="1" applyBorder="1"/>
    <xf numFmtId="0" fontId="186" fillId="134" borderId="7" xfId="0" applyFont="1" applyFill="1" applyBorder="1"/>
    <xf numFmtId="7" fontId="186" fillId="134" borderId="98" xfId="2" applyNumberFormat="1" applyFont="1" applyFill="1" applyBorder="1"/>
    <xf numFmtId="7" fontId="186" fillId="134" borderId="97" xfId="2" applyNumberFormat="1" applyFont="1" applyFill="1" applyBorder="1"/>
    <xf numFmtId="171" fontId="200" fillId="134" borderId="1" xfId="0" applyNumberFormat="1" applyFont="1" applyFill="1" applyBorder="1"/>
    <xf numFmtId="0" fontId="186" fillId="134" borderId="0" xfId="0" applyFont="1" applyFill="1" applyBorder="1" applyAlignment="1">
      <alignment horizontal="center" vertical="center"/>
    </xf>
    <xf numFmtId="0" fontId="186" fillId="134" borderId="1" xfId="0" applyFont="1" applyFill="1" applyBorder="1" applyAlignment="1">
      <alignment horizontal="center" vertical="center"/>
    </xf>
    <xf numFmtId="0" fontId="186" fillId="134" borderId="97" xfId="0" applyFont="1" applyFill="1" applyBorder="1" applyAlignment="1">
      <alignment horizontal="center" vertical="center"/>
    </xf>
    <xf numFmtId="0" fontId="186" fillId="134" borderId="99" xfId="0" applyFont="1" applyFill="1" applyBorder="1" applyAlignment="1">
      <alignment horizontal="center" vertical="center"/>
    </xf>
    <xf numFmtId="168" fontId="42" fillId="134" borderId="12" xfId="0" applyNumberFormat="1" applyFont="1" applyFill="1" applyBorder="1" applyAlignment="1"/>
    <xf numFmtId="37" fontId="42" fillId="134" borderId="98" xfId="0" applyNumberFormat="1" applyFont="1" applyFill="1" applyBorder="1"/>
    <xf numFmtId="0" fontId="42" fillId="158" borderId="26" xfId="0" applyFont="1" applyFill="1" applyBorder="1"/>
    <xf numFmtId="0" fontId="45" fillId="158" borderId="27" xfId="0" applyFont="1" applyFill="1" applyBorder="1" applyAlignment="1">
      <alignment horizontal="center"/>
    </xf>
    <xf numFmtId="0" fontId="45" fillId="158" borderId="28" xfId="0" applyFont="1" applyFill="1" applyBorder="1" applyAlignment="1">
      <alignment horizontal="center"/>
    </xf>
    <xf numFmtId="0" fontId="42" fillId="158" borderId="28" xfId="0" applyFont="1" applyFill="1" applyBorder="1"/>
    <xf numFmtId="170" fontId="42" fillId="134" borderId="97" xfId="0" applyNumberFormat="1" applyFont="1" applyFill="1" applyBorder="1"/>
    <xf numFmtId="170" fontId="42" fillId="134" borderId="99" xfId="0" applyNumberFormat="1" applyFont="1" applyFill="1" applyBorder="1"/>
    <xf numFmtId="0" fontId="44" fillId="134" borderId="0" xfId="5" applyFont="1" applyFill="1" applyBorder="1" applyAlignment="1">
      <alignment horizontal="center"/>
    </xf>
    <xf numFmtId="0" fontId="199" fillId="134" borderId="0" xfId="0" applyFont="1" applyFill="1" applyBorder="1"/>
    <xf numFmtId="37" fontId="42" fillId="134" borderId="97" xfId="0" applyNumberFormat="1" applyFont="1" applyFill="1" applyBorder="1"/>
    <xf numFmtId="167" fontId="42" fillId="134" borderId="98" xfId="1" applyNumberFormat="1" applyFont="1" applyFill="1" applyBorder="1" applyAlignment="1"/>
    <xf numFmtId="0" fontId="44" fillId="0" borderId="0" xfId="5" applyFont="1" applyFill="1" applyBorder="1" applyAlignment="1">
      <alignment horizontal="center" vertical="center"/>
    </xf>
    <xf numFmtId="167" fontId="42" fillId="134" borderId="40" xfId="1" applyNumberFormat="1" applyFont="1" applyFill="1" applyBorder="1"/>
    <xf numFmtId="167" fontId="42" fillId="134" borderId="102" xfId="1" applyNumberFormat="1" applyFont="1" applyFill="1" applyBorder="1" applyAlignment="1"/>
    <xf numFmtId="171" fontId="189" fillId="134" borderId="14" xfId="0" applyNumberFormat="1" applyFont="1" applyFill="1" applyBorder="1"/>
    <xf numFmtId="165" fontId="42" fillId="134" borderId="98" xfId="1" applyNumberFormat="1" applyFont="1" applyFill="1" applyBorder="1" applyAlignment="1"/>
    <xf numFmtId="168" fontId="186" fillId="152" borderId="94" xfId="0" applyNumberFormat="1" applyFont="1" applyFill="1" applyBorder="1"/>
    <xf numFmtId="168" fontId="186" fillId="152" borderId="92" xfId="0" applyNumberFormat="1" applyFont="1" applyFill="1" applyBorder="1"/>
    <xf numFmtId="168" fontId="186" fillId="152" borderId="92" xfId="0" applyNumberFormat="1" applyFont="1" applyFill="1" applyBorder="1" applyAlignment="1"/>
    <xf numFmtId="168" fontId="186" fillId="152" borderId="94" xfId="0" applyNumberFormat="1" applyFont="1" applyFill="1" applyBorder="1" applyAlignment="1"/>
    <xf numFmtId="168" fontId="186" fillId="152" borderId="95" xfId="0" applyNumberFormat="1" applyFont="1" applyFill="1" applyBorder="1" applyAlignment="1"/>
    <xf numFmtId="168" fontId="186" fillId="152" borderId="110" xfId="0" applyNumberFormat="1" applyFont="1" applyFill="1" applyBorder="1" applyAlignment="1"/>
    <xf numFmtId="0" fontId="192" fillId="152" borderId="40" xfId="0" applyFont="1" applyFill="1" applyBorder="1" applyAlignment="1">
      <alignment horizontal="center" vertical="center"/>
    </xf>
    <xf numFmtId="0" fontId="192" fillId="152" borderId="102" xfId="0" applyFont="1" applyFill="1" applyBorder="1" applyAlignment="1">
      <alignment horizontal="center" vertical="center"/>
    </xf>
    <xf numFmtId="0" fontId="192" fillId="152" borderId="40" xfId="0" applyFont="1" applyFill="1" applyBorder="1" applyAlignment="1">
      <alignment horizontal="center"/>
    </xf>
    <xf numFmtId="0" fontId="192" fillId="152" borderId="42" xfId="0" applyFont="1" applyFill="1" applyBorder="1" applyAlignment="1">
      <alignment horizontal="center"/>
    </xf>
    <xf numFmtId="168" fontId="186" fillId="152" borderId="43" xfId="0" applyNumberFormat="1" applyFont="1" applyFill="1" applyBorder="1"/>
    <xf numFmtId="168" fontId="192" fillId="156" borderId="42" xfId="0" applyNumberFormat="1" applyFont="1" applyFill="1" applyBorder="1"/>
    <xf numFmtId="168" fontId="186" fillId="152" borderId="42" xfId="0" applyNumberFormat="1" applyFont="1" applyFill="1" applyBorder="1"/>
    <xf numFmtId="168" fontId="186" fillId="152" borderId="40" xfId="0" applyNumberFormat="1" applyFont="1" applyFill="1" applyBorder="1"/>
    <xf numFmtId="168" fontId="192" fillId="156" borderId="40" xfId="0" applyNumberFormat="1" applyFont="1" applyFill="1" applyBorder="1"/>
    <xf numFmtId="168" fontId="186" fillId="152" borderId="40" xfId="0" applyNumberFormat="1" applyFont="1" applyFill="1" applyBorder="1" applyAlignment="1"/>
    <xf numFmtId="168" fontId="192" fillId="156" borderId="40" xfId="0" applyNumberFormat="1" applyFont="1" applyFill="1" applyBorder="1" applyAlignment="1"/>
    <xf numFmtId="168" fontId="186" fillId="152" borderId="42" xfId="0" applyNumberFormat="1" applyFont="1" applyFill="1" applyBorder="1" applyAlignment="1"/>
    <xf numFmtId="168" fontId="192" fillId="156" borderId="42" xfId="0" applyNumberFormat="1" applyFont="1" applyFill="1" applyBorder="1" applyAlignment="1"/>
    <xf numFmtId="168" fontId="186" fillId="152" borderId="43" xfId="0" applyNumberFormat="1" applyFont="1" applyFill="1" applyBorder="1" applyAlignment="1"/>
    <xf numFmtId="168" fontId="192" fillId="156" borderId="43" xfId="0" applyNumberFormat="1" applyFont="1" applyFill="1" applyBorder="1" applyAlignment="1"/>
    <xf numFmtId="168" fontId="186" fillId="152" borderId="67" xfId="0" applyNumberFormat="1" applyFont="1" applyFill="1" applyBorder="1" applyAlignment="1"/>
    <xf numFmtId="168" fontId="192" fillId="156" borderId="67" xfId="0" applyNumberFormat="1" applyFont="1" applyFill="1" applyBorder="1" applyAlignment="1"/>
    <xf numFmtId="168" fontId="42" fillId="134" borderId="97" xfId="0" applyNumberFormat="1" applyFont="1" applyFill="1" applyBorder="1" applyAlignment="1"/>
    <xf numFmtId="0" fontId="45" fillId="134" borderId="0" xfId="0" applyFont="1" applyFill="1" applyBorder="1" applyAlignment="1">
      <alignment horizontal="center"/>
    </xf>
    <xf numFmtId="0" fontId="195" fillId="134" borderId="0" xfId="5" applyFont="1" applyFill="1" applyBorder="1" applyAlignment="1">
      <alignment horizontal="center"/>
    </xf>
    <xf numFmtId="0" fontId="192" fillId="152" borderId="92" xfId="0" applyFont="1" applyFill="1" applyBorder="1" applyAlignment="1">
      <alignment horizontal="center"/>
    </xf>
    <xf numFmtId="171" fontId="195" fillId="134" borderId="0" xfId="5" applyNumberFormat="1" applyFont="1" applyFill="1" applyBorder="1" applyAlignment="1">
      <alignment horizontal="center" vertical="center"/>
    </xf>
    <xf numFmtId="0" fontId="195" fillId="134" borderId="0" xfId="5" applyFont="1" applyFill="1" applyBorder="1" applyAlignment="1">
      <alignment horizontal="center" vertical="center"/>
    </xf>
    <xf numFmtId="171" fontId="195" fillId="134" borderId="0" xfId="0" applyNumberFormat="1" applyFont="1" applyFill="1" applyAlignment="1">
      <alignment horizontal="center"/>
    </xf>
    <xf numFmtId="0" fontId="204" fillId="134" borderId="0" xfId="0" applyFont="1" applyFill="1" applyBorder="1" applyAlignment="1">
      <alignment horizontal="left"/>
    </xf>
    <xf numFmtId="173" fontId="42" fillId="134" borderId="0" xfId="0" applyNumberFormat="1" applyFont="1" applyFill="1"/>
    <xf numFmtId="246" fontId="186" fillId="134" borderId="0" xfId="0" applyNumberFormat="1" applyFont="1" applyFill="1"/>
    <xf numFmtId="0" fontId="42" fillId="158" borderId="28" xfId="0" applyFont="1" applyFill="1" applyBorder="1" applyAlignment="1">
      <alignment horizontal="center"/>
    </xf>
    <xf numFmtId="171" fontId="42" fillId="134" borderId="12" xfId="0" applyNumberFormat="1" applyFont="1" applyFill="1" applyBorder="1" applyAlignment="1">
      <alignment horizontal="center"/>
    </xf>
    <xf numFmtId="0" fontId="43" fillId="152" borderId="40" xfId="1" applyNumberFormat="1" applyFont="1" applyFill="1" applyBorder="1" applyAlignment="1">
      <alignment horizontal="center"/>
    </xf>
    <xf numFmtId="0" fontId="43" fillId="152" borderId="40" xfId="0" applyFont="1" applyFill="1" applyBorder="1" applyAlignment="1">
      <alignment horizontal="center"/>
    </xf>
    <xf numFmtId="0" fontId="43" fillId="152" borderId="102" xfId="0" applyFont="1" applyFill="1" applyBorder="1" applyAlignment="1">
      <alignment horizontal="center"/>
    </xf>
    <xf numFmtId="0" fontId="43" fillId="152" borderId="42" xfId="0" applyFont="1" applyFill="1" applyBorder="1" applyAlignment="1">
      <alignment horizontal="center"/>
    </xf>
    <xf numFmtId="171" fontId="43" fillId="152" borderId="42" xfId="0" applyNumberFormat="1" applyFont="1" applyFill="1" applyBorder="1" applyAlignment="1">
      <alignment horizontal="center"/>
    </xf>
    <xf numFmtId="171" fontId="43" fillId="152" borderId="43" xfId="0" applyNumberFormat="1" applyFont="1" applyFill="1" applyBorder="1" applyAlignment="1">
      <alignment horizontal="center"/>
    </xf>
    <xf numFmtId="171" fontId="43" fillId="152" borderId="40" xfId="0" applyNumberFormat="1" applyFont="1" applyFill="1" applyBorder="1" applyAlignment="1">
      <alignment horizontal="center"/>
    </xf>
    <xf numFmtId="171" fontId="43" fillId="152" borderId="104" xfId="0" applyNumberFormat="1" applyFont="1" applyFill="1" applyBorder="1" applyAlignment="1">
      <alignment horizontal="center"/>
    </xf>
    <xf numFmtId="171" fontId="43" fillId="152" borderId="102" xfId="0" applyNumberFormat="1" applyFont="1" applyFill="1" applyBorder="1" applyAlignment="1">
      <alignment horizontal="center"/>
    </xf>
    <xf numFmtId="171" fontId="43" fillId="151" borderId="67" xfId="0" applyNumberFormat="1" applyFont="1" applyFill="1" applyBorder="1" applyAlignment="1">
      <alignment horizontal="center"/>
    </xf>
    <xf numFmtId="171" fontId="42" fillId="134" borderId="97" xfId="0" applyNumberFormat="1" applyFont="1" applyFill="1" applyBorder="1" applyAlignment="1">
      <alignment horizontal="center"/>
    </xf>
    <xf numFmtId="0" fontId="42" fillId="134" borderId="40" xfId="0" applyFont="1" applyFill="1" applyBorder="1"/>
    <xf numFmtId="0" fontId="42" fillId="134" borderId="102" xfId="0" applyFont="1" applyFill="1" applyBorder="1" applyAlignment="1">
      <alignment horizontal="center"/>
    </xf>
    <xf numFmtId="0" fontId="43" fillId="134" borderId="40" xfId="0" applyFont="1" applyFill="1" applyBorder="1" applyAlignment="1">
      <alignment horizontal="right"/>
    </xf>
    <xf numFmtId="171" fontId="42" fillId="134" borderId="42" xfId="0" applyNumberFormat="1" applyFont="1" applyFill="1" applyBorder="1" applyAlignment="1">
      <alignment horizontal="center"/>
    </xf>
    <xf numFmtId="171" fontId="42" fillId="134" borderId="43" xfId="0" applyNumberFormat="1" applyFont="1" applyFill="1" applyBorder="1" applyAlignment="1">
      <alignment horizontal="center"/>
    </xf>
    <xf numFmtId="171" fontId="42" fillId="134" borderId="40" xfId="0" applyNumberFormat="1" applyFont="1" applyFill="1" applyBorder="1" applyAlignment="1">
      <alignment horizontal="center"/>
    </xf>
    <xf numFmtId="171" fontId="42" fillId="134" borderId="42" xfId="0" applyNumberFormat="1" applyFont="1" applyFill="1" applyBorder="1" applyAlignment="1">
      <alignment horizontal="center" vertical="center"/>
    </xf>
    <xf numFmtId="171" fontId="42" fillId="134" borderId="67" xfId="0" applyNumberFormat="1" applyFont="1" applyFill="1" applyBorder="1" applyAlignment="1">
      <alignment horizontal="center" vertical="center"/>
    </xf>
    <xf numFmtId="0" fontId="42" fillId="158" borderId="32" xfId="0" applyFont="1" applyFill="1" applyBorder="1"/>
    <xf numFmtId="0" fontId="42" fillId="158" borderId="29" xfId="0" applyFont="1" applyFill="1" applyBorder="1"/>
    <xf numFmtId="0" fontId="45" fillId="158" borderId="29" xfId="0" applyFont="1" applyFill="1" applyBorder="1" applyAlignment="1">
      <alignment horizontal="center"/>
    </xf>
    <xf numFmtId="0" fontId="206" fillId="158" borderId="29" xfId="0" applyFont="1" applyFill="1" applyBorder="1" applyAlignment="1">
      <alignment horizontal="center"/>
    </xf>
    <xf numFmtId="0" fontId="45" fillId="158" borderId="30" xfId="0" applyFont="1" applyFill="1" applyBorder="1" applyAlignment="1">
      <alignment horizontal="center"/>
    </xf>
    <xf numFmtId="0" fontId="43" fillId="158" borderId="29" xfId="0" applyFont="1" applyFill="1" applyBorder="1"/>
    <xf numFmtId="0" fontId="42" fillId="158" borderId="30" xfId="0" applyFont="1" applyFill="1" applyBorder="1"/>
    <xf numFmtId="0" fontId="43" fillId="134" borderId="15" xfId="0" applyFont="1" applyFill="1" applyBorder="1" applyAlignment="1">
      <alignment horizontal="center"/>
    </xf>
    <xf numFmtId="164" fontId="42" fillId="158" borderId="8" xfId="0" applyNumberFormat="1" applyFont="1" applyFill="1" applyBorder="1" applyAlignment="1">
      <alignment horizontal="center"/>
    </xf>
    <xf numFmtId="164" fontId="43" fillId="158" borderId="11" xfId="0" applyNumberFormat="1" applyFont="1" applyFill="1" applyBorder="1" applyAlignment="1">
      <alignment horizontal="center"/>
    </xf>
    <xf numFmtId="0" fontId="42" fillId="158" borderId="11" xfId="0" applyFont="1" applyFill="1" applyBorder="1" applyAlignment="1">
      <alignment horizontal="center"/>
    </xf>
    <xf numFmtId="173" fontId="42" fillId="134" borderId="14" xfId="0" applyNumberFormat="1" applyFont="1" applyFill="1" applyBorder="1"/>
    <xf numFmtId="173" fontId="42" fillId="134" borderId="0" xfId="0" applyNumberFormat="1" applyFont="1" applyFill="1" applyBorder="1"/>
    <xf numFmtId="173" fontId="43" fillId="134" borderId="14" xfId="0" applyNumberFormat="1" applyFont="1" applyFill="1" applyBorder="1"/>
    <xf numFmtId="173" fontId="43" fillId="134" borderId="0" xfId="0" applyNumberFormat="1" applyFont="1" applyFill="1" applyBorder="1"/>
    <xf numFmtId="173" fontId="42" fillId="134" borderId="0" xfId="0" applyNumberFormat="1" applyFont="1" applyFill="1" applyBorder="1" applyAlignment="1"/>
    <xf numFmtId="173" fontId="42" fillId="134" borderId="27" xfId="0" applyNumberFormat="1" applyFont="1" applyFill="1" applyBorder="1" applyAlignment="1"/>
    <xf numFmtId="0" fontId="42" fillId="157" borderId="26" xfId="0" applyFont="1" applyFill="1" applyBorder="1"/>
    <xf numFmtId="0" fontId="42" fillId="157" borderId="27" xfId="0" applyFont="1" applyFill="1" applyBorder="1"/>
    <xf numFmtId="0" fontId="45" fillId="157" borderId="27" xfId="0" applyFont="1" applyFill="1" applyBorder="1" applyAlignment="1">
      <alignment horizontal="center"/>
    </xf>
    <xf numFmtId="0" fontId="42" fillId="157" borderId="27" xfId="0" applyFont="1" applyFill="1" applyBorder="1" applyAlignment="1">
      <alignment horizontal="center"/>
    </xf>
    <xf numFmtId="0" fontId="45" fillId="157" borderId="28" xfId="0" applyFont="1" applyFill="1" applyBorder="1" applyAlignment="1">
      <alignment horizontal="center"/>
    </xf>
    <xf numFmtId="0" fontId="42" fillId="157" borderId="28" xfId="0" applyFont="1" applyFill="1" applyBorder="1"/>
    <xf numFmtId="3" fontId="43" fillId="134" borderId="0" xfId="100" applyNumberFormat="1" applyFont="1" applyFill="1"/>
    <xf numFmtId="0" fontId="42" fillId="134" borderId="0" xfId="5" applyFont="1" applyFill="1" applyAlignment="1"/>
    <xf numFmtId="0" fontId="212" fillId="134" borderId="0" xfId="0" quotePrefix="1" applyFont="1" applyFill="1"/>
    <xf numFmtId="0" fontId="42" fillId="134" borderId="0" xfId="0" applyFont="1" applyFill="1" applyAlignment="1">
      <alignment vertical="center"/>
    </xf>
    <xf numFmtId="44" fontId="42" fillId="134" borderId="0" xfId="2" applyFont="1" applyFill="1"/>
    <xf numFmtId="43" fontId="42" fillId="134" borderId="0" xfId="1" applyFont="1" applyFill="1"/>
    <xf numFmtId="44" fontId="42" fillId="134" borderId="0" xfId="0" applyNumberFormat="1" applyFont="1" applyFill="1"/>
    <xf numFmtId="3" fontId="42" fillId="134" borderId="0" xfId="100" applyNumberFormat="1" applyFont="1" applyFill="1" applyAlignment="1">
      <alignment vertical="center"/>
    </xf>
    <xf numFmtId="3" fontId="43" fillId="134" borderId="0" xfId="100" applyNumberFormat="1" applyFont="1" applyFill="1" applyAlignment="1">
      <alignment vertical="center"/>
    </xf>
    <xf numFmtId="185" fontId="42" fillId="158" borderId="14" xfId="101" applyFont="1" applyFill="1" applyBorder="1" applyAlignment="1">
      <alignment horizontal="center"/>
    </xf>
    <xf numFmtId="0" fontId="42" fillId="158" borderId="14" xfId="101" applyNumberFormat="1" applyFont="1" applyFill="1" applyBorder="1" applyAlignment="1">
      <alignment horizontal="center"/>
    </xf>
    <xf numFmtId="185" fontId="42" fillId="158" borderId="0" xfId="101" applyFont="1" applyFill="1" applyBorder="1" applyAlignment="1">
      <alignment horizontal="center"/>
    </xf>
    <xf numFmtId="7" fontId="42" fillId="134" borderId="5" xfId="2" applyNumberFormat="1" applyFont="1" applyFill="1" applyBorder="1" applyAlignment="1">
      <alignment horizontal="center"/>
    </xf>
    <xf numFmtId="7" fontId="42" fillId="134" borderId="14" xfId="2" applyNumberFormat="1" applyFont="1" applyFill="1" applyBorder="1" applyAlignment="1">
      <alignment horizontal="center"/>
    </xf>
    <xf numFmtId="7" fontId="42" fillId="134" borderId="11" xfId="2" applyNumberFormat="1" applyFont="1" applyFill="1" applyBorder="1" applyAlignment="1">
      <alignment horizontal="center"/>
    </xf>
    <xf numFmtId="7" fontId="42" fillId="134" borderId="26" xfId="2" applyNumberFormat="1" applyFont="1" applyFill="1" applyBorder="1" applyAlignment="1">
      <alignment horizontal="center"/>
    </xf>
    <xf numFmtId="7" fontId="42" fillId="134" borderId="28" xfId="2" applyNumberFormat="1" applyFont="1" applyFill="1" applyBorder="1" applyAlignment="1">
      <alignment horizontal="center"/>
    </xf>
    <xf numFmtId="7" fontId="42" fillId="134" borderId="4" xfId="2" applyNumberFormat="1" applyFont="1" applyFill="1" applyBorder="1" applyAlignment="1">
      <alignment horizontal="center"/>
    </xf>
    <xf numFmtId="7" fontId="42" fillId="134" borderId="8" xfId="2" applyNumberFormat="1" applyFont="1" applyFill="1" applyBorder="1" applyAlignment="1">
      <alignment horizontal="center"/>
    </xf>
    <xf numFmtId="168" fontId="43" fillId="155" borderId="43" xfId="143" applyNumberFormat="1" applyFont="1" applyFill="1" applyBorder="1" applyAlignment="1">
      <alignment horizontal="center"/>
    </xf>
    <xf numFmtId="168" fontId="43" fillId="156" borderId="43" xfId="143" applyNumberFormat="1" applyFont="1" applyFill="1" applyBorder="1" applyAlignment="1">
      <alignment horizontal="center"/>
    </xf>
    <xf numFmtId="0" fontId="43" fillId="134" borderId="28" xfId="0" applyFont="1" applyFill="1" applyBorder="1" applyAlignment="1">
      <alignment horizontal="center"/>
    </xf>
    <xf numFmtId="44" fontId="44" fillId="134" borderId="0" xfId="2" applyFont="1" applyFill="1" applyBorder="1" applyAlignment="1"/>
    <xf numFmtId="37" fontId="44" fillId="134" borderId="36" xfId="101" applyNumberFormat="1" applyFont="1" applyFill="1" applyBorder="1"/>
    <xf numFmtId="167" fontId="42" fillId="0" borderId="0" xfId="1" applyNumberFormat="1" applyFont="1"/>
    <xf numFmtId="184" fontId="43" fillId="0" borderId="2" xfId="2" applyNumberFormat="1" applyFont="1" applyFill="1" applyBorder="1"/>
    <xf numFmtId="184" fontId="43" fillId="0" borderId="16" xfId="2" applyNumberFormat="1" applyFont="1" applyFill="1" applyBorder="1"/>
    <xf numFmtId="184" fontId="43" fillId="37" borderId="38" xfId="2" applyNumberFormat="1" applyFont="1" applyFill="1" applyBorder="1" applyAlignment="1">
      <alignment vertical="center"/>
    </xf>
    <xf numFmtId="170" fontId="44" fillId="134" borderId="5" xfId="0" applyNumberFormat="1" applyFont="1" applyFill="1" applyBorder="1" applyAlignment="1">
      <alignment horizontal="center"/>
    </xf>
    <xf numFmtId="170" fontId="44" fillId="134" borderId="4" xfId="0" applyNumberFormat="1" applyFont="1" applyFill="1" applyBorder="1" applyAlignment="1">
      <alignment horizontal="center"/>
    </xf>
    <xf numFmtId="170" fontId="44" fillId="134" borderId="26" xfId="0" applyNumberFormat="1" applyFont="1" applyFill="1" applyBorder="1" applyAlignment="1">
      <alignment horizontal="center"/>
    </xf>
    <xf numFmtId="185" fontId="42" fillId="0" borderId="29" xfId="101" applyFont="1" applyBorder="1"/>
    <xf numFmtId="37" fontId="42" fillId="0" borderId="24" xfId="0" applyNumberFormat="1" applyFont="1" applyBorder="1"/>
    <xf numFmtId="37" fontId="42" fillId="0" borderId="24" xfId="101" applyNumberFormat="1" applyFont="1" applyBorder="1"/>
    <xf numFmtId="184" fontId="206" fillId="134" borderId="0" xfId="2" applyNumberFormat="1" applyFont="1" applyFill="1" applyAlignment="1">
      <alignment horizontal="center"/>
    </xf>
    <xf numFmtId="184" fontId="185" fillId="134" borderId="16" xfId="2" applyNumberFormat="1" applyFont="1" applyFill="1" applyBorder="1" applyAlignment="1">
      <alignment horizontal="right"/>
    </xf>
    <xf numFmtId="0" fontId="70" fillId="134" borderId="0" xfId="0" applyFont="1" applyFill="1" applyBorder="1" applyAlignment="1">
      <alignment horizontal="right"/>
    </xf>
    <xf numFmtId="0" fontId="200" fillId="134" borderId="0" xfId="0" applyFont="1" applyFill="1" applyBorder="1" applyAlignment="1">
      <alignment horizontal="center" vertical="center"/>
    </xf>
    <xf numFmtId="171" fontId="218" fillId="134" borderId="27" xfId="0" applyNumberFormat="1" applyFont="1" applyFill="1" applyBorder="1"/>
    <xf numFmtId="171" fontId="218" fillId="134" borderId="105" xfId="0" applyNumberFormat="1" applyFont="1" applyFill="1" applyBorder="1"/>
    <xf numFmtId="171" fontId="218" fillId="134" borderId="14" xfId="0" applyNumberFormat="1" applyFont="1" applyFill="1" applyBorder="1"/>
    <xf numFmtId="171" fontId="218" fillId="134" borderId="106" xfId="0" applyNumberFormat="1" applyFont="1" applyFill="1" applyBorder="1"/>
    <xf numFmtId="171" fontId="218" fillId="134" borderId="0" xfId="0" applyNumberFormat="1" applyFont="1" applyFill="1" applyBorder="1"/>
    <xf numFmtId="171" fontId="218" fillId="134" borderId="107" xfId="0" applyNumberFormat="1" applyFont="1" applyFill="1" applyBorder="1"/>
    <xf numFmtId="171" fontId="218" fillId="134" borderId="0" xfId="0" applyNumberFormat="1" applyFont="1" applyFill="1" applyBorder="1" applyAlignment="1"/>
    <xf numFmtId="171" fontId="218" fillId="134" borderId="107" xfId="0" applyNumberFormat="1" applyFont="1" applyFill="1" applyBorder="1" applyAlignment="1"/>
    <xf numFmtId="171" fontId="218" fillId="134" borderId="14" xfId="0" applyNumberFormat="1" applyFont="1" applyFill="1" applyBorder="1" applyAlignment="1"/>
    <xf numFmtId="171" fontId="218" fillId="134" borderId="106" xfId="0" applyNumberFormat="1" applyFont="1" applyFill="1" applyBorder="1" applyAlignment="1"/>
    <xf numFmtId="171" fontId="218" fillId="134" borderId="27" xfId="0" applyNumberFormat="1" applyFont="1" applyFill="1" applyBorder="1" applyAlignment="1"/>
    <xf numFmtId="171" fontId="218" fillId="134" borderId="105" xfId="0" applyNumberFormat="1" applyFont="1" applyFill="1" applyBorder="1" applyAlignment="1"/>
    <xf numFmtId="171" fontId="218" fillId="134" borderId="12" xfId="0" applyNumberFormat="1" applyFont="1" applyFill="1" applyBorder="1" applyAlignment="1"/>
    <xf numFmtId="171" fontId="218" fillId="134" borderId="97" xfId="0" applyNumberFormat="1" applyFont="1" applyFill="1" applyBorder="1" applyAlignment="1"/>
    <xf numFmtId="184" fontId="204" fillId="134" borderId="14" xfId="2" applyNumberFormat="1" applyFont="1" applyFill="1" applyBorder="1" applyAlignment="1">
      <alignment horizontal="right"/>
    </xf>
    <xf numFmtId="0" fontId="200" fillId="134" borderId="98" xfId="0" applyFont="1" applyFill="1" applyBorder="1" applyAlignment="1">
      <alignment horizontal="center" vertical="center"/>
    </xf>
    <xf numFmtId="171" fontId="186" fillId="134" borderId="1" xfId="0" applyNumberFormat="1" applyFont="1" applyFill="1" applyBorder="1" applyAlignment="1">
      <alignment horizontal="center" vertical="center"/>
    </xf>
    <xf numFmtId="171" fontId="199" fillId="134" borderId="0" xfId="0" applyNumberFormat="1" applyFont="1" applyFill="1" applyAlignment="1">
      <alignment horizontal="center"/>
    </xf>
    <xf numFmtId="171" fontId="218" fillId="134" borderId="7" xfId="0" applyNumberFormat="1" applyFont="1" applyFill="1" applyBorder="1"/>
    <xf numFmtId="171" fontId="218" fillId="134" borderId="7" xfId="0" applyNumberFormat="1" applyFont="1" applyFill="1" applyBorder="1" applyAlignment="1"/>
    <xf numFmtId="171" fontId="218" fillId="134" borderId="98" xfId="0" applyNumberFormat="1" applyFont="1" applyFill="1" applyBorder="1" applyAlignment="1"/>
    <xf numFmtId="0" fontId="45" fillId="134" borderId="27" xfId="0" applyFont="1" applyFill="1" applyBorder="1" applyAlignment="1">
      <alignment horizontal="center"/>
    </xf>
    <xf numFmtId="0" fontId="42" fillId="134" borderId="27" xfId="0" applyFont="1" applyFill="1" applyBorder="1"/>
    <xf numFmtId="171" fontId="186" fillId="134" borderId="0" xfId="0" applyNumberFormat="1" applyFont="1" applyFill="1" applyBorder="1" applyAlignment="1">
      <alignment horizontal="center" vertical="center"/>
    </xf>
    <xf numFmtId="171" fontId="218" fillId="134" borderId="44" xfId="0" applyNumberFormat="1" applyFont="1" applyFill="1" applyBorder="1"/>
    <xf numFmtId="171" fontId="218" fillId="134" borderId="112" xfId="0" applyNumberFormat="1" applyFont="1" applyFill="1" applyBorder="1"/>
    <xf numFmtId="171" fontId="218" fillId="134" borderId="48" xfId="0" applyNumberFormat="1" applyFont="1" applyFill="1" applyBorder="1"/>
    <xf numFmtId="171" fontId="218" fillId="134" borderId="112" xfId="0" applyNumberFormat="1" applyFont="1" applyFill="1" applyBorder="1" applyAlignment="1"/>
    <xf numFmtId="171" fontId="218" fillId="134" borderId="44" xfId="0" applyNumberFormat="1" applyFont="1" applyFill="1" applyBorder="1" applyAlignment="1"/>
    <xf numFmtId="0" fontId="43" fillId="134" borderId="91" xfId="0" applyFont="1" applyFill="1" applyBorder="1" applyAlignment="1">
      <alignment horizontal="center"/>
    </xf>
    <xf numFmtId="37" fontId="195" fillId="134" borderId="18" xfId="0" applyNumberFormat="1" applyFont="1" applyFill="1" applyBorder="1" applyAlignment="1">
      <alignment horizontal="center"/>
    </xf>
    <xf numFmtId="7" fontId="189" fillId="134" borderId="0" xfId="0" applyNumberFormat="1" applyFont="1" applyFill="1" applyBorder="1"/>
    <xf numFmtId="184" fontId="0" fillId="134" borderId="0" xfId="0" applyNumberFormat="1" applyFill="1"/>
    <xf numFmtId="0" fontId="42" fillId="152" borderId="0" xfId="0" applyFont="1" applyFill="1" applyBorder="1" applyAlignment="1">
      <alignment horizontal="center" vertical="center" wrapText="1"/>
    </xf>
    <xf numFmtId="0" fontId="0" fillId="152" borderId="0" xfId="0" applyFill="1" applyBorder="1"/>
    <xf numFmtId="10" fontId="50" fillId="152" borderId="0" xfId="4" applyNumberFormat="1" applyFont="1" applyFill="1" applyBorder="1" applyAlignment="1">
      <alignment horizontal="center" vertical="center"/>
    </xf>
    <xf numFmtId="184" fontId="181" fillId="152" borderId="17" xfId="2" applyNumberFormat="1" applyFont="1" applyFill="1" applyBorder="1" applyAlignment="1">
      <alignment horizontal="center"/>
    </xf>
    <xf numFmtId="10" fontId="181" fillId="152" borderId="21" xfId="4" applyNumberFormat="1" applyFont="1" applyFill="1" applyBorder="1" applyAlignment="1">
      <alignment horizontal="center"/>
    </xf>
    <xf numFmtId="168" fontId="214" fillId="0" borderId="5" xfId="143" applyNumberFormat="1" applyFont="1" applyFill="1" applyBorder="1" applyAlignment="1">
      <alignment horizontal="center"/>
    </xf>
    <xf numFmtId="7" fontId="190" fillId="134" borderId="0" xfId="2" applyNumberFormat="1" applyFont="1" applyFill="1" applyBorder="1" applyAlignment="1">
      <alignment horizontal="center"/>
    </xf>
    <xf numFmtId="7" fontId="190" fillId="134" borderId="0" xfId="0" applyNumberFormat="1" applyFont="1" applyFill="1" applyBorder="1" applyAlignment="1">
      <alignment horizontal="center"/>
    </xf>
    <xf numFmtId="168" fontId="215" fillId="134" borderId="26" xfId="0" applyNumberFormat="1" applyFont="1" applyFill="1" applyBorder="1" applyAlignment="1">
      <alignment horizontal="center"/>
    </xf>
    <xf numFmtId="168" fontId="215" fillId="134" borderId="9" xfId="0" applyNumberFormat="1" applyFont="1" applyFill="1" applyBorder="1" applyAlignment="1">
      <alignment horizontal="center"/>
    </xf>
    <xf numFmtId="0" fontId="195" fillId="134" borderId="0" xfId="0" applyFont="1" applyFill="1" applyBorder="1" applyAlignment="1"/>
    <xf numFmtId="0" fontId="190" fillId="159" borderId="113" xfId="0" applyFont="1" applyFill="1" applyBorder="1" applyAlignment="1">
      <alignment horizontal="center"/>
    </xf>
    <xf numFmtId="0" fontId="190" fillId="159" borderId="31" xfId="0" applyFont="1" applyFill="1" applyBorder="1" applyAlignment="1">
      <alignment horizontal="center"/>
    </xf>
    <xf numFmtId="14" fontId="192" fillId="156" borderId="40" xfId="0" applyNumberFormat="1" applyFont="1" applyFill="1" applyBorder="1" applyAlignment="1">
      <alignment horizontal="center" vertical="center"/>
    </xf>
    <xf numFmtId="37" fontId="43" fillId="152" borderId="39" xfId="0" applyNumberFormat="1" applyFont="1" applyFill="1" applyBorder="1" applyAlignment="1">
      <alignment horizontal="center"/>
    </xf>
    <xf numFmtId="0" fontId="42" fillId="134" borderId="27" xfId="0" applyFont="1" applyFill="1" applyBorder="1" applyAlignment="1">
      <alignment horizontal="center"/>
    </xf>
    <xf numFmtId="0" fontId="42" fillId="158" borderId="15" xfId="0" applyFont="1" applyFill="1" applyBorder="1" applyAlignment="1">
      <alignment horizontal="center"/>
    </xf>
    <xf numFmtId="37" fontId="42" fillId="134" borderId="9" xfId="0" applyNumberFormat="1" applyFont="1" applyFill="1" applyBorder="1" applyAlignment="1"/>
    <xf numFmtId="171" fontId="42" fillId="134" borderId="9" xfId="0" applyNumberFormat="1" applyFont="1" applyFill="1" applyBorder="1" applyAlignment="1">
      <alignment horizontal="center"/>
    </xf>
    <xf numFmtId="168" fontId="42" fillId="134" borderId="9" xfId="0" applyNumberFormat="1" applyFont="1" applyFill="1" applyBorder="1" applyAlignment="1"/>
    <xf numFmtId="37" fontId="43" fillId="134" borderId="27" xfId="0" applyNumberFormat="1" applyFont="1" applyFill="1" applyBorder="1" applyAlignment="1"/>
    <xf numFmtId="39" fontId="206" fillId="134" borderId="27" xfId="0" applyNumberFormat="1" applyFont="1" applyFill="1" applyBorder="1" applyAlignment="1"/>
    <xf numFmtId="171" fontId="43" fillId="134" borderId="27" xfId="0" applyNumberFormat="1" applyFont="1" applyFill="1" applyBorder="1" applyAlignment="1"/>
    <xf numFmtId="39" fontId="43" fillId="134" borderId="27" xfId="0" applyNumberFormat="1" applyFont="1" applyFill="1" applyBorder="1"/>
    <xf numFmtId="39" fontId="43" fillId="134" borderId="28" xfId="0" applyNumberFormat="1" applyFont="1" applyFill="1" applyBorder="1"/>
    <xf numFmtId="0" fontId="42" fillId="134" borderId="32" xfId="0" applyFont="1" applyFill="1" applyBorder="1"/>
    <xf numFmtId="0" fontId="42" fillId="134" borderId="29" xfId="0" applyFont="1" applyFill="1" applyBorder="1"/>
    <xf numFmtId="168" fontId="43" fillId="134" borderId="0" xfId="2" applyNumberFormat="1" applyFont="1" applyFill="1" applyBorder="1"/>
    <xf numFmtId="171" fontId="42" fillId="134" borderId="1" xfId="0" applyNumberFormat="1" applyFont="1" applyFill="1" applyBorder="1" applyAlignment="1">
      <alignment horizontal="center"/>
    </xf>
    <xf numFmtId="171" fontId="42" fillId="134" borderId="7" xfId="5" applyNumberFormat="1" applyFont="1" applyFill="1" applyBorder="1" applyAlignment="1">
      <alignment horizontal="center"/>
    </xf>
    <xf numFmtId="171" fontId="42" fillId="134" borderId="0" xfId="5" applyNumberFormat="1" applyFont="1" applyFill="1" applyBorder="1" applyAlignment="1">
      <alignment horizontal="center"/>
    </xf>
    <xf numFmtId="171" fontId="42" fillId="134" borderId="1" xfId="5" applyNumberFormat="1" applyFont="1" applyFill="1" applyBorder="1" applyAlignment="1">
      <alignment horizontal="center"/>
    </xf>
    <xf numFmtId="0" fontId="43" fillId="0" borderId="0" xfId="0" applyFont="1" applyFill="1" applyAlignment="1">
      <alignment horizontal="center"/>
    </xf>
    <xf numFmtId="14" fontId="192" fillId="152" borderId="40" xfId="0" applyNumberFormat="1" applyFont="1" applyFill="1" applyBorder="1" applyAlignment="1">
      <alignment horizontal="center" vertical="center"/>
    </xf>
    <xf numFmtId="14" fontId="42" fillId="134" borderId="39" xfId="0" applyNumberFormat="1" applyFont="1" applyFill="1" applyBorder="1" applyAlignment="1">
      <alignment horizontal="center"/>
    </xf>
    <xf numFmtId="0" fontId="50" fillId="134" borderId="5" xfId="0" applyFont="1" applyFill="1" applyBorder="1" applyAlignment="1">
      <alignment horizontal="center" vertical="center" wrapText="1"/>
    </xf>
    <xf numFmtId="0" fontId="181" fillId="134" borderId="54" xfId="0" applyFont="1" applyFill="1" applyBorder="1" applyAlignment="1">
      <alignment horizontal="center" vertical="center" wrapText="1"/>
    </xf>
    <xf numFmtId="0" fontId="50" fillId="134" borderId="4" xfId="0" applyFont="1" applyFill="1" applyBorder="1" applyAlignment="1">
      <alignment horizontal="center" vertical="center" wrapText="1"/>
    </xf>
    <xf numFmtId="184" fontId="181" fillId="134" borderId="18" xfId="0" applyNumberFormat="1" applyFont="1" applyFill="1" applyBorder="1"/>
    <xf numFmtId="184" fontId="181" fillId="134" borderId="18" xfId="2" applyNumberFormat="1" applyFont="1" applyFill="1" applyBorder="1"/>
    <xf numFmtId="184" fontId="181" fillId="134" borderId="39" xfId="2" applyNumberFormat="1" applyFont="1" applyFill="1" applyBorder="1"/>
    <xf numFmtId="10" fontId="181" fillId="134" borderId="17" xfId="4" applyNumberFormat="1" applyFont="1" applyFill="1" applyBorder="1" applyAlignment="1">
      <alignment horizontal="center"/>
    </xf>
    <xf numFmtId="10" fontId="181" fillId="134" borderId="18" xfId="4" applyNumberFormat="1" applyFont="1" applyFill="1" applyBorder="1" applyAlignment="1">
      <alignment horizontal="center"/>
    </xf>
    <xf numFmtId="10" fontId="181" fillId="134" borderId="21" xfId="4" applyNumberFormat="1" applyFont="1" applyFill="1" applyBorder="1" applyAlignment="1">
      <alignment horizontal="center"/>
    </xf>
    <xf numFmtId="184" fontId="181" fillId="134" borderId="17" xfId="0" applyNumberFormat="1" applyFont="1" applyFill="1" applyBorder="1"/>
    <xf numFmtId="0" fontId="43" fillId="134" borderId="17" xfId="5" applyFont="1" applyFill="1" applyBorder="1" applyAlignment="1">
      <alignment horizontal="center"/>
    </xf>
    <xf numFmtId="0" fontId="181" fillId="134" borderId="98" xfId="0" applyFont="1" applyFill="1" applyBorder="1"/>
    <xf numFmtId="0" fontId="42" fillId="134" borderId="4" xfId="5" applyFont="1" applyFill="1" applyBorder="1" applyAlignment="1">
      <alignment horizontal="center" vertical="center" wrapText="1"/>
    </xf>
    <xf numFmtId="0" fontId="42" fillId="160" borderId="0" xfId="0" applyFont="1" applyFill="1"/>
    <xf numFmtId="0" fontId="43"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81" fillId="134" borderId="17" xfId="2" applyNumberFormat="1" applyFont="1" applyFill="1" applyBorder="1"/>
    <xf numFmtId="0" fontId="49" fillId="134" borderId="97" xfId="0" applyFont="1" applyFill="1" applyBorder="1" applyAlignment="1">
      <alignment horizontal="center"/>
    </xf>
    <xf numFmtId="0" fontId="49" fillId="134" borderId="98" xfId="0" applyFont="1" applyFill="1" applyBorder="1" applyAlignment="1">
      <alignment horizontal="center"/>
    </xf>
    <xf numFmtId="0" fontId="49" fillId="134" borderId="99" xfId="0" applyFont="1" applyFill="1" applyBorder="1" applyAlignment="1">
      <alignment horizontal="center"/>
    </xf>
    <xf numFmtId="0" fontId="0" fillId="152" borderId="99" xfId="0" applyFill="1" applyBorder="1"/>
    <xf numFmtId="0" fontId="0" fillId="154" borderId="98" xfId="0" applyFill="1" applyBorder="1"/>
    <xf numFmtId="0" fontId="49" fillId="154" borderId="99"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81" fillId="134" borderId="9" xfId="0" applyNumberFormat="1" applyFont="1" applyFill="1" applyBorder="1"/>
    <xf numFmtId="184" fontId="181" fillId="134" borderId="9" xfId="2" applyNumberFormat="1" applyFont="1" applyFill="1" applyBorder="1"/>
    <xf numFmtId="10" fontId="181" fillId="134" borderId="114" xfId="4" applyNumberFormat="1" applyFont="1" applyFill="1" applyBorder="1" applyAlignment="1">
      <alignment horizontal="center"/>
    </xf>
    <xf numFmtId="10" fontId="181" fillId="134" borderId="9" xfId="4" applyNumberFormat="1" applyFont="1" applyFill="1" applyBorder="1" applyAlignment="1">
      <alignment horizontal="center"/>
    </xf>
    <xf numFmtId="184" fontId="181" fillId="152" borderId="112" xfId="2" applyNumberFormat="1" applyFont="1" applyFill="1" applyBorder="1" applyAlignment="1">
      <alignment horizontal="center"/>
    </xf>
    <xf numFmtId="10" fontId="181" fillId="152" borderId="114" xfId="4" applyNumberFormat="1" applyFont="1" applyFill="1" applyBorder="1" applyAlignment="1">
      <alignment horizontal="center"/>
    </xf>
    <xf numFmtId="184" fontId="181" fillId="154" borderId="112" xfId="2" applyNumberFormat="1" applyFont="1" applyFill="1" applyBorder="1"/>
    <xf numFmtId="10" fontId="181" fillId="154" borderId="114" xfId="4" applyNumberFormat="1" applyFont="1" applyFill="1" applyBorder="1" applyAlignment="1">
      <alignment horizontal="center"/>
    </xf>
    <xf numFmtId="10" fontId="181" fillId="134" borderId="112" xfId="4" applyNumberFormat="1" applyFont="1" applyFill="1" applyBorder="1" applyAlignment="1">
      <alignment horizontal="center"/>
    </xf>
    <xf numFmtId="0" fontId="0" fillId="160" borderId="0" xfId="0" applyFill="1"/>
    <xf numFmtId="0" fontId="182" fillId="160" borderId="0" xfId="0" applyFont="1" applyFill="1"/>
    <xf numFmtId="0" fontId="50" fillId="161" borderId="11" xfId="0" applyFont="1" applyFill="1" applyBorder="1" applyAlignment="1">
      <alignment horizontal="center" vertical="center" wrapText="1"/>
    </xf>
    <xf numFmtId="0" fontId="50" fillId="161" borderId="115" xfId="0" applyFont="1" applyFill="1" applyBorder="1" applyAlignment="1">
      <alignment horizontal="center" vertical="center" wrapText="1"/>
    </xf>
    <xf numFmtId="0" fontId="50" fillId="161" borderId="8" xfId="0" applyFont="1" applyFill="1" applyBorder="1" applyAlignment="1">
      <alignment horizontal="center" vertical="center" wrapText="1"/>
    </xf>
    <xf numFmtId="0" fontId="42" fillId="161" borderId="8" xfId="0" quotePrefix="1" applyFont="1" applyFill="1" applyBorder="1" applyAlignment="1">
      <alignment horizontal="center"/>
    </xf>
    <xf numFmtId="0" fontId="42" fillId="161" borderId="8" xfId="0" applyFont="1" applyFill="1" applyBorder="1" applyAlignment="1">
      <alignment horizontal="center"/>
    </xf>
    <xf numFmtId="0" fontId="0" fillId="161" borderId="8" xfId="0" applyFill="1" applyBorder="1"/>
    <xf numFmtId="0" fontId="42" fillId="161" borderId="17" xfId="5" applyFont="1" applyFill="1" applyBorder="1" applyAlignment="1">
      <alignment horizontal="center" vertical="center" wrapText="1"/>
    </xf>
    <xf numFmtId="0" fontId="50" fillId="161" borderId="19" xfId="0" applyFont="1" applyFill="1" applyBorder="1" applyAlignment="1">
      <alignment horizontal="center" vertical="center" wrapText="1"/>
    </xf>
    <xf numFmtId="0" fontId="42" fillId="161" borderId="48" xfId="5" applyFont="1" applyFill="1" applyBorder="1" applyAlignment="1">
      <alignment horizontal="center" vertical="center" wrapText="1"/>
    </xf>
    <xf numFmtId="0" fontId="42" fillId="161" borderId="55" xfId="5" applyFont="1" applyFill="1" applyBorder="1" applyAlignment="1">
      <alignment horizontal="center"/>
    </xf>
    <xf numFmtId="0" fontId="42" fillId="161" borderId="7" xfId="5" applyFont="1" applyFill="1" applyBorder="1" applyAlignment="1">
      <alignment horizontal="center"/>
    </xf>
    <xf numFmtId="0" fontId="42"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3" fillId="161" borderId="17" xfId="5" applyFont="1" applyFill="1" applyBorder="1" applyAlignment="1">
      <alignment horizontal="center"/>
    </xf>
    <xf numFmtId="184" fontId="181" fillId="154" borderId="18" xfId="2" applyNumberFormat="1" applyFont="1" applyFill="1" applyBorder="1"/>
    <xf numFmtId="0" fontId="0" fillId="161" borderId="98" xfId="0" applyFill="1" applyBorder="1" applyAlignment="1">
      <alignment wrapText="1"/>
    </xf>
    <xf numFmtId="0" fontId="49" fillId="161" borderId="108" xfId="0" applyFont="1" applyFill="1" applyBorder="1" applyAlignment="1">
      <alignment horizontal="center"/>
    </xf>
    <xf numFmtId="0" fontId="0" fillId="154" borderId="97" xfId="0" applyFill="1" applyBorder="1"/>
    <xf numFmtId="10" fontId="181" fillId="154" borderId="18" xfId="4" applyNumberFormat="1" applyFont="1" applyFill="1" applyBorder="1" applyAlignment="1">
      <alignment horizontal="center"/>
    </xf>
    <xf numFmtId="0" fontId="49" fillId="154" borderId="97" xfId="0" applyFont="1" applyFill="1" applyBorder="1" applyAlignment="1">
      <alignment horizontal="center"/>
    </xf>
    <xf numFmtId="0" fontId="0" fillId="134" borderId="97" xfId="0" applyFill="1" applyBorder="1" applyAlignment="1"/>
    <xf numFmtId="184" fontId="181" fillId="134" borderId="21" xfId="2" applyNumberFormat="1" applyFont="1" applyFill="1" applyBorder="1"/>
    <xf numFmtId="0" fontId="0" fillId="134" borderId="99" xfId="0" applyFill="1" applyBorder="1" applyAlignment="1"/>
    <xf numFmtId="0" fontId="50" fillId="134" borderId="112" xfId="0" applyFont="1" applyFill="1" applyBorder="1" applyAlignment="1">
      <alignment horizontal="center" vertical="center" wrapText="1"/>
    </xf>
    <xf numFmtId="184" fontId="50" fillId="134" borderId="7" xfId="2" applyNumberFormat="1" applyFont="1" applyFill="1" applyBorder="1"/>
    <xf numFmtId="184" fontId="181" fillId="134" borderId="112" xfId="0" applyNumberFormat="1" applyFont="1" applyFill="1" applyBorder="1"/>
    <xf numFmtId="0" fontId="195" fillId="37" borderId="0" xfId="1" applyNumberFormat="1" applyFont="1" applyFill="1" applyAlignment="1">
      <alignment horizontal="center"/>
    </xf>
    <xf numFmtId="0" fontId="44" fillId="37" borderId="0" xfId="5" applyFont="1" applyFill="1" applyBorder="1" applyAlignment="1">
      <alignment horizontal="center" vertical="center"/>
    </xf>
    <xf numFmtId="0" fontId="200" fillId="37" borderId="0" xfId="0" applyFont="1" applyFill="1" applyBorder="1" applyAlignment="1">
      <alignment horizontal="center" vertical="center"/>
    </xf>
    <xf numFmtId="0" fontId="190" fillId="37" borderId="38" xfId="0" applyFont="1" applyFill="1" applyBorder="1" applyAlignment="1">
      <alignment horizontal="center"/>
    </xf>
    <xf numFmtId="0" fontId="220" fillId="37" borderId="38" xfId="0" applyFont="1" applyFill="1" applyBorder="1" applyAlignment="1">
      <alignment horizontal="center"/>
    </xf>
    <xf numFmtId="0" fontId="185" fillId="0" borderId="0" xfId="0" applyFont="1" applyFill="1" applyBorder="1"/>
    <xf numFmtId="0" fontId="14" fillId="0" borderId="0" xfId="5" applyFont="1" applyAlignment="1">
      <alignment horizontal="center" vertical="center"/>
    </xf>
    <xf numFmtId="0" fontId="1" fillId="0" borderId="0" xfId="0" applyFont="1" applyAlignment="1">
      <alignment horizontal="center"/>
    </xf>
    <xf numFmtId="0" fontId="1" fillId="0" borderId="0" xfId="0" applyFont="1" applyFill="1" applyAlignment="1">
      <alignment horizontal="center"/>
    </xf>
    <xf numFmtId="0" fontId="112" fillId="0" borderId="0" xfId="5" applyFont="1" applyFill="1" applyAlignment="1">
      <alignment horizontal="center"/>
    </xf>
    <xf numFmtId="0" fontId="0" fillId="0" borderId="0" xfId="0" quotePrefix="1" applyFont="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0" fontId="11" fillId="0" borderId="0" xfId="5" applyFont="1" applyBorder="1" applyAlignment="1"/>
    <xf numFmtId="171" fontId="186" fillId="0" borderId="50" xfId="0" applyNumberFormat="1" applyFont="1" applyFill="1" applyBorder="1" applyAlignment="1"/>
    <xf numFmtId="170" fontId="44" fillId="0" borderId="14" xfId="0" applyNumberFormat="1" applyFont="1" applyFill="1" applyBorder="1" applyAlignment="1"/>
    <xf numFmtId="170" fontId="44" fillId="0" borderId="27" xfId="0" applyNumberFormat="1" applyFont="1" applyFill="1" applyBorder="1" applyAlignment="1"/>
    <xf numFmtId="184" fontId="44" fillId="154" borderId="10" xfId="2" applyNumberFormat="1" applyFont="1" applyFill="1" applyBorder="1"/>
    <xf numFmtId="184" fontId="44" fillId="154" borderId="2" xfId="2" applyNumberFormat="1" applyFont="1" applyFill="1" applyBorder="1"/>
    <xf numFmtId="184" fontId="44" fillId="154" borderId="15" xfId="2" applyNumberFormat="1" applyFont="1" applyFill="1" applyBorder="1"/>
    <xf numFmtId="184" fontId="44" fillId="154" borderId="5" xfId="2" applyNumberFormat="1" applyFont="1" applyFill="1" applyBorder="1"/>
    <xf numFmtId="184" fontId="44" fillId="154" borderId="16" xfId="2" applyNumberFormat="1" applyFont="1" applyFill="1" applyBorder="1"/>
    <xf numFmtId="184" fontId="44" fillId="154" borderId="11" xfId="2" applyNumberFormat="1" applyFont="1" applyFill="1" applyBorder="1"/>
    <xf numFmtId="49" fontId="42" fillId="0" borderId="0" xfId="4" applyNumberFormat="1" applyFont="1" applyFill="1"/>
    <xf numFmtId="0" fontId="196" fillId="0" borderId="0" xfId="5" applyFont="1" applyFill="1" applyBorder="1" applyAlignment="1">
      <alignment horizontal="left"/>
    </xf>
    <xf numFmtId="0" fontId="18" fillId="0" borderId="2" xfId="0" applyFont="1" applyBorder="1" applyAlignment="1">
      <alignment horizontal="center" vertical="center"/>
    </xf>
    <xf numFmtId="0" fontId="43" fillId="38" borderId="28" xfId="5" applyFont="1" applyFill="1" applyBorder="1" applyAlignment="1">
      <alignment horizontal="left"/>
    </xf>
    <xf numFmtId="0" fontId="221" fillId="0" borderId="0" xfId="5" applyFont="1" applyAlignment="1">
      <alignment horizontal="left" indent="1"/>
    </xf>
    <xf numFmtId="184" fontId="42" fillId="0" borderId="2" xfId="33" applyNumberFormat="1" applyFont="1" applyBorder="1"/>
    <xf numFmtId="10" fontId="46" fillId="0" borderId="3" xfId="4" applyNumberFormat="1" applyFont="1" applyFill="1" applyBorder="1" applyAlignment="1">
      <alignment vertical="center"/>
    </xf>
    <xf numFmtId="184" fontId="42" fillId="0" borderId="3" xfId="33" applyNumberFormat="1" applyFont="1" applyBorder="1"/>
    <xf numFmtId="10" fontId="46" fillId="0" borderId="3" xfId="4" applyNumberFormat="1" applyFont="1" applyBorder="1"/>
    <xf numFmtId="10" fontId="46" fillId="0" borderId="16" xfId="4" applyNumberFormat="1" applyFont="1" applyFill="1" applyBorder="1"/>
    <xf numFmtId="0" fontId="69" fillId="0" borderId="0" xfId="5" applyFont="1"/>
    <xf numFmtId="184" fontId="43" fillId="0" borderId="0" xfId="2" applyNumberFormat="1" applyFont="1" applyFill="1" applyBorder="1" applyAlignment="1">
      <alignment vertical="center"/>
    </xf>
    <xf numFmtId="5" fontId="42" fillId="0" borderId="14" xfId="0" applyNumberFormat="1" applyFont="1" applyFill="1" applyBorder="1"/>
    <xf numFmtId="184" fontId="42" fillId="0" borderId="0" xfId="4" applyNumberFormat="1" applyFont="1" applyFill="1" applyAlignment="1">
      <alignment vertical="center"/>
    </xf>
    <xf numFmtId="9" fontId="42" fillId="134" borderId="0" xfId="4" applyFont="1" applyFill="1"/>
    <xf numFmtId="0" fontId="43" fillId="134" borderId="18" xfId="0" applyFont="1" applyFill="1" applyBorder="1" applyAlignment="1">
      <alignment horizontal="center"/>
    </xf>
    <xf numFmtId="0" fontId="42" fillId="0" borderId="0" xfId="0" applyFont="1" applyFill="1"/>
    <xf numFmtId="169" fontId="43" fillId="0" borderId="0" xfId="4" applyNumberFormat="1" applyFont="1" applyAlignment="1">
      <alignment horizontal="center"/>
    </xf>
    <xf numFmtId="10" fontId="221" fillId="0" borderId="0" xfId="4" quotePrefix="1" applyNumberFormat="1" applyFont="1" applyFill="1" applyBorder="1"/>
    <xf numFmtId="5" fontId="222" fillId="134" borderId="0" xfId="0" applyNumberFormat="1" applyFont="1" applyFill="1" applyBorder="1" applyAlignment="1">
      <alignment horizontal="center"/>
    </xf>
    <xf numFmtId="0" fontId="43" fillId="134" borderId="19" xfId="0" applyFont="1" applyFill="1" applyBorder="1" applyAlignment="1">
      <alignment horizontal="center" wrapText="1"/>
    </xf>
    <xf numFmtId="0" fontId="195" fillId="134" borderId="12" xfId="0" applyFont="1" applyFill="1" applyBorder="1" applyAlignment="1">
      <alignment horizontal="center"/>
    </xf>
    <xf numFmtId="0" fontId="42" fillId="134" borderId="21" xfId="0" applyFont="1" applyFill="1" applyBorder="1" applyAlignment="1">
      <alignment horizontal="center"/>
    </xf>
    <xf numFmtId="166" fontId="43" fillId="134" borderId="1" xfId="5" applyNumberFormat="1" applyFont="1" applyFill="1" applyBorder="1" applyAlignment="1">
      <alignment horizontal="center"/>
    </xf>
    <xf numFmtId="5" fontId="43" fillId="134" borderId="99" xfId="0" applyNumberFormat="1" applyFont="1" applyFill="1" applyBorder="1"/>
    <xf numFmtId="0" fontId="196" fillId="0" borderId="0" xfId="5" applyFont="1" applyAlignment="1">
      <alignment horizontal="left" indent="1"/>
    </xf>
    <xf numFmtId="0" fontId="223" fillId="134" borderId="0" xfId="5" applyFont="1" applyFill="1" applyBorder="1" applyAlignment="1">
      <alignment horizontal="center" vertical="center"/>
    </xf>
    <xf numFmtId="0" fontId="185" fillId="134" borderId="0" xfId="0" applyFont="1" applyFill="1" applyBorder="1"/>
    <xf numFmtId="171" fontId="44" fillId="134" borderId="0" xfId="0" applyNumberFormat="1" applyFont="1" applyFill="1" applyAlignment="1">
      <alignment horizontal="center"/>
    </xf>
    <xf numFmtId="0" fontId="224" fillId="134" borderId="0" xfId="5" applyFont="1" applyFill="1" applyBorder="1" applyAlignment="1">
      <alignment horizontal="center" vertical="center"/>
    </xf>
    <xf numFmtId="0" fontId="42" fillId="134" borderId="14" xfId="0" applyFont="1" applyFill="1" applyBorder="1"/>
    <xf numFmtId="0" fontId="42" fillId="134" borderId="66" xfId="0" applyFont="1" applyFill="1" applyBorder="1"/>
    <xf numFmtId="184" fontId="42" fillId="134" borderId="66" xfId="2" applyNumberFormat="1" applyFont="1" applyFill="1" applyBorder="1"/>
    <xf numFmtId="184" fontId="42" fillId="134" borderId="53" xfId="2" applyNumberFormat="1" applyFont="1" applyFill="1" applyBorder="1"/>
    <xf numFmtId="0" fontId="42" fillId="134" borderId="53" xfId="0" applyFont="1" applyFill="1" applyBorder="1"/>
    <xf numFmtId="0" fontId="43" fillId="134" borderId="53" xfId="0" applyFont="1" applyFill="1" applyBorder="1" applyAlignment="1">
      <alignment horizontal="right"/>
    </xf>
    <xf numFmtId="0" fontId="64" fillId="134" borderId="0" xfId="0" applyFont="1" applyFill="1" applyAlignment="1">
      <alignment horizontal="center"/>
    </xf>
    <xf numFmtId="171" fontId="186" fillId="134" borderId="27" xfId="0" applyNumberFormat="1" applyFont="1" applyFill="1" applyBorder="1"/>
    <xf numFmtId="171" fontId="186" fillId="134" borderId="117" xfId="0" applyNumberFormat="1" applyFont="1" applyFill="1" applyBorder="1"/>
    <xf numFmtId="171" fontId="186" fillId="134" borderId="118" xfId="0" applyNumberFormat="1" applyFont="1" applyFill="1" applyBorder="1"/>
    <xf numFmtId="171" fontId="186" fillId="134" borderId="118" xfId="0" applyNumberFormat="1" applyFont="1" applyFill="1" applyBorder="1" applyAlignment="1"/>
    <xf numFmtId="171" fontId="186" fillId="134" borderId="117" xfId="0" applyNumberFormat="1" applyFont="1" applyFill="1" applyBorder="1" applyAlignment="1"/>
    <xf numFmtId="171" fontId="186" fillId="134" borderId="116" xfId="0" applyNumberFormat="1" applyFont="1" applyFill="1" applyBorder="1" applyAlignment="1"/>
    <xf numFmtId="171" fontId="186" fillId="134" borderId="119" xfId="0" applyNumberFormat="1" applyFont="1" applyFill="1" applyBorder="1" applyAlignment="1"/>
    <xf numFmtId="171" fontId="186" fillId="134" borderId="98" xfId="0" applyNumberFormat="1" applyFont="1" applyFill="1" applyBorder="1" applyAlignment="1"/>
    <xf numFmtId="44" fontId="42" fillId="0" borderId="0" xfId="2" applyFont="1" applyFill="1" applyBorder="1"/>
    <xf numFmtId="0" fontId="18" fillId="0" borderId="0" xfId="0" applyFont="1" applyFill="1" applyBorder="1"/>
    <xf numFmtId="0" fontId="0" fillId="0" borderId="0" xfId="0" applyFill="1" applyBorder="1"/>
    <xf numFmtId="0" fontId="18" fillId="0" borderId="0" xfId="0" applyFont="1" applyFill="1" applyBorder="1" applyAlignment="1">
      <alignment horizontal="center"/>
    </xf>
    <xf numFmtId="0" fontId="9" fillId="0" borderId="0" xfId="0" applyFont="1" applyFill="1" applyBorder="1" applyAlignment="1">
      <alignment horizontal="center"/>
    </xf>
    <xf numFmtId="44" fontId="44" fillId="0" borderId="0" xfId="2" applyFont="1" applyFill="1" applyBorder="1"/>
    <xf numFmtId="184" fontId="42" fillId="0" borderId="0" xfId="0" applyNumberFormat="1" applyFont="1" applyFill="1" applyBorder="1"/>
    <xf numFmtId="184" fontId="204" fillId="134" borderId="0" xfId="2" applyNumberFormat="1" applyFont="1" applyFill="1" applyBorder="1" applyAlignment="1">
      <alignment horizontal="right"/>
    </xf>
    <xf numFmtId="0" fontId="205" fillId="134" borderId="0" xfId="0" applyFont="1" applyFill="1" applyBorder="1" applyAlignment="1">
      <alignment horizontal="left"/>
    </xf>
    <xf numFmtId="184" fontId="43" fillId="134" borderId="0" xfId="2" applyNumberFormat="1" applyFont="1" applyFill="1" applyBorder="1" applyAlignment="1">
      <alignment horizontal="right"/>
    </xf>
    <xf numFmtId="184" fontId="185" fillId="134" borderId="3" xfId="2" applyNumberFormat="1" applyFont="1" applyFill="1" applyBorder="1" applyAlignment="1">
      <alignment horizontal="center"/>
    </xf>
    <xf numFmtId="0" fontId="44" fillId="0" borderId="0" xfId="1" applyNumberFormat="1" applyFont="1" applyFill="1" applyBorder="1" applyAlignment="1">
      <alignment horizontal="center"/>
    </xf>
    <xf numFmtId="0" fontId="195" fillId="134" borderId="0" xfId="1" applyNumberFormat="1" applyFont="1" applyFill="1" applyBorder="1" applyAlignment="1">
      <alignment horizontal="center"/>
    </xf>
    <xf numFmtId="169" fontId="0" fillId="0" borderId="0" xfId="0" applyNumberFormat="1" applyAlignment="1">
      <alignment horizontal="center"/>
    </xf>
    <xf numFmtId="168" fontId="186" fillId="134" borderId="0" xfId="0" applyNumberFormat="1" applyFont="1" applyFill="1" applyBorder="1"/>
    <xf numFmtId="10" fontId="186" fillId="134" borderId="0" xfId="0" applyNumberFormat="1" applyFont="1" applyFill="1" applyBorder="1"/>
    <xf numFmtId="248" fontId="186" fillId="134" borderId="0" xfId="0" applyNumberFormat="1" applyFont="1" applyFill="1"/>
    <xf numFmtId="0" fontId="50" fillId="134" borderId="39" xfId="0" applyFont="1" applyFill="1" applyBorder="1" applyAlignment="1">
      <alignment horizontal="center" vertical="center" wrapText="1"/>
    </xf>
    <xf numFmtId="0" fontId="42" fillId="134" borderId="41" xfId="0" applyFont="1" applyFill="1" applyBorder="1"/>
    <xf numFmtId="0" fontId="181" fillId="134" borderId="102" xfId="0" quotePrefix="1" applyFont="1" applyFill="1" applyBorder="1" applyAlignment="1">
      <alignment horizontal="center" vertical="center" wrapText="1"/>
    </xf>
    <xf numFmtId="184" fontId="50" fillId="134" borderId="4" xfId="2" applyNumberFormat="1" applyFont="1" applyFill="1" applyBorder="1"/>
    <xf numFmtId="184" fontId="181" fillId="134" borderId="17" xfId="2" applyNumberFormat="1" applyFont="1" applyFill="1" applyBorder="1"/>
    <xf numFmtId="243" fontId="181" fillId="134" borderId="18" xfId="2" applyNumberFormat="1" applyFont="1" applyFill="1" applyBorder="1"/>
    <xf numFmtId="184" fontId="181" fillId="134" borderId="112" xfId="2" applyNumberFormat="1" applyFont="1" applyFill="1" applyBorder="1"/>
    <xf numFmtId="247" fontId="199" fillId="0" borderId="91" xfId="2" applyNumberFormat="1" applyFont="1" applyFill="1" applyBorder="1" applyAlignment="1">
      <alignment horizontal="center"/>
    </xf>
    <xf numFmtId="0" fontId="200" fillId="37" borderId="12" xfId="0" applyFont="1" applyFill="1" applyBorder="1" applyAlignment="1">
      <alignment horizontal="center" vertical="center"/>
    </xf>
    <xf numFmtId="0" fontId="42" fillId="152" borderId="7" xfId="0" applyFont="1" applyFill="1" applyBorder="1" applyAlignment="1">
      <alignment horizontal="center" vertical="center" wrapText="1"/>
    </xf>
    <xf numFmtId="0" fontId="42"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50" fillId="152" borderId="7" xfId="2" applyNumberFormat="1" applyFont="1" applyFill="1" applyBorder="1" applyAlignment="1">
      <alignment horizontal="center"/>
    </xf>
    <xf numFmtId="10" fontId="50" fillId="152" borderId="1" xfId="4" applyNumberFormat="1" applyFont="1" applyFill="1" applyBorder="1" applyAlignment="1">
      <alignment horizontal="center" vertical="center"/>
    </xf>
    <xf numFmtId="0" fontId="181" fillId="134" borderId="14" xfId="0" quotePrefix="1" applyFont="1" applyFill="1" applyBorder="1" applyAlignment="1">
      <alignment horizontal="center" vertical="center" wrapText="1"/>
    </xf>
    <xf numFmtId="0" fontId="181" fillId="134" borderId="66" xfId="0" applyFont="1" applyFill="1" applyBorder="1" applyAlignment="1">
      <alignment horizontal="center" vertical="center" wrapText="1"/>
    </xf>
    <xf numFmtId="243" fontId="50" fillId="134" borderId="0" xfId="2" applyNumberFormat="1" applyFont="1" applyFill="1" applyBorder="1"/>
    <xf numFmtId="243" fontId="0" fillId="134" borderId="0" xfId="2" applyNumberFormat="1" applyFont="1" applyFill="1" applyBorder="1"/>
    <xf numFmtId="243" fontId="181" fillId="134" borderId="9" xfId="2" applyNumberFormat="1" applyFont="1" applyFill="1" applyBorder="1"/>
    <xf numFmtId="0" fontId="0" fillId="134" borderId="12" xfId="0" applyFill="1" applyBorder="1"/>
    <xf numFmtId="0" fontId="49" fillId="134" borderId="13" xfId="0" applyFont="1" applyFill="1" applyBorder="1" applyAlignment="1">
      <alignment horizontal="center"/>
    </xf>
    <xf numFmtId="37" fontId="43" fillId="134" borderId="0" xfId="0" applyNumberFormat="1" applyFont="1" applyFill="1" applyBorder="1" applyAlignment="1">
      <alignment horizontal="center"/>
    </xf>
    <xf numFmtId="0" fontId="225" fillId="134" borderId="0" xfId="0" applyFont="1" applyFill="1" applyAlignment="1">
      <alignment horizontal="center"/>
    </xf>
    <xf numFmtId="0" fontId="42" fillId="134" borderId="0" xfId="0" applyFont="1" applyFill="1" applyAlignment="1">
      <alignment horizontal="left"/>
    </xf>
    <xf numFmtId="0" fontId="42" fillId="134" borderId="9" xfId="0" applyFont="1" applyFill="1" applyBorder="1"/>
    <xf numFmtId="0" fontId="45" fillId="162" borderId="15" xfId="0" applyFont="1" applyFill="1" applyBorder="1"/>
    <xf numFmtId="0" fontId="43" fillId="162" borderId="5" xfId="0" applyFont="1" applyFill="1" applyBorder="1"/>
    <xf numFmtId="0" fontId="45" fillId="162" borderId="8" xfId="0" applyFont="1" applyFill="1" applyBorder="1"/>
    <xf numFmtId="0" fontId="42" fillId="162" borderId="4" xfId="0" applyFont="1" applyFill="1" applyBorder="1"/>
    <xf numFmtId="0" fontId="42" fillId="162" borderId="8" xfId="0" applyFont="1" applyFill="1" applyBorder="1"/>
    <xf numFmtId="0" fontId="42" fillId="162" borderId="5" xfId="0" applyFont="1" applyFill="1" applyBorder="1"/>
    <xf numFmtId="0" fontId="42" fillId="162" borderId="11" xfId="0" applyFont="1" applyFill="1" applyBorder="1"/>
    <xf numFmtId="0" fontId="44" fillId="37" borderId="0" xfId="1" applyNumberFormat="1" applyFont="1" applyFill="1" applyBorder="1" applyAlignment="1">
      <alignment horizontal="center"/>
    </xf>
    <xf numFmtId="0" fontId="44" fillId="37" borderId="0" xfId="0" applyFont="1" applyFill="1" applyBorder="1" applyAlignment="1">
      <alignment horizontal="center"/>
    </xf>
    <xf numFmtId="0" fontId="44" fillId="37" borderId="97" xfId="0" applyFont="1" applyFill="1" applyBorder="1" applyAlignment="1">
      <alignment horizontal="center"/>
    </xf>
    <xf numFmtId="10" fontId="181" fillId="152" borderId="18" xfId="4" applyNumberFormat="1" applyFont="1" applyFill="1" applyBorder="1" applyAlignment="1">
      <alignment horizontal="center"/>
    </xf>
    <xf numFmtId="0" fontId="0" fillId="152" borderId="97" xfId="0" applyFill="1" applyBorder="1"/>
    <xf numFmtId="10" fontId="0" fillId="134" borderId="0" xfId="2" applyNumberFormat="1" applyFont="1" applyFill="1" applyBorder="1" applyAlignment="1">
      <alignment horizontal="center"/>
    </xf>
    <xf numFmtId="0" fontId="181" fillId="152" borderId="0" xfId="0" quotePrefix="1" applyFont="1" applyFill="1" applyBorder="1" applyAlignment="1">
      <alignment horizontal="center" vertical="center" wrapText="1"/>
    </xf>
    <xf numFmtId="184" fontId="50" fillId="152" borderId="0" xfId="4" applyNumberFormat="1" applyFont="1" applyFill="1" applyBorder="1" applyAlignment="1">
      <alignment horizontal="center" vertical="center"/>
    </xf>
    <xf numFmtId="0" fontId="181" fillId="152" borderId="7" xfId="0" quotePrefix="1" applyFont="1" applyFill="1" applyBorder="1" applyAlignment="1">
      <alignment horizontal="center" vertical="center" wrapText="1"/>
    </xf>
    <xf numFmtId="0" fontId="181" fillId="152" borderId="1" xfId="0" quotePrefix="1" applyFont="1" applyFill="1" applyBorder="1" applyAlignment="1">
      <alignment horizontal="center" vertical="center" wrapText="1"/>
    </xf>
    <xf numFmtId="166" fontId="0" fillId="152" borderId="98" xfId="2" applyNumberFormat="1" applyFont="1" applyFill="1" applyBorder="1" applyAlignment="1">
      <alignment horizontal="center"/>
    </xf>
    <xf numFmtId="166" fontId="0" fillId="152" borderId="97" xfId="2" applyNumberFormat="1" applyFont="1" applyFill="1" applyBorder="1" applyAlignment="1">
      <alignment horizontal="center"/>
    </xf>
    <xf numFmtId="166" fontId="0" fillId="152" borderId="99" xfId="2" applyNumberFormat="1" applyFont="1" applyFill="1" applyBorder="1" applyAlignment="1">
      <alignment horizontal="center"/>
    </xf>
    <xf numFmtId="184" fontId="181" fillId="152" borderId="0" xfId="4" applyNumberFormat="1" applyFont="1" applyFill="1" applyBorder="1" applyAlignment="1">
      <alignment horizontal="center" vertical="center"/>
    </xf>
    <xf numFmtId="0" fontId="50" fillId="134" borderId="101" xfId="0" applyFont="1" applyFill="1" applyBorder="1" applyAlignment="1">
      <alignment horizontal="center" vertical="center" wrapText="1"/>
    </xf>
    <xf numFmtId="10" fontId="42" fillId="134" borderId="0" xfId="4" applyNumberFormat="1" applyFont="1" applyFill="1" applyAlignment="1">
      <alignment horizontal="center"/>
    </xf>
    <xf numFmtId="44" fontId="42" fillId="134" borderId="0" xfId="0" applyNumberFormat="1" applyFont="1" applyFill="1" applyAlignment="1">
      <alignment horizontal="center"/>
    </xf>
    <xf numFmtId="184" fontId="42" fillId="134" borderId="9" xfId="0" applyNumberFormat="1" applyFont="1" applyFill="1" applyBorder="1" applyAlignment="1">
      <alignment horizontal="center"/>
    </xf>
    <xf numFmtId="10" fontId="42" fillId="134" borderId="9" xfId="4" applyNumberFormat="1" applyFont="1" applyFill="1" applyBorder="1" applyAlignment="1">
      <alignment horizontal="center"/>
    </xf>
    <xf numFmtId="44" fontId="42" fillId="134" borderId="9" xfId="0" applyNumberFormat="1" applyFont="1" applyFill="1" applyBorder="1" applyAlignment="1">
      <alignment horizontal="center"/>
    </xf>
    <xf numFmtId="167" fontId="42" fillId="134" borderId="0" xfId="1" applyNumberFormat="1" applyFont="1" applyFill="1"/>
    <xf numFmtId="167" fontId="42" fillId="134" borderId="0" xfId="0" applyNumberFormat="1" applyFont="1" applyFill="1"/>
    <xf numFmtId="7" fontId="42" fillId="134" borderId="0" xfId="0" applyNumberFormat="1" applyFont="1" applyFill="1" applyAlignment="1">
      <alignment horizontal="right"/>
    </xf>
    <xf numFmtId="7" fontId="42" fillId="134" borderId="9" xfId="0" applyNumberFormat="1" applyFont="1" applyFill="1" applyBorder="1" applyAlignment="1">
      <alignment horizontal="right"/>
    </xf>
    <xf numFmtId="44" fontId="43" fillId="134" borderId="0" xfId="2" applyFont="1" applyFill="1" applyBorder="1" applyAlignment="1">
      <alignment horizontal="right"/>
    </xf>
    <xf numFmtId="44" fontId="42" fillId="134" borderId="0" xfId="0" applyNumberFormat="1" applyFont="1" applyFill="1" applyBorder="1"/>
    <xf numFmtId="184" fontId="181" fillId="134" borderId="102" xfId="2" quotePrefix="1" applyNumberFormat="1" applyFont="1" applyFill="1" applyBorder="1" applyAlignment="1">
      <alignment horizontal="center" vertical="center" wrapText="1"/>
    </xf>
    <xf numFmtId="7" fontId="195" fillId="134" borderId="18" xfId="0" applyNumberFormat="1" applyFont="1" applyFill="1" applyBorder="1" applyAlignment="1">
      <alignment horizontal="center"/>
    </xf>
    <xf numFmtId="0" fontId="195" fillId="37" borderId="0" xfId="5" applyFont="1" applyFill="1" applyBorder="1" applyAlignment="1">
      <alignment horizontal="center" vertical="center"/>
    </xf>
    <xf numFmtId="43" fontId="186" fillId="134" borderId="0" xfId="1" applyFont="1" applyFill="1" applyBorder="1"/>
    <xf numFmtId="249" fontId="42" fillId="134" borderId="0" xfId="0" applyNumberFormat="1" applyFont="1" applyFill="1"/>
    <xf numFmtId="44" fontId="42" fillId="134" borderId="7" xfId="2" applyFont="1" applyFill="1" applyBorder="1"/>
    <xf numFmtId="7" fontId="195" fillId="134" borderId="39" xfId="0" applyNumberFormat="1" applyFont="1" applyFill="1" applyBorder="1" applyAlignment="1">
      <alignment horizontal="center"/>
    </xf>
    <xf numFmtId="7" fontId="43" fillId="134" borderId="40" xfId="0" applyNumberFormat="1" applyFont="1" applyFill="1" applyBorder="1" applyAlignment="1">
      <alignment horizontal="center"/>
    </xf>
    <xf numFmtId="7" fontId="42" fillId="134" borderId="42" xfId="0" applyNumberFormat="1" applyFont="1" applyFill="1" applyBorder="1"/>
    <xf numFmtId="250" fontId="42" fillId="134" borderId="0" xfId="0" applyNumberFormat="1" applyFont="1" applyFill="1"/>
    <xf numFmtId="0" fontId="9"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81" fillId="152" borderId="48" xfId="0" quotePrefix="1" applyFont="1" applyFill="1" applyBorder="1" applyAlignment="1">
      <alignment horizontal="center" vertical="center" wrapText="1"/>
    </xf>
    <xf numFmtId="0" fontId="181" fillId="152" borderId="22" xfId="0" quotePrefix="1" applyFont="1" applyFill="1" applyBorder="1" applyAlignment="1">
      <alignment horizontal="center" vertical="center" wrapText="1"/>
    </xf>
    <xf numFmtId="0" fontId="181" fillId="152" borderId="55" xfId="0" applyFont="1" applyFill="1" applyBorder="1" applyAlignment="1">
      <alignment horizontal="center" vertical="center" wrapText="1"/>
    </xf>
    <xf numFmtId="0" fontId="181" fillId="152" borderId="56" xfId="0" applyFont="1" applyFill="1" applyBorder="1" applyAlignment="1">
      <alignment horizontal="center" vertical="center" wrapText="1"/>
    </xf>
    <xf numFmtId="43" fontId="16" fillId="134" borderId="0" xfId="1" applyFont="1" applyFill="1"/>
    <xf numFmtId="184" fontId="49" fillId="134" borderId="98" xfId="0" applyNumberFormat="1" applyFont="1" applyFill="1" applyBorder="1" applyAlignment="1">
      <alignment horizontal="center"/>
    </xf>
    <xf numFmtId="184" fontId="49" fillId="134" borderId="97" xfId="0" applyNumberFormat="1" applyFont="1" applyFill="1" applyBorder="1" applyAlignment="1">
      <alignment horizontal="center"/>
    </xf>
    <xf numFmtId="0" fontId="68" fillId="134" borderId="98" xfId="0" applyFont="1" applyFill="1" applyBorder="1" applyAlignment="1">
      <alignment horizontal="left"/>
    </xf>
    <xf numFmtId="184" fontId="0" fillId="134" borderId="0" xfId="2" quotePrefix="1" applyNumberFormat="1" applyFont="1" applyFill="1" applyBorder="1"/>
    <xf numFmtId="0" fontId="19" fillId="134" borderId="0" xfId="0" applyFont="1" applyFill="1"/>
    <xf numFmtId="0" fontId="69" fillId="134" borderId="0" xfId="0" applyFont="1" applyFill="1" applyBorder="1" applyAlignment="1">
      <alignment horizontal="center"/>
    </xf>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9" fillId="134" borderId="0" xfId="0" applyFont="1" applyFill="1" applyBorder="1" applyAlignment="1">
      <alignment horizontal="center"/>
    </xf>
    <xf numFmtId="0" fontId="9"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0" fontId="15" fillId="134" borderId="0" xfId="0" applyFont="1" applyFill="1" applyBorder="1" applyAlignment="1">
      <alignment horizontal="center"/>
    </xf>
    <xf numFmtId="44" fontId="44" fillId="134" borderId="0" xfId="2" applyFont="1" applyFill="1" applyBorder="1"/>
    <xf numFmtId="166" fontId="50" fillId="134" borderId="1" xfId="4" applyNumberFormat="1" applyFont="1" applyFill="1" applyBorder="1" applyAlignment="1">
      <alignment horizontal="center"/>
    </xf>
    <xf numFmtId="166" fontId="50" fillId="134" borderId="0" xfId="4" applyNumberFormat="1" applyFont="1" applyFill="1" applyBorder="1" applyAlignment="1">
      <alignment horizontal="center"/>
    </xf>
    <xf numFmtId="10" fontId="181" fillId="134" borderId="0" xfId="4" applyNumberFormat="1" applyFont="1" applyFill="1" applyBorder="1" applyAlignment="1">
      <alignment horizontal="center"/>
    </xf>
    <xf numFmtId="0" fontId="43" fillId="0" borderId="0" xfId="5" applyFont="1" applyFill="1" applyBorder="1" applyAlignment="1">
      <alignment horizontal="center"/>
    </xf>
    <xf numFmtId="0" fontId="214" fillId="134" borderId="0" xfId="0" applyFont="1" applyFill="1" applyAlignment="1">
      <alignment vertical="center"/>
    </xf>
    <xf numFmtId="3" fontId="215" fillId="134" borderId="0" xfId="100" applyNumberFormat="1" applyFont="1" applyFill="1" applyAlignment="1">
      <alignment vertical="center"/>
    </xf>
    <xf numFmtId="0" fontId="51" fillId="0" borderId="42" xfId="0" quotePrefix="1" applyFont="1" applyFill="1" applyBorder="1" applyAlignment="1">
      <alignment horizontal="center" vertical="center" wrapText="1"/>
    </xf>
    <xf numFmtId="0" fontId="51" fillId="0" borderId="41" xfId="0" quotePrefix="1" applyFont="1" applyFill="1" applyBorder="1" applyAlignment="1">
      <alignment horizontal="center" vertical="center" wrapText="1"/>
    </xf>
    <xf numFmtId="0" fontId="50" fillId="134" borderId="17" xfId="0" applyFont="1" applyFill="1" applyBorder="1" applyAlignment="1">
      <alignment horizontal="center" vertical="center" wrapText="1"/>
    </xf>
    <xf numFmtId="0" fontId="50" fillId="134" borderId="18" xfId="0" applyFont="1" applyFill="1" applyBorder="1" applyAlignment="1">
      <alignment horizontal="center" vertical="center" wrapText="1"/>
    </xf>
    <xf numFmtId="0" fontId="50" fillId="134" borderId="21" xfId="0" applyFont="1" applyFill="1" applyBorder="1" applyAlignment="1">
      <alignment horizontal="center" vertical="center" wrapText="1"/>
    </xf>
    <xf numFmtId="0" fontId="51" fillId="0" borderId="13" xfId="0" quotePrefix="1" applyFont="1" applyFill="1" applyBorder="1" applyAlignment="1">
      <alignment horizontal="center" vertical="center" wrapText="1"/>
    </xf>
    <xf numFmtId="0" fontId="11" fillId="134" borderId="0" xfId="5" applyFont="1" applyFill="1" applyBorder="1" applyAlignment="1"/>
    <xf numFmtId="7" fontId="42" fillId="134" borderId="0" xfId="0" applyNumberFormat="1" applyFont="1" applyFill="1" applyBorder="1" applyAlignment="1">
      <alignment horizontal="right"/>
    </xf>
    <xf numFmtId="0" fontId="42" fillId="134" borderId="17" xfId="5" applyFont="1" applyFill="1" applyBorder="1" applyAlignment="1">
      <alignment horizontal="center" vertical="center" wrapText="1"/>
    </xf>
    <xf numFmtId="0" fontId="50" fillId="134" borderId="19" xfId="0" applyFont="1" applyFill="1" applyBorder="1" applyAlignment="1">
      <alignment horizontal="center" vertical="center" wrapText="1"/>
    </xf>
    <xf numFmtId="0" fontId="42" fillId="134" borderId="48" xfId="5" applyFont="1" applyFill="1" applyBorder="1" applyAlignment="1">
      <alignment horizontal="center" vertical="center" wrapText="1"/>
    </xf>
    <xf numFmtId="0" fontId="50" fillId="134" borderId="11" xfId="0" applyFont="1" applyFill="1" applyBorder="1" applyAlignment="1">
      <alignment horizontal="center" vertical="center" wrapText="1"/>
    </xf>
    <xf numFmtId="0" fontId="42" fillId="134" borderId="55" xfId="5" applyFont="1" applyFill="1" applyBorder="1" applyAlignment="1">
      <alignment horizontal="center"/>
    </xf>
    <xf numFmtId="0" fontId="50" fillId="134" borderId="115" xfId="0" applyFont="1" applyFill="1" applyBorder="1" applyAlignment="1">
      <alignment horizontal="center" vertical="center" wrapText="1"/>
    </xf>
    <xf numFmtId="0" fontId="50" fillId="134" borderId="8" xfId="0" applyFont="1" applyFill="1" applyBorder="1" applyAlignment="1">
      <alignment horizontal="center" vertical="center" wrapText="1"/>
    </xf>
    <xf numFmtId="0" fontId="42" fillId="134" borderId="8" xfId="0" quotePrefix="1" applyFont="1" applyFill="1" applyBorder="1" applyAlignment="1">
      <alignment horizontal="center"/>
    </xf>
    <xf numFmtId="0" fontId="42" fillId="134" borderId="8" xfId="0" applyFont="1" applyFill="1" applyBorder="1" applyAlignment="1">
      <alignment horizontal="center"/>
    </xf>
    <xf numFmtId="0" fontId="42" fillId="134" borderId="7" xfId="5" applyFont="1" applyFill="1" applyBorder="1" applyAlignment="1">
      <alignment horizontal="center" vertical="center"/>
    </xf>
    <xf numFmtId="0" fontId="0" fillId="134" borderId="8" xfId="0" applyFill="1" applyBorder="1"/>
    <xf numFmtId="0" fontId="0" fillId="134" borderId="98" xfId="0" applyFill="1" applyBorder="1" applyAlignment="1">
      <alignment wrapText="1"/>
    </xf>
    <xf numFmtId="0" fontId="49" fillId="134" borderId="108" xfId="0" applyFont="1" applyFill="1" applyBorder="1" applyAlignment="1">
      <alignment horizontal="center"/>
    </xf>
    <xf numFmtId="0" fontId="16" fillId="134" borderId="0" xfId="0" applyFont="1" applyFill="1" applyBorder="1"/>
    <xf numFmtId="0" fontId="19"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9"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42" fillId="134" borderId="0" xfId="0" applyNumberFormat="1" applyFont="1" applyFill="1" applyBorder="1" applyAlignment="1">
      <alignment horizontal="center"/>
    </xf>
    <xf numFmtId="184" fontId="42" fillId="134" borderId="0" xfId="0" applyNumberFormat="1" applyFont="1" applyFill="1" applyBorder="1" applyAlignment="1">
      <alignment horizontal="center"/>
    </xf>
    <xf numFmtId="0" fontId="43" fillId="134" borderId="0" xfId="0" applyFont="1" applyFill="1" applyBorder="1" applyAlignment="1">
      <alignment horizontal="center" wrapText="1"/>
    </xf>
    <xf numFmtId="0" fontId="0" fillId="134" borderId="0" xfId="0" applyFill="1" applyBorder="1" applyAlignment="1">
      <alignment horizontal="center"/>
    </xf>
    <xf numFmtId="0" fontId="49" fillId="134" borderId="0" xfId="0" applyFont="1" applyFill="1" applyBorder="1" applyAlignment="1">
      <alignment horizontal="center"/>
    </xf>
    <xf numFmtId="0" fontId="19" fillId="134" borderId="0" xfId="0" applyFont="1" applyFill="1" applyBorder="1" applyAlignment="1">
      <alignment horizontal="center"/>
    </xf>
    <xf numFmtId="0" fontId="41" fillId="0" borderId="0" xfId="5" applyFont="1" applyFill="1" applyBorder="1" applyAlignment="1">
      <alignment horizontal="center"/>
    </xf>
    <xf numFmtId="0" fontId="41" fillId="134" borderId="0" xfId="5" applyFont="1" applyFill="1" applyBorder="1" applyAlignment="1">
      <alignment horizontal="center"/>
    </xf>
    <xf numFmtId="3" fontId="16" fillId="134" borderId="0" xfId="100" applyNumberFormat="1" applyFont="1" applyFill="1" applyAlignment="1">
      <alignment vertical="center"/>
    </xf>
    <xf numFmtId="0" fontId="51" fillId="0" borderId="48" xfId="0" quotePrefix="1" applyFont="1" applyFill="1" applyBorder="1" applyAlignment="1">
      <alignment horizontal="center" vertical="center" wrapText="1"/>
    </xf>
    <xf numFmtId="0" fontId="49" fillId="134" borderId="12" xfId="0" applyFont="1" applyFill="1" applyBorder="1" applyAlignment="1">
      <alignment horizontal="center"/>
    </xf>
    <xf numFmtId="0" fontId="51" fillId="0" borderId="6" xfId="0" quotePrefix="1" applyFont="1" applyFill="1" applyBorder="1" applyAlignment="1">
      <alignment horizontal="center" vertical="center" wrapText="1"/>
    </xf>
    <xf numFmtId="0" fontId="68" fillId="134" borderId="6" xfId="0" applyFont="1" applyFill="1" applyBorder="1" applyAlignment="1">
      <alignment horizontal="left"/>
    </xf>
    <xf numFmtId="0" fontId="42" fillId="134" borderId="14" xfId="101" applyNumberFormat="1" applyFont="1" applyFill="1" applyBorder="1" applyAlignment="1">
      <alignment horizontal="center"/>
    </xf>
    <xf numFmtId="185" fontId="42" fillId="134" borderId="0" xfId="101" applyFont="1" applyFill="1" applyBorder="1" applyAlignment="1">
      <alignment horizontal="center"/>
    </xf>
    <xf numFmtId="168" fontId="215" fillId="134" borderId="0" xfId="0" applyNumberFormat="1" applyFont="1" applyFill="1" applyBorder="1" applyAlignment="1">
      <alignment horizontal="center"/>
    </xf>
    <xf numFmtId="0" fontId="185" fillId="134" borderId="4" xfId="0" applyFont="1" applyFill="1" applyBorder="1" applyAlignment="1">
      <alignment horizontal="center"/>
    </xf>
    <xf numFmtId="3" fontId="228" fillId="134" borderId="0" xfId="100" applyNumberFormat="1" applyFont="1" applyFill="1"/>
    <xf numFmtId="0" fontId="215" fillId="37" borderId="34" xfId="0" applyFont="1" applyFill="1" applyBorder="1" applyAlignment="1">
      <alignment horizontal="center" vertical="center" wrapText="1"/>
    </xf>
    <xf numFmtId="0" fontId="215" fillId="37" borderId="67" xfId="0" applyFont="1" applyFill="1" applyBorder="1" applyAlignment="1">
      <alignment horizontal="center" vertical="center" wrapText="1"/>
    </xf>
    <xf numFmtId="0" fontId="181" fillId="37" borderId="39" xfId="0" applyFont="1" applyFill="1" applyBorder="1" applyAlignment="1">
      <alignment horizontal="center" vertical="center" wrapText="1"/>
    </xf>
    <xf numFmtId="0" fontId="181" fillId="38" borderId="104" xfId="0" applyFont="1" applyFill="1" applyBorder="1" applyAlignment="1">
      <alignment horizontal="center" vertical="center" wrapText="1"/>
    </xf>
    <xf numFmtId="168" fontId="215" fillId="38" borderId="34" xfId="0" applyNumberFormat="1" applyFont="1" applyFill="1" applyBorder="1" applyAlignment="1">
      <alignment horizontal="center"/>
    </xf>
    <xf numFmtId="0" fontId="190" fillId="38" borderId="32" xfId="0" applyFont="1" applyFill="1" applyBorder="1" applyAlignment="1">
      <alignment horizontal="center"/>
    </xf>
    <xf numFmtId="0" fontId="50" fillId="38" borderId="14" xfId="0" applyFont="1" applyFill="1" applyBorder="1" applyAlignment="1">
      <alignment horizontal="center" vertical="center" wrapText="1"/>
    </xf>
    <xf numFmtId="168" fontId="42" fillId="134" borderId="14" xfId="143" applyNumberFormat="1" applyFont="1" applyFill="1" applyBorder="1" applyAlignment="1">
      <alignment horizontal="center"/>
    </xf>
    <xf numFmtId="0" fontId="185" fillId="134" borderId="0" xfId="0" applyFont="1" applyFill="1" applyBorder="1" applyAlignment="1">
      <alignment horizontal="center"/>
    </xf>
    <xf numFmtId="0" fontId="190" fillId="38" borderId="91" xfId="0" applyFont="1" applyFill="1" applyBorder="1" applyAlignment="1">
      <alignment horizontal="center"/>
    </xf>
    <xf numFmtId="168" fontId="215" fillId="38" borderId="67" xfId="0" applyNumberFormat="1" applyFont="1" applyFill="1" applyBorder="1" applyAlignment="1">
      <alignment horizontal="center"/>
    </xf>
    <xf numFmtId="0" fontId="190" fillId="37" borderId="91" xfId="0" applyFont="1" applyFill="1" applyBorder="1" applyAlignment="1">
      <alignment horizontal="center"/>
    </xf>
    <xf numFmtId="168" fontId="42" fillId="0" borderId="5" xfId="143" applyNumberFormat="1" applyFont="1" applyFill="1" applyBorder="1" applyAlignment="1">
      <alignment horizontal="center"/>
    </xf>
    <xf numFmtId="168" fontId="42" fillId="37" borderId="42" xfId="143" applyNumberFormat="1" applyFont="1" applyFill="1" applyBorder="1" applyAlignment="1">
      <alignment horizontal="center"/>
    </xf>
    <xf numFmtId="168" fontId="42" fillId="134" borderId="5" xfId="143" applyNumberFormat="1" applyFont="1" applyFill="1" applyBorder="1" applyAlignment="1">
      <alignment horizontal="center"/>
    </xf>
    <xf numFmtId="168" fontId="42" fillId="134" borderId="4" xfId="143" applyNumberFormat="1" applyFont="1" applyFill="1" applyBorder="1" applyAlignment="1">
      <alignment horizontal="center"/>
    </xf>
    <xf numFmtId="168" fontId="42" fillId="134" borderId="0" xfId="143" applyNumberFormat="1" applyFont="1" applyFill="1" applyBorder="1" applyAlignment="1">
      <alignment horizontal="center"/>
    </xf>
    <xf numFmtId="168" fontId="42" fillId="37" borderId="40" xfId="143" applyNumberFormat="1" applyFont="1" applyFill="1" applyBorder="1" applyAlignment="1">
      <alignment horizontal="center"/>
    </xf>
    <xf numFmtId="168" fontId="42" fillId="134" borderId="27" xfId="143" applyNumberFormat="1" applyFont="1" applyFill="1" applyBorder="1" applyAlignment="1">
      <alignment horizontal="center"/>
    </xf>
    <xf numFmtId="168" fontId="42" fillId="37" borderId="43" xfId="143" applyNumberFormat="1" applyFont="1" applyFill="1" applyBorder="1" applyAlignment="1">
      <alignment horizontal="center"/>
    </xf>
    <xf numFmtId="168" fontId="42" fillId="37" borderId="67" xfId="143" applyNumberFormat="1" applyFont="1" applyFill="1" applyBorder="1" applyAlignment="1">
      <alignment horizontal="center"/>
    </xf>
    <xf numFmtId="0" fontId="50" fillId="37" borderId="0" xfId="0" applyFont="1" applyFill="1" applyBorder="1" applyAlignment="1">
      <alignment horizontal="center" vertical="center" wrapText="1"/>
    </xf>
    <xf numFmtId="168" fontId="43" fillId="37" borderId="42" xfId="143" applyNumberFormat="1" applyFont="1" applyFill="1" applyBorder="1" applyAlignment="1">
      <alignment horizontal="center"/>
    </xf>
    <xf numFmtId="168" fontId="43" fillId="37" borderId="40" xfId="143" applyNumberFormat="1" applyFont="1" applyFill="1" applyBorder="1" applyAlignment="1">
      <alignment horizontal="center"/>
    </xf>
    <xf numFmtId="168" fontId="43" fillId="37" borderId="43" xfId="143" applyNumberFormat="1" applyFont="1" applyFill="1" applyBorder="1" applyAlignment="1">
      <alignment horizontal="center"/>
    </xf>
    <xf numFmtId="168" fontId="43" fillId="37" borderId="67" xfId="143" applyNumberFormat="1" applyFont="1" applyFill="1" applyBorder="1" applyAlignment="1">
      <alignment horizontal="center"/>
    </xf>
    <xf numFmtId="168" fontId="43" fillId="38" borderId="42" xfId="143" applyNumberFormat="1" applyFont="1" applyFill="1" applyBorder="1" applyAlignment="1">
      <alignment horizontal="center"/>
    </xf>
    <xf numFmtId="168" fontId="43" fillId="38" borderId="40" xfId="143" applyNumberFormat="1" applyFont="1" applyFill="1" applyBorder="1" applyAlignment="1">
      <alignment horizontal="center"/>
    </xf>
    <xf numFmtId="168" fontId="43" fillId="38" borderId="43" xfId="143" applyNumberFormat="1" applyFont="1" applyFill="1" applyBorder="1" applyAlignment="1">
      <alignment horizontal="center"/>
    </xf>
    <xf numFmtId="168" fontId="43" fillId="38" borderId="67" xfId="143" applyNumberFormat="1" applyFont="1" applyFill="1" applyBorder="1" applyAlignment="1">
      <alignment horizontal="center"/>
    </xf>
    <xf numFmtId="0" fontId="190" fillId="37" borderId="41" xfId="0" applyFont="1" applyFill="1" applyBorder="1" applyAlignment="1">
      <alignment horizontal="center"/>
    </xf>
    <xf numFmtId="0" fontId="190" fillId="37" borderId="22" xfId="0" applyFont="1" applyFill="1" applyBorder="1" applyAlignment="1">
      <alignment horizontal="center"/>
    </xf>
    <xf numFmtId="0" fontId="50" fillId="37" borderId="114" xfId="0" applyFont="1" applyFill="1" applyBorder="1" applyAlignment="1">
      <alignment horizontal="center" vertical="center" wrapText="1"/>
    </xf>
    <xf numFmtId="0" fontId="215" fillId="37" borderId="120" xfId="0" applyFont="1" applyFill="1" applyBorder="1" applyAlignment="1">
      <alignment horizontal="center" vertical="center" wrapText="1"/>
    </xf>
    <xf numFmtId="0" fontId="190" fillId="37" borderId="121" xfId="0" applyFont="1" applyFill="1" applyBorder="1" applyAlignment="1">
      <alignment horizontal="center"/>
    </xf>
    <xf numFmtId="0" fontId="50" fillId="37" borderId="122" xfId="0" applyFont="1" applyFill="1" applyBorder="1" applyAlignment="1">
      <alignment horizontal="center" vertical="center" wrapText="1"/>
    </xf>
    <xf numFmtId="0" fontId="215" fillId="37" borderId="123" xfId="0" applyFont="1" applyFill="1" applyBorder="1" applyAlignment="1">
      <alignment horizontal="center" vertical="center" wrapText="1"/>
    </xf>
    <xf numFmtId="0" fontId="190" fillId="37" borderId="11" xfId="0" applyFont="1" applyFill="1" applyBorder="1" applyAlignment="1">
      <alignment horizontal="center"/>
    </xf>
    <xf numFmtId="0" fontId="190" fillId="37" borderId="52" xfId="0" applyFont="1" applyFill="1" applyBorder="1" applyAlignment="1">
      <alignment horizontal="center"/>
    </xf>
    <xf numFmtId="0" fontId="51" fillId="0" borderId="0" xfId="0" quotePrefix="1" applyFont="1" applyFill="1" applyBorder="1" applyAlignment="1">
      <alignment horizontal="center" vertical="center" wrapText="1"/>
    </xf>
    <xf numFmtId="0" fontId="42" fillId="134" borderId="7" xfId="5" applyFont="1" applyFill="1" applyBorder="1" applyAlignment="1">
      <alignment horizontal="center" vertical="center" wrapText="1"/>
    </xf>
    <xf numFmtId="0" fontId="181" fillId="134" borderId="6" xfId="0" applyFont="1" applyFill="1" applyBorder="1"/>
    <xf numFmtId="0" fontId="42" fillId="37" borderId="0" xfId="0" applyFont="1" applyFill="1" applyBorder="1" applyAlignment="1">
      <alignment horizontal="center" vertical="center" wrapText="1"/>
    </xf>
    <xf numFmtId="0" fontId="42" fillId="37" borderId="1" xfId="0" applyFont="1" applyFill="1" applyBorder="1" applyAlignment="1">
      <alignment horizontal="center" vertical="center" wrapText="1"/>
    </xf>
    <xf numFmtId="0" fontId="181" fillId="37" borderId="0" xfId="0" quotePrefix="1" applyFont="1" applyFill="1" applyBorder="1" applyAlignment="1">
      <alignment horizontal="center" vertical="center" wrapText="1"/>
    </xf>
    <xf numFmtId="0" fontId="181" fillId="37" borderId="1" xfId="0" quotePrefix="1" applyFont="1" applyFill="1" applyBorder="1" applyAlignment="1">
      <alignment horizontal="center" vertical="center" wrapText="1"/>
    </xf>
    <xf numFmtId="0" fontId="181" fillId="37" borderId="66" xfId="0" applyFont="1" applyFill="1" applyBorder="1" applyAlignment="1">
      <alignment horizontal="center" vertical="center" wrapText="1"/>
    </xf>
    <xf numFmtId="0" fontId="50" fillId="37" borderId="101" xfId="0" applyFont="1" applyFill="1" applyBorder="1" applyAlignment="1">
      <alignment horizontal="center" vertical="center" wrapText="1"/>
    </xf>
    <xf numFmtId="0" fontId="0" fillId="37" borderId="0" xfId="0" applyFill="1" applyBorder="1"/>
    <xf numFmtId="0" fontId="0" fillId="37" borderId="1" xfId="0" applyFill="1" applyBorder="1"/>
    <xf numFmtId="10" fontId="50" fillId="37" borderId="0" xfId="4" applyNumberFormat="1" applyFont="1" applyFill="1" applyBorder="1" applyAlignment="1">
      <alignment horizontal="center" vertical="center"/>
    </xf>
    <xf numFmtId="184" fontId="50" fillId="37" borderId="0" xfId="4" applyNumberFormat="1" applyFont="1" applyFill="1" applyBorder="1" applyAlignment="1">
      <alignment horizontal="center" vertical="center"/>
    </xf>
    <xf numFmtId="10" fontId="50" fillId="37" borderId="1" xfId="4" applyNumberFormat="1" applyFont="1" applyFill="1" applyBorder="1" applyAlignment="1">
      <alignment horizontal="center" vertical="center"/>
    </xf>
    <xf numFmtId="166" fontId="0" fillId="37" borderId="97" xfId="2" applyNumberFormat="1" applyFont="1" applyFill="1" applyBorder="1" applyAlignment="1">
      <alignment horizontal="center"/>
    </xf>
    <xf numFmtId="166" fontId="0" fillId="37" borderId="99" xfId="2" applyNumberFormat="1" applyFont="1" applyFill="1" applyBorder="1" applyAlignment="1">
      <alignment horizontal="center"/>
    </xf>
    <xf numFmtId="184" fontId="181" fillId="37" borderId="18" xfId="2" applyNumberFormat="1" applyFont="1" applyFill="1" applyBorder="1" applyAlignment="1">
      <alignment horizontal="center"/>
    </xf>
    <xf numFmtId="10" fontId="181" fillId="37" borderId="18" xfId="4" applyNumberFormat="1" applyFont="1" applyFill="1" applyBorder="1" applyAlignment="1">
      <alignment horizontal="center"/>
    </xf>
    <xf numFmtId="184" fontId="181" fillId="37" borderId="0" xfId="4" applyNumberFormat="1" applyFont="1" applyFill="1" applyBorder="1" applyAlignment="1">
      <alignment horizontal="center" vertical="center"/>
    </xf>
    <xf numFmtId="10" fontId="181" fillId="37" borderId="21" xfId="4" applyNumberFormat="1" applyFont="1" applyFill="1" applyBorder="1" applyAlignment="1">
      <alignment horizontal="center"/>
    </xf>
    <xf numFmtId="0" fontId="227" fillId="37" borderId="97" xfId="0" applyFont="1" applyFill="1" applyBorder="1" applyAlignment="1">
      <alignment horizontal="center"/>
    </xf>
    <xf numFmtId="0" fontId="0" fillId="37" borderId="99" xfId="0" applyFill="1" applyBorder="1"/>
    <xf numFmtId="0" fontId="42" fillId="38" borderId="1" xfId="0" applyFont="1" applyFill="1" applyBorder="1" applyAlignment="1">
      <alignment horizontal="center" vertical="center" wrapText="1"/>
    </xf>
    <xf numFmtId="0" fontId="181" fillId="38" borderId="22" xfId="0" quotePrefix="1" applyFont="1" applyFill="1" applyBorder="1" applyAlignment="1">
      <alignment horizontal="center" vertical="center" wrapText="1"/>
    </xf>
    <xf numFmtId="0" fontId="181" fillId="38" borderId="56" xfId="0" applyFont="1" applyFill="1" applyBorder="1" applyAlignment="1">
      <alignment horizontal="center" vertical="center" wrapText="1"/>
    </xf>
    <xf numFmtId="0" fontId="0" fillId="38" borderId="1" xfId="0" applyFill="1" applyBorder="1"/>
    <xf numFmtId="10" fontId="50" fillId="38" borderId="1" xfId="4" applyNumberFormat="1" applyFont="1" applyFill="1" applyBorder="1" applyAlignment="1">
      <alignment horizontal="center" vertical="center"/>
    </xf>
    <xf numFmtId="166" fontId="0" fillId="38" borderId="1" xfId="2" applyNumberFormat="1" applyFont="1" applyFill="1" applyBorder="1" applyAlignment="1">
      <alignment horizontal="center"/>
    </xf>
    <xf numFmtId="10" fontId="181" fillId="38" borderId="114" xfId="4" applyNumberFormat="1" applyFont="1" applyFill="1" applyBorder="1" applyAlignment="1">
      <alignment horizontal="center"/>
    </xf>
    <xf numFmtId="0" fontId="0" fillId="38" borderId="99" xfId="0" applyFill="1" applyBorder="1"/>
    <xf numFmtId="0" fontId="50" fillId="134" borderId="16" xfId="0" applyFont="1" applyFill="1" applyBorder="1" applyAlignment="1">
      <alignment horizontal="center"/>
    </xf>
    <xf numFmtId="0" fontId="215" fillId="38" borderId="67" xfId="0" applyFont="1" applyFill="1" applyBorder="1" applyAlignment="1">
      <alignment horizontal="center" vertical="center" wrapText="1"/>
    </xf>
    <xf numFmtId="0" fontId="50" fillId="134" borderId="56" xfId="0" applyFont="1" applyFill="1" applyBorder="1" applyAlignment="1">
      <alignment horizontal="center" vertical="center" wrapText="1"/>
    </xf>
    <xf numFmtId="0" fontId="42" fillId="134" borderId="1" xfId="0" quotePrefix="1" applyFont="1" applyFill="1" applyBorder="1" applyAlignment="1">
      <alignment horizontal="center"/>
    </xf>
    <xf numFmtId="0" fontId="43" fillId="134" borderId="21" xfId="0" applyFont="1" applyFill="1" applyBorder="1" applyAlignment="1">
      <alignment horizontal="center"/>
    </xf>
    <xf numFmtId="0" fontId="0" fillId="134" borderId="6" xfId="0" applyFill="1" applyBorder="1" applyAlignment="1">
      <alignment wrapText="1"/>
    </xf>
    <xf numFmtId="0" fontId="42" fillId="134" borderId="30" xfId="0" applyFont="1" applyFill="1" applyBorder="1"/>
    <xf numFmtId="0" fontId="42" fillId="134" borderId="13" xfId="0" applyFont="1" applyFill="1" applyBorder="1"/>
    <xf numFmtId="0" fontId="43" fillId="134" borderId="99" xfId="0" quotePrefix="1" applyFont="1" applyFill="1" applyBorder="1" applyAlignment="1">
      <alignment horizontal="center"/>
    </xf>
    <xf numFmtId="0" fontId="181" fillId="134" borderId="42" xfId="0" quotePrefix="1" applyFont="1" applyFill="1" applyBorder="1" applyAlignment="1">
      <alignment horizontal="center" vertical="center" wrapText="1"/>
    </xf>
    <xf numFmtId="0" fontId="212" fillId="134" borderId="0" xfId="5" applyFont="1" applyFill="1" applyAlignment="1">
      <alignment wrapText="1"/>
    </xf>
    <xf numFmtId="0" fontId="212" fillId="134" borderId="97" xfId="5" applyFont="1" applyFill="1" applyBorder="1" applyAlignment="1">
      <alignment wrapText="1"/>
    </xf>
    <xf numFmtId="0" fontId="43" fillId="161" borderId="19" xfId="0" applyFont="1" applyFill="1" applyBorder="1" applyAlignment="1">
      <alignment horizontal="center"/>
    </xf>
    <xf numFmtId="0" fontId="181" fillId="134" borderId="98" xfId="0" quotePrefix="1" applyFont="1" applyFill="1" applyBorder="1" applyAlignment="1">
      <alignment horizontal="center"/>
    </xf>
    <xf numFmtId="0" fontId="43" fillId="134" borderId="97" xfId="0" quotePrefix="1" applyFont="1" applyFill="1" applyBorder="1" applyAlignment="1">
      <alignment horizontal="center"/>
    </xf>
    <xf numFmtId="0" fontId="43" fillId="134" borderId="98" xfId="0" quotePrefix="1" applyFont="1" applyFill="1" applyBorder="1" applyAlignment="1">
      <alignment horizontal="center"/>
    </xf>
    <xf numFmtId="0" fontId="43" fillId="152" borderId="98" xfId="0" quotePrefix="1" applyFont="1" applyFill="1" applyBorder="1" applyAlignment="1">
      <alignment horizontal="center"/>
    </xf>
    <xf numFmtId="0" fontId="43" fillId="152" borderId="97" xfId="0" quotePrefix="1" applyFont="1" applyFill="1" applyBorder="1" applyAlignment="1">
      <alignment horizontal="center"/>
    </xf>
    <xf numFmtId="0" fontId="181" fillId="134" borderId="99" xfId="0" quotePrefix="1" applyFont="1" applyFill="1" applyBorder="1" applyAlignment="1">
      <alignment horizontal="center"/>
    </xf>
    <xf numFmtId="0" fontId="181" fillId="134" borderId="48" xfId="0" quotePrefix="1" applyFont="1" applyFill="1" applyBorder="1" applyAlignment="1">
      <alignment horizontal="center" vertical="center" wrapText="1"/>
    </xf>
    <xf numFmtId="0" fontId="43" fillId="134" borderId="6" xfId="0" quotePrefix="1" applyFont="1" applyFill="1" applyBorder="1" applyAlignment="1">
      <alignment horizontal="center"/>
    </xf>
    <xf numFmtId="0" fontId="182" fillId="134" borderId="0" xfId="0" applyFont="1" applyFill="1" applyAlignment="1">
      <alignment horizontal="center"/>
    </xf>
    <xf numFmtId="0" fontId="182" fillId="134" borderId="0" xfId="0" applyFont="1" applyFill="1" applyBorder="1" applyAlignment="1">
      <alignment horizontal="center"/>
    </xf>
    <xf numFmtId="0" fontId="182" fillId="134" borderId="14" xfId="0" applyFont="1" applyFill="1" applyBorder="1" applyAlignment="1">
      <alignment horizontal="center"/>
    </xf>
    <xf numFmtId="10" fontId="43" fillId="0" borderId="18" xfId="4" applyNumberFormat="1" applyFont="1" applyFill="1" applyBorder="1" applyAlignment="1">
      <alignment horizontal="center"/>
    </xf>
    <xf numFmtId="0" fontId="192" fillId="134" borderId="0" xfId="0" applyFont="1" applyFill="1" applyBorder="1" applyAlignment="1">
      <alignment horizontal="left" vertical="center"/>
    </xf>
    <xf numFmtId="0" fontId="192" fillId="134" borderId="0" xfId="0" applyFont="1" applyFill="1" applyBorder="1" applyAlignment="1">
      <alignment vertical="center"/>
    </xf>
    <xf numFmtId="0" fontId="222" fillId="134" borderId="0" xfId="0" applyFont="1" applyFill="1" applyBorder="1"/>
    <xf numFmtId="0" fontId="43" fillId="162" borderId="11" xfId="0" applyFont="1" applyFill="1" applyBorder="1"/>
    <xf numFmtId="43" fontId="42" fillId="162" borderId="8" xfId="1" applyFont="1" applyFill="1" applyBorder="1" applyAlignment="1">
      <alignment horizontal="center"/>
    </xf>
    <xf numFmtId="43" fontId="42" fillId="162" borderId="11" xfId="1" applyFont="1" applyFill="1" applyBorder="1" applyAlignment="1">
      <alignment horizontal="center"/>
    </xf>
    <xf numFmtId="0" fontId="227" fillId="134" borderId="0" xfId="0" applyFont="1" applyFill="1"/>
    <xf numFmtId="164" fontId="42" fillId="134" borderId="0" xfId="0" applyNumberFormat="1" applyFont="1" applyFill="1" applyBorder="1" applyAlignment="1">
      <alignment horizontal="center"/>
    </xf>
    <xf numFmtId="164" fontId="42" fillId="134" borderId="14" xfId="0" applyNumberFormat="1" applyFont="1" applyFill="1" applyBorder="1" applyAlignment="1">
      <alignment horizontal="center"/>
    </xf>
    <xf numFmtId="0" fontId="11" fillId="0" borderId="0" xfId="5" applyFont="1" applyFill="1" applyAlignment="1">
      <alignment horizontal="centerContinuous"/>
    </xf>
    <xf numFmtId="0" fontId="42" fillId="0" borderId="0" xfId="5" applyFont="1" applyFill="1" applyAlignment="1">
      <alignment horizontal="centerContinuous"/>
    </xf>
    <xf numFmtId="0" fontId="50" fillId="0" borderId="0" xfId="0" applyFont="1" applyFill="1" applyAlignment="1">
      <alignment horizontal="center"/>
    </xf>
    <xf numFmtId="0" fontId="42" fillId="0" borderId="0" xfId="0" applyFont="1" applyFill="1" applyAlignment="1">
      <alignment horizontal="center"/>
    </xf>
    <xf numFmtId="0" fontId="43" fillId="0" borderId="53" xfId="0" applyFont="1" applyFill="1" applyBorder="1" applyAlignment="1">
      <alignment horizontal="center"/>
    </xf>
    <xf numFmtId="0" fontId="49" fillId="0" borderId="53" xfId="0" quotePrefix="1" applyFont="1" applyFill="1" applyBorder="1" applyAlignment="1">
      <alignment horizontal="center"/>
    </xf>
    <xf numFmtId="0" fontId="49" fillId="0" borderId="53" xfId="0" applyFont="1" applyFill="1" applyBorder="1" applyAlignment="1">
      <alignment horizontal="center"/>
    </xf>
    <xf numFmtId="0" fontId="192" fillId="0" borderId="53" xfId="0" applyFont="1" applyFill="1" applyBorder="1" applyAlignment="1">
      <alignment horizontal="center"/>
    </xf>
    <xf numFmtId="49" fontId="42" fillId="0" borderId="0" xfId="4" applyNumberFormat="1" applyFont="1" applyFill="1" applyAlignment="1">
      <alignment horizontal="center"/>
    </xf>
    <xf numFmtId="0" fontId="69" fillId="0" borderId="0" xfId="5" applyFont="1" applyAlignment="1">
      <alignment horizontal="center"/>
    </xf>
    <xf numFmtId="0" fontId="183" fillId="0" borderId="0" xfId="0" applyFont="1" applyFill="1"/>
    <xf numFmtId="184" fontId="42" fillId="0" borderId="5" xfId="2" applyNumberFormat="1" applyFont="1" applyFill="1" applyBorder="1"/>
    <xf numFmtId="184" fontId="42" fillId="0" borderId="11" xfId="2" applyNumberFormat="1" applyFont="1" applyFill="1" applyBorder="1"/>
    <xf numFmtId="0" fontId="42" fillId="134" borderId="34" xfId="0" applyFont="1" applyFill="1" applyBorder="1" applyAlignment="1">
      <alignment horizontal="center"/>
    </xf>
    <xf numFmtId="171" fontId="186" fillId="0" borderId="14" xfId="0" applyNumberFormat="1" applyFont="1" applyFill="1" applyBorder="1"/>
    <xf numFmtId="0" fontId="186" fillId="134" borderId="27" xfId="0" applyFont="1" applyFill="1" applyBorder="1" applyAlignment="1">
      <alignment horizontal="center"/>
    </xf>
    <xf numFmtId="0" fontId="186" fillId="134" borderId="14" xfId="0" applyFont="1" applyFill="1" applyBorder="1" applyAlignment="1">
      <alignment horizontal="center"/>
    </xf>
    <xf numFmtId="164" fontId="186" fillId="134" borderId="0" xfId="0" applyNumberFormat="1" applyFont="1" applyFill="1" applyBorder="1" applyAlignment="1">
      <alignment horizontal="center"/>
    </xf>
    <xf numFmtId="0" fontId="64" fillId="134" borderId="0" xfId="0" applyFont="1" applyFill="1" applyBorder="1" applyAlignment="1">
      <alignment horizontal="center"/>
    </xf>
    <xf numFmtId="164" fontId="186" fillId="134" borderId="14" xfId="0" applyNumberFormat="1" applyFont="1" applyFill="1" applyBorder="1" applyAlignment="1">
      <alignment horizontal="center"/>
    </xf>
    <xf numFmtId="0" fontId="185" fillId="134" borderId="14" xfId="0" applyFont="1" applyFill="1" applyBorder="1" applyAlignment="1">
      <alignment horizontal="center"/>
    </xf>
    <xf numFmtId="37" fontId="43" fillId="37" borderId="39" xfId="0" applyNumberFormat="1" applyFont="1" applyFill="1" applyBorder="1" applyAlignment="1">
      <alignment horizontal="center"/>
    </xf>
    <xf numFmtId="0" fontId="43" fillId="37" borderId="40" xfId="0" applyFont="1" applyFill="1" applyBorder="1" applyAlignment="1">
      <alignment horizontal="center"/>
    </xf>
    <xf numFmtId="0" fontId="43" fillId="37" borderId="40" xfId="1" applyNumberFormat="1" applyFont="1" applyFill="1" applyBorder="1" applyAlignment="1">
      <alignment horizontal="center"/>
    </xf>
    <xf numFmtId="0" fontId="43" fillId="37" borderId="102" xfId="0" applyFont="1" applyFill="1" applyBorder="1" applyAlignment="1">
      <alignment horizontal="center"/>
    </xf>
    <xf numFmtId="0" fontId="43" fillId="37" borderId="42" xfId="0" applyFont="1" applyFill="1" applyBorder="1" applyAlignment="1">
      <alignment horizontal="center"/>
    </xf>
    <xf numFmtId="171" fontId="43" fillId="37" borderId="42" xfId="0" applyNumberFormat="1" applyFont="1" applyFill="1" applyBorder="1" applyAlignment="1">
      <alignment horizontal="center"/>
    </xf>
    <xf numFmtId="171" fontId="43" fillId="37" borderId="43" xfId="0" applyNumberFormat="1" applyFont="1" applyFill="1" applyBorder="1" applyAlignment="1">
      <alignment horizontal="center"/>
    </xf>
    <xf numFmtId="171" fontId="43" fillId="37" borderId="40" xfId="0" applyNumberFormat="1" applyFont="1" applyFill="1" applyBorder="1" applyAlignment="1">
      <alignment horizontal="center"/>
    </xf>
    <xf numFmtId="171" fontId="43" fillId="37" borderId="104" xfId="0" applyNumberFormat="1" applyFont="1" applyFill="1" applyBorder="1" applyAlignment="1">
      <alignment horizontal="center"/>
    </xf>
    <xf numFmtId="171" fontId="43" fillId="37" borderId="102" xfId="0" applyNumberFormat="1" applyFont="1" applyFill="1" applyBorder="1" applyAlignment="1">
      <alignment horizontal="center"/>
    </xf>
    <xf numFmtId="0" fontId="43" fillId="38" borderId="40" xfId="0" applyFont="1" applyFill="1" applyBorder="1" applyAlignment="1">
      <alignment horizontal="center"/>
    </xf>
    <xf numFmtId="0" fontId="43" fillId="38" borderId="102" xfId="0" applyFont="1" applyFill="1" applyBorder="1" applyAlignment="1">
      <alignment horizontal="center"/>
    </xf>
    <xf numFmtId="0" fontId="43" fillId="38" borderId="40" xfId="1" applyNumberFormat="1" applyFont="1" applyFill="1" applyBorder="1" applyAlignment="1">
      <alignment horizontal="center"/>
    </xf>
    <xf numFmtId="0" fontId="212" fillId="134" borderId="0" xfId="0" applyFont="1" applyFill="1" applyAlignment="1">
      <alignment wrapText="1"/>
    </xf>
    <xf numFmtId="3" fontId="17" fillId="0" borderId="0" xfId="0" applyNumberFormat="1" applyFont="1" applyFill="1" applyBorder="1" applyAlignment="1">
      <alignment vertical="center"/>
    </xf>
    <xf numFmtId="3" fontId="17" fillId="0" borderId="0" xfId="100" applyNumberFormat="1" applyFont="1" applyAlignment="1">
      <alignment vertical="center"/>
    </xf>
    <xf numFmtId="3" fontId="18" fillId="0" borderId="0" xfId="0" applyNumberFormat="1" applyFont="1" applyFill="1" applyBorder="1" applyAlignment="1">
      <alignment vertical="center"/>
    </xf>
    <xf numFmtId="0" fontId="68" fillId="0" borderId="0" xfId="0" quotePrefix="1" applyFont="1"/>
    <xf numFmtId="0" fontId="0" fillId="163" borderId="38" xfId="0" applyFill="1" applyBorder="1"/>
    <xf numFmtId="0" fontId="0" fillId="38" borderId="38" xfId="0" applyFill="1" applyBorder="1"/>
    <xf numFmtId="0" fontId="0" fillId="39" borderId="38" xfId="0" applyFill="1" applyBorder="1"/>
    <xf numFmtId="0" fontId="0" fillId="162" borderId="38" xfId="0" applyFill="1" applyBorder="1"/>
    <xf numFmtId="0" fontId="0" fillId="164" borderId="38" xfId="0" applyFill="1" applyBorder="1"/>
    <xf numFmtId="0" fontId="0" fillId="37" borderId="38" xfId="0" applyFill="1" applyBorder="1"/>
    <xf numFmtId="0" fontId="186" fillId="0" borderId="0" xfId="0" applyFont="1" applyFill="1"/>
    <xf numFmtId="0" fontId="43" fillId="134" borderId="18" xfId="0" applyFont="1" applyFill="1" applyBorder="1" applyAlignment="1">
      <alignment horizontal="center"/>
    </xf>
    <xf numFmtId="0" fontId="42" fillId="134" borderId="0" xfId="0" quotePrefix="1" applyFont="1" applyFill="1"/>
    <xf numFmtId="243" fontId="50" fillId="134" borderId="0" xfId="4" applyNumberFormat="1" applyFont="1" applyFill="1" applyBorder="1" applyAlignment="1">
      <alignment horizontal="center"/>
    </xf>
    <xf numFmtId="184" fontId="70" fillId="0" borderId="0" xfId="2" applyNumberFormat="1" applyFont="1" applyFill="1" applyBorder="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184" fontId="43" fillId="37" borderId="14" xfId="2" applyNumberFormat="1" applyFont="1" applyFill="1" applyBorder="1"/>
    <xf numFmtId="184" fontId="43" fillId="38" borderId="14" xfId="2" applyNumberFormat="1" applyFont="1" applyFill="1" applyBorder="1"/>
    <xf numFmtId="184" fontId="44" fillId="39" borderId="0" xfId="2" applyNumberFormat="1" applyFont="1" applyFill="1" applyBorder="1" applyAlignment="1">
      <alignment vertical="center"/>
    </xf>
    <xf numFmtId="0" fontId="0" fillId="0" borderId="0" xfId="0" applyAlignment="1">
      <alignment horizontal="center"/>
    </xf>
    <xf numFmtId="0" fontId="231" fillId="0" borderId="0" xfId="0" applyFont="1" applyFill="1" applyAlignment="1">
      <alignment horizontal="left"/>
    </xf>
    <xf numFmtId="10" fontId="46" fillId="37" borderId="38" xfId="4" applyNumberFormat="1" applyFont="1" applyFill="1" applyBorder="1"/>
    <xf numFmtId="184" fontId="43" fillId="37" borderId="11" xfId="2" applyNumberFormat="1" applyFont="1" applyFill="1" applyBorder="1"/>
    <xf numFmtId="171" fontId="200" fillId="134" borderId="0" xfId="0" quotePrefix="1" applyNumberFormat="1" applyFont="1" applyFill="1" applyAlignment="1">
      <alignment horizontal="center"/>
    </xf>
    <xf numFmtId="0" fontId="45" fillId="134" borderId="7" xfId="0" applyFont="1" applyFill="1" applyBorder="1" applyAlignment="1">
      <alignment horizontal="center"/>
    </xf>
    <xf numFmtId="0" fontId="45" fillId="134" borderId="1" xfId="0" applyFont="1" applyFill="1" applyBorder="1" applyAlignment="1">
      <alignment horizontal="center"/>
    </xf>
    <xf numFmtId="14" fontId="44" fillId="134" borderId="7" xfId="0" quotePrefix="1" applyNumberFormat="1" applyFont="1" applyFill="1" applyBorder="1" applyAlignment="1">
      <alignment horizontal="center"/>
    </xf>
    <xf numFmtId="14" fontId="42" fillId="134" borderId="1" xfId="0" quotePrefix="1" applyNumberFormat="1" applyFont="1" applyFill="1" applyBorder="1" applyAlignment="1">
      <alignment horizontal="center"/>
    </xf>
    <xf numFmtId="171" fontId="42" fillId="134" borderId="7" xfId="0" applyNumberFormat="1" applyFont="1" applyFill="1" applyBorder="1" applyAlignment="1">
      <alignment horizontal="center"/>
    </xf>
    <xf numFmtId="0" fontId="42" fillId="134" borderId="7" xfId="1" applyNumberFormat="1" applyFont="1" applyFill="1" applyBorder="1" applyAlignment="1">
      <alignment horizontal="center"/>
    </xf>
    <xf numFmtId="0" fontId="43" fillId="134" borderId="1" xfId="1" applyNumberFormat="1" applyFont="1" applyFill="1" applyBorder="1" applyAlignment="1">
      <alignment horizontal="center"/>
    </xf>
    <xf numFmtId="0" fontId="42" fillId="134" borderId="98" xfId="1" applyNumberFormat="1" applyFont="1" applyFill="1" applyBorder="1" applyAlignment="1">
      <alignment horizontal="center"/>
    </xf>
    <xf numFmtId="0" fontId="43" fillId="134" borderId="99" xfId="1" applyNumberFormat="1" applyFont="1" applyFill="1" applyBorder="1" applyAlignment="1">
      <alignment horizontal="center"/>
    </xf>
    <xf numFmtId="0" fontId="43" fillId="134" borderId="22" xfId="0" applyFont="1" applyFill="1" applyBorder="1" applyAlignment="1">
      <alignment horizontal="center"/>
    </xf>
    <xf numFmtId="172" fontId="189" fillId="0" borderId="48" xfId="0" applyNumberFormat="1" applyFont="1" applyFill="1" applyBorder="1" applyAlignment="1">
      <alignment horizontal="center"/>
    </xf>
    <xf numFmtId="172" fontId="189" fillId="0" borderId="22" xfId="0" applyNumberFormat="1" applyFont="1" applyFill="1" applyBorder="1" applyAlignment="1">
      <alignment horizontal="center"/>
    </xf>
    <xf numFmtId="172" fontId="42" fillId="0" borderId="48" xfId="0" applyNumberFormat="1" applyFont="1" applyFill="1" applyBorder="1"/>
    <xf numFmtId="172" fontId="42" fillId="134" borderId="22" xfId="0" applyNumberFormat="1" applyFont="1" applyFill="1" applyBorder="1"/>
    <xf numFmtId="172" fontId="42" fillId="134" borderId="48" xfId="0" applyNumberFormat="1" applyFont="1" applyFill="1" applyBorder="1"/>
    <xf numFmtId="172" fontId="42" fillId="0" borderId="22" xfId="0" applyNumberFormat="1" applyFont="1" applyFill="1" applyBorder="1"/>
    <xf numFmtId="172" fontId="42" fillId="134" borderId="7" xfId="0" applyNumberFormat="1" applyFont="1" applyFill="1" applyBorder="1"/>
    <xf numFmtId="172" fontId="42" fillId="134" borderId="1" xfId="0" applyNumberFormat="1" applyFont="1" applyFill="1" applyBorder="1"/>
    <xf numFmtId="172" fontId="42" fillId="0" borderId="7" xfId="0" applyNumberFormat="1" applyFont="1" applyFill="1" applyBorder="1"/>
    <xf numFmtId="172" fontId="42" fillId="134" borderId="7" xfId="0" applyNumberFormat="1" applyFont="1" applyFill="1" applyBorder="1" applyAlignment="1"/>
    <xf numFmtId="172" fontId="42" fillId="134" borderId="1" xfId="0" applyNumberFormat="1" applyFont="1" applyFill="1" applyBorder="1" applyAlignment="1"/>
    <xf numFmtId="172" fontId="42" fillId="134" borderId="48" xfId="0" applyNumberFormat="1" applyFont="1" applyFill="1" applyBorder="1" applyAlignment="1"/>
    <xf numFmtId="172" fontId="42" fillId="134" borderId="22" xfId="0" applyNumberFormat="1" applyFont="1" applyFill="1" applyBorder="1" applyAlignment="1"/>
    <xf numFmtId="172" fontId="42" fillId="134" borderId="44" xfId="0" applyNumberFormat="1" applyFont="1" applyFill="1" applyBorder="1" applyAlignment="1"/>
    <xf numFmtId="172" fontId="42" fillId="134" borderId="49" xfId="0" applyNumberFormat="1" applyFont="1" applyFill="1" applyBorder="1" applyAlignment="1"/>
    <xf numFmtId="172" fontId="45" fillId="134" borderId="98" xfId="0" applyNumberFormat="1" applyFont="1" applyFill="1" applyBorder="1"/>
    <xf numFmtId="172" fontId="45" fillId="134" borderId="99" xfId="0" applyNumberFormat="1" applyFont="1" applyFill="1" applyBorder="1"/>
    <xf numFmtId="0" fontId="42" fillId="134" borderId="0" xfId="0" quotePrefix="1" applyFont="1" applyFill="1" applyBorder="1"/>
    <xf numFmtId="37" fontId="44" fillId="0" borderId="0" xfId="0" applyNumberFormat="1" applyFont="1" applyFill="1" applyBorder="1"/>
    <xf numFmtId="169" fontId="42" fillId="0" borderId="36" xfId="51236" applyNumberFormat="1" applyFont="1" applyFill="1" applyBorder="1" applyAlignment="1">
      <alignment horizontal="center"/>
    </xf>
    <xf numFmtId="171" fontId="218" fillId="134" borderId="9" xfId="0" applyNumberFormat="1" applyFont="1" applyFill="1" applyBorder="1"/>
    <xf numFmtId="171" fontId="218" fillId="134" borderId="9" xfId="0" applyNumberFormat="1" applyFont="1" applyFill="1" applyBorder="1" applyAlignment="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0" fontId="19" fillId="134" borderId="0" xfId="0" applyFont="1" applyFill="1" applyBorder="1" applyAlignment="1">
      <alignment horizontal="center"/>
    </xf>
    <xf numFmtId="0" fontId="43" fillId="134" borderId="97" xfId="0" applyFont="1" applyFill="1" applyBorder="1" applyAlignment="1">
      <alignment horizontal="center"/>
    </xf>
    <xf numFmtId="0" fontId="51" fillId="0" borderId="14" xfId="0" quotePrefix="1" applyFont="1" applyFill="1" applyBorder="1" applyAlignment="1">
      <alignment horizontal="center" vertical="center" wrapText="1"/>
    </xf>
    <xf numFmtId="10" fontId="0" fillId="134" borderId="7" xfId="0" applyNumberFormat="1" applyFill="1" applyBorder="1" applyAlignment="1">
      <alignment horizontal="center"/>
    </xf>
    <xf numFmtId="0" fontId="181" fillId="0" borderId="14" xfId="0" applyFont="1" applyFill="1" applyBorder="1" applyAlignment="1">
      <alignment horizontal="center" vertical="center" wrapText="1"/>
    </xf>
    <xf numFmtId="0" fontId="43" fillId="134" borderId="18" xfId="0" applyFont="1" applyFill="1" applyBorder="1" applyAlignment="1">
      <alignment horizontal="center" wrapText="1"/>
    </xf>
    <xf numFmtId="10" fontId="42" fillId="0" borderId="0" xfId="4" applyNumberFormat="1" applyFont="1" applyFill="1"/>
    <xf numFmtId="0" fontId="19" fillId="134" borderId="0" xfId="0" applyFont="1" applyFill="1" applyBorder="1" applyAlignment="1">
      <alignment horizontal="center"/>
    </xf>
    <xf numFmtId="167" fontId="42" fillId="134" borderId="27" xfId="1" applyNumberFormat="1" applyFont="1" applyFill="1" applyBorder="1"/>
    <xf numFmtId="0" fontId="200" fillId="0" borderId="97" xfId="0" applyFont="1" applyFill="1" applyBorder="1" applyAlignment="1">
      <alignment horizontal="center" vertical="center"/>
    </xf>
    <xf numFmtId="184" fontId="181" fillId="134" borderId="41" xfId="2" quotePrefix="1" applyNumberFormat="1" applyFont="1" applyFill="1" applyBorder="1" applyAlignment="1">
      <alignment horizontal="center" vertical="center" wrapText="1"/>
    </xf>
    <xf numFmtId="0" fontId="227" fillId="37" borderId="97" xfId="0" quotePrefix="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9" fillId="134" borderId="0" xfId="0" applyFont="1" applyFill="1" applyBorder="1" applyAlignment="1">
      <alignment horizontal="center"/>
    </xf>
    <xf numFmtId="0" fontId="51" fillId="0" borderId="98" xfId="0" quotePrefix="1" applyFont="1" applyFill="1" applyBorder="1" applyAlignment="1">
      <alignment horizontal="center" vertical="center" wrapText="1"/>
    </xf>
    <xf numFmtId="0" fontId="42" fillId="38" borderId="0" xfId="0" applyFont="1" applyFill="1" applyBorder="1" applyAlignment="1">
      <alignment horizontal="center" vertical="center" wrapText="1"/>
    </xf>
    <xf numFmtId="0" fontId="181" fillId="38" borderId="14" xfId="0" quotePrefix="1" applyFont="1" applyFill="1" applyBorder="1" applyAlignment="1">
      <alignment horizontal="center" vertical="center" wrapText="1"/>
    </xf>
    <xf numFmtId="0" fontId="181" fillId="38" borderId="53" xfId="0" applyFont="1" applyFill="1" applyBorder="1" applyAlignment="1">
      <alignment horizontal="center" vertical="center" wrapText="1"/>
    </xf>
    <xf numFmtId="0" fontId="0" fillId="38" borderId="0" xfId="0" applyFill="1" applyBorder="1"/>
    <xf numFmtId="184" fontId="50" fillId="38" borderId="0" xfId="2" applyNumberFormat="1" applyFont="1" applyFill="1" applyBorder="1" applyAlignment="1">
      <alignment horizontal="center"/>
    </xf>
    <xf numFmtId="166" fontId="0" fillId="38" borderId="0" xfId="2" applyNumberFormat="1" applyFont="1" applyFill="1" applyBorder="1" applyAlignment="1">
      <alignment horizontal="center"/>
    </xf>
    <xf numFmtId="184" fontId="181" fillId="38" borderId="9" xfId="2" applyNumberFormat="1" applyFont="1" applyFill="1" applyBorder="1" applyAlignment="1">
      <alignment horizontal="center"/>
    </xf>
    <xf numFmtId="0" fontId="227" fillId="38" borderId="97" xfId="0" quotePrefix="1" applyFont="1" applyFill="1" applyBorder="1" applyAlignment="1">
      <alignment horizontal="center"/>
    </xf>
    <xf numFmtId="10" fontId="50" fillId="38" borderId="0" xfId="4" applyNumberFormat="1" applyFont="1" applyFill="1" applyBorder="1" applyAlignment="1">
      <alignment horizontal="center" vertical="center"/>
    </xf>
    <xf numFmtId="0" fontId="0" fillId="38" borderId="97" xfId="0" applyFill="1" applyBorder="1"/>
    <xf numFmtId="0" fontId="50" fillId="38" borderId="112" xfId="0" applyFont="1" applyFill="1" applyBorder="1" applyAlignment="1">
      <alignment horizontal="center" vertical="center" wrapText="1"/>
    </xf>
    <xf numFmtId="0" fontId="50" fillId="38" borderId="9" xfId="0" applyFont="1" applyFill="1" applyBorder="1" applyAlignment="1">
      <alignment horizontal="center" vertical="center" wrapText="1"/>
    </xf>
    <xf numFmtId="166" fontId="0" fillId="38" borderId="14" xfId="2" applyNumberFormat="1" applyFont="1" applyFill="1" applyBorder="1" applyAlignment="1">
      <alignment horizontal="center"/>
    </xf>
    <xf numFmtId="0" fontId="190" fillId="37" borderId="124" xfId="0" applyFont="1" applyFill="1" applyBorder="1" applyAlignment="1">
      <alignment horizontal="center"/>
    </xf>
    <xf numFmtId="0" fontId="50" fillId="37" borderId="125" xfId="0" applyFont="1" applyFill="1" applyBorder="1" applyAlignment="1">
      <alignment horizontal="center" vertical="center" wrapText="1"/>
    </xf>
    <xf numFmtId="0" fontId="215" fillId="37" borderId="126" xfId="0" applyFont="1" applyFill="1" applyBorder="1" applyAlignment="1">
      <alignment horizontal="center" vertical="center" wrapText="1"/>
    </xf>
    <xf numFmtId="0" fontId="190" fillId="38" borderId="29" xfId="0" applyFont="1" applyFill="1" applyBorder="1" applyAlignment="1">
      <alignment horizontal="center"/>
    </xf>
    <xf numFmtId="0" fontId="50" fillId="38" borderId="48" xfId="0" applyFont="1" applyFill="1" applyBorder="1" applyAlignment="1">
      <alignment horizontal="center" vertical="center" wrapText="1"/>
    </xf>
    <xf numFmtId="0" fontId="190" fillId="38" borderId="30" xfId="0" applyFont="1" applyFill="1" applyBorder="1" applyAlignment="1">
      <alignment horizontal="center"/>
    </xf>
    <xf numFmtId="0" fontId="50" fillId="38" borderId="1" xfId="0" applyFont="1" applyFill="1" applyBorder="1" applyAlignment="1">
      <alignment horizontal="center" vertical="center" wrapText="1"/>
    </xf>
    <xf numFmtId="168" fontId="42" fillId="134" borderId="11" xfId="143" applyNumberFormat="1" applyFont="1" applyFill="1" applyBorder="1" applyAlignment="1">
      <alignment horizontal="center"/>
    </xf>
    <xf numFmtId="168" fontId="42" fillId="134" borderId="8" xfId="143" applyNumberFormat="1" applyFont="1" applyFill="1" applyBorder="1" applyAlignment="1">
      <alignment horizontal="center"/>
    </xf>
    <xf numFmtId="168" fontId="42" fillId="134" borderId="28" xfId="143" applyNumberFormat="1" applyFont="1" applyFill="1" applyBorder="1" applyAlignment="1">
      <alignment horizontal="center"/>
    </xf>
    <xf numFmtId="168" fontId="42" fillId="134" borderId="35" xfId="143" applyNumberFormat="1" applyFont="1" applyFill="1" applyBorder="1" applyAlignment="1">
      <alignment horizontal="center"/>
    </xf>
    <xf numFmtId="168" fontId="42" fillId="134" borderId="48" xfId="143" applyNumberFormat="1" applyFont="1" applyFill="1" applyBorder="1" applyAlignment="1">
      <alignment horizontal="center"/>
    </xf>
    <xf numFmtId="168" fontId="42" fillId="134" borderId="7" xfId="143" applyNumberFormat="1" applyFont="1" applyFill="1" applyBorder="1" applyAlignment="1">
      <alignment horizontal="center"/>
    </xf>
    <xf numFmtId="168" fontId="42" fillId="134" borderId="44" xfId="143" applyNumberFormat="1" applyFont="1" applyFill="1" applyBorder="1" applyAlignment="1">
      <alignment horizontal="center"/>
    </xf>
    <xf numFmtId="168" fontId="42" fillId="134" borderId="50" xfId="143" applyNumberFormat="1" applyFont="1" applyFill="1" applyBorder="1" applyAlignment="1">
      <alignment horizontal="center"/>
    </xf>
    <xf numFmtId="0" fontId="50" fillId="38" borderId="127" xfId="0" applyFont="1" applyFill="1" applyBorder="1" applyAlignment="1">
      <alignment horizontal="center" vertical="center" wrapText="1"/>
    </xf>
    <xf numFmtId="168" fontId="42" fillId="134" borderId="34" xfId="143" applyNumberFormat="1" applyFont="1" applyFill="1" applyBorder="1" applyAlignment="1">
      <alignment horizontal="center"/>
    </xf>
    <xf numFmtId="168" fontId="215" fillId="38" borderId="50" xfId="0" applyNumberFormat="1" applyFont="1" applyFill="1" applyBorder="1" applyAlignment="1">
      <alignment horizontal="center" vertical="center"/>
    </xf>
    <xf numFmtId="168" fontId="215" fillId="38" borderId="34" xfId="0" applyNumberFormat="1" applyFont="1" applyFill="1" applyBorder="1" applyAlignment="1">
      <alignment horizontal="center" vertical="center"/>
    </xf>
    <xf numFmtId="168" fontId="215" fillId="38" borderId="120" xfId="0" applyNumberFormat="1" applyFont="1" applyFill="1" applyBorder="1" applyAlignment="1">
      <alignment horizontal="center" vertical="center"/>
    </xf>
    <xf numFmtId="184" fontId="50" fillId="37" borderId="0" xfId="2" applyNumberFormat="1" applyFont="1" applyFill="1" applyBorder="1" applyAlignment="1">
      <alignment horizontal="center"/>
    </xf>
    <xf numFmtId="0" fontId="181" fillId="134" borderId="1" xfId="0" quotePrefix="1" applyFont="1" applyFill="1" applyBorder="1" applyAlignment="1">
      <alignment horizontal="center" vertical="center" wrapText="1"/>
    </xf>
    <xf numFmtId="0" fontId="41" fillId="37" borderId="29" xfId="5" applyFont="1" applyFill="1" applyBorder="1" applyAlignment="1"/>
    <xf numFmtId="0" fontId="41" fillId="37" borderId="30" xfId="5" applyFont="1" applyFill="1" applyBorder="1" applyAlignment="1"/>
    <xf numFmtId="243" fontId="42" fillId="134" borderId="0" xfId="2" applyNumberFormat="1" applyFont="1" applyFill="1" applyBorder="1"/>
    <xf numFmtId="0" fontId="51" fillId="0" borderId="97" xfId="0" quotePrefix="1" applyFont="1" applyFill="1" applyBorder="1" applyAlignment="1">
      <alignment horizontal="center" vertical="center" wrapText="1"/>
    </xf>
    <xf numFmtId="0" fontId="41" fillId="134" borderId="0" xfId="5" applyFont="1" applyFill="1" applyBorder="1" applyAlignment="1"/>
    <xf numFmtId="0" fontId="51" fillId="134" borderId="0" xfId="0" quotePrefix="1" applyFont="1" applyFill="1" applyBorder="1" applyAlignment="1">
      <alignment horizontal="center" vertical="center" wrapText="1"/>
    </xf>
    <xf numFmtId="0" fontId="41" fillId="38" borderId="29" xfId="5" applyFont="1" applyFill="1" applyBorder="1" applyAlignment="1">
      <alignment vertical="center"/>
    </xf>
    <xf numFmtId="0" fontId="41" fillId="38" borderId="30" xfId="5" applyFont="1" applyFill="1" applyBorder="1" applyAlignment="1">
      <alignment vertical="center"/>
    </xf>
    <xf numFmtId="0" fontId="49" fillId="134" borderId="6" xfId="0" applyFont="1" applyFill="1" applyBorder="1" applyAlignment="1">
      <alignment horizontal="center"/>
    </xf>
    <xf numFmtId="184" fontId="50" fillId="38" borderId="18" xfId="2" applyNumberFormat="1" applyFont="1" applyFill="1" applyBorder="1" applyAlignment="1">
      <alignment horizontal="center"/>
    </xf>
    <xf numFmtId="10" fontId="50" fillId="38" borderId="18" xfId="4" applyNumberFormat="1" applyFont="1" applyFill="1" applyBorder="1" applyAlignment="1">
      <alignment horizontal="center" vertical="center"/>
    </xf>
    <xf numFmtId="184" fontId="181" fillId="38" borderId="18" xfId="2" applyNumberFormat="1" applyFont="1" applyFill="1" applyBorder="1" applyAlignment="1">
      <alignment horizontal="center"/>
    </xf>
    <xf numFmtId="10" fontId="181" fillId="38" borderId="21" xfId="4" applyNumberFormat="1" applyFont="1" applyFill="1" applyBorder="1" applyAlignment="1">
      <alignment horizontal="center"/>
    </xf>
    <xf numFmtId="0" fontId="51" fillId="0" borderId="99" xfId="0" quotePrefix="1" applyFont="1" applyFill="1" applyBorder="1" applyAlignment="1">
      <alignment horizontal="center" vertical="center" wrapText="1"/>
    </xf>
    <xf numFmtId="243" fontId="181" fillId="134" borderId="7" xfId="2" applyNumberFormat="1" applyFont="1" applyFill="1" applyBorder="1"/>
    <xf numFmtId="10" fontId="0" fillId="134" borderId="97" xfId="2" applyNumberFormat="1" applyFont="1" applyFill="1" applyBorder="1" applyAlignment="1">
      <alignment horizontal="center"/>
    </xf>
    <xf numFmtId="243" fontId="0" fillId="134" borderId="98" xfId="2" applyNumberFormat="1" applyFont="1" applyFill="1" applyBorder="1"/>
    <xf numFmtId="10" fontId="0" fillId="134" borderId="99" xfId="2" applyNumberFormat="1" applyFont="1" applyFill="1" applyBorder="1" applyAlignment="1">
      <alignment horizontal="center"/>
    </xf>
    <xf numFmtId="10" fontId="181" fillId="134" borderId="1" xfId="4" applyNumberFormat="1" applyFont="1" applyFill="1" applyBorder="1" applyAlignment="1">
      <alignment horizontal="center"/>
    </xf>
    <xf numFmtId="184" fontId="181" fillId="134" borderId="0" xfId="2" applyNumberFormat="1" applyFont="1" applyFill="1" applyBorder="1"/>
    <xf numFmtId="184" fontId="181" fillId="134" borderId="7" xfId="2" applyNumberFormat="1" applyFont="1" applyFill="1" applyBorder="1"/>
    <xf numFmtId="10" fontId="0" fillId="134" borderId="97" xfId="0" applyNumberFormat="1" applyFill="1" applyBorder="1" applyAlignment="1">
      <alignment horizontal="center"/>
    </xf>
    <xf numFmtId="10" fontId="0" fillId="134" borderId="99" xfId="0" applyNumberFormat="1" applyFill="1" applyBorder="1" applyAlignment="1">
      <alignment horizontal="center"/>
    </xf>
    <xf numFmtId="0" fontId="0" fillId="134" borderId="98" xfId="0" applyFill="1" applyBorder="1"/>
    <xf numFmtId="0" fontId="181" fillId="38" borderId="14" xfId="0" applyFont="1" applyFill="1" applyBorder="1" applyAlignment="1">
      <alignment horizontal="center" vertical="center" wrapText="1"/>
    </xf>
    <xf numFmtId="0" fontId="42" fillId="134" borderId="97" xfId="0" applyFont="1" applyFill="1" applyBorder="1" applyAlignment="1">
      <alignment horizontal="center"/>
    </xf>
    <xf numFmtId="0" fontId="43" fillId="134" borderId="97" xfId="0" applyFont="1" applyFill="1" applyBorder="1" applyAlignment="1">
      <alignment horizontal="center"/>
    </xf>
    <xf numFmtId="168" fontId="42" fillId="154" borderId="8" xfId="143" applyNumberFormat="1" applyFont="1" applyFill="1" applyBorder="1" applyAlignment="1">
      <alignment horizontal="center"/>
    </xf>
    <xf numFmtId="168" fontId="42" fillId="154" borderId="11" xfId="143" applyNumberFormat="1" applyFont="1" applyFill="1" applyBorder="1" applyAlignment="1">
      <alignment horizontal="center"/>
    </xf>
    <xf numFmtId="168" fontId="42" fillId="134" borderId="10" xfId="143" applyNumberFormat="1" applyFont="1" applyFill="1" applyBorder="1" applyAlignment="1">
      <alignment horizontal="center"/>
    </xf>
    <xf numFmtId="168" fontId="42" fillId="134" borderId="9" xfId="143" applyNumberFormat="1" applyFont="1" applyFill="1" applyBorder="1" applyAlignment="1">
      <alignment horizontal="center"/>
    </xf>
    <xf numFmtId="168" fontId="42" fillId="134" borderId="15" xfId="143" applyNumberFormat="1" applyFont="1" applyFill="1" applyBorder="1" applyAlignment="1">
      <alignment horizontal="center"/>
    </xf>
    <xf numFmtId="168" fontId="42" fillId="134" borderId="2" xfId="143" applyNumberFormat="1" applyFont="1" applyFill="1" applyBorder="1" applyAlignment="1">
      <alignment horizontal="center"/>
    </xf>
    <xf numFmtId="171" fontId="42" fillId="134" borderId="48" xfId="0" applyNumberFormat="1" applyFont="1" applyFill="1" applyBorder="1" applyAlignment="1">
      <alignment horizontal="center"/>
    </xf>
    <xf numFmtId="7" fontId="42" fillId="134" borderId="48" xfId="2" applyNumberFormat="1" applyFont="1" applyFill="1" applyBorder="1"/>
    <xf numFmtId="7" fontId="43" fillId="134" borderId="42" xfId="0" applyNumberFormat="1" applyFont="1" applyFill="1" applyBorder="1"/>
    <xf numFmtId="0" fontId="43" fillId="134" borderId="2" xfId="0" applyFont="1" applyFill="1" applyBorder="1" applyAlignment="1">
      <alignment horizontal="center"/>
    </xf>
    <xf numFmtId="0" fontId="43" fillId="134" borderId="16" xfId="0" applyFont="1" applyFill="1" applyBorder="1" applyAlignment="1">
      <alignment horizontal="center" wrapText="1"/>
    </xf>
    <xf numFmtId="0" fontId="42" fillId="134" borderId="3" xfId="0" quotePrefix="1" applyFont="1" applyFill="1" applyBorder="1" applyAlignment="1">
      <alignment horizontal="center"/>
    </xf>
    <xf numFmtId="7" fontId="42" fillId="134" borderId="4" xfId="0" applyNumberFormat="1" applyFont="1" applyFill="1" applyBorder="1"/>
    <xf numFmtId="166" fontId="42" fillId="134" borderId="8" xfId="0" applyNumberFormat="1" applyFont="1" applyFill="1" applyBorder="1"/>
    <xf numFmtId="166" fontId="42" fillId="134" borderId="15" xfId="0" applyNumberFormat="1" applyFont="1" applyFill="1" applyBorder="1"/>
    <xf numFmtId="0" fontId="42" fillId="134" borderId="3" xfId="0" applyFont="1" applyFill="1" applyBorder="1" applyAlignment="1">
      <alignment horizontal="center"/>
    </xf>
    <xf numFmtId="0" fontId="42" fillId="134" borderId="16" xfId="0" applyFont="1" applyFill="1" applyBorder="1" applyAlignment="1">
      <alignment horizontal="center"/>
    </xf>
    <xf numFmtId="7" fontId="42" fillId="134" borderId="5" xfId="0" applyNumberFormat="1" applyFont="1" applyFill="1" applyBorder="1"/>
    <xf numFmtId="166" fontId="42" fillId="134" borderId="11" xfId="0" applyNumberFormat="1" applyFont="1" applyFill="1" applyBorder="1"/>
    <xf numFmtId="0" fontId="42" fillId="134" borderId="0" xfId="56367" applyFont="1" applyFill="1" applyBorder="1"/>
    <xf numFmtId="43" fontId="42" fillId="134" borderId="0" xfId="1" applyFont="1" applyFill="1" applyBorder="1"/>
    <xf numFmtId="0" fontId="43" fillId="134" borderId="10" xfId="0" applyFont="1" applyFill="1" applyBorder="1" applyAlignment="1">
      <alignment horizontal="center"/>
    </xf>
    <xf numFmtId="7" fontId="42" fillId="134" borderId="0" xfId="1" applyNumberFormat="1" applyFont="1" applyFill="1" applyBorder="1"/>
    <xf numFmtId="166" fontId="42" fillId="134" borderId="8" xfId="4" applyNumberFormat="1" applyFont="1" applyFill="1" applyBorder="1"/>
    <xf numFmtId="7" fontId="42" fillId="134" borderId="14" xfId="1" applyNumberFormat="1" applyFont="1" applyFill="1" applyBorder="1"/>
    <xf numFmtId="166" fontId="42" fillId="134" borderId="11" xfId="4" applyNumberFormat="1" applyFont="1" applyFill="1" applyBorder="1"/>
    <xf numFmtId="252" fontId="0" fillId="134" borderId="0" xfId="1" applyNumberFormat="1" applyFont="1" applyFill="1"/>
    <xf numFmtId="43" fontId="185" fillId="134" borderId="0" xfId="1" applyFont="1" applyFill="1"/>
    <xf numFmtId="252" fontId="185" fillId="134" borderId="0" xfId="1" applyNumberFormat="1" applyFont="1" applyFill="1"/>
    <xf numFmtId="168" fontId="42" fillId="0" borderId="16" xfId="143" applyNumberFormat="1" applyFont="1" applyFill="1" applyBorder="1" applyAlignment="1">
      <alignment horizontal="center"/>
    </xf>
    <xf numFmtId="0" fontId="42" fillId="134" borderId="17" xfId="0" applyFont="1" applyFill="1" applyBorder="1" applyAlignment="1">
      <alignment horizontal="center"/>
    </xf>
    <xf numFmtId="0" fontId="42" fillId="134" borderId="97" xfId="5" applyFont="1" applyFill="1" applyBorder="1" applyAlignment="1">
      <alignment horizontal="center"/>
    </xf>
    <xf numFmtId="165" fontId="42" fillId="134" borderId="97" xfId="1" applyNumberFormat="1" applyFont="1" applyFill="1" applyBorder="1" applyAlignment="1"/>
    <xf numFmtId="0" fontId="42" fillId="134" borderId="99" xfId="5" applyFont="1" applyFill="1" applyBorder="1" applyAlignment="1">
      <alignment horizontal="center"/>
    </xf>
    <xf numFmtId="0" fontId="42" fillId="134" borderId="98" xfId="5" applyFont="1" applyFill="1" applyBorder="1" applyAlignment="1">
      <alignment horizontal="center"/>
    </xf>
    <xf numFmtId="0" fontId="195" fillId="134" borderId="0" xfId="0" applyFont="1" applyFill="1" applyAlignment="1">
      <alignment horizontal="center"/>
    </xf>
    <xf numFmtId="168" fontId="42" fillId="165" borderId="16" xfId="143" applyNumberFormat="1" applyFont="1" applyFill="1" applyBorder="1" applyAlignment="1">
      <alignment horizontal="center"/>
    </xf>
    <xf numFmtId="168" fontId="42" fillId="165" borderId="15" xfId="143" applyNumberFormat="1" applyFont="1" applyFill="1" applyBorder="1" applyAlignment="1">
      <alignment horizontal="center"/>
    </xf>
    <xf numFmtId="168" fontId="42" fillId="165" borderId="11" xfId="143" applyNumberFormat="1" applyFont="1" applyFill="1" applyBorder="1" applyAlignment="1">
      <alignment horizontal="center"/>
    </xf>
    <xf numFmtId="168" fontId="42" fillId="165" borderId="8" xfId="143" applyNumberFormat="1" applyFont="1" applyFill="1" applyBorder="1" applyAlignment="1">
      <alignment horizontal="center"/>
    </xf>
    <xf numFmtId="168" fontId="42" fillId="165" borderId="2" xfId="143" applyNumberFormat="1" applyFont="1" applyFill="1" applyBorder="1" applyAlignment="1">
      <alignment horizontal="center"/>
    </xf>
    <xf numFmtId="168" fontId="42" fillId="165" borderId="3" xfId="143" applyNumberFormat="1" applyFont="1" applyFill="1" applyBorder="1" applyAlignment="1">
      <alignment horizontal="center"/>
    </xf>
    <xf numFmtId="5" fontId="42" fillId="134" borderId="0" xfId="2" applyNumberFormat="1" applyFont="1" applyFill="1" applyBorder="1" applyAlignment="1">
      <alignment vertical="center"/>
    </xf>
    <xf numFmtId="167" fontId="42" fillId="134" borderId="0" xfId="1" applyNumberFormat="1" applyFont="1" applyFill="1" applyBorder="1" applyAlignment="1">
      <alignment vertical="center"/>
    </xf>
    <xf numFmtId="171" fontId="186" fillId="0" borderId="116" xfId="0" applyNumberFormat="1" applyFont="1" applyFill="1" applyBorder="1"/>
    <xf numFmtId="171" fontId="186" fillId="0" borderId="117" xfId="0" applyNumberFormat="1" applyFont="1" applyFill="1" applyBorder="1"/>
    <xf numFmtId="171" fontId="186" fillId="0" borderId="118" xfId="0" applyNumberFormat="1" applyFont="1" applyFill="1" applyBorder="1"/>
    <xf numFmtId="168" fontId="42" fillId="165" borderId="8" xfId="56362" applyNumberFormat="1" applyFont="1" applyFill="1" applyBorder="1"/>
    <xf numFmtId="168" fontId="42" fillId="165" borderId="11" xfId="56362" applyNumberFormat="1" applyFont="1" applyFill="1" applyBorder="1"/>
    <xf numFmtId="0" fontId="42" fillId="134" borderId="28" xfId="0" applyFont="1" applyFill="1" applyBorder="1" applyAlignment="1">
      <alignment horizontal="center"/>
    </xf>
    <xf numFmtId="0" fontId="42" fillId="134" borderId="9" xfId="0" applyFont="1" applyFill="1" applyBorder="1" applyAlignment="1">
      <alignment horizontal="center"/>
    </xf>
    <xf numFmtId="164" fontId="42" fillId="134" borderId="8" xfId="0" applyNumberFormat="1" applyFont="1" applyFill="1" applyBorder="1" applyAlignment="1">
      <alignment horizontal="center"/>
    </xf>
    <xf numFmtId="164" fontId="43" fillId="134" borderId="11" xfId="0" applyNumberFormat="1" applyFont="1" applyFill="1" applyBorder="1" applyAlignment="1">
      <alignment horizontal="center"/>
    </xf>
    <xf numFmtId="0" fontId="42" fillId="134" borderId="11" xfId="0" applyFont="1" applyFill="1" applyBorder="1" applyAlignment="1">
      <alignment horizontal="center"/>
    </xf>
    <xf numFmtId="0" fontId="42" fillId="134" borderId="15" xfId="0" applyFont="1" applyFill="1" applyBorder="1" applyAlignment="1">
      <alignment horizontal="center"/>
    </xf>
    <xf numFmtId="14" fontId="42" fillId="134" borderId="0" xfId="0" applyNumberFormat="1" applyFont="1" applyFill="1" applyBorder="1" applyAlignment="1">
      <alignment horizontal="left"/>
    </xf>
    <xf numFmtId="39" fontId="43" fillId="134" borderId="27" xfId="0" applyNumberFormat="1" applyFont="1" applyFill="1" applyBorder="1" applyAlignment="1"/>
    <xf numFmtId="0" fontId="43" fillId="134" borderId="18" xfId="0" applyFont="1" applyFill="1" applyBorder="1" applyAlignment="1">
      <alignment horizontal="center"/>
    </xf>
    <xf numFmtId="0" fontId="43" fillId="134" borderId="97" xfId="0" applyFont="1" applyFill="1" applyBorder="1" applyAlignment="1">
      <alignment horizontal="center"/>
    </xf>
    <xf numFmtId="37" fontId="42" fillId="134" borderId="0" xfId="0" applyNumberFormat="1" applyFont="1" applyFill="1" applyBorder="1" applyAlignment="1" applyProtection="1">
      <alignment horizontal="left" vertical="top" wrapText="1"/>
    </xf>
    <xf numFmtId="0" fontId="43" fillId="134" borderId="26" xfId="0" applyFont="1" applyFill="1" applyBorder="1" applyAlignment="1">
      <alignment horizontal="center"/>
    </xf>
    <xf numFmtId="0" fontId="43" fillId="134" borderId="28" xfId="0" applyFont="1" applyFill="1" applyBorder="1" applyAlignment="1">
      <alignment horizontal="center"/>
    </xf>
    <xf numFmtId="168" fontId="42" fillId="166" borderId="8" xfId="56362" applyNumberFormat="1" applyFont="1" applyFill="1" applyBorder="1"/>
    <xf numFmtId="168" fontId="42" fillId="166" borderId="11" xfId="56362" applyNumberFormat="1" applyFont="1" applyFill="1" applyBorder="1"/>
    <xf numFmtId="10" fontId="42" fillId="166" borderId="0" xfId="4" applyNumberFormat="1" applyFont="1" applyFill="1"/>
    <xf numFmtId="0" fontId="50" fillId="0" borderId="38" xfId="0" applyFont="1" applyFill="1" applyBorder="1" applyAlignment="1">
      <alignment horizontal="center" vertical="center" wrapText="1"/>
    </xf>
    <xf numFmtId="0" fontId="181" fillId="0" borderId="38" xfId="0" applyFont="1" applyFill="1" applyBorder="1" applyAlignment="1">
      <alignment horizontal="center" vertical="center" wrapText="1"/>
    </xf>
    <xf numFmtId="0" fontId="185" fillId="0" borderId="0" xfId="0" applyFont="1" applyFill="1" applyAlignment="1">
      <alignment horizontal="center"/>
    </xf>
    <xf numFmtId="0" fontId="50" fillId="0" borderId="16"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215" fillId="0" borderId="33" xfId="0" applyFont="1" applyFill="1" applyBorder="1" applyAlignment="1">
      <alignment horizontal="center"/>
    </xf>
    <xf numFmtId="0" fontId="215" fillId="0" borderId="34" xfId="0" applyFont="1" applyFill="1" applyBorder="1" applyAlignment="1">
      <alignment horizontal="center"/>
    </xf>
    <xf numFmtId="0" fontId="215" fillId="0" borderId="35" xfId="0" applyFont="1" applyFill="1" applyBorder="1" applyAlignment="1">
      <alignment horizontal="center"/>
    </xf>
    <xf numFmtId="168" fontId="215" fillId="0" borderId="26" xfId="0" applyNumberFormat="1" applyFont="1" applyFill="1" applyBorder="1" applyAlignment="1">
      <alignment horizontal="center"/>
    </xf>
    <xf numFmtId="168" fontId="215" fillId="0" borderId="33" xfId="0" applyNumberFormat="1" applyFont="1" applyFill="1" applyBorder="1" applyAlignment="1">
      <alignment horizontal="center"/>
    </xf>
    <xf numFmtId="168" fontId="215" fillId="0" borderId="34" xfId="0" applyNumberFormat="1" applyFont="1" applyFill="1" applyBorder="1" applyAlignment="1">
      <alignment horizontal="center"/>
    </xf>
    <xf numFmtId="168" fontId="215" fillId="0" borderId="109" xfId="0" applyNumberFormat="1" applyFont="1" applyFill="1" applyBorder="1" applyAlignment="1">
      <alignment horizontal="center"/>
    </xf>
    <xf numFmtId="168" fontId="215" fillId="0" borderId="9" xfId="0" applyNumberFormat="1" applyFont="1" applyFill="1" applyBorder="1" applyAlignment="1">
      <alignment horizontal="center"/>
    </xf>
    <xf numFmtId="0" fontId="215" fillId="0" borderId="0" xfId="0" applyFont="1" applyFill="1" applyAlignment="1">
      <alignment horizontal="center"/>
    </xf>
    <xf numFmtId="37" fontId="42" fillId="134" borderId="0" xfId="0" applyNumberFormat="1" applyFont="1" applyFill="1" applyBorder="1" applyAlignment="1" applyProtection="1">
      <alignment vertical="top" wrapText="1"/>
    </xf>
    <xf numFmtId="37" fontId="42" fillId="134" borderId="0" xfId="0" applyNumberFormat="1" applyFont="1" applyFill="1" applyBorder="1" applyAlignment="1" applyProtection="1">
      <alignment horizontal="left" vertical="top"/>
    </xf>
    <xf numFmtId="0" fontId="42" fillId="134" borderId="0" xfId="101" applyNumberFormat="1" applyFont="1" applyFill="1" applyBorder="1" applyAlignment="1">
      <alignment horizontal="center"/>
    </xf>
    <xf numFmtId="7" fontId="42" fillId="134" borderId="0" xfId="2" applyNumberFormat="1" applyFont="1" applyFill="1" applyBorder="1" applyAlignment="1">
      <alignment horizontal="center"/>
    </xf>
    <xf numFmtId="168" fontId="43" fillId="155" borderId="0" xfId="143" applyNumberFormat="1" applyFont="1" applyFill="1" applyBorder="1" applyAlignment="1">
      <alignment horizontal="center"/>
    </xf>
    <xf numFmtId="168" fontId="43" fillId="156" borderId="0" xfId="143" applyNumberFormat="1" applyFont="1" applyFill="1" applyBorder="1" applyAlignment="1">
      <alignment horizontal="center"/>
    </xf>
    <xf numFmtId="168" fontId="42" fillId="154" borderId="0" xfId="143" applyNumberFormat="1" applyFont="1" applyFill="1" applyBorder="1" applyAlignment="1">
      <alignment horizontal="center"/>
    </xf>
    <xf numFmtId="43" fontId="0" fillId="134" borderId="0" xfId="1" applyFont="1" applyFill="1"/>
    <xf numFmtId="10" fontId="46" fillId="163" borderId="16" xfId="4" applyNumberFormat="1" applyFont="1" applyFill="1" applyBorder="1"/>
    <xf numFmtId="168" fontId="44" fillId="163" borderId="11" xfId="56362" applyNumberFormat="1" applyFont="1" applyFill="1" applyBorder="1"/>
    <xf numFmtId="171" fontId="186" fillId="0" borderId="14" xfId="0" applyNumberFormat="1" applyFont="1" applyFill="1" applyBorder="1" applyAlignment="1"/>
    <xf numFmtId="171" fontId="186" fillId="0" borderId="97" xfId="0" applyNumberFormat="1" applyFont="1" applyFill="1" applyBorder="1" applyAlignment="1"/>
    <xf numFmtId="0" fontId="42" fillId="0" borderId="0" xfId="0" applyFont="1" applyFill="1" applyBorder="1" applyAlignment="1">
      <alignment horizontal="center"/>
    </xf>
    <xf numFmtId="37" fontId="42" fillId="0" borderId="14" xfId="0" applyNumberFormat="1" applyFont="1" applyFill="1" applyBorder="1"/>
    <xf numFmtId="171" fontId="42" fillId="0" borderId="14" xfId="0" applyNumberFormat="1" applyFont="1" applyFill="1" applyBorder="1" applyAlignment="1">
      <alignment horizontal="center"/>
    </xf>
    <xf numFmtId="170" fontId="42" fillId="0" borderId="14" xfId="0" applyNumberFormat="1" applyFont="1" applyFill="1" applyBorder="1"/>
    <xf numFmtId="173" fontId="42" fillId="0" borderId="14" xfId="0" applyNumberFormat="1" applyFont="1" applyFill="1" applyBorder="1"/>
    <xf numFmtId="7" fontId="42" fillId="0" borderId="14" xfId="0" applyNumberFormat="1" applyFont="1" applyFill="1" applyBorder="1"/>
    <xf numFmtId="168" fontId="42" fillId="0" borderId="14" xfId="0" applyNumberFormat="1" applyFont="1" applyFill="1" applyBorder="1"/>
    <xf numFmtId="168" fontId="42" fillId="0" borderId="48" xfId="0" applyNumberFormat="1" applyFont="1" applyFill="1" applyBorder="1"/>
    <xf numFmtId="166" fontId="42" fillId="0" borderId="42" xfId="4" applyNumberFormat="1" applyFont="1" applyFill="1" applyBorder="1"/>
    <xf numFmtId="166" fontId="42" fillId="0" borderId="42" xfId="0" applyNumberFormat="1" applyFont="1" applyFill="1" applyBorder="1"/>
    <xf numFmtId="7" fontId="42" fillId="0" borderId="48" xfId="2" applyNumberFormat="1" applyFont="1" applyFill="1" applyBorder="1"/>
    <xf numFmtId="7" fontId="42" fillId="0" borderId="42" xfId="0" applyNumberFormat="1" applyFont="1" applyFill="1" applyBorder="1"/>
    <xf numFmtId="0" fontId="42" fillId="0" borderId="3" xfId="0" applyFont="1" applyFill="1" applyBorder="1" applyAlignment="1">
      <alignment horizontal="center"/>
    </xf>
    <xf numFmtId="7" fontId="42" fillId="0" borderId="4" xfId="0" applyNumberFormat="1" applyFont="1" applyFill="1" applyBorder="1"/>
    <xf numFmtId="166" fontId="42" fillId="0" borderId="8" xfId="0" applyNumberFormat="1" applyFont="1" applyFill="1" applyBorder="1"/>
    <xf numFmtId="7" fontId="42" fillId="0" borderId="0" xfId="0" applyNumberFormat="1" applyFont="1" applyFill="1" applyBorder="1"/>
    <xf numFmtId="0" fontId="42" fillId="0" borderId="0" xfId="0" applyFont="1" applyFill="1" applyBorder="1"/>
    <xf numFmtId="251" fontId="42" fillId="37" borderId="0" xfId="1" applyNumberFormat="1" applyFont="1" applyFill="1" applyBorder="1"/>
    <xf numFmtId="44" fontId="42" fillId="134" borderId="0" xfId="2" applyNumberFormat="1" applyFont="1" applyFill="1" applyBorder="1"/>
    <xf numFmtId="0" fontId="42" fillId="134" borderId="97" xfId="0" applyFont="1" applyFill="1" applyBorder="1" applyAlignment="1">
      <alignment horizontal="center"/>
    </xf>
    <xf numFmtId="184" fontId="42" fillId="168" borderId="3" xfId="33" applyNumberFormat="1" applyFont="1" applyFill="1" applyBorder="1"/>
    <xf numFmtId="168" fontId="44" fillId="134" borderId="16" xfId="143" applyNumberFormat="1" applyFont="1" applyFill="1" applyBorder="1" applyAlignment="1">
      <alignment horizontal="center"/>
    </xf>
    <xf numFmtId="168" fontId="44" fillId="0" borderId="16" xfId="143" applyNumberFormat="1" applyFont="1" applyFill="1" applyBorder="1" applyAlignment="1">
      <alignment horizontal="center"/>
    </xf>
    <xf numFmtId="168" fontId="44" fillId="134" borderId="3" xfId="143" applyNumberFormat="1" applyFont="1" applyFill="1" applyBorder="1" applyAlignment="1">
      <alignment horizontal="center"/>
    </xf>
    <xf numFmtId="168" fontId="44" fillId="134" borderId="38" xfId="143" applyNumberFormat="1" applyFont="1" applyFill="1" applyBorder="1" applyAlignment="1">
      <alignment horizontal="center"/>
    </xf>
    <xf numFmtId="171" fontId="186" fillId="134" borderId="116" xfId="0" applyNumberFormat="1" applyFont="1" applyFill="1" applyBorder="1"/>
    <xf numFmtId="251" fontId="42" fillId="134" borderId="0" xfId="1" applyNumberFormat="1" applyFont="1" applyFill="1" applyBorder="1"/>
    <xf numFmtId="0" fontId="206" fillId="134" borderId="29" xfId="0" applyFont="1" applyFill="1" applyBorder="1" applyAlignment="1">
      <alignment horizontal="center"/>
    </xf>
    <xf numFmtId="0" fontId="43" fillId="134" borderId="29" xfId="0" applyFont="1" applyFill="1" applyBorder="1"/>
    <xf numFmtId="171" fontId="43" fillId="38" borderId="41" xfId="0" applyNumberFormat="1" applyFont="1" applyFill="1" applyBorder="1" applyAlignment="1">
      <alignment horizontal="center"/>
    </xf>
    <xf numFmtId="171" fontId="42" fillId="38" borderId="103" xfId="0" applyNumberFormat="1" applyFont="1" applyFill="1" applyBorder="1" applyAlignment="1">
      <alignment horizontal="center"/>
    </xf>
    <xf numFmtId="171" fontId="42" fillId="38" borderId="42" xfId="0" applyNumberFormat="1" applyFont="1" applyFill="1" applyBorder="1" applyAlignment="1">
      <alignment horizontal="center"/>
    </xf>
    <xf numFmtId="171" fontId="42" fillId="38" borderId="43" xfId="0" applyNumberFormat="1" applyFont="1" applyFill="1" applyBorder="1" applyAlignment="1">
      <alignment horizontal="center"/>
    </xf>
    <xf numFmtId="171" fontId="42" fillId="38" borderId="40" xfId="0" applyNumberFormat="1" applyFont="1" applyFill="1" applyBorder="1" applyAlignment="1">
      <alignment horizontal="center"/>
    </xf>
    <xf numFmtId="171" fontId="42" fillId="38" borderId="41" xfId="0" applyNumberFormat="1" applyFont="1" applyFill="1" applyBorder="1" applyAlignment="1">
      <alignment horizontal="center"/>
    </xf>
    <xf numFmtId="172" fontId="44" fillId="134" borderId="14" xfId="0" applyNumberFormat="1" applyFont="1" applyFill="1" applyBorder="1" applyAlignment="1">
      <alignment horizontal="center"/>
    </xf>
    <xf numFmtId="0" fontId="43" fillId="134" borderId="97" xfId="0" applyFont="1" applyFill="1" applyBorder="1" applyAlignment="1">
      <alignment horizontal="center"/>
    </xf>
    <xf numFmtId="0" fontId="70" fillId="134" borderId="0" xfId="0" applyFont="1" applyFill="1" applyAlignment="1">
      <alignment horizontal="center"/>
    </xf>
    <xf numFmtId="0" fontId="43" fillId="134" borderId="128" xfId="0" applyFont="1" applyFill="1" applyBorder="1"/>
    <xf numFmtId="37" fontId="195" fillId="134" borderId="129" xfId="0" applyNumberFormat="1" applyFont="1" applyFill="1" applyBorder="1" applyAlignment="1">
      <alignment horizontal="center"/>
    </xf>
    <xf numFmtId="0" fontId="195" fillId="134" borderId="130" xfId="0" applyFont="1" applyFill="1" applyBorder="1" applyAlignment="1">
      <alignment horizontal="center"/>
    </xf>
    <xf numFmtId="0" fontId="43" fillId="134" borderId="130" xfId="0" applyFont="1" applyFill="1" applyBorder="1" applyAlignment="1">
      <alignment horizontal="center"/>
    </xf>
    <xf numFmtId="0" fontId="43" fillId="134" borderId="131" xfId="0" applyFont="1" applyFill="1" applyBorder="1" applyAlignment="1">
      <alignment horizontal="center"/>
    </xf>
    <xf numFmtId="0" fontId="43" fillId="134" borderId="132" xfId="0" applyFont="1" applyFill="1" applyBorder="1" applyAlignment="1">
      <alignment horizontal="center"/>
    </xf>
    <xf numFmtId="171" fontId="43" fillId="134" borderId="132" xfId="0" applyNumberFormat="1" applyFont="1" applyFill="1" applyBorder="1" applyAlignment="1">
      <alignment horizontal="center"/>
    </xf>
    <xf numFmtId="171" fontId="43" fillId="134" borderId="130" xfId="0" applyNumberFormat="1" applyFont="1" applyFill="1" applyBorder="1" applyAlignment="1">
      <alignment horizontal="center"/>
    </xf>
    <xf numFmtId="171" fontId="43" fillId="134" borderId="133" xfId="0" applyNumberFormat="1" applyFont="1" applyFill="1" applyBorder="1" applyAlignment="1">
      <alignment horizontal="center"/>
    </xf>
    <xf numFmtId="171" fontId="43" fillId="134" borderId="131" xfId="0" applyNumberFormat="1" applyFont="1" applyFill="1" applyBorder="1" applyAlignment="1">
      <alignment horizontal="center"/>
    </xf>
    <xf numFmtId="0" fontId="42" fillId="134" borderId="128" xfId="0" applyFont="1" applyFill="1" applyBorder="1"/>
    <xf numFmtId="171" fontId="42" fillId="134" borderId="132" xfId="0" applyNumberFormat="1" applyFont="1" applyFill="1" applyBorder="1" applyAlignment="1">
      <alignment horizontal="center"/>
    </xf>
    <xf numFmtId="171" fontId="42" fillId="134" borderId="133" xfId="0" applyNumberFormat="1" applyFont="1" applyFill="1" applyBorder="1" applyAlignment="1">
      <alignment horizontal="center"/>
    </xf>
    <xf numFmtId="171" fontId="42" fillId="134" borderId="130" xfId="0" applyNumberFormat="1" applyFont="1" applyFill="1" applyBorder="1" applyAlignment="1">
      <alignment horizontal="center"/>
    </xf>
    <xf numFmtId="171" fontId="42" fillId="134" borderId="131" xfId="0" applyNumberFormat="1" applyFont="1" applyFill="1" applyBorder="1" applyAlignment="1"/>
    <xf numFmtId="171" fontId="70" fillId="134" borderId="0" xfId="0" applyNumberFormat="1" applyFont="1" applyFill="1" applyAlignment="1">
      <alignment horizontal="center"/>
    </xf>
    <xf numFmtId="171" fontId="232" fillId="134" borderId="0" xfId="0" applyNumberFormat="1" applyFont="1" applyFill="1" applyBorder="1" applyAlignment="1">
      <alignment horizontal="center"/>
    </xf>
    <xf numFmtId="0" fontId="236" fillId="134" borderId="0" xfId="0" applyFont="1" applyFill="1" applyAlignment="1">
      <alignment horizontal="center"/>
    </xf>
    <xf numFmtId="0" fontId="43" fillId="134" borderId="97" xfId="0" applyFont="1" applyFill="1" applyBorder="1" applyAlignment="1">
      <alignment horizontal="center"/>
    </xf>
    <xf numFmtId="0" fontId="42" fillId="134" borderId="97" xfId="0" applyFont="1" applyFill="1" applyBorder="1" applyAlignment="1">
      <alignment horizontal="center"/>
    </xf>
    <xf numFmtId="171" fontId="42" fillId="134" borderId="22" xfId="0" applyNumberFormat="1" applyFont="1" applyFill="1" applyBorder="1" applyAlignment="1">
      <alignment horizontal="center"/>
    </xf>
    <xf numFmtId="171" fontId="42" fillId="134" borderId="49" xfId="0" applyNumberFormat="1" applyFont="1" applyFill="1" applyBorder="1" applyAlignment="1">
      <alignment horizontal="center"/>
    </xf>
    <xf numFmtId="166" fontId="42" fillId="134" borderId="48" xfId="4" applyNumberFormat="1" applyFont="1" applyFill="1" applyBorder="1"/>
    <xf numFmtId="166" fontId="42" fillId="0" borderId="48" xfId="4" applyNumberFormat="1" applyFont="1" applyFill="1" applyBorder="1"/>
    <xf numFmtId="166" fontId="42" fillId="134" borderId="7" xfId="4" applyNumberFormat="1" applyFont="1" applyFill="1" applyBorder="1"/>
    <xf numFmtId="166" fontId="43" fillId="134" borderId="48" xfId="4" applyNumberFormat="1" applyFont="1" applyFill="1" applyBorder="1"/>
    <xf numFmtId="166" fontId="43" fillId="134" borderId="7" xfId="4" applyNumberFormat="1" applyFont="1" applyFill="1" applyBorder="1"/>
    <xf numFmtId="166" fontId="42" fillId="134" borderId="44" xfId="4" applyNumberFormat="1" applyFont="1" applyFill="1" applyBorder="1"/>
    <xf numFmtId="44" fontId="42" fillId="134" borderId="48" xfId="2" applyFont="1" applyFill="1" applyBorder="1"/>
    <xf numFmtId="44" fontId="43" fillId="134" borderId="48" xfId="2" applyFont="1" applyFill="1" applyBorder="1"/>
    <xf numFmtId="44" fontId="43" fillId="134" borderId="7" xfId="2" applyFont="1" applyFill="1" applyBorder="1"/>
    <xf numFmtId="44" fontId="42" fillId="134" borderId="44" xfId="2" applyFont="1" applyFill="1" applyBorder="1"/>
    <xf numFmtId="166" fontId="42" fillId="134" borderId="0" xfId="0" applyNumberFormat="1" applyFont="1" applyFill="1"/>
    <xf numFmtId="14" fontId="232" fillId="152" borderId="92" xfId="0" applyNumberFormat="1" applyFont="1" applyFill="1" applyBorder="1" applyAlignment="1">
      <alignment horizontal="center" vertical="center"/>
    </xf>
    <xf numFmtId="0" fontId="186" fillId="134" borderId="39" xfId="0" applyFont="1" applyFill="1" applyBorder="1"/>
    <xf numFmtId="0" fontId="192" fillId="134" borderId="40" xfId="0" applyFont="1" applyFill="1" applyBorder="1" applyAlignment="1">
      <alignment horizontal="center" vertical="center"/>
    </xf>
    <xf numFmtId="0" fontId="200" fillId="134" borderId="40" xfId="0" applyFont="1" applyFill="1" applyBorder="1" applyAlignment="1">
      <alignment horizontal="center" vertical="center"/>
    </xf>
    <xf numFmtId="0" fontId="200" fillId="134" borderId="41" xfId="0" applyFont="1" applyFill="1" applyBorder="1" applyAlignment="1">
      <alignment horizontal="center" vertical="center"/>
    </xf>
    <xf numFmtId="0" fontId="232" fillId="156" borderId="40" xfId="0" applyFont="1" applyFill="1" applyBorder="1" applyAlignment="1">
      <alignment horizontal="center" vertical="center"/>
    </xf>
    <xf numFmtId="168" fontId="186" fillId="37" borderId="43" xfId="0" applyNumberFormat="1" applyFont="1" applyFill="1" applyBorder="1"/>
    <xf numFmtId="168" fontId="186" fillId="37" borderId="42" xfId="0" applyNumberFormat="1" applyFont="1" applyFill="1" applyBorder="1"/>
    <xf numFmtId="168" fontId="186" fillId="37" borderId="40" xfId="0" applyNumberFormat="1" applyFont="1" applyFill="1" applyBorder="1"/>
    <xf numFmtId="168" fontId="186" fillId="37" borderId="40" xfId="0" applyNumberFormat="1" applyFont="1" applyFill="1" applyBorder="1" applyAlignment="1"/>
    <xf numFmtId="168" fontId="186" fillId="37" borderId="42" xfId="0" applyNumberFormat="1" applyFont="1" applyFill="1" applyBorder="1" applyAlignment="1"/>
    <xf numFmtId="168" fontId="186" fillId="37" borderId="43" xfId="0" applyNumberFormat="1" applyFont="1" applyFill="1" applyBorder="1" applyAlignment="1"/>
    <xf numFmtId="168" fontId="186" fillId="37" borderId="67" xfId="0" applyNumberFormat="1" applyFont="1" applyFill="1" applyBorder="1" applyAlignment="1"/>
    <xf numFmtId="0" fontId="232" fillId="37" borderId="40" xfId="0" applyFont="1" applyFill="1" applyBorder="1" applyAlignment="1">
      <alignment horizontal="center" vertical="center"/>
    </xf>
    <xf numFmtId="14" fontId="192" fillId="37" borderId="40" xfId="0" applyNumberFormat="1" applyFont="1" applyFill="1" applyBorder="1" applyAlignment="1">
      <alignment horizontal="center" vertical="center"/>
    </xf>
    <xf numFmtId="0" fontId="192" fillId="37" borderId="40" xfId="0" applyFont="1" applyFill="1" applyBorder="1" applyAlignment="1">
      <alignment horizontal="center"/>
    </xf>
    <xf numFmtId="0" fontId="201" fillId="134" borderId="17" xfId="0" applyFont="1" applyFill="1" applyBorder="1" applyAlignment="1">
      <alignment horizontal="center"/>
    </xf>
    <xf numFmtId="14" fontId="199" fillId="37" borderId="40" xfId="0" applyNumberFormat="1" applyFont="1" applyFill="1" applyBorder="1" applyAlignment="1">
      <alignment horizontal="center" vertical="center"/>
    </xf>
    <xf numFmtId="168" fontId="186" fillId="37" borderId="0" xfId="0" applyNumberFormat="1" applyFont="1" applyFill="1" applyBorder="1"/>
    <xf numFmtId="0" fontId="232" fillId="37" borderId="1" xfId="0" applyFont="1" applyFill="1" applyBorder="1" applyAlignment="1">
      <alignment horizontal="center" vertical="center"/>
    </xf>
    <xf numFmtId="14" fontId="199" fillId="37" borderId="1" xfId="0" applyNumberFormat="1" applyFont="1" applyFill="1" applyBorder="1" applyAlignment="1">
      <alignment horizontal="center" vertical="center"/>
    </xf>
    <xf numFmtId="14" fontId="192" fillId="37" borderId="1" xfId="0" applyNumberFormat="1" applyFont="1" applyFill="1" applyBorder="1" applyAlignment="1">
      <alignment horizontal="center" vertical="center"/>
    </xf>
    <xf numFmtId="168" fontId="186" fillId="37" borderId="49" xfId="0" applyNumberFormat="1" applyFont="1" applyFill="1" applyBorder="1"/>
    <xf numFmtId="168" fontId="186" fillId="37" borderId="22" xfId="0" applyNumberFormat="1" applyFont="1" applyFill="1" applyBorder="1"/>
    <xf numFmtId="168" fontId="186" fillId="37" borderId="1" xfId="0" applyNumberFormat="1" applyFont="1" applyFill="1" applyBorder="1"/>
    <xf numFmtId="168" fontId="186" fillId="37" borderId="1" xfId="0" applyNumberFormat="1" applyFont="1" applyFill="1" applyBorder="1" applyAlignment="1"/>
    <xf numFmtId="168" fontId="186" fillId="37" borderId="22" xfId="0" applyNumberFormat="1" applyFont="1" applyFill="1" applyBorder="1" applyAlignment="1"/>
    <xf numFmtId="168" fontId="186" fillId="37" borderId="49" xfId="0" applyNumberFormat="1" applyFont="1" applyFill="1" applyBorder="1" applyAlignment="1"/>
    <xf numFmtId="168" fontId="186" fillId="37" borderId="120" xfId="0" applyNumberFormat="1" applyFont="1" applyFill="1" applyBorder="1" applyAlignment="1"/>
    <xf numFmtId="0" fontId="195" fillId="134" borderId="40" xfId="0" applyFont="1" applyFill="1" applyBorder="1" applyAlignment="1">
      <alignment horizontal="center"/>
    </xf>
    <xf numFmtId="0" fontId="201" fillId="134" borderId="40" xfId="0" applyFont="1" applyFill="1" applyBorder="1" applyAlignment="1">
      <alignment horizontal="center" vertical="center"/>
    </xf>
    <xf numFmtId="0" fontId="192" fillId="134" borderId="40" xfId="0" applyFont="1" applyFill="1" applyBorder="1" applyAlignment="1">
      <alignment horizontal="center"/>
    </xf>
    <xf numFmtId="171" fontId="218" fillId="134" borderId="43" xfId="0" applyNumberFormat="1" applyFont="1" applyFill="1" applyBorder="1"/>
    <xf numFmtId="171" fontId="218" fillId="134" borderId="42" xfId="0" applyNumberFormat="1" applyFont="1" applyFill="1" applyBorder="1"/>
    <xf numFmtId="171" fontId="218" fillId="134" borderId="40" xfId="0" applyNumberFormat="1" applyFont="1" applyFill="1" applyBorder="1"/>
    <xf numFmtId="171" fontId="218" fillId="134" borderId="40" xfId="0" applyNumberFormat="1" applyFont="1" applyFill="1" applyBorder="1" applyAlignment="1"/>
    <xf numFmtId="171" fontId="218" fillId="134" borderId="42" xfId="0" applyNumberFormat="1" applyFont="1" applyFill="1" applyBorder="1" applyAlignment="1"/>
    <xf numFmtId="171" fontId="218" fillId="134" borderId="43" xfId="0" applyNumberFormat="1" applyFont="1" applyFill="1" applyBorder="1" applyAlignment="1"/>
    <xf numFmtId="171" fontId="218" fillId="134" borderId="41" xfId="0" applyNumberFormat="1" applyFont="1" applyFill="1" applyBorder="1" applyAlignment="1"/>
    <xf numFmtId="171" fontId="232" fillId="156" borderId="40" xfId="0" applyNumberFormat="1" applyFont="1" applyFill="1" applyBorder="1" applyAlignment="1">
      <alignment horizontal="center" vertical="center"/>
    </xf>
    <xf numFmtId="171" fontId="186" fillId="156" borderId="40" xfId="0" applyNumberFormat="1" applyFont="1" applyFill="1" applyBorder="1" applyAlignment="1">
      <alignment horizontal="center" vertical="center"/>
    </xf>
    <xf numFmtId="0" fontId="186" fillId="156" borderId="102" xfId="0" applyFont="1" applyFill="1" applyBorder="1" applyAlignment="1">
      <alignment horizontal="center" vertical="center"/>
    </xf>
    <xf numFmtId="14" fontId="199" fillId="152" borderId="40" xfId="0" applyNumberFormat="1" applyFont="1" applyFill="1" applyBorder="1" applyAlignment="1">
      <alignment horizontal="center" vertical="center"/>
    </xf>
    <xf numFmtId="171" fontId="199" fillId="156" borderId="40" xfId="0" applyNumberFormat="1" applyFont="1" applyFill="1" applyBorder="1" applyAlignment="1">
      <alignment horizontal="center" vertical="center"/>
    </xf>
    <xf numFmtId="247" fontId="199" fillId="134" borderId="39" xfId="2" applyNumberFormat="1" applyFont="1" applyFill="1" applyBorder="1" applyAlignment="1">
      <alignment horizontal="center"/>
    </xf>
    <xf numFmtId="37" fontId="195" fillId="134" borderId="0" xfId="0" applyNumberFormat="1" applyFont="1" applyFill="1" applyBorder="1" applyAlignment="1">
      <alignment horizontal="center"/>
    </xf>
    <xf numFmtId="37" fontId="195" fillId="134" borderId="40" xfId="0" applyNumberFormat="1" applyFont="1" applyFill="1" applyBorder="1" applyAlignment="1">
      <alignment horizontal="center"/>
    </xf>
    <xf numFmtId="244" fontId="199" fillId="134" borderId="39" xfId="2" applyNumberFormat="1" applyFont="1" applyFill="1" applyBorder="1" applyAlignment="1">
      <alignment horizontal="center"/>
    </xf>
    <xf numFmtId="171" fontId="232" fillId="134" borderId="91" xfId="0" applyNumberFormat="1" applyFont="1" applyFill="1" applyBorder="1" applyAlignment="1">
      <alignment horizontal="center"/>
    </xf>
    <xf numFmtId="0" fontId="192" fillId="37" borderId="42" xfId="0" applyFont="1" applyFill="1" applyBorder="1" applyAlignment="1">
      <alignment horizontal="center"/>
    </xf>
    <xf numFmtId="251" fontId="42" fillId="38" borderId="0" xfId="1" applyNumberFormat="1" applyFont="1" applyFill="1" applyBorder="1"/>
    <xf numFmtId="14" fontId="185" fillId="134" borderId="7" xfId="0" applyNumberFormat="1" applyFont="1" applyFill="1" applyBorder="1" applyAlignment="1">
      <alignment horizontal="center"/>
    </xf>
    <xf numFmtId="7" fontId="185" fillId="134" borderId="7" xfId="0" applyNumberFormat="1" applyFont="1" applyFill="1" applyBorder="1" applyAlignment="1">
      <alignment horizontal="center"/>
    </xf>
    <xf numFmtId="7" fontId="185" fillId="134" borderId="39" xfId="0" applyNumberFormat="1" applyFont="1" applyFill="1" applyBorder="1" applyAlignment="1">
      <alignment horizontal="center"/>
    </xf>
    <xf numFmtId="14" fontId="185" fillId="134" borderId="40" xfId="0" applyNumberFormat="1" applyFont="1" applyFill="1" applyBorder="1" applyAlignment="1">
      <alignment horizontal="center"/>
    </xf>
    <xf numFmtId="7" fontId="185" fillId="134" borderId="0" xfId="0" applyNumberFormat="1" applyFont="1" applyFill="1" applyBorder="1" applyAlignment="1">
      <alignment horizontal="center"/>
    </xf>
    <xf numFmtId="14" fontId="185" fillId="134" borderId="0" xfId="0" applyNumberFormat="1" applyFont="1" applyFill="1" applyBorder="1" applyAlignment="1">
      <alignment horizontal="center"/>
    </xf>
    <xf numFmtId="168" fontId="236" fillId="134" borderId="0" xfId="0" applyNumberFormat="1" applyFont="1" applyFill="1" applyAlignment="1">
      <alignment horizontal="center"/>
    </xf>
    <xf numFmtId="14" fontId="231" fillId="134" borderId="0" xfId="0" applyNumberFormat="1" applyFont="1" applyFill="1" applyAlignment="1">
      <alignment horizontal="center"/>
    </xf>
    <xf numFmtId="168" fontId="186" fillId="156" borderId="43" xfId="0" applyNumberFormat="1" applyFont="1" applyFill="1" applyBorder="1"/>
    <xf numFmtId="168" fontId="186" fillId="156" borderId="42" xfId="0" applyNumberFormat="1" applyFont="1" applyFill="1" applyBorder="1"/>
    <xf numFmtId="168" fontId="186" fillId="156" borderId="40" xfId="0" applyNumberFormat="1" applyFont="1" applyFill="1" applyBorder="1"/>
    <xf numFmtId="168" fontId="186" fillId="156" borderId="40" xfId="0" applyNumberFormat="1" applyFont="1" applyFill="1" applyBorder="1" applyAlignment="1"/>
    <xf numFmtId="168" fontId="186" fillId="156" borderId="42" xfId="0" applyNumberFormat="1" applyFont="1" applyFill="1" applyBorder="1" applyAlignment="1"/>
    <xf numFmtId="168" fontId="186" fillId="156" borderId="43" xfId="0" applyNumberFormat="1" applyFont="1" applyFill="1" applyBorder="1" applyAlignment="1"/>
    <xf numFmtId="168" fontId="186" fillId="156" borderId="67" xfId="0" applyNumberFormat="1" applyFont="1" applyFill="1" applyBorder="1" applyAlignment="1"/>
    <xf numFmtId="168" fontId="42" fillId="134" borderId="0" xfId="2" applyNumberFormat="1" applyFont="1" applyFill="1"/>
    <xf numFmtId="168" fontId="42" fillId="169" borderId="16" xfId="143" applyNumberFormat="1" applyFont="1" applyFill="1" applyBorder="1" applyAlignment="1">
      <alignment horizontal="center"/>
    </xf>
    <xf numFmtId="168" fontId="42" fillId="169" borderId="3" xfId="143" applyNumberFormat="1" applyFont="1" applyFill="1" applyBorder="1" applyAlignment="1">
      <alignment horizontal="center"/>
    </xf>
    <xf numFmtId="168" fontId="42" fillId="169" borderId="38" xfId="143" applyNumberFormat="1" applyFont="1" applyFill="1" applyBorder="1" applyAlignment="1">
      <alignment horizontal="center"/>
    </xf>
    <xf numFmtId="0" fontId="181" fillId="170" borderId="16" xfId="0" applyFont="1" applyFill="1" applyBorder="1" applyAlignment="1">
      <alignment horizontal="center" vertical="center" wrapText="1"/>
    </xf>
    <xf numFmtId="168" fontId="215" fillId="170" borderId="109" xfId="0" applyNumberFormat="1" applyFont="1" applyFill="1" applyBorder="1" applyAlignment="1">
      <alignment horizontal="center"/>
    </xf>
    <xf numFmtId="168" fontId="42" fillId="170" borderId="16" xfId="143" applyNumberFormat="1" applyFont="1" applyFill="1" applyBorder="1" applyAlignment="1">
      <alignment horizontal="center"/>
    </xf>
    <xf numFmtId="168" fontId="42" fillId="170" borderId="3" xfId="143" applyNumberFormat="1" applyFont="1" applyFill="1" applyBorder="1" applyAlignment="1">
      <alignment horizontal="center"/>
    </xf>
    <xf numFmtId="0" fontId="190" fillId="170" borderId="113" xfId="0" applyFont="1" applyFill="1" applyBorder="1" applyAlignment="1">
      <alignment horizontal="center"/>
    </xf>
    <xf numFmtId="0" fontId="190" fillId="170" borderId="31" xfId="0" applyFont="1" applyFill="1" applyBorder="1" applyAlignment="1">
      <alignment horizontal="center"/>
    </xf>
    <xf numFmtId="0" fontId="50" fillId="170" borderId="16" xfId="0" applyFont="1" applyFill="1" applyBorder="1" applyAlignment="1">
      <alignment horizontal="center" vertical="center" wrapText="1"/>
    </xf>
    <xf numFmtId="168" fontId="215" fillId="170" borderId="33" xfId="0" applyNumberFormat="1" applyFont="1" applyFill="1" applyBorder="1" applyAlignment="1">
      <alignment horizontal="center"/>
    </xf>
    <xf numFmtId="168" fontId="215" fillId="170" borderId="34" xfId="0" applyNumberFormat="1" applyFont="1" applyFill="1" applyBorder="1" applyAlignment="1">
      <alignment horizontal="center"/>
    </xf>
    <xf numFmtId="168" fontId="42" fillId="170" borderId="38" xfId="143" applyNumberFormat="1" applyFont="1" applyFill="1" applyBorder="1" applyAlignment="1">
      <alignment horizontal="center"/>
    </xf>
    <xf numFmtId="0" fontId="191" fillId="38" borderId="103" xfId="0" applyFont="1" applyFill="1" applyBorder="1" applyAlignment="1">
      <alignment horizontal="center"/>
    </xf>
    <xf numFmtId="0" fontId="215" fillId="38" borderId="67" xfId="0" applyFont="1" applyFill="1" applyBorder="1" applyAlignment="1">
      <alignment horizontal="center"/>
    </xf>
    <xf numFmtId="0" fontId="42" fillId="162" borderId="10" xfId="0" applyFont="1" applyFill="1" applyBorder="1" applyAlignment="1">
      <alignment horizontal="center"/>
    </xf>
    <xf numFmtId="0" fontId="42" fillId="162" borderId="15" xfId="0" applyFont="1" applyFill="1" applyBorder="1" applyAlignment="1">
      <alignment horizontal="center"/>
    </xf>
    <xf numFmtId="0" fontId="185" fillId="134" borderId="0" xfId="0" applyFont="1" applyFill="1" applyAlignment="1">
      <alignment horizontal="center" vertical="center"/>
    </xf>
    <xf numFmtId="0" fontId="185" fillId="134" borderId="14" xfId="0" applyFont="1" applyFill="1" applyBorder="1" applyAlignment="1">
      <alignment horizontal="center" vertical="center"/>
    </xf>
    <xf numFmtId="0" fontId="185" fillId="134" borderId="0" xfId="0" applyFont="1" applyFill="1" applyBorder="1" applyAlignment="1">
      <alignment horizontal="center" vertical="center"/>
    </xf>
    <xf numFmtId="37" fontId="195" fillId="37" borderId="33" xfId="101" applyNumberFormat="1" applyFont="1" applyFill="1" applyBorder="1" applyAlignment="1">
      <alignment horizontal="center"/>
    </xf>
    <xf numFmtId="37" fontId="195" fillId="37" borderId="34" xfId="101" applyNumberFormat="1" applyFont="1" applyFill="1" applyBorder="1" applyAlignment="1">
      <alignment horizontal="center"/>
    </xf>
    <xf numFmtId="37" fontId="195" fillId="37" borderId="35" xfId="101" applyNumberFormat="1" applyFont="1" applyFill="1" applyBorder="1" applyAlignment="1">
      <alignment horizontal="center"/>
    </xf>
    <xf numFmtId="0" fontId="206" fillId="37" borderId="32" xfId="0" applyFont="1" applyFill="1" applyBorder="1" applyAlignment="1">
      <alignment horizontal="center"/>
    </xf>
    <xf numFmtId="0" fontId="206" fillId="37" borderId="29" xfId="0" applyFont="1" applyFill="1" applyBorder="1" applyAlignment="1">
      <alignment horizontal="center"/>
    </xf>
    <xf numFmtId="0" fontId="206" fillId="37" borderId="30" xfId="0" applyFont="1" applyFill="1" applyBorder="1" applyAlignment="1">
      <alignment horizontal="center"/>
    </xf>
    <xf numFmtId="0" fontId="43" fillId="134" borderId="97" xfId="0" applyFont="1" applyFill="1" applyBorder="1" applyAlignment="1">
      <alignment horizontal="center"/>
    </xf>
    <xf numFmtId="37" fontId="195" fillId="134" borderId="32" xfId="101" applyNumberFormat="1" applyFont="1" applyFill="1" applyBorder="1" applyAlignment="1">
      <alignment horizontal="center"/>
    </xf>
    <xf numFmtId="37" fontId="195" fillId="134" borderId="29" xfId="101" applyNumberFormat="1" applyFont="1" applyFill="1" applyBorder="1" applyAlignment="1">
      <alignment horizontal="center"/>
    </xf>
    <xf numFmtId="37" fontId="195" fillId="134" borderId="30" xfId="101" applyNumberFormat="1" applyFont="1" applyFill="1" applyBorder="1" applyAlignment="1">
      <alignment horizontal="center"/>
    </xf>
    <xf numFmtId="0" fontId="43" fillId="134" borderId="18" xfId="0" applyFont="1" applyFill="1" applyBorder="1" applyAlignment="1">
      <alignment horizontal="center"/>
    </xf>
    <xf numFmtId="0" fontId="219" fillId="134" borderId="0" xfId="0" applyFont="1" applyFill="1" applyBorder="1" applyAlignment="1">
      <alignment horizontal="center" wrapText="1"/>
    </xf>
    <xf numFmtId="0" fontId="43" fillId="158" borderId="26" xfId="0" applyFont="1" applyFill="1" applyBorder="1" applyAlignment="1">
      <alignment horizontal="left"/>
    </xf>
    <xf numFmtId="0" fontId="43" fillId="158" borderId="27" xfId="0" applyFont="1" applyFill="1" applyBorder="1" applyAlignment="1">
      <alignment horizontal="left"/>
    </xf>
    <xf numFmtId="0" fontId="43" fillId="158" borderId="28" xfId="0" applyFont="1" applyFill="1" applyBorder="1" applyAlignment="1">
      <alignment horizontal="left"/>
    </xf>
    <xf numFmtId="37" fontId="195" fillId="134" borderId="111" xfId="101" applyNumberFormat="1" applyFont="1" applyFill="1" applyBorder="1" applyAlignment="1">
      <alignment horizontal="center"/>
    </xf>
    <xf numFmtId="37" fontId="195" fillId="134" borderId="97" xfId="101" applyNumberFormat="1" applyFont="1" applyFill="1" applyBorder="1" applyAlignment="1">
      <alignment horizontal="center"/>
    </xf>
    <xf numFmtId="37" fontId="195" fillId="134" borderId="108" xfId="101" applyNumberFormat="1" applyFont="1" applyFill="1" applyBorder="1" applyAlignment="1">
      <alignment horizontal="center"/>
    </xf>
    <xf numFmtId="37" fontId="195" fillId="0" borderId="111" xfId="101" applyNumberFormat="1" applyFont="1" applyFill="1" applyBorder="1" applyAlignment="1">
      <alignment horizontal="center"/>
    </xf>
    <xf numFmtId="37" fontId="195" fillId="0" borderId="97" xfId="101" applyNumberFormat="1" applyFont="1" applyFill="1" applyBorder="1" applyAlignment="1">
      <alignment horizontal="center"/>
    </xf>
    <xf numFmtId="37" fontId="195" fillId="0" borderId="108" xfId="101" applyNumberFormat="1" applyFont="1" applyFill="1" applyBorder="1" applyAlignment="1">
      <alignment horizontal="center"/>
    </xf>
    <xf numFmtId="0" fontId="206" fillId="154" borderId="32" xfId="0" applyFont="1" applyFill="1" applyBorder="1" applyAlignment="1">
      <alignment horizontal="center"/>
    </xf>
    <xf numFmtId="0" fontId="206" fillId="154" borderId="29" xfId="0" applyFont="1" applyFill="1" applyBorder="1" applyAlignment="1">
      <alignment horizontal="center"/>
    </xf>
    <xf numFmtId="0" fontId="206" fillId="154" borderId="30" xfId="0" applyFont="1" applyFill="1" applyBorder="1" applyAlignment="1">
      <alignment horizontal="center"/>
    </xf>
    <xf numFmtId="0" fontId="42" fillId="134" borderId="97" xfId="0" applyFont="1" applyFill="1" applyBorder="1" applyAlignment="1">
      <alignment horizontal="center"/>
    </xf>
    <xf numFmtId="37" fontId="195" fillId="37" borderId="10" xfId="0" applyNumberFormat="1" applyFont="1" applyFill="1" applyBorder="1" applyAlignment="1">
      <alignment horizontal="center"/>
    </xf>
    <xf numFmtId="37" fontId="195" fillId="37" borderId="9" xfId="0" applyNumberFormat="1" applyFont="1" applyFill="1" applyBorder="1" applyAlignment="1">
      <alignment horizontal="center"/>
    </xf>
    <xf numFmtId="37" fontId="195" fillId="37" borderId="15" xfId="0" applyNumberFormat="1" applyFont="1" applyFill="1" applyBorder="1" applyAlignment="1">
      <alignment horizontal="center"/>
    </xf>
    <xf numFmtId="5" fontId="196" fillId="134" borderId="0" xfId="2" applyNumberFormat="1" applyFont="1" applyFill="1" applyBorder="1" applyAlignment="1">
      <alignment horizontal="center" vertical="center"/>
    </xf>
    <xf numFmtId="0" fontId="43" fillId="134" borderId="32" xfId="0" applyFont="1" applyFill="1" applyBorder="1" applyAlignment="1">
      <alignment horizontal="center"/>
    </xf>
    <xf numFmtId="0" fontId="43" fillId="134" borderId="29" xfId="0" applyFont="1" applyFill="1" applyBorder="1" applyAlignment="1">
      <alignment horizontal="center"/>
    </xf>
    <xf numFmtId="0" fontId="43" fillId="134" borderId="30" xfId="0" applyFont="1" applyFill="1" applyBorder="1" applyAlignment="1">
      <alignment horizontal="center"/>
    </xf>
    <xf numFmtId="0" fontId="44" fillId="134" borderId="32" xfId="0" applyFont="1" applyFill="1" applyBorder="1" applyAlignment="1">
      <alignment horizontal="center" vertical="center"/>
    </xf>
    <xf numFmtId="0" fontId="44" fillId="134" borderId="30" xfId="0" applyFont="1" applyFill="1" applyBorder="1" applyAlignment="1">
      <alignment horizontal="center" vertical="center"/>
    </xf>
    <xf numFmtId="166" fontId="43" fillId="134" borderId="32" xfId="5" applyNumberFormat="1" applyFont="1" applyFill="1" applyBorder="1" applyAlignment="1">
      <alignment horizontal="center"/>
    </xf>
    <xf numFmtId="166" fontId="43" fillId="134" borderId="30" xfId="5" applyNumberFormat="1" applyFont="1" applyFill="1" applyBorder="1" applyAlignment="1">
      <alignment horizontal="center"/>
    </xf>
    <xf numFmtId="166" fontId="43" fillId="134" borderId="29" xfId="5" applyNumberFormat="1" applyFont="1" applyFill="1" applyBorder="1" applyAlignment="1">
      <alignment horizontal="center"/>
    </xf>
    <xf numFmtId="0" fontId="44" fillId="0" borderId="0" xfId="5" applyFont="1" applyFill="1" applyBorder="1" applyAlignment="1">
      <alignment horizontal="center"/>
    </xf>
    <xf numFmtId="5" fontId="42" fillId="134" borderId="0" xfId="2" applyNumberFormat="1" applyFont="1" applyFill="1" applyBorder="1" applyAlignment="1">
      <alignment horizontal="center" vertical="center"/>
    </xf>
    <xf numFmtId="166" fontId="43" fillId="134" borderId="0" xfId="5" applyNumberFormat="1" applyFont="1" applyFill="1" applyBorder="1" applyAlignment="1">
      <alignment horizontal="center"/>
    </xf>
    <xf numFmtId="166" fontId="43" fillId="134" borderId="1" xfId="5" applyNumberFormat="1" applyFont="1" applyFill="1" applyBorder="1" applyAlignment="1">
      <alignment horizontal="center"/>
    </xf>
    <xf numFmtId="0" fontId="192" fillId="37" borderId="32" xfId="0" applyFont="1" applyFill="1" applyBorder="1" applyAlignment="1">
      <alignment horizontal="center"/>
    </xf>
    <xf numFmtId="0" fontId="192" fillId="37" borderId="29" xfId="0" applyFont="1" applyFill="1" applyBorder="1" applyAlignment="1">
      <alignment horizontal="center"/>
    </xf>
    <xf numFmtId="0" fontId="192" fillId="37" borderId="30" xfId="0" applyFont="1" applyFill="1" applyBorder="1" applyAlignment="1">
      <alignment horizontal="center"/>
    </xf>
    <xf numFmtId="166" fontId="192" fillId="37" borderId="32" xfId="5" applyNumberFormat="1" applyFont="1" applyFill="1" applyBorder="1" applyAlignment="1">
      <alignment horizontal="center"/>
    </xf>
    <xf numFmtId="166" fontId="192" fillId="37" borderId="29" xfId="5" applyNumberFormat="1" applyFont="1" applyFill="1" applyBorder="1" applyAlignment="1">
      <alignment horizontal="center"/>
    </xf>
    <xf numFmtId="166" fontId="192" fillId="37" borderId="30" xfId="5" applyNumberFormat="1" applyFont="1" applyFill="1" applyBorder="1" applyAlignment="1">
      <alignment horizontal="center"/>
    </xf>
    <xf numFmtId="166" fontId="192" fillId="134" borderId="32" xfId="5" applyNumberFormat="1" applyFont="1" applyFill="1" applyBorder="1" applyAlignment="1">
      <alignment horizontal="center"/>
    </xf>
    <xf numFmtId="166" fontId="192" fillId="134" borderId="29" xfId="5" applyNumberFormat="1" applyFont="1" applyFill="1" applyBorder="1" applyAlignment="1">
      <alignment horizontal="center"/>
    </xf>
    <xf numFmtId="166" fontId="192" fillId="134" borderId="30" xfId="5" applyNumberFormat="1" applyFont="1" applyFill="1" applyBorder="1" applyAlignment="1">
      <alignment horizontal="center"/>
    </xf>
    <xf numFmtId="14" fontId="199" fillId="134" borderId="32" xfId="0" applyNumberFormat="1" applyFont="1" applyFill="1" applyBorder="1" applyAlignment="1">
      <alignment horizontal="center"/>
    </xf>
    <xf numFmtId="14" fontId="199" fillId="134" borderId="29" xfId="0" applyNumberFormat="1" applyFont="1" applyFill="1" applyBorder="1" applyAlignment="1">
      <alignment horizontal="center"/>
    </xf>
    <xf numFmtId="14" fontId="199" fillId="134" borderId="30" xfId="0" applyNumberFormat="1" applyFont="1" applyFill="1" applyBorder="1" applyAlignment="1">
      <alignment horizontal="center"/>
    </xf>
    <xf numFmtId="171" fontId="198" fillId="134" borderId="18" xfId="0" applyNumberFormat="1" applyFont="1" applyFill="1" applyBorder="1" applyAlignment="1">
      <alignment horizontal="center"/>
    </xf>
    <xf numFmtId="171" fontId="198" fillId="134" borderId="21" xfId="0" applyNumberFormat="1" applyFont="1" applyFill="1" applyBorder="1" applyAlignment="1">
      <alignment horizontal="center"/>
    </xf>
    <xf numFmtId="171" fontId="198" fillId="134" borderId="7" xfId="0" applyNumberFormat="1" applyFont="1" applyFill="1" applyBorder="1" applyAlignment="1">
      <alignment horizontal="center"/>
    </xf>
    <xf numFmtId="171" fontId="198" fillId="134" borderId="0" xfId="0" applyNumberFormat="1" applyFont="1" applyFill="1" applyBorder="1" applyAlignment="1">
      <alignment horizontal="center"/>
    </xf>
    <xf numFmtId="171" fontId="198" fillId="134" borderId="1" xfId="0" applyNumberFormat="1" applyFont="1" applyFill="1" applyBorder="1" applyAlignment="1">
      <alignment horizontal="center"/>
    </xf>
    <xf numFmtId="7" fontId="192" fillId="37" borderId="32" xfId="0" applyNumberFormat="1" applyFont="1" applyFill="1" applyBorder="1" applyAlignment="1">
      <alignment horizontal="center"/>
    </xf>
    <xf numFmtId="7" fontId="192" fillId="37" borderId="29" xfId="0" applyNumberFormat="1" applyFont="1" applyFill="1" applyBorder="1" applyAlignment="1">
      <alignment horizontal="center"/>
    </xf>
    <xf numFmtId="7" fontId="192" fillId="37" borderId="30" xfId="0" applyNumberFormat="1" applyFont="1" applyFill="1" applyBorder="1" applyAlignment="1">
      <alignment horizontal="center"/>
    </xf>
    <xf numFmtId="7" fontId="192" fillId="38" borderId="32" xfId="0" applyNumberFormat="1" applyFont="1" applyFill="1" applyBorder="1" applyAlignment="1">
      <alignment horizontal="center"/>
    </xf>
    <xf numFmtId="7" fontId="192" fillId="38" borderId="29" xfId="0" applyNumberFormat="1" applyFont="1" applyFill="1" applyBorder="1" applyAlignment="1">
      <alignment horizontal="center"/>
    </xf>
    <xf numFmtId="7" fontId="192" fillId="38" borderId="30" xfId="0" applyNumberFormat="1" applyFont="1" applyFill="1" applyBorder="1" applyAlignment="1">
      <alignment horizontal="center"/>
    </xf>
    <xf numFmtId="0" fontId="43" fillId="0" borderId="32" xfId="0" applyFont="1" applyFill="1" applyBorder="1" applyAlignment="1">
      <alignment horizontal="center"/>
    </xf>
    <xf numFmtId="0" fontId="43" fillId="0" borderId="29" xfId="0" applyFont="1" applyFill="1" applyBorder="1" applyAlignment="1">
      <alignment horizontal="center"/>
    </xf>
    <xf numFmtId="0" fontId="43" fillId="0" borderId="30" xfId="0" applyFont="1" applyFill="1" applyBorder="1" applyAlignment="1">
      <alignment horizontal="center"/>
    </xf>
    <xf numFmtId="0" fontId="43" fillId="134" borderId="9" xfId="0" applyFont="1" applyFill="1" applyBorder="1" applyAlignment="1">
      <alignment horizontal="center" wrapText="1"/>
    </xf>
    <xf numFmtId="0" fontId="43" fillId="134" borderId="14" xfId="0" applyFont="1" applyFill="1" applyBorder="1" applyAlignment="1">
      <alignment horizontal="center" wrapText="1"/>
    </xf>
    <xf numFmtId="7" fontId="43" fillId="134" borderId="16" xfId="0" applyNumberFormat="1" applyFont="1" applyFill="1" applyBorder="1" applyAlignment="1">
      <alignment horizontal="center"/>
    </xf>
    <xf numFmtId="0" fontId="43" fillId="134" borderId="16" xfId="0" applyFont="1" applyFill="1" applyBorder="1" applyAlignment="1">
      <alignment horizontal="center"/>
    </xf>
    <xf numFmtId="0" fontId="43" fillId="134" borderId="11" xfId="0" applyFont="1" applyFill="1" applyBorder="1" applyAlignment="1">
      <alignment horizontal="center"/>
    </xf>
    <xf numFmtId="0" fontId="43" fillId="134" borderId="15" xfId="0" applyFont="1" applyFill="1" applyBorder="1" applyAlignment="1">
      <alignment horizontal="center" wrapText="1"/>
    </xf>
    <xf numFmtId="0" fontId="43" fillId="134" borderId="11" xfId="0" applyFont="1" applyFill="1" applyBorder="1" applyAlignment="1">
      <alignment horizontal="center" wrapText="1"/>
    </xf>
    <xf numFmtId="0" fontId="43" fillId="134" borderId="10" xfId="0" applyFont="1" applyFill="1" applyBorder="1" applyAlignment="1">
      <alignment horizontal="center" wrapText="1"/>
    </xf>
    <xf numFmtId="0" fontId="43" fillId="134" borderId="5" xfId="0" applyFont="1" applyFill="1" applyBorder="1" applyAlignment="1">
      <alignment horizontal="center" wrapText="1"/>
    </xf>
    <xf numFmtId="37" fontId="42" fillId="134" borderId="0" xfId="0" applyNumberFormat="1" applyFont="1" applyFill="1" applyBorder="1" applyAlignment="1" applyProtection="1">
      <alignment horizontal="left" vertical="top" wrapText="1"/>
    </xf>
    <xf numFmtId="7" fontId="195" fillId="134" borderId="17" xfId="0" applyNumberFormat="1" applyFont="1" applyFill="1" applyBorder="1" applyAlignment="1">
      <alignment horizontal="center"/>
    </xf>
    <xf numFmtId="7" fontId="195" fillId="134" borderId="18" xfId="0" applyNumberFormat="1" applyFont="1" applyFill="1" applyBorder="1" applyAlignment="1">
      <alignment horizontal="center"/>
    </xf>
    <xf numFmtId="7" fontId="195" fillId="134" borderId="21"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21" xfId="0" applyFont="1" applyFill="1" applyBorder="1" applyAlignment="1">
      <alignment horizontal="center"/>
    </xf>
    <xf numFmtId="0" fontId="43" fillId="154" borderId="32" xfId="0" applyFont="1" applyFill="1" applyBorder="1" applyAlignment="1">
      <alignment horizontal="center"/>
    </xf>
    <xf numFmtId="0" fontId="43" fillId="154" borderId="29" xfId="0" applyFont="1" applyFill="1" applyBorder="1" applyAlignment="1">
      <alignment horizontal="center"/>
    </xf>
    <xf numFmtId="0" fontId="43" fillId="154" borderId="30" xfId="0" applyFont="1" applyFill="1" applyBorder="1" applyAlignment="1">
      <alignment horizontal="center"/>
    </xf>
    <xf numFmtId="0" fontId="43" fillId="37" borderId="32" xfId="5" applyFont="1" applyFill="1" applyBorder="1" applyAlignment="1">
      <alignment horizontal="center"/>
    </xf>
    <xf numFmtId="0" fontId="43" fillId="37" borderId="29" xfId="5" applyFont="1" applyFill="1" applyBorder="1" applyAlignment="1">
      <alignment horizontal="center"/>
    </xf>
    <xf numFmtId="0" fontId="43" fillId="37" borderId="30" xfId="5" applyFont="1" applyFill="1" applyBorder="1" applyAlignment="1">
      <alignment horizontal="center"/>
    </xf>
    <xf numFmtId="0" fontId="190" fillId="134" borderId="26" xfId="0" applyFont="1" applyFill="1" applyBorder="1" applyAlignment="1">
      <alignment horizontal="center"/>
    </xf>
    <xf numFmtId="0" fontId="190" fillId="134" borderId="27" xfId="0" applyFont="1" applyFill="1" applyBorder="1" applyAlignment="1">
      <alignment horizontal="center"/>
    </xf>
    <xf numFmtId="0" fontId="190" fillId="134" borderId="28" xfId="0" applyFont="1" applyFill="1" applyBorder="1" applyAlignment="1">
      <alignment horizontal="center"/>
    </xf>
    <xf numFmtId="0" fontId="43" fillId="154" borderId="26" xfId="0" applyFont="1" applyFill="1" applyBorder="1" applyAlignment="1">
      <alignment horizontal="center"/>
    </xf>
    <xf numFmtId="0" fontId="43" fillId="154" borderId="27" xfId="0" applyFont="1" applyFill="1" applyBorder="1" applyAlignment="1">
      <alignment horizontal="center"/>
    </xf>
    <xf numFmtId="0" fontId="43" fillId="154" borderId="28" xfId="0" applyFont="1" applyFill="1" applyBorder="1" applyAlignment="1">
      <alignment horizontal="center"/>
    </xf>
    <xf numFmtId="0" fontId="236" fillId="37" borderId="32" xfId="0" applyFont="1" applyFill="1" applyBorder="1" applyAlignment="1">
      <alignment horizontal="center"/>
    </xf>
    <xf numFmtId="0" fontId="236" fillId="37" borderId="29" xfId="0" applyFont="1" applyFill="1" applyBorder="1" applyAlignment="1">
      <alignment horizontal="center"/>
    </xf>
    <xf numFmtId="0" fontId="236" fillId="37" borderId="30" xfId="0" applyFont="1" applyFill="1" applyBorder="1" applyAlignment="1">
      <alignment horizontal="center"/>
    </xf>
    <xf numFmtId="0" fontId="70" fillId="37" borderId="32" xfId="0" applyFont="1" applyFill="1" applyBorder="1" applyAlignment="1">
      <alignment horizontal="center"/>
    </xf>
    <xf numFmtId="0" fontId="70" fillId="37" borderId="29" xfId="0" applyFont="1" applyFill="1" applyBorder="1" applyAlignment="1">
      <alignment horizontal="center"/>
    </xf>
    <xf numFmtId="0" fontId="70" fillId="37" borderId="30" xfId="0" applyFont="1" applyFill="1" applyBorder="1" applyAlignment="1">
      <alignment horizontal="center"/>
    </xf>
    <xf numFmtId="0" fontId="70" fillId="151" borderId="38" xfId="0" applyFont="1" applyFill="1" applyBorder="1" applyAlignment="1">
      <alignment horizontal="center"/>
    </xf>
    <xf numFmtId="0" fontId="43" fillId="151" borderId="38" xfId="0" applyFont="1" applyFill="1" applyBorder="1" applyAlignment="1">
      <alignment horizontal="center"/>
    </xf>
    <xf numFmtId="0" fontId="70" fillId="134" borderId="0" xfId="0" applyFont="1" applyFill="1" applyAlignment="1">
      <alignment horizontal="center"/>
    </xf>
    <xf numFmtId="0" fontId="19" fillId="134" borderId="34" xfId="0" applyFont="1" applyFill="1" applyBorder="1" applyAlignment="1">
      <alignment horizontal="center"/>
    </xf>
    <xf numFmtId="0" fontId="41" fillId="154" borderId="32" xfId="5" applyFont="1" applyFill="1" applyBorder="1" applyAlignment="1">
      <alignment horizontal="center"/>
    </xf>
    <xf numFmtId="0" fontId="41" fillId="154" borderId="29" xfId="5" applyFont="1" applyFill="1" applyBorder="1" applyAlignment="1">
      <alignment horizontal="center"/>
    </xf>
    <xf numFmtId="0" fontId="41" fillId="154" borderId="30" xfId="5" applyFont="1" applyFill="1" applyBorder="1" applyAlignment="1">
      <alignment horizontal="center"/>
    </xf>
    <xf numFmtId="0" fontId="43" fillId="154" borderId="48" xfId="0" applyFont="1" applyFill="1" applyBorder="1" applyAlignment="1">
      <alignment horizontal="center"/>
    </xf>
    <xf numFmtId="0" fontId="43" fillId="154" borderId="22" xfId="0" applyFont="1" applyFill="1" applyBorder="1" applyAlignment="1">
      <alignment horizontal="center"/>
    </xf>
    <xf numFmtId="0" fontId="43" fillId="134" borderId="98" xfId="0" applyFont="1" applyFill="1" applyBorder="1" applyAlignment="1">
      <alignment horizontal="center" wrapText="1"/>
    </xf>
    <xf numFmtId="0" fontId="43" fillId="134" borderId="97" xfId="0" applyFont="1" applyFill="1" applyBorder="1" applyAlignment="1">
      <alignment horizontal="center" wrapText="1"/>
    </xf>
    <xf numFmtId="0" fontId="43" fillId="134" borderId="99" xfId="0" applyFont="1" applyFill="1" applyBorder="1" applyAlignment="1">
      <alignment horizontal="center" wrapText="1"/>
    </xf>
    <xf numFmtId="0" fontId="195" fillId="152" borderId="51" xfId="0" applyFont="1" applyFill="1" applyBorder="1" applyAlignment="1">
      <alignment horizontal="center" wrapText="1"/>
    </xf>
    <xf numFmtId="0" fontId="195" fillId="152" borderId="52" xfId="0" applyFont="1" applyFill="1" applyBorder="1" applyAlignment="1">
      <alignment horizontal="center" wrapText="1"/>
    </xf>
    <xf numFmtId="0" fontId="195" fillId="134" borderId="51" xfId="0" applyFont="1" applyFill="1" applyBorder="1" applyAlignment="1">
      <alignment horizontal="center"/>
    </xf>
    <xf numFmtId="0" fontId="195" fillId="134" borderId="52" xfId="0" applyFont="1" applyFill="1" applyBorder="1" applyAlignment="1">
      <alignment horizontal="center"/>
    </xf>
    <xf numFmtId="0" fontId="195" fillId="0" borderId="14" xfId="0" applyFont="1" applyFill="1" applyBorder="1" applyAlignment="1">
      <alignment horizontal="center"/>
    </xf>
    <xf numFmtId="0" fontId="195" fillId="0" borderId="22" xfId="0" applyFont="1" applyFill="1" applyBorder="1" applyAlignment="1">
      <alignment horizontal="center"/>
    </xf>
    <xf numFmtId="0" fontId="43" fillId="134" borderId="48" xfId="0" applyFont="1" applyFill="1" applyBorder="1" applyAlignment="1">
      <alignment horizontal="center" wrapText="1"/>
    </xf>
    <xf numFmtId="0" fontId="43" fillId="134" borderId="22" xfId="0" applyFont="1" applyFill="1" applyBorder="1" applyAlignment="1">
      <alignment horizontal="center" wrapText="1"/>
    </xf>
    <xf numFmtId="10" fontId="42" fillId="134" borderId="0" xfId="4" applyNumberFormat="1" applyFont="1" applyFill="1" applyBorder="1" applyAlignment="1">
      <alignment horizontal="center"/>
    </xf>
    <xf numFmtId="0" fontId="42" fillId="134" borderId="0" xfId="0" applyFont="1" applyFill="1" applyBorder="1" applyAlignment="1">
      <alignment horizontal="center" wrapText="1"/>
    </xf>
    <xf numFmtId="0" fontId="42" fillId="134" borderId="14" xfId="0" applyFont="1" applyFill="1" applyBorder="1" applyAlignment="1">
      <alignment horizontal="center" wrapText="1"/>
    </xf>
    <xf numFmtId="0" fontId="195" fillId="152" borderId="24" xfId="0" applyFont="1" applyFill="1" applyBorder="1" applyAlignment="1">
      <alignment horizontal="center" wrapText="1"/>
    </xf>
    <xf numFmtId="0" fontId="43" fillId="134" borderId="51" xfId="0" applyFont="1" applyFill="1" applyBorder="1" applyAlignment="1">
      <alignment horizontal="center" wrapText="1"/>
    </xf>
    <xf numFmtId="0" fontId="43" fillId="134" borderId="24" xfId="0" applyFont="1" applyFill="1" applyBorder="1" applyAlignment="1">
      <alignment horizontal="center" wrapText="1"/>
    </xf>
    <xf numFmtId="0" fontId="43" fillId="134" borderId="52" xfId="0" applyFont="1" applyFill="1" applyBorder="1" applyAlignment="1">
      <alignment horizontal="center" wrapText="1"/>
    </xf>
    <xf numFmtId="0" fontId="41" fillId="37" borderId="32" xfId="5" applyFont="1" applyFill="1" applyBorder="1" applyAlignment="1">
      <alignment horizontal="center"/>
    </xf>
    <xf numFmtId="0" fontId="41" fillId="37" borderId="29" xfId="5" applyFont="1" applyFill="1" applyBorder="1" applyAlignment="1">
      <alignment horizontal="center"/>
    </xf>
    <xf numFmtId="0" fontId="41" fillId="37" borderId="30" xfId="5" applyFont="1" applyFill="1" applyBorder="1" applyAlignment="1">
      <alignment horizontal="center"/>
    </xf>
    <xf numFmtId="0" fontId="195" fillId="134" borderId="24" xfId="0" applyFont="1" applyFill="1" applyBorder="1" applyAlignment="1">
      <alignment horizontal="center"/>
    </xf>
    <xf numFmtId="0" fontId="43" fillId="154" borderId="51" xfId="0" applyFont="1" applyFill="1" applyBorder="1" applyAlignment="1">
      <alignment horizontal="center"/>
    </xf>
    <xf numFmtId="0" fontId="43" fillId="154" borderId="52" xfId="0" applyFont="1" applyFill="1" applyBorder="1" applyAlignment="1">
      <alignment horizontal="center"/>
    </xf>
    <xf numFmtId="0" fontId="195" fillId="0" borderId="51" xfId="0" applyFont="1" applyFill="1" applyBorder="1" applyAlignment="1">
      <alignment horizontal="center"/>
    </xf>
    <xf numFmtId="0" fontId="195" fillId="0" borderId="52" xfId="0" applyFont="1" applyFill="1" applyBorder="1" applyAlignment="1">
      <alignment horizontal="center"/>
    </xf>
    <xf numFmtId="7" fontId="43" fillId="134" borderId="17" xfId="0" applyNumberFormat="1" applyFont="1" applyFill="1" applyBorder="1" applyAlignment="1">
      <alignment horizontal="center"/>
    </xf>
    <xf numFmtId="7" fontId="43" fillId="134" borderId="18" xfId="0" applyNumberFormat="1" applyFont="1" applyFill="1" applyBorder="1" applyAlignment="1">
      <alignment horizontal="center"/>
    </xf>
    <xf numFmtId="7" fontId="43" fillId="134" borderId="21" xfId="0" applyNumberFormat="1" applyFont="1" applyFill="1" applyBorder="1" applyAlignment="1">
      <alignment horizontal="center"/>
    </xf>
    <xf numFmtId="168" fontId="43" fillId="167" borderId="32" xfId="0" applyNumberFormat="1" applyFont="1" applyFill="1" applyBorder="1" applyAlignment="1">
      <alignment horizontal="center"/>
    </xf>
    <xf numFmtId="168" fontId="43" fillId="167" borderId="29" xfId="0" applyNumberFormat="1" applyFont="1" applyFill="1" applyBorder="1" applyAlignment="1">
      <alignment horizontal="center"/>
    </xf>
    <xf numFmtId="168" fontId="43" fillId="167" borderId="30" xfId="0" applyNumberFormat="1" applyFont="1" applyFill="1" applyBorder="1" applyAlignment="1">
      <alignment horizontal="center"/>
    </xf>
    <xf numFmtId="168" fontId="43" fillId="38" borderId="32" xfId="0" applyNumberFormat="1" applyFont="1" applyFill="1" applyBorder="1" applyAlignment="1">
      <alignment horizontal="center"/>
    </xf>
    <xf numFmtId="168" fontId="43" fillId="38" borderId="29" xfId="0" applyNumberFormat="1" applyFont="1" applyFill="1" applyBorder="1" applyAlignment="1">
      <alignment horizontal="center"/>
    </xf>
    <xf numFmtId="168" fontId="43" fillId="38" borderId="30" xfId="0" applyNumberFormat="1" applyFont="1" applyFill="1" applyBorder="1" applyAlignment="1">
      <alignment horizontal="center"/>
    </xf>
    <xf numFmtId="0" fontId="216" fillId="134" borderId="26" xfId="0" applyFont="1" applyFill="1" applyBorder="1" applyAlignment="1">
      <alignment horizontal="center"/>
    </xf>
    <xf numFmtId="0" fontId="216" fillId="134" borderId="27" xfId="0" applyFont="1" applyFill="1" applyBorder="1" applyAlignment="1">
      <alignment horizontal="center"/>
    </xf>
    <xf numFmtId="0" fontId="216" fillId="134" borderId="28" xfId="0" applyFont="1" applyFill="1" applyBorder="1" applyAlignment="1">
      <alignment horizontal="center"/>
    </xf>
    <xf numFmtId="0" fontId="43" fillId="0" borderId="16" xfId="0" applyFont="1" applyFill="1" applyBorder="1" applyAlignment="1">
      <alignment horizontal="center"/>
    </xf>
    <xf numFmtId="0" fontId="41" fillId="38" borderId="32" xfId="5" applyFont="1" applyFill="1" applyBorder="1" applyAlignment="1">
      <alignment horizontal="center" vertical="center"/>
    </xf>
    <xf numFmtId="0" fontId="41" fillId="38" borderId="29" xfId="5" applyFont="1" applyFill="1" applyBorder="1" applyAlignment="1">
      <alignment horizontal="center" vertical="center"/>
    </xf>
    <xf numFmtId="0" fontId="41" fillId="38" borderId="30" xfId="5" applyFont="1" applyFill="1" applyBorder="1" applyAlignment="1">
      <alignment horizontal="center" vertical="center"/>
    </xf>
    <xf numFmtId="0" fontId="43" fillId="134" borderId="51" xfId="0" applyFont="1" applyFill="1" applyBorder="1" applyAlignment="1">
      <alignment horizontal="center"/>
    </xf>
    <xf numFmtId="0" fontId="43" fillId="134" borderId="24" xfId="0" applyFont="1" applyFill="1" applyBorder="1" applyAlignment="1">
      <alignment horizontal="center"/>
    </xf>
    <xf numFmtId="0" fontId="195" fillId="37" borderId="24" xfId="0" applyFont="1" applyFill="1" applyBorder="1" applyAlignment="1">
      <alignment horizontal="center" wrapText="1"/>
    </xf>
    <xf numFmtId="0" fontId="195" fillId="37" borderId="52" xfId="0" applyFont="1" applyFill="1" applyBorder="1" applyAlignment="1">
      <alignment horizontal="center" wrapText="1"/>
    </xf>
    <xf numFmtId="0" fontId="43" fillId="134" borderId="52" xfId="0" applyFont="1" applyFill="1" applyBorder="1" applyAlignment="1">
      <alignment horizontal="center"/>
    </xf>
    <xf numFmtId="0" fontId="19" fillId="134" borderId="0" xfId="0" applyFont="1" applyFill="1" applyBorder="1" applyAlignment="1">
      <alignment horizontal="center"/>
    </xf>
    <xf numFmtId="0" fontId="195" fillId="38" borderId="24" xfId="0" applyFont="1" applyFill="1" applyBorder="1" applyAlignment="1">
      <alignment horizontal="center" wrapText="1"/>
    </xf>
    <xf numFmtId="0" fontId="195" fillId="38" borderId="52" xfId="0" applyFont="1" applyFill="1" applyBorder="1" applyAlignment="1">
      <alignment horizontal="center" wrapText="1"/>
    </xf>
    <xf numFmtId="0" fontId="43" fillId="134" borderId="17" xfId="0" applyFont="1" applyFill="1" applyBorder="1" applyAlignment="1">
      <alignment horizontal="center"/>
    </xf>
    <xf numFmtId="0" fontId="43" fillId="134" borderId="21" xfId="0" applyFont="1" applyFill="1" applyBorder="1" applyAlignment="1">
      <alignment horizontal="center"/>
    </xf>
    <xf numFmtId="0" fontId="195" fillId="38" borderId="32" xfId="0" applyFont="1" applyFill="1" applyBorder="1" applyAlignment="1">
      <alignment horizontal="center"/>
    </xf>
    <xf numFmtId="0" fontId="195" fillId="38" borderId="30" xfId="0" applyFont="1" applyFill="1" applyBorder="1" applyAlignment="1">
      <alignment horizontal="center"/>
    </xf>
    <xf numFmtId="7" fontId="195" fillId="37" borderId="32" xfId="2" applyNumberFormat="1" applyFont="1" applyFill="1" applyBorder="1" applyAlignment="1">
      <alignment horizontal="center"/>
    </xf>
    <xf numFmtId="7" fontId="195" fillId="37" borderId="29" xfId="2" applyNumberFormat="1" applyFont="1" applyFill="1" applyBorder="1" applyAlignment="1">
      <alignment horizontal="center"/>
    </xf>
    <xf numFmtId="7" fontId="195" fillId="37" borderId="30" xfId="2" applyNumberFormat="1" applyFont="1" applyFill="1" applyBorder="1" applyAlignment="1">
      <alignment horizontal="center"/>
    </xf>
    <xf numFmtId="0" fontId="195" fillId="38" borderId="29" xfId="0"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CCFFCC"/>
      <color rgb="FFFFCCFF"/>
      <color rgb="FF99FFCC"/>
      <color rgb="FFFFFF66"/>
      <color rgb="FF0000FF"/>
      <color rgb="FFFFFFCC"/>
      <color rgb="FFFFFF99"/>
      <color rgb="FFCC99FF"/>
      <color rgb="FFFFCC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194733</xdr:colOff>
      <xdr:row>50</xdr:row>
      <xdr:rowOff>103134</xdr:rowOff>
    </xdr:from>
    <xdr:to>
      <xdr:col>12</xdr:col>
      <xdr:colOff>129117</xdr:colOff>
      <xdr:row>61</xdr:row>
      <xdr:rowOff>68922</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1"/>
        <a:stretch>
          <a:fillRect/>
        </a:stretch>
      </xdr:blipFill>
      <xdr:spPr>
        <a:xfrm>
          <a:off x="8089900" y="8379301"/>
          <a:ext cx="4529666" cy="1715213"/>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190500</xdr:colOff>
      <xdr:row>2</xdr:row>
      <xdr:rowOff>84667</xdr:rowOff>
    </xdr:from>
    <xdr:to>
      <xdr:col>47</xdr:col>
      <xdr:colOff>95250</xdr:colOff>
      <xdr:row>6</xdr:row>
      <xdr:rowOff>105833</xdr:rowOff>
    </xdr:to>
    <xdr:sp macro="" textlink="">
      <xdr:nvSpPr>
        <xdr:cNvPr id="2" name="TextBox 1">
          <a:extLst>
            <a:ext uri="{FF2B5EF4-FFF2-40B4-BE49-F238E27FC236}">
              <a16:creationId xmlns:a16="http://schemas.microsoft.com/office/drawing/2014/main" id="{903E1A56-72A8-4E82-BA46-388290999694}"/>
            </a:ext>
          </a:extLst>
        </xdr:cNvPr>
        <xdr:cNvSpPr txBox="1"/>
      </xdr:nvSpPr>
      <xdr:spPr>
        <a:xfrm>
          <a:off x="42502667" y="444500"/>
          <a:ext cx="2275416"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Schedules with no customers and volume do not receive temporary rate adjustments.</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770731</xdr:colOff>
      <xdr:row>1</xdr:row>
      <xdr:rowOff>68262</xdr:rowOff>
    </xdr:from>
    <xdr:to>
      <xdr:col>14</xdr:col>
      <xdr:colOff>818356</xdr:colOff>
      <xdr:row>9</xdr:row>
      <xdr:rowOff>103981</xdr:rowOff>
    </xdr:to>
    <xdr:sp macro="" textlink="">
      <xdr:nvSpPr>
        <xdr:cNvPr id="2" name="TextBox 1">
          <a:extLst>
            <a:ext uri="{FF2B5EF4-FFF2-40B4-BE49-F238E27FC236}">
              <a16:creationId xmlns:a16="http://schemas.microsoft.com/office/drawing/2014/main" id="{DAECDEA6-E31A-47A3-8AE3-95EA21EC4EFB}"/>
            </a:ext>
          </a:extLst>
        </xdr:cNvPr>
        <xdr:cNvSpPr txBox="1"/>
      </xdr:nvSpPr>
      <xdr:spPr>
        <a:xfrm>
          <a:off x="3985419" y="234950"/>
          <a:ext cx="2762250" cy="1369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Note: These two</a:t>
          </a:r>
          <a:r>
            <a:rPr lang="en-US" sz="1100" baseline="0">
              <a:solidFill>
                <a:srgbClr val="FF0000"/>
              </a:solidFill>
            </a:rPr>
            <a:t> tables were ultimately NOT filed with the Settlement Agreement.</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4-Walker-WP1-12-18-20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gulatory_Affairs/PGA%20-%20WASHINGTON/2021/4_Rate%20Development/NWN%202021-22%20PGA%20WA%20Rate%20Development_September%20Filing.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gulatory_Affairs/PGA%20-%20WASHINGTON/2022/3_Rate%20Development/NWN%202022-23%20PGA%20WA%20Rate%20Development_September%20Fil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 val="Journal Page"/>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Rates"/>
      <sheetName val="R&amp;C UPC"/>
      <sheetName val="Hist Cust &amp; Vols"/>
      <sheetName val="Customers"/>
      <sheetName val="Volumes"/>
      <sheetName val="Cust &amp; Use"/>
      <sheetName val="Cust Charge"/>
      <sheetName val="MDDV Service Charge"/>
      <sheetName val="Perm Base Rate Rev"/>
      <sheetName val="BExRepositorySheet"/>
      <sheetName val="WACOG"/>
      <sheetName val="Demand"/>
      <sheetName val="Total Cost of Gas"/>
      <sheetName val="Total Revenue"/>
      <sheetName val="Monthly Margin"/>
      <sheetName val="Output to Rev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Q6">
            <v>283691.13211741613</v>
          </cell>
        </row>
        <row r="7">
          <cell r="Q7">
            <v>53008197.589697547</v>
          </cell>
        </row>
        <row r="8">
          <cell r="Q8">
            <v>53871.380821902283</v>
          </cell>
        </row>
        <row r="9">
          <cell r="Q9">
            <v>16112007.068833409</v>
          </cell>
        </row>
        <row r="10">
          <cell r="Q10">
            <v>363218.20437801839</v>
          </cell>
        </row>
        <row r="14">
          <cell r="Q14">
            <v>2853836.1753150364</v>
          </cell>
        </row>
        <row r="22">
          <cell r="Q22">
            <v>470188.60083981924</v>
          </cell>
        </row>
        <row r="24">
          <cell r="Q24">
            <v>241043.72505190157</v>
          </cell>
        </row>
        <row r="28">
          <cell r="Q28">
            <v>747266.28046789952</v>
          </cell>
        </row>
        <row r="36">
          <cell r="Q36">
            <v>1154958.3793378912</v>
          </cell>
        </row>
        <row r="40">
          <cell r="Q40">
            <v>0</v>
          </cell>
        </row>
        <row r="44">
          <cell r="Q44">
            <v>0</v>
          </cell>
        </row>
        <row r="52">
          <cell r="Q52">
            <v>430728.61187958985</v>
          </cell>
        </row>
        <row r="60">
          <cell r="Q60">
            <v>171731.03459599178</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4">
        <row r="6">
          <cell r="Q6">
            <v>208635.1321174161</v>
          </cell>
        </row>
        <row r="7">
          <cell r="Q7">
            <v>33798099.589697547</v>
          </cell>
        </row>
        <row r="8">
          <cell r="Q8">
            <v>37604.380821902283</v>
          </cell>
        </row>
        <row r="9">
          <cell r="Q9">
            <v>9866168.0688334089</v>
          </cell>
        </row>
        <row r="10">
          <cell r="Q10">
            <v>201938.20437801833</v>
          </cell>
        </row>
        <row r="14">
          <cell r="Q14">
            <v>1542348.175315036</v>
          </cell>
        </row>
        <row r="22">
          <cell r="Q22">
            <v>219574.60083981926</v>
          </cell>
        </row>
        <row r="24">
          <cell r="Q24">
            <v>141888.72505190157</v>
          </cell>
        </row>
        <row r="28">
          <cell r="Q28">
            <v>392614.2804678994</v>
          </cell>
        </row>
        <row r="36">
          <cell r="Q36">
            <v>511672.37933789124</v>
          </cell>
        </row>
        <row r="40">
          <cell r="Q40">
            <v>0</v>
          </cell>
        </row>
        <row r="44">
          <cell r="Q44">
            <v>0</v>
          </cell>
        </row>
        <row r="52">
          <cell r="Q52">
            <v>160512.61187958997</v>
          </cell>
        </row>
        <row r="60">
          <cell r="Q60">
            <v>81130.03459599179</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Inputs"/>
      <sheetName val="Washington volumes"/>
      <sheetName val="Allocation equal ¢ per therm"/>
      <sheetName val="Allocation = % of margin"/>
      <sheetName val="Temporaries"/>
      <sheetName val="Avg Bill by RS"/>
      <sheetName val="Rates in summary"/>
      <sheetName val="Rates in detail"/>
      <sheetName val="Margin Model"/>
      <sheetName val="Amortization"/>
      <sheetName val="Margin Model + UG200994"/>
      <sheetName val="F Goldenrod"/>
      <sheetName val="F Goldenrod+Rate Case"/>
      <sheetName val="Cover"/>
      <sheetName val="WA Index"/>
      <sheetName val="Statement of Rates"/>
      <sheetName val="Summary of Sales Rates"/>
      <sheetName val="Summary of Transportation Rates"/>
      <sheetName val="Summary of Changes in Rate"/>
      <sheetName val="Adjs. to Residential Rates"/>
      <sheetName val="Rate Case History"/>
      <sheetName val="Annual WACOG History"/>
      <sheetName val="Winter WACOG History"/>
      <sheetName val="RS 1 BR History"/>
      <sheetName val="RS 2 BR History"/>
      <sheetName val="RS 3 BR History"/>
      <sheetName val="RS 19 BR History"/>
      <sheetName val="RS 27 BR History"/>
      <sheetName val="RS 41 Firm BR History"/>
      <sheetName val="RS 41 Intp BR History"/>
      <sheetName val="RS 42 FS BR History"/>
      <sheetName val="RS42 IS BR History"/>
      <sheetName val="RS 41T BR History"/>
      <sheetName val="RS 42T BR History"/>
      <sheetName val="RS 43T BR History"/>
      <sheetName val="RS 1 PR History"/>
      <sheetName val="RS 2 PR History"/>
      <sheetName val="RS 3 PR History"/>
      <sheetName val="RS 21 BR History"/>
      <sheetName val="RS 54 BR History"/>
      <sheetName val="wacog purch history 1988-2007"/>
      <sheetName val="Chgs in Rates by RS 1995-2004"/>
      <sheetName val="RS 3T BR History"/>
    </sheetNames>
    <sheetDataSet>
      <sheetData sheetId="0"/>
      <sheetData sheetId="1"/>
      <sheetData sheetId="2"/>
      <sheetData sheetId="3"/>
      <sheetData sheetId="4"/>
      <sheetData sheetId="5"/>
      <sheetData sheetId="6">
        <row r="18">
          <cell r="G18">
            <v>9</v>
          </cell>
        </row>
      </sheetData>
      <sheetData sheetId="7">
        <row r="13">
          <cell r="E13">
            <v>8.5399999999999976E-2</v>
          </cell>
          <cell r="F13">
            <v>5.4799999999999988E-3</v>
          </cell>
          <cell r="H13">
            <v>2.3890000000000036E-2</v>
          </cell>
          <cell r="R13">
            <v>0.11476999999999982</v>
          </cell>
        </row>
        <row r="14">
          <cell r="E14">
            <v>8.5399999999999976E-2</v>
          </cell>
          <cell r="F14">
            <v>5.4799999999999988E-3</v>
          </cell>
          <cell r="H14">
            <v>2.1469999999999989E-2</v>
          </cell>
          <cell r="R14">
            <v>0.11234999999999995</v>
          </cell>
        </row>
        <row r="15">
          <cell r="E15">
            <v>8.5399999999999976E-2</v>
          </cell>
          <cell r="F15">
            <v>5.4799999999999988E-3</v>
          </cell>
          <cell r="H15">
            <v>2.0369999999999999E-2</v>
          </cell>
          <cell r="R15">
            <v>0.11125000000000018</v>
          </cell>
        </row>
        <row r="16">
          <cell r="E16">
            <v>8.5399999999999976E-2</v>
          </cell>
          <cell r="F16">
            <v>5.4799999999999988E-3</v>
          </cell>
          <cell r="H16">
            <v>1.9469999999999987E-2</v>
          </cell>
          <cell r="R16">
            <v>0.11035000000000006</v>
          </cell>
        </row>
        <row r="17">
          <cell r="E17">
            <v>8.5399999999999976E-2</v>
          </cell>
          <cell r="F17">
            <v>5.4799999999999988E-3</v>
          </cell>
          <cell r="H17">
            <v>1.0919999999999994E-2</v>
          </cell>
          <cell r="R17">
            <v>0.10180000000000011</v>
          </cell>
        </row>
        <row r="18">
          <cell r="E18">
            <v>8.5399999999999976E-2</v>
          </cell>
          <cell r="F18">
            <v>5.4799999999999988E-3</v>
          </cell>
          <cell r="H18">
            <v>1.8249999999999988E-2</v>
          </cell>
          <cell r="R18">
            <v>0.10913000000000006</v>
          </cell>
        </row>
        <row r="19">
          <cell r="E19">
            <v>8.5399999999999976E-2</v>
          </cell>
          <cell r="F19">
            <v>0</v>
          </cell>
          <cell r="H19">
            <v>1.7569999999999995E-2</v>
          </cell>
          <cell r="R19">
            <v>0.10296999999999989</v>
          </cell>
        </row>
        <row r="20">
          <cell r="E20">
            <v>8.5399999999999976E-2</v>
          </cell>
          <cell r="F20">
            <v>0</v>
          </cell>
          <cell r="H20">
            <v>1.6640000000000002E-2</v>
          </cell>
          <cell r="R20">
            <v>0.10204000000000002</v>
          </cell>
        </row>
        <row r="21">
          <cell r="E21">
            <v>8.5399999999999976E-2</v>
          </cell>
          <cell r="F21">
            <v>0</v>
          </cell>
          <cell r="H21">
            <v>4.3799999999999999E-2</v>
          </cell>
        </row>
        <row r="22">
          <cell r="E22">
            <v>8.5399999999999976E-2</v>
          </cell>
          <cell r="F22">
            <v>0</v>
          </cell>
          <cell r="H22">
            <v>4.2849999999999985E-2</v>
          </cell>
        </row>
        <row r="23">
          <cell r="E23">
            <v>0</v>
          </cell>
          <cell r="F23">
            <v>0</v>
          </cell>
          <cell r="H23">
            <v>2.7999999999999995E-3</v>
          </cell>
          <cell r="R23">
            <v>2.8000000000000247E-3</v>
          </cell>
        </row>
        <row r="24">
          <cell r="E24">
            <v>0</v>
          </cell>
          <cell r="F24">
            <v>0</v>
          </cell>
          <cell r="H24">
            <v>2.48E-3</v>
          </cell>
          <cell r="R24">
            <v>2.4799999999999822E-3</v>
          </cell>
        </row>
        <row r="25">
          <cell r="E25">
            <v>8.5399999999999976E-2</v>
          </cell>
          <cell r="F25">
            <v>0</v>
          </cell>
          <cell r="H25">
            <v>1.0889999999999993E-2</v>
          </cell>
          <cell r="R25">
            <v>9.6289999999999987E-2</v>
          </cell>
        </row>
        <row r="26">
          <cell r="E26">
            <v>8.5399999999999976E-2</v>
          </cell>
          <cell r="F26">
            <v>0</v>
          </cell>
          <cell r="H26">
            <v>1.0749999999999992E-2</v>
          </cell>
          <cell r="R26">
            <v>9.6149999999999958E-2</v>
          </cell>
        </row>
        <row r="27">
          <cell r="E27">
            <v>8.5399999999999976E-2</v>
          </cell>
          <cell r="F27">
            <v>0</v>
          </cell>
          <cell r="H27">
            <v>3.7399999999999996E-2</v>
          </cell>
          <cell r="R27">
            <v>0.12279999999999991</v>
          </cell>
        </row>
        <row r="28">
          <cell r="E28">
            <v>8.5399999999999976E-2</v>
          </cell>
          <cell r="F28">
            <v>0</v>
          </cell>
          <cell r="H28">
            <v>3.7199999999999997E-2</v>
          </cell>
          <cell r="R28">
            <v>0.12259999999999993</v>
          </cell>
        </row>
        <row r="29">
          <cell r="E29">
            <v>8.5399999999999976E-2</v>
          </cell>
          <cell r="F29">
            <v>0</v>
          </cell>
          <cell r="H29">
            <v>1.4889999999999994E-2</v>
          </cell>
          <cell r="R29">
            <v>0.10028999999999993</v>
          </cell>
        </row>
        <row r="30">
          <cell r="E30">
            <v>8.5399999999999976E-2</v>
          </cell>
          <cell r="F30">
            <v>0</v>
          </cell>
          <cell r="H30">
            <v>1.4329999999999996E-2</v>
          </cell>
          <cell r="R30">
            <v>9.9729999999999874E-2</v>
          </cell>
        </row>
        <row r="31">
          <cell r="E31">
            <v>8.5399999999999976E-2</v>
          </cell>
          <cell r="F31">
            <v>0</v>
          </cell>
          <cell r="H31">
            <v>1.3239999999999997E-2</v>
          </cell>
          <cell r="R31">
            <v>9.863999999999995E-2</v>
          </cell>
        </row>
        <row r="32">
          <cell r="E32">
            <v>8.5399999999999976E-2</v>
          </cell>
          <cell r="F32">
            <v>0</v>
          </cell>
          <cell r="H32">
            <v>1.253999999999999E-2</v>
          </cell>
          <cell r="R32">
            <v>9.7939999999999972E-2</v>
          </cell>
        </row>
        <row r="33">
          <cell r="E33">
            <v>8.5399999999999976E-2</v>
          </cell>
          <cell r="F33">
            <v>0</v>
          </cell>
          <cell r="H33">
            <v>1.1629999999999996E-2</v>
          </cell>
          <cell r="R33">
            <v>9.702999999999995E-2</v>
          </cell>
        </row>
        <row r="34">
          <cell r="E34">
            <v>8.5399999999999976E-2</v>
          </cell>
          <cell r="F34">
            <v>0</v>
          </cell>
          <cell r="H34">
            <v>1.0419999999999994E-2</v>
          </cell>
          <cell r="R34">
            <v>9.5819999999999961E-2</v>
          </cell>
        </row>
        <row r="35">
          <cell r="E35">
            <v>8.5399999999999976E-2</v>
          </cell>
          <cell r="F35">
            <v>0</v>
          </cell>
          <cell r="H35">
            <v>1.0269999999999994E-2</v>
          </cell>
          <cell r="R35">
            <v>9.5669999999999922E-2</v>
          </cell>
        </row>
        <row r="36">
          <cell r="E36">
            <v>8.5399999999999976E-2</v>
          </cell>
          <cell r="F36">
            <v>0</v>
          </cell>
          <cell r="H36">
            <v>1.0229999999999996E-2</v>
          </cell>
          <cell r="R36">
            <v>9.5629999999999993E-2</v>
          </cell>
        </row>
        <row r="37">
          <cell r="E37">
            <v>8.5399999999999976E-2</v>
          </cell>
          <cell r="F37">
            <v>0</v>
          </cell>
          <cell r="H37">
            <v>1.0089999999999995E-2</v>
          </cell>
          <cell r="R37">
            <v>9.5489999999999964E-2</v>
          </cell>
        </row>
        <row r="38">
          <cell r="E38">
            <v>8.5399999999999976E-2</v>
          </cell>
          <cell r="F38">
            <v>0</v>
          </cell>
          <cell r="H38">
            <v>1.0019999999999994E-2</v>
          </cell>
          <cell r="R38">
            <v>9.5419999999999949E-2</v>
          </cell>
        </row>
        <row r="39">
          <cell r="E39">
            <v>8.5399999999999976E-2</v>
          </cell>
          <cell r="F39">
            <v>0</v>
          </cell>
          <cell r="H39">
            <v>9.9299999999999944E-3</v>
          </cell>
          <cell r="R39">
            <v>9.532999999999997E-2</v>
          </cell>
        </row>
        <row r="40">
          <cell r="E40">
            <v>8.5399999999999976E-2</v>
          </cell>
          <cell r="F40">
            <v>0</v>
          </cell>
          <cell r="H40">
            <v>9.8099999999999941E-3</v>
          </cell>
          <cell r="R40">
            <v>9.5209999999999961E-2</v>
          </cell>
        </row>
        <row r="41">
          <cell r="E41">
            <v>0</v>
          </cell>
          <cell r="F41">
            <v>0</v>
          </cell>
          <cell r="H41">
            <v>9.2000000000000014E-4</v>
          </cell>
          <cell r="R41">
            <v>9.2000000000000415E-4</v>
          </cell>
        </row>
        <row r="42">
          <cell r="E42">
            <v>0</v>
          </cell>
          <cell r="F42">
            <v>0</v>
          </cell>
          <cell r="H42">
            <v>8.3000000000000012E-4</v>
          </cell>
          <cell r="R42">
            <v>8.2999999999999741E-4</v>
          </cell>
        </row>
        <row r="43">
          <cell r="E43">
            <v>0</v>
          </cell>
          <cell r="F43">
            <v>0</v>
          </cell>
          <cell r="H43">
            <v>6.2999999999999992E-4</v>
          </cell>
          <cell r="R43">
            <v>6.3000000000000556E-4</v>
          </cell>
        </row>
        <row r="44">
          <cell r="E44">
            <v>0</v>
          </cell>
          <cell r="F44">
            <v>0</v>
          </cell>
          <cell r="H44">
            <v>5.2000000000000006E-4</v>
          </cell>
          <cell r="R44">
            <v>5.2000000000000657E-4</v>
          </cell>
        </row>
        <row r="45">
          <cell r="E45">
            <v>0</v>
          </cell>
          <cell r="F45">
            <v>0</v>
          </cell>
          <cell r="H45">
            <v>3.4999999999999994E-4</v>
          </cell>
          <cell r="R45">
            <v>3.5000000000000309E-4</v>
          </cell>
        </row>
        <row r="46">
          <cell r="E46">
            <v>0</v>
          </cell>
          <cell r="F46">
            <v>0</v>
          </cell>
          <cell r="H46">
            <v>1.3000000000000002E-4</v>
          </cell>
          <cell r="R46">
            <v>1.3000000000000164E-4</v>
          </cell>
        </row>
        <row r="47">
          <cell r="E47">
            <v>0</v>
          </cell>
          <cell r="F47">
            <v>0</v>
          </cell>
          <cell r="H47">
            <v>1.0300000000000001E-3</v>
          </cell>
          <cell r="R47">
            <v>1.0300000000000031E-3</v>
          </cell>
        </row>
        <row r="48">
          <cell r="E48">
            <v>0</v>
          </cell>
          <cell r="F48">
            <v>0</v>
          </cell>
          <cell r="H48">
            <v>9.2999999999999984E-4</v>
          </cell>
          <cell r="R48">
            <v>9.2999999999998639E-4</v>
          </cell>
        </row>
        <row r="49">
          <cell r="E49">
            <v>0</v>
          </cell>
          <cell r="F49">
            <v>0</v>
          </cell>
          <cell r="H49">
            <v>7.000000000000001E-4</v>
          </cell>
          <cell r="R49">
            <v>7.0000000000000617E-4</v>
          </cell>
        </row>
        <row r="50">
          <cell r="E50">
            <v>0</v>
          </cell>
          <cell r="F50">
            <v>0</v>
          </cell>
          <cell r="H50">
            <v>5.6999999999999998E-4</v>
          </cell>
          <cell r="R50">
            <v>5.7000000000000106E-4</v>
          </cell>
        </row>
        <row r="51">
          <cell r="E51">
            <v>0</v>
          </cell>
          <cell r="F51">
            <v>0</v>
          </cell>
          <cell r="H51">
            <v>3.8000000000000002E-4</v>
          </cell>
          <cell r="R51">
            <v>3.7999999999999839E-4</v>
          </cell>
        </row>
        <row r="52">
          <cell r="E52">
            <v>0</v>
          </cell>
          <cell r="F52">
            <v>0</v>
          </cell>
          <cell r="H52">
            <v>1.4000000000000001E-4</v>
          </cell>
          <cell r="R52">
            <v>1.4000000000000123E-4</v>
          </cell>
        </row>
        <row r="53">
          <cell r="E53">
            <v>8.5399999999999976E-2</v>
          </cell>
          <cell r="F53">
            <v>0</v>
          </cell>
          <cell r="H53">
            <v>3.8639999999999994E-2</v>
          </cell>
          <cell r="R53">
            <v>0.12404000000000004</v>
          </cell>
        </row>
        <row r="54">
          <cell r="E54">
            <v>8.5399999999999976E-2</v>
          </cell>
          <cell r="F54">
            <v>0</v>
          </cell>
          <cell r="H54">
            <v>3.8329999999999996E-2</v>
          </cell>
          <cell r="R54">
            <v>0.12372999999999995</v>
          </cell>
        </row>
        <row r="55">
          <cell r="E55">
            <v>8.5399999999999976E-2</v>
          </cell>
          <cell r="F55">
            <v>0</v>
          </cell>
          <cell r="H55">
            <v>3.7689999999999994E-2</v>
          </cell>
          <cell r="R55">
            <v>0.12308999999999998</v>
          </cell>
        </row>
        <row r="56">
          <cell r="E56">
            <v>8.5399999999999976E-2</v>
          </cell>
          <cell r="F56">
            <v>0</v>
          </cell>
          <cell r="H56">
            <v>3.7249999999999998E-2</v>
          </cell>
          <cell r="R56">
            <v>0.12264999999999998</v>
          </cell>
        </row>
        <row r="57">
          <cell r="E57">
            <v>8.5399999999999976E-2</v>
          </cell>
          <cell r="F57">
            <v>0</v>
          </cell>
          <cell r="H57">
            <v>3.6699999999999997E-2</v>
          </cell>
          <cell r="R57">
            <v>0.12209999999999999</v>
          </cell>
        </row>
        <row r="58">
          <cell r="E58">
            <v>8.5399999999999976E-2</v>
          </cell>
          <cell r="F58">
            <v>0</v>
          </cell>
          <cell r="H58">
            <v>3.601E-2</v>
          </cell>
          <cell r="R58">
            <v>0.12140999999999996</v>
          </cell>
        </row>
        <row r="59">
          <cell r="E59">
            <v>8.5399999999999976E-2</v>
          </cell>
          <cell r="F59">
            <v>0</v>
          </cell>
          <cell r="H59">
            <v>3.6379999999999996E-2</v>
          </cell>
          <cell r="R59">
            <v>0.12177999999999994</v>
          </cell>
        </row>
        <row r="60">
          <cell r="E60">
            <v>8.5399999999999976E-2</v>
          </cell>
          <cell r="F60">
            <v>0</v>
          </cell>
          <cell r="H60">
            <v>3.6299999999999992E-2</v>
          </cell>
          <cell r="R60">
            <v>0.12169999999999997</v>
          </cell>
        </row>
        <row r="61">
          <cell r="E61">
            <v>8.5399999999999976E-2</v>
          </cell>
          <cell r="F61">
            <v>0</v>
          </cell>
          <cell r="H61">
            <v>3.6129999999999995E-2</v>
          </cell>
          <cell r="R61">
            <v>0.12152999999999997</v>
          </cell>
        </row>
        <row r="62">
          <cell r="E62">
            <v>8.5399999999999976E-2</v>
          </cell>
          <cell r="F62">
            <v>0</v>
          </cell>
          <cell r="H62">
            <v>3.6019999999999996E-2</v>
          </cell>
          <cell r="R62">
            <v>0.12141999999999997</v>
          </cell>
        </row>
        <row r="63">
          <cell r="E63">
            <v>8.5399999999999976E-2</v>
          </cell>
          <cell r="F63">
            <v>0</v>
          </cell>
          <cell r="H63">
            <v>3.5859999999999996E-2</v>
          </cell>
          <cell r="R63">
            <v>0.12125999999999998</v>
          </cell>
        </row>
        <row r="64">
          <cell r="E64">
            <v>8.5399999999999976E-2</v>
          </cell>
          <cell r="F64">
            <v>0</v>
          </cell>
          <cell r="H64">
            <v>3.5699999999999996E-2</v>
          </cell>
          <cell r="R64">
            <v>0.12109999999999999</v>
          </cell>
        </row>
        <row r="65">
          <cell r="E65">
            <v>0</v>
          </cell>
          <cell r="F65">
            <v>0</v>
          </cell>
          <cell r="H65">
            <v>1.0300000000000001E-3</v>
          </cell>
          <cell r="R65">
            <v>1.0300000000000031E-3</v>
          </cell>
        </row>
        <row r="66">
          <cell r="E66">
            <v>0</v>
          </cell>
          <cell r="F66">
            <v>0</v>
          </cell>
          <cell r="H66">
            <v>9.2000000000000003E-4</v>
          </cell>
          <cell r="R66">
            <v>9.2000000000000415E-4</v>
          </cell>
        </row>
        <row r="67">
          <cell r="E67">
            <v>0</v>
          </cell>
          <cell r="F67">
            <v>0</v>
          </cell>
          <cell r="H67">
            <v>7.2000000000000015E-4</v>
          </cell>
          <cell r="R67">
            <v>7.1999999999999842E-4</v>
          </cell>
        </row>
        <row r="68">
          <cell r="E68">
            <v>0</v>
          </cell>
          <cell r="F68">
            <v>0</v>
          </cell>
          <cell r="H68">
            <v>5.7000000000000009E-4</v>
          </cell>
          <cell r="R68">
            <v>5.7000000000000106E-4</v>
          </cell>
        </row>
        <row r="69">
          <cell r="E69">
            <v>0</v>
          </cell>
          <cell r="F69">
            <v>0</v>
          </cell>
          <cell r="H69">
            <v>3.8000000000000002E-4</v>
          </cell>
          <cell r="R69">
            <v>3.7999999999999839E-4</v>
          </cell>
        </row>
        <row r="70">
          <cell r="E70">
            <v>0</v>
          </cell>
          <cell r="F70">
            <v>0</v>
          </cell>
          <cell r="H70">
            <v>1.5000000000000001E-4</v>
          </cell>
          <cell r="R70">
            <v>1.5000000000000083E-4</v>
          </cell>
        </row>
        <row r="71">
          <cell r="E71">
            <v>0</v>
          </cell>
          <cell r="F71">
            <v>0</v>
          </cell>
          <cell r="H71">
            <v>5.0000000000000002E-5</v>
          </cell>
          <cell r="R71">
            <v>4.9999999999999697E-5</v>
          </cell>
        </row>
        <row r="72">
          <cell r="E72">
            <v>0</v>
          </cell>
          <cell r="F72">
            <v>0</v>
          </cell>
          <cell r="H72">
            <v>5.0000000000000002E-5</v>
          </cell>
          <cell r="R72">
            <v>4.9999999999999697E-5</v>
          </cell>
        </row>
        <row r="74">
          <cell r="W74">
            <v>9460803.7757210117</v>
          </cell>
        </row>
      </sheetData>
      <sheetData sheetId="8">
        <row r="13">
          <cell r="AC13">
            <v>0.67653000000000008</v>
          </cell>
          <cell r="AD13">
            <v>0.10689</v>
          </cell>
          <cell r="AE13">
            <v>0.34872999999999998</v>
          </cell>
          <cell r="AF13">
            <v>0.13515000000000002</v>
          </cell>
        </row>
        <row r="14">
          <cell r="AC14">
            <v>0.73148999999999942</v>
          </cell>
          <cell r="AD14">
            <v>0.10689</v>
          </cell>
          <cell r="AE14">
            <v>0.34872999999999998</v>
          </cell>
          <cell r="AF14">
            <v>0.11452999999999999</v>
          </cell>
        </row>
        <row r="15">
          <cell r="AC15">
            <v>0.4581599999999999</v>
          </cell>
          <cell r="AD15">
            <v>0.10689</v>
          </cell>
          <cell r="AE15">
            <v>0.34872999999999998</v>
          </cell>
          <cell r="AF15">
            <v>8.6949999999999986E-2</v>
          </cell>
        </row>
        <row r="16">
          <cell r="AC16">
            <v>0.44368000000000019</v>
          </cell>
          <cell r="AD16">
            <v>0.10689</v>
          </cell>
          <cell r="AE16">
            <v>0.34872999999999998</v>
          </cell>
          <cell r="AF16">
            <v>7.7949999999999992E-2</v>
          </cell>
        </row>
        <row r="17">
          <cell r="AC17">
            <v>0.46248999999999957</v>
          </cell>
          <cell r="AD17">
            <v>0.10689</v>
          </cell>
          <cell r="AE17">
            <v>0.34872999999999998</v>
          </cell>
          <cell r="AF17">
            <v>1.0829999999999994E-2</v>
          </cell>
        </row>
        <row r="18">
          <cell r="AC18">
            <v>0.24087999999999984</v>
          </cell>
          <cell r="AD18">
            <v>0.10689</v>
          </cell>
          <cell r="AE18">
            <v>0.34872999999999998</v>
          </cell>
          <cell r="AF18">
            <v>5.695999999999999E-2</v>
          </cell>
        </row>
        <row r="19">
          <cell r="AC19">
            <v>0.3447400000000001</v>
          </cell>
          <cell r="AD19">
            <v>0</v>
          </cell>
          <cell r="AE19">
            <v>0.34872999999999998</v>
          </cell>
          <cell r="AF19">
            <v>6.0999999999999992E-2</v>
          </cell>
        </row>
        <row r="20">
          <cell r="AC20">
            <v>0.30376999999999998</v>
          </cell>
          <cell r="AD20">
            <v>0</v>
          </cell>
          <cell r="AE20">
            <v>0.34872999999999998</v>
          </cell>
          <cell r="AF20">
            <v>5.3810000000000004E-2</v>
          </cell>
        </row>
        <row r="21">
          <cell r="AC21">
            <v>0.34372999999999998</v>
          </cell>
          <cell r="AD21">
            <v>0</v>
          </cell>
          <cell r="AE21">
            <v>0.34872999999999998</v>
          </cell>
          <cell r="AF21">
            <v>9.6989999999999993E-2</v>
          </cell>
        </row>
        <row r="22">
          <cell r="AC22">
            <v>0.30285000000000001</v>
          </cell>
          <cell r="AD22">
            <v>0</v>
          </cell>
          <cell r="AE22">
            <v>0.34872999999999998</v>
          </cell>
          <cell r="AF22">
            <v>8.9839999999999989E-2</v>
          </cell>
        </row>
        <row r="23">
          <cell r="AC23">
            <v>0.34791</v>
          </cell>
          <cell r="AD23">
            <v>0</v>
          </cell>
          <cell r="AE23">
            <v>0</v>
          </cell>
          <cell r="AF23">
            <v>4.3499999999999997E-3</v>
          </cell>
        </row>
        <row r="24">
          <cell r="AC24">
            <v>0.30653000000000008</v>
          </cell>
          <cell r="AD24">
            <v>0</v>
          </cell>
          <cell r="AE24">
            <v>0</v>
          </cell>
          <cell r="AF24">
            <v>3.8400000000000001E-3</v>
          </cell>
        </row>
        <row r="25">
          <cell r="AC25">
            <v>0.34416000000000035</v>
          </cell>
          <cell r="AD25">
            <v>0</v>
          </cell>
          <cell r="AE25">
            <v>0.34872999999999998</v>
          </cell>
          <cell r="AF25">
            <v>9.1699999999999941E-3</v>
          </cell>
        </row>
        <row r="26">
          <cell r="AC26">
            <v>0.30324999999999991</v>
          </cell>
          <cell r="AD26">
            <v>0</v>
          </cell>
          <cell r="AE26">
            <v>0.34872999999999998</v>
          </cell>
          <cell r="AF26">
            <v>8.1299999999999931E-3</v>
          </cell>
        </row>
        <row r="27">
          <cell r="AC27">
            <v>0.34372999999999987</v>
          </cell>
          <cell r="AD27">
            <v>0</v>
          </cell>
          <cell r="AE27">
            <v>0.34872999999999998</v>
          </cell>
          <cell r="AF27">
            <v>4.6149999999999997E-2</v>
          </cell>
        </row>
        <row r="28">
          <cell r="AC28">
            <v>0.30284999999999995</v>
          </cell>
          <cell r="AD28">
            <v>0</v>
          </cell>
          <cell r="AE28">
            <v>0.34872999999999998</v>
          </cell>
          <cell r="AF28">
            <v>4.5039999999999997E-2</v>
          </cell>
        </row>
        <row r="29">
          <cell r="AC29">
            <v>0.15245999999999993</v>
          </cell>
          <cell r="AD29">
            <v>0</v>
          </cell>
          <cell r="AE29">
            <v>0.34872999999999998</v>
          </cell>
          <cell r="AF29">
            <v>3.4449999999999995E-2</v>
          </cell>
        </row>
        <row r="30">
          <cell r="AC30">
            <v>0.13646999999999959</v>
          </cell>
          <cell r="AD30">
            <v>0</v>
          </cell>
          <cell r="AE30">
            <v>0.34872999999999998</v>
          </cell>
          <cell r="AF30">
            <v>3.0869999999999995E-2</v>
          </cell>
        </row>
        <row r="31">
          <cell r="AC31">
            <v>0.10466999999999993</v>
          </cell>
          <cell r="AD31">
            <v>0</v>
          </cell>
          <cell r="AE31">
            <v>0.34872999999999998</v>
          </cell>
          <cell r="AF31">
            <v>2.3759999999999996E-2</v>
          </cell>
        </row>
        <row r="32">
          <cell r="AC32">
            <v>8.3730000000000249E-2</v>
          </cell>
          <cell r="AD32">
            <v>0</v>
          </cell>
          <cell r="AE32">
            <v>0.34872999999999998</v>
          </cell>
          <cell r="AF32">
            <v>1.9089999999999992E-2</v>
          </cell>
        </row>
        <row r="33">
          <cell r="AC33">
            <v>5.5809999999999971E-2</v>
          </cell>
          <cell r="AD33">
            <v>0</v>
          </cell>
          <cell r="AE33">
            <v>0.34872999999999998</v>
          </cell>
          <cell r="AF33">
            <v>1.2869999999999994E-2</v>
          </cell>
        </row>
        <row r="34">
          <cell r="AC34">
            <v>2.0920000000000077E-2</v>
          </cell>
          <cell r="AD34">
            <v>0</v>
          </cell>
          <cell r="AE34">
            <v>0.34872999999999998</v>
          </cell>
          <cell r="AF34">
            <v>5.0699999999999929E-3</v>
          </cell>
        </row>
        <row r="35">
          <cell r="AC35">
            <v>0.14720999999999995</v>
          </cell>
          <cell r="AD35">
            <v>0</v>
          </cell>
          <cell r="AE35">
            <v>0.34872999999999998</v>
          </cell>
          <cell r="AF35">
            <v>5.6599999999999932E-3</v>
          </cell>
        </row>
        <row r="36">
          <cell r="AC36">
            <v>0.13177000000000003</v>
          </cell>
          <cell r="AD36">
            <v>0</v>
          </cell>
          <cell r="AE36">
            <v>0.34872999999999998</v>
          </cell>
          <cell r="AF36">
            <v>5.1199999999999943E-3</v>
          </cell>
        </row>
        <row r="37">
          <cell r="AC37">
            <v>0.10104999999999983</v>
          </cell>
          <cell r="AD37">
            <v>0</v>
          </cell>
          <cell r="AE37">
            <v>0.34872999999999998</v>
          </cell>
          <cell r="AF37">
            <v>4.0199999999999932E-3</v>
          </cell>
        </row>
        <row r="38">
          <cell r="AC38">
            <v>8.0840000000000162E-2</v>
          </cell>
          <cell r="AD38">
            <v>0</v>
          </cell>
          <cell r="AE38">
            <v>0.34872999999999998</v>
          </cell>
          <cell r="AF38">
            <v>3.2899999999999935E-3</v>
          </cell>
        </row>
        <row r="39">
          <cell r="AC39">
            <v>5.3910000000000194E-2</v>
          </cell>
          <cell r="AD39">
            <v>0</v>
          </cell>
          <cell r="AE39">
            <v>0.34872999999999998</v>
          </cell>
          <cell r="AF39">
            <v>2.339999999999994E-3</v>
          </cell>
        </row>
        <row r="40">
          <cell r="AC40">
            <v>2.0199999999999919E-2</v>
          </cell>
          <cell r="AD40">
            <v>0</v>
          </cell>
          <cell r="AE40">
            <v>0.34872999999999998</v>
          </cell>
          <cell r="AF40">
            <v>1.1399999999999937E-3</v>
          </cell>
        </row>
        <row r="41">
          <cell r="AC41">
            <v>0.13791999999999999</v>
          </cell>
          <cell r="AD41">
            <v>0</v>
          </cell>
          <cell r="AE41">
            <v>0</v>
          </cell>
          <cell r="AF41">
            <v>1.5200000000000001E-3</v>
          </cell>
        </row>
        <row r="42">
          <cell r="AC42">
            <v>0.12346999999999998</v>
          </cell>
          <cell r="AD42">
            <v>0</v>
          </cell>
          <cell r="AE42">
            <v>0</v>
          </cell>
          <cell r="AF42">
            <v>1.3600000000000001E-3</v>
          </cell>
        </row>
        <row r="43">
          <cell r="AC43">
            <v>9.4670000000000004E-2</v>
          </cell>
          <cell r="AD43">
            <v>0</v>
          </cell>
          <cell r="AE43">
            <v>0</v>
          </cell>
          <cell r="AF43">
            <v>1.0399999999999999E-3</v>
          </cell>
        </row>
        <row r="44">
          <cell r="AC44">
            <v>7.5750000000000012E-2</v>
          </cell>
          <cell r="AD44">
            <v>0</v>
          </cell>
          <cell r="AE44">
            <v>0</v>
          </cell>
          <cell r="AF44">
            <v>8.4000000000000003E-4</v>
          </cell>
        </row>
        <row r="45">
          <cell r="AC45">
            <v>5.0500000000000003E-2</v>
          </cell>
          <cell r="AD45">
            <v>0</v>
          </cell>
          <cell r="AE45">
            <v>0</v>
          </cell>
          <cell r="AF45">
            <v>5.5999999999999995E-4</v>
          </cell>
        </row>
        <row r="46">
          <cell r="AC46">
            <v>1.8929999999999999E-2</v>
          </cell>
          <cell r="AD46">
            <v>0</v>
          </cell>
          <cell r="AE46">
            <v>0</v>
          </cell>
          <cell r="AF46">
            <v>2.1000000000000001E-4</v>
          </cell>
        </row>
        <row r="47">
          <cell r="AC47">
            <v>0.13941000000000001</v>
          </cell>
          <cell r="AD47">
            <v>0</v>
          </cell>
          <cell r="AE47">
            <v>0</v>
          </cell>
          <cell r="AF47">
            <v>1.6199999999999999E-3</v>
          </cell>
        </row>
        <row r="48">
          <cell r="AC48">
            <v>0.12478999999999996</v>
          </cell>
          <cell r="AD48">
            <v>0</v>
          </cell>
          <cell r="AE48">
            <v>0</v>
          </cell>
          <cell r="AF48">
            <v>1.4499999999999999E-3</v>
          </cell>
        </row>
        <row r="49">
          <cell r="AC49">
            <v>9.5690000000000011E-2</v>
          </cell>
          <cell r="AD49">
            <v>0</v>
          </cell>
          <cell r="AE49">
            <v>0</v>
          </cell>
          <cell r="AF49">
            <v>1.1100000000000001E-3</v>
          </cell>
        </row>
        <row r="50">
          <cell r="AC50">
            <v>7.6560000000000017E-2</v>
          </cell>
          <cell r="AD50">
            <v>0</v>
          </cell>
          <cell r="AE50">
            <v>0</v>
          </cell>
          <cell r="AF50">
            <v>8.8999999999999995E-4</v>
          </cell>
        </row>
        <row r="51">
          <cell r="AC51">
            <v>5.1040000000000002E-2</v>
          </cell>
          <cell r="AD51">
            <v>0</v>
          </cell>
          <cell r="AE51">
            <v>0</v>
          </cell>
          <cell r="AF51">
            <v>5.9000000000000003E-4</v>
          </cell>
        </row>
        <row r="52">
          <cell r="AC52">
            <v>1.9140000000000001E-2</v>
          </cell>
          <cell r="AD52">
            <v>0</v>
          </cell>
          <cell r="AE52">
            <v>0</v>
          </cell>
          <cell r="AF52">
            <v>2.2000000000000001E-4</v>
          </cell>
        </row>
        <row r="53">
          <cell r="AC53">
            <v>0.13682000000000011</v>
          </cell>
          <cell r="AD53">
            <v>0</v>
          </cell>
          <cell r="AE53">
            <v>0.34872999999999998</v>
          </cell>
          <cell r="AF53">
            <v>6.1979999999999993E-2</v>
          </cell>
        </row>
        <row r="54">
          <cell r="AC54">
            <v>0.12246999999999986</v>
          </cell>
          <cell r="AD54">
            <v>0</v>
          </cell>
          <cell r="AE54">
            <v>0.34872999999999998</v>
          </cell>
          <cell r="AF54">
            <v>5.9329999999999994E-2</v>
          </cell>
        </row>
        <row r="55">
          <cell r="AC55">
            <v>9.3910000000000105E-2</v>
          </cell>
          <cell r="AD55">
            <v>0</v>
          </cell>
          <cell r="AE55">
            <v>0.34872999999999998</v>
          </cell>
          <cell r="AF55">
            <v>5.4059999999999997E-2</v>
          </cell>
        </row>
        <row r="56">
          <cell r="AC56">
            <v>7.5130000000000058E-2</v>
          </cell>
          <cell r="AD56">
            <v>0</v>
          </cell>
          <cell r="AE56">
            <v>0.34872999999999998</v>
          </cell>
          <cell r="AF56">
            <v>5.0589999999999996E-2</v>
          </cell>
        </row>
        <row r="57">
          <cell r="AC57">
            <v>5.0089999999999982E-2</v>
          </cell>
          <cell r="AD57">
            <v>0</v>
          </cell>
          <cell r="AE57">
            <v>0.34872999999999998</v>
          </cell>
          <cell r="AF57">
            <v>4.5969999999999997E-2</v>
          </cell>
        </row>
        <row r="58">
          <cell r="AC58">
            <v>1.8789999999999946E-2</v>
          </cell>
          <cell r="AD58">
            <v>0</v>
          </cell>
          <cell r="AE58">
            <v>0.34872999999999998</v>
          </cell>
          <cell r="AF58">
            <v>4.0209999999999996E-2</v>
          </cell>
        </row>
        <row r="59">
          <cell r="AC59">
            <v>0.14583999999999986</v>
          </cell>
          <cell r="AD59">
            <v>0</v>
          </cell>
          <cell r="AE59">
            <v>0.34872999999999998</v>
          </cell>
          <cell r="AF59">
            <v>4.3349999999999993E-2</v>
          </cell>
        </row>
        <row r="60">
          <cell r="AC60">
            <v>0.13054999999999992</v>
          </cell>
          <cell r="AD60">
            <v>0</v>
          </cell>
          <cell r="AE60">
            <v>0.34872999999999998</v>
          </cell>
          <cell r="AF60">
            <v>4.2649999999999993E-2</v>
          </cell>
        </row>
        <row r="61">
          <cell r="AC61">
            <v>0.10011</v>
          </cell>
          <cell r="AD61">
            <v>0</v>
          </cell>
          <cell r="AE61">
            <v>0.34872999999999998</v>
          </cell>
          <cell r="AF61">
            <v>4.1269999999999994E-2</v>
          </cell>
        </row>
        <row r="62">
          <cell r="AC62">
            <v>8.00899999999998E-2</v>
          </cell>
          <cell r="AD62">
            <v>0</v>
          </cell>
          <cell r="AE62">
            <v>0.34872999999999998</v>
          </cell>
          <cell r="AF62">
            <v>4.0369999999999996E-2</v>
          </cell>
        </row>
        <row r="63">
          <cell r="AC63">
            <v>5.3390000000000028E-2</v>
          </cell>
          <cell r="AD63">
            <v>0</v>
          </cell>
          <cell r="AE63">
            <v>0.34872999999999998</v>
          </cell>
          <cell r="AF63">
            <v>3.9159999999999993E-2</v>
          </cell>
        </row>
        <row r="64">
          <cell r="AC64">
            <v>2.0019999999999948E-2</v>
          </cell>
          <cell r="AD64">
            <v>0</v>
          </cell>
          <cell r="AE64">
            <v>0.34872999999999998</v>
          </cell>
          <cell r="AF64">
            <v>3.7649999999999996E-2</v>
          </cell>
        </row>
        <row r="65">
          <cell r="AC65">
            <v>0.13402999999999998</v>
          </cell>
          <cell r="AD65">
            <v>0</v>
          </cell>
          <cell r="AE65">
            <v>0</v>
          </cell>
          <cell r="AF65">
            <v>1.6000000000000001E-3</v>
          </cell>
        </row>
        <row r="66">
          <cell r="AC66">
            <v>0.11997999999999999</v>
          </cell>
          <cell r="AD66">
            <v>0</v>
          </cell>
          <cell r="AE66">
            <v>0</v>
          </cell>
          <cell r="AF66">
            <v>1.4300000000000001E-3</v>
          </cell>
        </row>
        <row r="67">
          <cell r="AC67">
            <v>9.1999999999999998E-2</v>
          </cell>
          <cell r="AD67">
            <v>0</v>
          </cell>
          <cell r="AE67">
            <v>0</v>
          </cell>
          <cell r="AF67">
            <v>1.1000000000000001E-3</v>
          </cell>
        </row>
        <row r="68">
          <cell r="AC68">
            <v>7.3609999999999995E-2</v>
          </cell>
          <cell r="AD68">
            <v>0</v>
          </cell>
          <cell r="AE68">
            <v>0</v>
          </cell>
          <cell r="AF68">
            <v>8.8000000000000003E-4</v>
          </cell>
        </row>
        <row r="69">
          <cell r="AC69">
            <v>4.9079999999999999E-2</v>
          </cell>
          <cell r="AD69">
            <v>0</v>
          </cell>
          <cell r="AE69">
            <v>0</v>
          </cell>
          <cell r="AF69">
            <v>5.9000000000000003E-4</v>
          </cell>
        </row>
        <row r="70">
          <cell r="AC70">
            <v>1.839E-2</v>
          </cell>
          <cell r="AD70">
            <v>0</v>
          </cell>
          <cell r="AE70">
            <v>0</v>
          </cell>
          <cell r="AF70">
            <v>2.2000000000000001E-4</v>
          </cell>
        </row>
        <row r="71">
          <cell r="AC71">
            <v>4.9099999999999994E-3</v>
          </cell>
          <cell r="AD71">
            <v>0</v>
          </cell>
          <cell r="AE71">
            <v>0</v>
          </cell>
          <cell r="AF71">
            <v>6.0000000000000002E-5</v>
          </cell>
        </row>
        <row r="72">
          <cell r="AC72">
            <v>4.9099999999999994E-3</v>
          </cell>
          <cell r="AD72">
            <v>0</v>
          </cell>
          <cell r="AE72">
            <v>0</v>
          </cell>
          <cell r="AF72">
            <v>6.0000000000000002E-5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Inputs"/>
      <sheetName val="Washington volumes"/>
      <sheetName val="Allocation equal ¢ per therm"/>
      <sheetName val="Allocation = % of margin"/>
      <sheetName val="Temporaries"/>
      <sheetName val="Permanents"/>
      <sheetName val="Avg Bill by RS"/>
      <sheetName val="Rates in summary"/>
      <sheetName val="Rates in detail"/>
      <sheetName val="Margin Model"/>
      <sheetName val="Amortization"/>
      <sheetName val="Margin Model + UG200994"/>
      <sheetName val="F Goldenrod"/>
      <sheetName val="F Goldenrod+Rate Case"/>
      <sheetName val="Cover"/>
      <sheetName val="WA Index"/>
      <sheetName val="Statement of Rates"/>
      <sheetName val="Summary of Sales Rates"/>
      <sheetName val="Summary of Transportation Rates"/>
      <sheetName val="Summary of Changes in Rate"/>
      <sheetName val="Adjs. to Residential Rates"/>
      <sheetName val="Rate Case History"/>
      <sheetName val="Annual WACOG History"/>
      <sheetName val="Winter WACOG History"/>
      <sheetName val="RS 1 BR History"/>
      <sheetName val="RS 2 BR History"/>
      <sheetName val="RS 3 BR History"/>
      <sheetName val="RS 19 BR History"/>
      <sheetName val="RS 27 BR History"/>
      <sheetName val="RS 41 Firm BR History"/>
      <sheetName val="RS 41 Intp BR History"/>
      <sheetName val="RS 42 FS BR History"/>
      <sheetName val="RS42 IS BR History"/>
      <sheetName val="RS 41T BR History"/>
      <sheetName val="RS 42T BR History"/>
      <sheetName val="RS 43T BR History"/>
      <sheetName val="RS 1 PR History"/>
      <sheetName val="RS 2 PR History"/>
      <sheetName val="RS 3 PR History"/>
      <sheetName val="RS 21 BR History"/>
      <sheetName val="RS 54 BR History"/>
      <sheetName val="wacog purch history 1988-2007"/>
      <sheetName val="Chgs in Rates by RS 1995-2004"/>
      <sheetName val="RS 3T BR History"/>
    </sheetNames>
    <sheetDataSet>
      <sheetData sheetId="0"/>
      <sheetData sheetId="1"/>
      <sheetData sheetId="2"/>
      <sheetData sheetId="3"/>
      <sheetData sheetId="4"/>
      <sheetData sheetId="5"/>
      <sheetData sheetId="6"/>
      <sheetData sheetId="7"/>
      <sheetData sheetId="8">
        <row r="13">
          <cell r="E13">
            <v>0.12099000000000004</v>
          </cell>
          <cell r="F13">
            <v>-1.9930000000000003E-2</v>
          </cell>
          <cell r="H13">
            <v>0.10753999999999998</v>
          </cell>
        </row>
        <row r="14">
          <cell r="E14">
            <v>0.12099000000000004</v>
          </cell>
          <cell r="F14">
            <v>-1.9930000000000003E-2</v>
          </cell>
          <cell r="H14">
            <v>0.10686999999999999</v>
          </cell>
        </row>
        <row r="15">
          <cell r="E15">
            <v>0.12099000000000004</v>
          </cell>
          <cell r="F15">
            <v>-1.9930000000000003E-2</v>
          </cell>
          <cell r="H15">
            <v>0.10496000000000003</v>
          </cell>
        </row>
        <row r="16">
          <cell r="E16">
            <v>0.12099000000000004</v>
          </cell>
          <cell r="F16">
            <v>-1.9930000000000003E-2</v>
          </cell>
          <cell r="H16">
            <v>0.10614</v>
          </cell>
        </row>
        <row r="17">
          <cell r="E17">
            <v>0.12099000000000004</v>
          </cell>
          <cell r="F17">
            <v>-1.9930000000000003E-2</v>
          </cell>
          <cell r="H17">
            <v>0.12252999999999999</v>
          </cell>
        </row>
        <row r="18">
          <cell r="E18">
            <v>0.12099000000000004</v>
          </cell>
          <cell r="F18">
            <v>-1.9930000000000003E-2</v>
          </cell>
          <cell r="H18">
            <v>0.11384999999999999</v>
          </cell>
        </row>
        <row r="19">
          <cell r="E19">
            <v>0.12099000000000004</v>
          </cell>
          <cell r="F19">
            <v>0</v>
          </cell>
          <cell r="H19">
            <v>0.10885</v>
          </cell>
        </row>
        <row r="20">
          <cell r="E20">
            <v>0.12099000000000004</v>
          </cell>
          <cell r="F20">
            <v>0</v>
          </cell>
          <cell r="H20">
            <v>0.10977999999999996</v>
          </cell>
        </row>
        <row r="21">
          <cell r="E21">
            <v>0.12099000000000004</v>
          </cell>
          <cell r="F21">
            <v>0</v>
          </cell>
          <cell r="H21">
            <v>6.860999999999999E-2</v>
          </cell>
        </row>
        <row r="22">
          <cell r="E22">
            <v>0.12099000000000004</v>
          </cell>
          <cell r="F22">
            <v>0</v>
          </cell>
          <cell r="H22">
            <v>6.9940000000000002E-2</v>
          </cell>
        </row>
        <row r="23">
          <cell r="E23">
            <v>0</v>
          </cell>
          <cell r="F23">
            <v>0</v>
          </cell>
          <cell r="H23">
            <v>4.2800000000000008E-3</v>
          </cell>
        </row>
        <row r="24">
          <cell r="E24">
            <v>0</v>
          </cell>
          <cell r="F24">
            <v>0</v>
          </cell>
          <cell r="H24">
            <v>3.7599999999999995E-3</v>
          </cell>
        </row>
        <row r="25">
          <cell r="E25">
            <v>0</v>
          </cell>
          <cell r="F25">
            <v>0</v>
          </cell>
          <cell r="H25">
            <v>3.5000000000000005E-3</v>
          </cell>
        </row>
        <row r="26">
          <cell r="E26">
            <v>0</v>
          </cell>
          <cell r="F26">
            <v>0</v>
          </cell>
          <cell r="H26">
            <v>3.0900000000000003E-3</v>
          </cell>
        </row>
        <row r="27">
          <cell r="E27">
            <v>0.12099000000000004</v>
          </cell>
          <cell r="F27">
            <v>0</v>
          </cell>
          <cell r="H27">
            <v>0.12199</v>
          </cell>
        </row>
        <row r="28">
          <cell r="E28">
            <v>0.12099000000000004</v>
          </cell>
          <cell r="F28">
            <v>0</v>
          </cell>
          <cell r="H28">
            <v>0.12135000000000001</v>
          </cell>
        </row>
        <row r="29">
          <cell r="E29">
            <v>0.12099000000000004</v>
          </cell>
          <cell r="F29">
            <v>0</v>
          </cell>
          <cell r="H29">
            <v>8.274999999999999E-2</v>
          </cell>
        </row>
        <row r="30">
          <cell r="E30">
            <v>0.12099000000000004</v>
          </cell>
          <cell r="F30">
            <v>0</v>
          </cell>
          <cell r="H30">
            <v>8.2369999999999999E-2</v>
          </cell>
        </row>
        <row r="31">
          <cell r="E31">
            <v>0.12099000000000004</v>
          </cell>
          <cell r="F31">
            <v>0</v>
          </cell>
          <cell r="H31">
            <v>0.11143999999999998</v>
          </cell>
        </row>
        <row r="32">
          <cell r="E32">
            <v>0.12099000000000004</v>
          </cell>
          <cell r="F32">
            <v>0</v>
          </cell>
          <cell r="H32">
            <v>0.11199999999999999</v>
          </cell>
        </row>
        <row r="33">
          <cell r="E33">
            <v>0.12099000000000004</v>
          </cell>
          <cell r="F33">
            <v>0</v>
          </cell>
          <cell r="H33">
            <v>0.11310999999999999</v>
          </cell>
        </row>
        <row r="34">
          <cell r="E34">
            <v>0.12099000000000004</v>
          </cell>
          <cell r="F34">
            <v>0</v>
          </cell>
          <cell r="H34">
            <v>0.11382</v>
          </cell>
        </row>
        <row r="35">
          <cell r="E35">
            <v>0.12099000000000004</v>
          </cell>
          <cell r="F35">
            <v>0</v>
          </cell>
          <cell r="H35">
            <v>0.11477</v>
          </cell>
        </row>
        <row r="36">
          <cell r="E36">
            <v>0.12099000000000004</v>
          </cell>
          <cell r="F36">
            <v>0</v>
          </cell>
          <cell r="H36">
            <v>0.11595999999999999</v>
          </cell>
        </row>
        <row r="37">
          <cell r="E37">
            <v>0.12099000000000004</v>
          </cell>
          <cell r="F37">
            <v>0</v>
          </cell>
          <cell r="H37">
            <v>0.11663999999999999</v>
          </cell>
        </row>
        <row r="38">
          <cell r="E38">
            <v>0.12099000000000004</v>
          </cell>
          <cell r="F38">
            <v>0</v>
          </cell>
          <cell r="H38">
            <v>0.11663</v>
          </cell>
        </row>
        <row r="39">
          <cell r="E39">
            <v>0.12099000000000004</v>
          </cell>
          <cell r="F39">
            <v>0</v>
          </cell>
          <cell r="H39">
            <v>0.11663999999999999</v>
          </cell>
        </row>
        <row r="40">
          <cell r="E40">
            <v>0.12099000000000004</v>
          </cell>
          <cell r="F40">
            <v>0</v>
          </cell>
          <cell r="H40">
            <v>0.11664999999999999</v>
          </cell>
        </row>
        <row r="41">
          <cell r="E41">
            <v>0.12099000000000004</v>
          </cell>
          <cell r="F41">
            <v>0</v>
          </cell>
          <cell r="H41">
            <v>0.11665</v>
          </cell>
        </row>
        <row r="42">
          <cell r="E42">
            <v>0.12099000000000004</v>
          </cell>
          <cell r="F42">
            <v>0</v>
          </cell>
          <cell r="H42">
            <v>0.11665</v>
          </cell>
        </row>
        <row r="43">
          <cell r="E43">
            <v>0</v>
          </cell>
          <cell r="F43">
            <v>0</v>
          </cell>
          <cell r="H43">
            <v>-6.9999999999999967E-5</v>
          </cell>
        </row>
        <row r="44">
          <cell r="E44">
            <v>0</v>
          </cell>
          <cell r="F44">
            <v>0</v>
          </cell>
          <cell r="H44">
            <v>-6.0000000000000049E-5</v>
          </cell>
        </row>
        <row r="45">
          <cell r="E45">
            <v>0</v>
          </cell>
          <cell r="F45">
            <v>0</v>
          </cell>
          <cell r="H45">
            <v>-5.9999999999999886E-5</v>
          </cell>
        </row>
        <row r="46">
          <cell r="E46">
            <v>0</v>
          </cell>
          <cell r="F46">
            <v>0</v>
          </cell>
          <cell r="H46">
            <v>-3.9999999999999996E-5</v>
          </cell>
        </row>
        <row r="47">
          <cell r="E47">
            <v>0</v>
          </cell>
          <cell r="F47">
            <v>0</v>
          </cell>
          <cell r="H47">
            <v>-3.9999999999999969E-5</v>
          </cell>
        </row>
        <row r="48">
          <cell r="E48">
            <v>0</v>
          </cell>
          <cell r="F48">
            <v>0</v>
          </cell>
          <cell r="H48">
            <v>-1.0000000000000006E-5</v>
          </cell>
        </row>
        <row r="49">
          <cell r="E49">
            <v>0</v>
          </cell>
          <cell r="F49">
            <v>0</v>
          </cell>
          <cell r="H49">
            <v>-6.9999999999999858E-5</v>
          </cell>
        </row>
        <row r="50">
          <cell r="E50">
            <v>0</v>
          </cell>
          <cell r="F50">
            <v>0</v>
          </cell>
          <cell r="H50">
            <v>-5.9999999999999832E-5</v>
          </cell>
        </row>
        <row r="51">
          <cell r="E51">
            <v>0</v>
          </cell>
          <cell r="F51">
            <v>0</v>
          </cell>
          <cell r="H51">
            <v>-6.0000000000000049E-5</v>
          </cell>
        </row>
        <row r="52">
          <cell r="E52">
            <v>0</v>
          </cell>
          <cell r="F52">
            <v>0</v>
          </cell>
          <cell r="H52">
            <v>-4.9999999999999969E-5</v>
          </cell>
        </row>
        <row r="53">
          <cell r="E53">
            <v>0</v>
          </cell>
          <cell r="F53">
            <v>0</v>
          </cell>
          <cell r="H53">
            <v>-3.0000000000000024E-5</v>
          </cell>
        </row>
        <row r="54">
          <cell r="E54">
            <v>0</v>
          </cell>
          <cell r="F54">
            <v>0</v>
          </cell>
          <cell r="H54">
            <v>-1.0000000000000013E-5</v>
          </cell>
        </row>
        <row r="55">
          <cell r="E55">
            <v>0.12099000000000004</v>
          </cell>
          <cell r="F55">
            <v>0</v>
          </cell>
          <cell r="H55">
            <v>7.6439999999999994E-2</v>
          </cell>
        </row>
        <row r="56">
          <cell r="E56">
            <v>0.12099000000000004</v>
          </cell>
          <cell r="F56">
            <v>0</v>
          </cell>
          <cell r="H56">
            <v>7.6789999999999983E-2</v>
          </cell>
        </row>
        <row r="57">
          <cell r="E57">
            <v>0.12099000000000004</v>
          </cell>
          <cell r="F57">
            <v>0</v>
          </cell>
          <cell r="H57">
            <v>7.7479999999999993E-2</v>
          </cell>
        </row>
        <row r="58">
          <cell r="E58">
            <v>0.12099000000000004</v>
          </cell>
          <cell r="F58">
            <v>0</v>
          </cell>
          <cell r="H58">
            <v>7.7910000000000007E-2</v>
          </cell>
        </row>
        <row r="59">
          <cell r="E59">
            <v>0.12099000000000004</v>
          </cell>
          <cell r="F59">
            <v>0</v>
          </cell>
          <cell r="H59">
            <v>7.8509999999999996E-2</v>
          </cell>
        </row>
        <row r="60">
          <cell r="E60">
            <v>0.12099000000000004</v>
          </cell>
          <cell r="F60">
            <v>0</v>
          </cell>
          <cell r="H60">
            <v>7.9239999999999991E-2</v>
          </cell>
        </row>
        <row r="61">
          <cell r="E61">
            <v>0.12099000000000004</v>
          </cell>
          <cell r="F61">
            <v>0</v>
          </cell>
          <cell r="H61">
            <v>7.7979999999999994E-2</v>
          </cell>
        </row>
        <row r="62">
          <cell r="E62">
            <v>0.12099000000000004</v>
          </cell>
          <cell r="F62">
            <v>0</v>
          </cell>
          <cell r="H62">
            <v>7.8149999999999997E-2</v>
          </cell>
        </row>
        <row r="63">
          <cell r="E63">
            <v>0.12099000000000004</v>
          </cell>
          <cell r="F63">
            <v>0</v>
          </cell>
          <cell r="H63">
            <v>7.8520000000000006E-2</v>
          </cell>
        </row>
        <row r="64">
          <cell r="E64">
            <v>0.12099000000000004</v>
          </cell>
          <cell r="F64">
            <v>0</v>
          </cell>
          <cell r="H64">
            <v>7.8739999999999991E-2</v>
          </cell>
        </row>
        <row r="65">
          <cell r="E65">
            <v>0.12099000000000004</v>
          </cell>
          <cell r="F65">
            <v>0</v>
          </cell>
          <cell r="H65">
            <v>7.9070000000000001E-2</v>
          </cell>
        </row>
        <row r="66">
          <cell r="E66">
            <v>0.12099000000000004</v>
          </cell>
          <cell r="F66">
            <v>0</v>
          </cell>
          <cell r="H66">
            <v>7.9449999999999993E-2</v>
          </cell>
        </row>
        <row r="67">
          <cell r="E67">
            <v>0</v>
          </cell>
          <cell r="F67">
            <v>0</v>
          </cell>
          <cell r="H67">
            <v>1.4599999999999997E-3</v>
          </cell>
        </row>
        <row r="68">
          <cell r="E68">
            <v>0</v>
          </cell>
          <cell r="F68">
            <v>0</v>
          </cell>
          <cell r="H68">
            <v>1.31E-3</v>
          </cell>
        </row>
        <row r="69">
          <cell r="E69">
            <v>0</v>
          </cell>
          <cell r="F69">
            <v>0</v>
          </cell>
          <cell r="H69">
            <v>1E-3</v>
          </cell>
        </row>
        <row r="70">
          <cell r="E70">
            <v>0</v>
          </cell>
          <cell r="F70">
            <v>0</v>
          </cell>
          <cell r="H70">
            <v>7.9000000000000001E-4</v>
          </cell>
        </row>
        <row r="71">
          <cell r="E71">
            <v>0</v>
          </cell>
          <cell r="F71">
            <v>0</v>
          </cell>
          <cell r="H71">
            <v>5.2999999999999987E-4</v>
          </cell>
        </row>
        <row r="72">
          <cell r="E72">
            <v>0</v>
          </cell>
          <cell r="F72">
            <v>0</v>
          </cell>
          <cell r="H72">
            <v>2.0000000000000001E-4</v>
          </cell>
        </row>
        <row r="73">
          <cell r="E73">
            <v>0</v>
          </cell>
          <cell r="F73">
            <v>0</v>
          </cell>
          <cell r="H73">
            <v>-2.3999999999999998E-4</v>
          </cell>
        </row>
        <row r="74">
          <cell r="E74">
            <v>0</v>
          </cell>
          <cell r="F74">
            <v>0</v>
          </cell>
          <cell r="H74">
            <v>-2.1000000000000017E-4</v>
          </cell>
        </row>
        <row r="75">
          <cell r="E75">
            <v>0</v>
          </cell>
          <cell r="F75">
            <v>0</v>
          </cell>
          <cell r="H75">
            <v>-1.5999999999999999E-4</v>
          </cell>
        </row>
        <row r="76">
          <cell r="E76">
            <v>0</v>
          </cell>
          <cell r="F76">
            <v>0</v>
          </cell>
          <cell r="H76">
            <v>-1.3000000000000002E-4</v>
          </cell>
        </row>
        <row r="77">
          <cell r="E77">
            <v>0</v>
          </cell>
          <cell r="F77">
            <v>0</v>
          </cell>
          <cell r="H77">
            <v>-9.0000000000000046E-5</v>
          </cell>
        </row>
        <row r="78">
          <cell r="E78">
            <v>0</v>
          </cell>
          <cell r="F78">
            <v>0</v>
          </cell>
          <cell r="H78">
            <v>-2.9999999999999997E-5</v>
          </cell>
        </row>
        <row r="79">
          <cell r="E79">
            <v>0</v>
          </cell>
          <cell r="F79">
            <v>0</v>
          </cell>
          <cell r="H79">
            <v>8.7000000000000001E-4</v>
          </cell>
        </row>
        <row r="80">
          <cell r="E80">
            <v>0</v>
          </cell>
          <cell r="F80">
            <v>0</v>
          </cell>
          <cell r="H80">
            <v>3.0000000000000003E-4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4D98-F92C-469E-9909-7B6FF3EBE238}">
  <dimension ref="B1:C25"/>
  <sheetViews>
    <sheetView view="pageLayout" zoomScaleNormal="100" workbookViewId="0"/>
  </sheetViews>
  <sheetFormatPr defaultRowHeight="13" x14ac:dyDescent="0.3"/>
  <cols>
    <col min="1" max="1" width="1.296875" customWidth="1"/>
  </cols>
  <sheetData>
    <row r="1" spans="2:3" x14ac:dyDescent="0.3">
      <c r="B1" s="1429" t="s">
        <v>0</v>
      </c>
    </row>
    <row r="2" spans="2:3" x14ac:dyDescent="0.3">
      <c r="B2" s="1429" t="s">
        <v>560</v>
      </c>
    </row>
    <row r="3" spans="2:3" x14ac:dyDescent="0.3">
      <c r="B3" s="1429" t="s">
        <v>561</v>
      </c>
    </row>
    <row r="4" spans="2:3" x14ac:dyDescent="0.3">
      <c r="B4" s="1430" t="s">
        <v>562</v>
      </c>
    </row>
    <row r="5" spans="2:3" ht="14.5" x14ac:dyDescent="0.35">
      <c r="B5" s="715" t="s">
        <v>563</v>
      </c>
    </row>
    <row r="8" spans="2:3" x14ac:dyDescent="0.3">
      <c r="B8" s="1429" t="s">
        <v>564</v>
      </c>
    </row>
    <row r="9" spans="2:3" x14ac:dyDescent="0.3">
      <c r="B9" s="1431" t="s">
        <v>566</v>
      </c>
    </row>
    <row r="10" spans="2:3" x14ac:dyDescent="0.3">
      <c r="B10" s="1431" t="s">
        <v>569</v>
      </c>
    </row>
    <row r="11" spans="2:3" x14ac:dyDescent="0.3">
      <c r="B11" s="1431" t="s">
        <v>567</v>
      </c>
    </row>
    <row r="12" spans="2:3" x14ac:dyDescent="0.3">
      <c r="B12" s="1431" t="s">
        <v>568</v>
      </c>
    </row>
    <row r="13" spans="2:3" x14ac:dyDescent="0.3">
      <c r="B13" s="1431" t="s">
        <v>565</v>
      </c>
    </row>
    <row r="15" spans="2:3" x14ac:dyDescent="0.3">
      <c r="B15" s="1433"/>
      <c r="C15" s="1432" t="s">
        <v>571</v>
      </c>
    </row>
    <row r="16" spans="2:3" x14ac:dyDescent="0.3">
      <c r="B16" s="1434"/>
      <c r="C16" s="1432" t="s">
        <v>570</v>
      </c>
    </row>
    <row r="17" spans="2:3" x14ac:dyDescent="0.3">
      <c r="B17" s="1435"/>
      <c r="C17" s="1432" t="s">
        <v>572</v>
      </c>
    </row>
    <row r="18" spans="2:3" x14ac:dyDescent="0.3">
      <c r="B18" s="1436"/>
      <c r="C18" s="1432" t="s">
        <v>573</v>
      </c>
    </row>
    <row r="19" spans="2:3" x14ac:dyDescent="0.3">
      <c r="B19" s="1437"/>
      <c r="C19" s="1432" t="s">
        <v>575</v>
      </c>
    </row>
    <row r="20" spans="2:3" x14ac:dyDescent="0.3">
      <c r="B20" s="1438"/>
      <c r="C20" s="1432" t="s">
        <v>574</v>
      </c>
    </row>
    <row r="23" spans="2:3" x14ac:dyDescent="0.3">
      <c r="B23" s="1431" t="s">
        <v>576</v>
      </c>
    </row>
    <row r="25" spans="2:3" ht="14.5" x14ac:dyDescent="0.35">
      <c r="B25" s="1439" t="s">
        <v>577</v>
      </c>
    </row>
  </sheetData>
  <pageMargins left="0.7" right="0.7" top="0.75" bottom="0.75" header="0.3" footer="0.3"/>
  <pageSetup orientation="portrait" r:id="rId1"/>
  <headerFooter>
    <oddHeader>&amp;RUG-200994 et al. / NWN WUTC Advice 22-09
WP1 / &amp;A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1CE2-33B0-432D-99E7-0B96B740F202}">
  <sheetPr>
    <tabColor theme="8" tint="0.79998168889431442"/>
  </sheetPr>
  <dimension ref="A1:BA105"/>
  <sheetViews>
    <sheetView view="pageLayout" zoomScaleNormal="60" workbookViewId="0">
      <selection activeCell="S17" sqref="S17"/>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6" width="14.796875" style="55" customWidth="1"/>
    <col min="7" max="7" width="14.796875" style="55" customWidth="1" outlineLevel="1"/>
    <col min="8" max="8" width="2.796875" style="55" customWidth="1"/>
    <col min="9" max="10" width="15.796875" style="55" customWidth="1"/>
    <col min="11" max="11" width="2.796875" style="55" customWidth="1"/>
    <col min="12" max="17" width="15.796875" style="55" customWidth="1"/>
    <col min="18" max="18" width="2.796875" style="55" customWidth="1"/>
    <col min="19" max="19" width="17.5" style="55" bestFit="1" customWidth="1"/>
    <col min="20" max="20" width="17.19921875" style="55" customWidth="1"/>
    <col min="21" max="23" width="15.796875" style="55" customWidth="1"/>
    <col min="24" max="24" width="2.796875" style="55" customWidth="1"/>
    <col min="25" max="27" width="15.796875" style="55" customWidth="1"/>
    <col min="28" max="28" width="2.796875" style="55" customWidth="1"/>
    <col min="29" max="31" width="15.796875" style="55" customWidth="1"/>
    <col min="32" max="32" width="2.796875" style="55" customWidth="1"/>
    <col min="33" max="35" width="15.796875" style="55" customWidth="1"/>
    <col min="36" max="36" width="2.796875" style="55" customWidth="1"/>
    <col min="37" max="39" width="15.796875" style="55" customWidth="1"/>
    <col min="40" max="40" width="2.796875" style="55" customWidth="1"/>
    <col min="41" max="41" width="15.69921875" style="55" hidden="1" customWidth="1"/>
    <col min="42" max="42" width="15.796875" style="55" hidden="1" customWidth="1"/>
    <col min="43" max="43" width="2.796875" style="55" customWidth="1"/>
    <col min="44" max="46" width="15.796875" style="55" customWidth="1"/>
    <col min="47" max="47" width="2.796875" style="55" customWidth="1"/>
    <col min="48" max="48" width="23.796875" style="55" customWidth="1"/>
    <col min="49" max="49" width="15.296875" style="55" customWidth="1"/>
    <col min="50" max="50" width="2.796875" style="55" customWidth="1"/>
    <col min="51" max="51" width="12.296875" style="54" customWidth="1"/>
    <col min="52" max="52" width="16.796875" style="54" customWidth="1"/>
    <col min="53" max="53" width="18.5" style="54" customWidth="1"/>
    <col min="54" max="16384" width="9.296875" style="54"/>
  </cols>
  <sheetData>
    <row r="1" spans="1:53" ht="15" thickBot="1" x14ac:dyDescent="0.4">
      <c r="A1" s="172" t="str">
        <f>+'WA Volumes &amp; Revenues'!A1</f>
        <v>NW Natural</v>
      </c>
    </row>
    <row r="2" spans="1:53" ht="15" thickBot="1" x14ac:dyDescent="0.4">
      <c r="A2" s="172" t="str">
        <f>+'WA Volumes &amp; Revenues'!A2</f>
        <v>Rates &amp; Regulatory Affairs</v>
      </c>
      <c r="E2" s="139"/>
      <c r="F2" s="139"/>
      <c r="G2" s="139"/>
      <c r="V2" s="260"/>
      <c r="Y2" s="261" t="s">
        <v>111</v>
      </c>
      <c r="Z2" s="262" t="s">
        <v>112</v>
      </c>
      <c r="AA2" s="263" t="s">
        <v>96</v>
      </c>
      <c r="AC2" s="261" t="s">
        <v>111</v>
      </c>
      <c r="AD2" s="262" t="s">
        <v>112</v>
      </c>
      <c r="AE2" s="263" t="s">
        <v>96</v>
      </c>
      <c r="AG2" s="261" t="s">
        <v>111</v>
      </c>
      <c r="AH2" s="262" t="s">
        <v>112</v>
      </c>
      <c r="AI2" s="263" t="s">
        <v>96</v>
      </c>
      <c r="AK2" s="261" t="s">
        <v>111</v>
      </c>
      <c r="AL2" s="262" t="s">
        <v>112</v>
      </c>
      <c r="AM2" s="263" t="s">
        <v>96</v>
      </c>
      <c r="AP2" s="144"/>
      <c r="AR2" s="261" t="s">
        <v>111</v>
      </c>
      <c r="AS2" s="262" t="s">
        <v>112</v>
      </c>
      <c r="AT2" s="263" t="s">
        <v>96</v>
      </c>
      <c r="AV2" s="1849" t="s">
        <v>267</v>
      </c>
      <c r="AW2" s="1850"/>
    </row>
    <row r="3" spans="1:53" ht="14.5" x14ac:dyDescent="0.35">
      <c r="A3" s="172" t="str">
        <f>+'WA Volumes &amp; Revenues'!A3</f>
        <v>Test Year Ending September 30, 2020</v>
      </c>
      <c r="E3" s="139"/>
      <c r="F3" s="139"/>
      <c r="G3" s="139"/>
      <c r="V3" s="347"/>
      <c r="Y3" s="264">
        <f>SUM(Y14:Y19)+Y22+Y28+Y31+Y37+Y44+Y51+Y58+Y65+Y72+Y79+Y94+Y93+Y25+Y34+Y86+Y95+Y96</f>
        <v>37287357.418864518</v>
      </c>
      <c r="Z3" s="265">
        <f>SUM(Z14:Z19)+Z22+Z28+Z31+Z37+Z44+Z51+Z58+Z65+Z72+Z79+Z94+Z93+Z25+Z34+Z86+Z95+Z96</f>
        <v>10678018</v>
      </c>
      <c r="AA3" s="266">
        <f>SUM(AA14:AA19)+AA22+AA28+AA31+AA37+AA44+AA51+AA58+AA65+AA72+AA79+AA94+AA93+AA25+AA34+AA86+AA95+AA96</f>
        <v>141275.86116</v>
      </c>
      <c r="AC3" s="264">
        <f t="shared" ref="AC3:AE3" si="0">SUM(AC14:AC19)+AC22+AC28+AC31+AC37+AC44+AC51+AC58+AC65+AC72+AC79+AC94+AC93+AC25+AC34+AC86+AC95+AC96</f>
        <v>42287343.334423244</v>
      </c>
      <c r="AD3" s="265">
        <f t="shared" si="0"/>
        <v>10678018</v>
      </c>
      <c r="AE3" s="266">
        <f t="shared" si="0"/>
        <v>141275.86116</v>
      </c>
      <c r="AG3" s="264">
        <f t="shared" ref="AG3:AI3" si="1">SUM(AG14:AG19)+AG22+AG28+AG31+AG37+AG44+AG51+AG58+AG65+AG72+AG79+AG94+AG93+AG25+AG34+AG86+AG95+AG96</f>
        <v>-1054024.1484371177</v>
      </c>
      <c r="AH3" s="265">
        <f t="shared" si="1"/>
        <v>0</v>
      </c>
      <c r="AI3" s="266">
        <f t="shared" si="1"/>
        <v>0</v>
      </c>
      <c r="AK3" s="264">
        <f t="shared" ref="AK3:AM3" si="2">SUM(AK14:AK19)+AK22+AK28+AK31+AK37+AK44+AK51+AK58+AK65+AK72+AK79+AK94+AK93+AK25+AK34+AK86+AK95+AK96</f>
        <v>3945961.7671216056</v>
      </c>
      <c r="AL3" s="265">
        <f t="shared" si="2"/>
        <v>0</v>
      </c>
      <c r="AM3" s="266">
        <f t="shared" si="2"/>
        <v>0</v>
      </c>
      <c r="AP3" s="265"/>
      <c r="AR3" s="264">
        <f>SUM(AR14:AR19)+AR22+AR28+AR31+AR37+AR44+AR51+AR58+AR65+AR72+AR79+AR94+AR93+AR25+AR34+AR86+AR95+AR96</f>
        <v>9460803.7757210117</v>
      </c>
      <c r="AS3" s="265">
        <f t="shared" ref="AS3:AT3" si="3">SUM(AS14:AS19)+AS22+AS28+AS31+AS37+AS44+AS51+AS58+AS65+AS72+AS79+AS94+AS93+AS25+AS34+AS86+AS95+AS96</f>
        <v>0</v>
      </c>
      <c r="AT3" s="266">
        <f t="shared" si="3"/>
        <v>0</v>
      </c>
      <c r="AV3" s="55" t="s">
        <v>97</v>
      </c>
      <c r="AW3" s="267">
        <f>AK3</f>
        <v>3945961.7671216056</v>
      </c>
      <c r="AZ3" s="267">
        <f>'Rate Spread SETTLEMENT'!D23</f>
        <v>5462252</v>
      </c>
      <c r="BA3" s="54" t="s">
        <v>172</v>
      </c>
    </row>
    <row r="4" spans="1:53" ht="14.5" x14ac:dyDescent="0.35">
      <c r="A4" s="172" t="s">
        <v>603</v>
      </c>
      <c r="D4" s="139"/>
      <c r="E4" s="139"/>
      <c r="F4" s="139"/>
      <c r="G4" s="139"/>
      <c r="H4" s="139"/>
      <c r="I4" s="139"/>
      <c r="K4" s="139"/>
      <c r="L4" s="139"/>
      <c r="M4" s="139"/>
      <c r="R4" s="139"/>
      <c r="S4" s="139"/>
      <c r="V4" s="347"/>
      <c r="X4" s="139"/>
      <c r="Y4" s="268"/>
      <c r="Z4" s="54"/>
      <c r="AA4" s="269" t="s">
        <v>76</v>
      </c>
      <c r="AB4" s="139"/>
      <c r="AC4" s="268"/>
      <c r="AD4" s="54"/>
      <c r="AE4" s="269" t="s">
        <v>76</v>
      </c>
      <c r="AF4" s="139"/>
      <c r="AG4" s="268"/>
      <c r="AH4" s="54"/>
      <c r="AI4" s="269" t="s">
        <v>76</v>
      </c>
      <c r="AJ4" s="139"/>
      <c r="AK4" s="268"/>
      <c r="AL4" s="54"/>
      <c r="AM4" s="269" t="s">
        <v>76</v>
      </c>
      <c r="AN4" s="139"/>
      <c r="AO4" s="139"/>
      <c r="AP4" s="144"/>
      <c r="AQ4" s="139"/>
      <c r="AR4" s="268"/>
      <c r="AS4" s="54"/>
      <c r="AT4" s="269" t="s">
        <v>76</v>
      </c>
      <c r="AU4" s="139"/>
      <c r="AV4" s="55" t="s">
        <v>98</v>
      </c>
      <c r="AW4" s="267">
        <f>AL3</f>
        <v>0</v>
      </c>
      <c r="AZ4" s="267">
        <f>'Allocation = % of Margin'!S10</f>
        <v>-770716</v>
      </c>
      <c r="BA4" s="294" t="s">
        <v>396</v>
      </c>
    </row>
    <row r="5" spans="1:53" ht="13.5" thickBot="1" x14ac:dyDescent="0.35">
      <c r="E5" s="139"/>
      <c r="F5" s="139"/>
      <c r="G5" s="139"/>
      <c r="Y5" s="270"/>
      <c r="Z5" s="271"/>
      <c r="AA5" s="272">
        <f>SUM(Y3:AA3)</f>
        <v>48106651.280024521</v>
      </c>
      <c r="AC5" s="270"/>
      <c r="AD5" s="271"/>
      <c r="AE5" s="272">
        <f>SUM(AC3:AE3)</f>
        <v>53106637.195583247</v>
      </c>
      <c r="AG5" s="270"/>
      <c r="AH5" s="271"/>
      <c r="AI5" s="272">
        <f>SUM(AG3:AI3)</f>
        <v>-1054024.1484371177</v>
      </c>
      <c r="AK5" s="548"/>
      <c r="AL5" s="549"/>
      <c r="AM5" s="550">
        <f>SUM(AK3:AM3)</f>
        <v>3945961.7671216056</v>
      </c>
      <c r="AP5" s="265"/>
      <c r="AR5" s="270"/>
      <c r="AS5" s="271"/>
      <c r="AT5" s="272">
        <f>SUM(AR3:AT3)</f>
        <v>9460803.7757210117</v>
      </c>
      <c r="AV5" s="55" t="s">
        <v>99</v>
      </c>
      <c r="AW5" s="267">
        <f>AM3</f>
        <v>0</v>
      </c>
      <c r="AZ5" s="267">
        <f>'Allocation = % of Margin'!V10</f>
        <v>-437870</v>
      </c>
      <c r="BA5" s="54" t="s">
        <v>387</v>
      </c>
    </row>
    <row r="6" spans="1:53" ht="15" thickBot="1" x14ac:dyDescent="0.4">
      <c r="A6" s="131"/>
      <c r="E6" s="139"/>
      <c r="F6" s="139"/>
      <c r="G6" s="139"/>
      <c r="Y6" s="54"/>
      <c r="Z6" s="54"/>
      <c r="AA6" s="265"/>
      <c r="AC6" s="54"/>
      <c r="AD6" s="54"/>
      <c r="AE6" s="265"/>
      <c r="AG6" s="54"/>
      <c r="AH6" s="54"/>
      <c r="AI6" s="265"/>
      <c r="AK6" s="54"/>
      <c r="AL6" s="54"/>
      <c r="AM6" s="265"/>
      <c r="AP6" s="265"/>
      <c r="AR6" s="54"/>
      <c r="AS6" s="54"/>
      <c r="AT6" s="265"/>
      <c r="AW6" s="267"/>
      <c r="AZ6" s="267">
        <f>'Allocation = % of Margin'!AB10</f>
        <v>-462252</v>
      </c>
      <c r="BA6" s="54" t="s">
        <v>385</v>
      </c>
    </row>
    <row r="7" spans="1:53" ht="13.5" thickBot="1" x14ac:dyDescent="0.35">
      <c r="E7" s="1712" t="s">
        <v>402</v>
      </c>
      <c r="F7" s="1712" t="s">
        <v>402</v>
      </c>
      <c r="G7" s="139"/>
      <c r="I7" s="1851" t="s">
        <v>118</v>
      </c>
      <c r="J7" s="1852"/>
      <c r="L7" s="1851" t="s">
        <v>120</v>
      </c>
      <c r="M7" s="1853"/>
      <c r="N7" s="1853"/>
      <c r="O7" s="1853"/>
      <c r="P7" s="1853"/>
      <c r="Q7" s="1852"/>
      <c r="S7" s="1856" t="s">
        <v>119</v>
      </c>
      <c r="T7" s="1856"/>
      <c r="U7" s="1856"/>
      <c r="V7" s="1856"/>
      <c r="W7" s="1857"/>
      <c r="Y7" s="827"/>
      <c r="AD7" s="825" t="str">
        <f>J9</f>
        <v>UG-200994</v>
      </c>
      <c r="AE7" s="275"/>
      <c r="AH7" s="825" t="str">
        <f>F8</f>
        <v>UG-200994</v>
      </c>
      <c r="AI7" s="275"/>
      <c r="AT7" s="275"/>
      <c r="AV7" s="55" t="s">
        <v>100</v>
      </c>
      <c r="AW7" s="276">
        <f>SUM(AW3:AW5)</f>
        <v>3945961.7671216056</v>
      </c>
      <c r="AZ7" s="267">
        <f>'Allocation = % of Margin'!Y10</f>
        <v>154421</v>
      </c>
      <c r="BA7" s="54" t="s">
        <v>659</v>
      </c>
    </row>
    <row r="8" spans="1:53" x14ac:dyDescent="0.3">
      <c r="A8" s="85">
        <v>1</v>
      </c>
      <c r="D8" s="141"/>
      <c r="E8" s="512" t="s">
        <v>599</v>
      </c>
      <c r="F8" s="512" t="str">
        <f>E8</f>
        <v>UG-200994</v>
      </c>
      <c r="G8" s="1712" t="s">
        <v>736</v>
      </c>
      <c r="H8" s="141"/>
      <c r="I8" s="147"/>
      <c r="J8" s="292"/>
      <c r="K8" s="141"/>
      <c r="L8" s="324" t="s">
        <v>17</v>
      </c>
      <c r="M8" s="325" t="s">
        <v>20</v>
      </c>
      <c r="N8" s="325" t="s">
        <v>17</v>
      </c>
      <c r="O8" s="325" t="s">
        <v>20</v>
      </c>
      <c r="P8" s="325" t="s">
        <v>17</v>
      </c>
      <c r="Q8" s="326" t="s">
        <v>20</v>
      </c>
      <c r="R8" s="141"/>
      <c r="S8" s="1598" t="s">
        <v>736</v>
      </c>
      <c r="T8" s="277"/>
      <c r="U8" s="277"/>
      <c r="V8" s="277"/>
      <c r="W8" s="278"/>
      <c r="X8" s="141"/>
      <c r="Y8" s="273"/>
      <c r="Z8" s="821" t="s">
        <v>121</v>
      </c>
      <c r="AA8" s="273"/>
      <c r="AB8" s="144"/>
      <c r="AC8" s="273"/>
      <c r="AD8" s="823" t="s">
        <v>393</v>
      </c>
      <c r="AE8" s="273"/>
      <c r="AF8" s="144"/>
      <c r="AG8" s="273"/>
      <c r="AH8" s="824" t="s">
        <v>394</v>
      </c>
      <c r="AI8" s="273"/>
      <c r="AJ8" s="141"/>
      <c r="AL8" s="824" t="s">
        <v>367</v>
      </c>
      <c r="AN8" s="141"/>
      <c r="AO8" s="141"/>
      <c r="AQ8" s="141"/>
      <c r="AR8" s="273"/>
      <c r="AS8" s="824" t="s">
        <v>380</v>
      </c>
      <c r="AT8" s="273"/>
      <c r="AU8" s="144"/>
      <c r="AW8" s="267"/>
      <c r="AZ8" s="267"/>
    </row>
    <row r="9" spans="1:53" ht="13.5" thickBot="1" x14ac:dyDescent="0.35">
      <c r="A9" s="85">
        <f>+A8+1</f>
        <v>2</v>
      </c>
      <c r="D9" s="142"/>
      <c r="E9" s="143" t="s">
        <v>182</v>
      </c>
      <c r="F9" s="143" t="s">
        <v>182</v>
      </c>
      <c r="G9" s="143" t="s">
        <v>228</v>
      </c>
      <c r="H9" s="142"/>
      <c r="I9" s="417" t="s">
        <v>115</v>
      </c>
      <c r="J9" s="972" t="str">
        <f>E8</f>
        <v>UG-200994</v>
      </c>
      <c r="K9" s="142"/>
      <c r="L9" s="327" t="str">
        <f>I9</f>
        <v>CURRENT</v>
      </c>
      <c r="M9" s="491" t="str">
        <f>E8</f>
        <v>UG-200994</v>
      </c>
      <c r="N9" s="142" t="str">
        <f>L9</f>
        <v>CURRENT</v>
      </c>
      <c r="O9" s="491" t="str">
        <f>E8</f>
        <v>UG-200994</v>
      </c>
      <c r="P9" s="142" t="str">
        <f>L9</f>
        <v>CURRENT</v>
      </c>
      <c r="Q9" s="972" t="str">
        <f>E8</f>
        <v>UG-200994</v>
      </c>
      <c r="R9" s="142"/>
      <c r="S9" s="973" t="s">
        <v>228</v>
      </c>
      <c r="T9" s="974" t="str">
        <f>J9</f>
        <v>UG-200994</v>
      </c>
      <c r="U9" s="974" t="str">
        <f>T9</f>
        <v>UG-200994</v>
      </c>
      <c r="V9" s="974" t="str">
        <f>U9</f>
        <v>UG-200994</v>
      </c>
      <c r="W9" s="975" t="str">
        <f>V9</f>
        <v>UG-200994</v>
      </c>
      <c r="X9" s="142"/>
      <c r="Y9" s="273"/>
      <c r="Z9" s="273"/>
      <c r="AA9" s="273"/>
      <c r="AB9" s="144"/>
      <c r="AC9" s="273"/>
      <c r="AD9" s="274"/>
      <c r="AE9" s="273"/>
      <c r="AF9" s="144"/>
      <c r="AG9" s="273"/>
      <c r="AH9" s="274"/>
      <c r="AI9" s="273"/>
      <c r="AJ9" s="142"/>
      <c r="AK9" s="273"/>
      <c r="AL9" s="273"/>
      <c r="AM9" s="273"/>
      <c r="AN9" s="142"/>
      <c r="AO9" s="142"/>
      <c r="AP9" s="273"/>
      <c r="AQ9" s="142"/>
      <c r="AR9" s="273"/>
      <c r="AS9" s="274"/>
      <c r="AT9" s="273"/>
      <c r="AU9" s="144"/>
      <c r="AV9" s="596" t="s">
        <v>380</v>
      </c>
      <c r="AW9" s="267">
        <f>AT5</f>
        <v>9460803.7757210117</v>
      </c>
      <c r="AZ9" s="267">
        <f>'[25]Rates in summary'!$W$74</f>
        <v>9460803.7757210117</v>
      </c>
      <c r="BA9" s="54" t="s">
        <v>380</v>
      </c>
    </row>
    <row r="10" spans="1:53" ht="13.5" thickBot="1" x14ac:dyDescent="0.35">
      <c r="A10" s="85">
        <f t="shared" ref="A10:A73" si="4">+A9+1</f>
        <v>3</v>
      </c>
      <c r="D10" s="144"/>
      <c r="E10" s="58" t="s">
        <v>87</v>
      </c>
      <c r="F10" s="58" t="s">
        <v>183</v>
      </c>
      <c r="G10" s="1603" t="s">
        <v>28</v>
      </c>
      <c r="H10" s="144"/>
      <c r="I10" s="417" t="s">
        <v>102</v>
      </c>
      <c r="J10" s="418" t="s">
        <v>102</v>
      </c>
      <c r="K10" s="144"/>
      <c r="L10" s="284" t="s">
        <v>80</v>
      </c>
      <c r="M10" s="419" t="s">
        <v>80</v>
      </c>
      <c r="N10" s="144" t="s">
        <v>105</v>
      </c>
      <c r="O10" s="419" t="s">
        <v>105</v>
      </c>
      <c r="P10" s="144" t="s">
        <v>106</v>
      </c>
      <c r="Q10" s="418" t="s">
        <v>106</v>
      </c>
      <c r="R10" s="144"/>
      <c r="S10" s="279" t="s">
        <v>107</v>
      </c>
      <c r="T10" s="273" t="s">
        <v>107</v>
      </c>
      <c r="U10" s="273" t="s">
        <v>107</v>
      </c>
      <c r="V10" s="273" t="s">
        <v>116</v>
      </c>
      <c r="W10" s="280" t="s">
        <v>68</v>
      </c>
      <c r="X10" s="144"/>
      <c r="Y10" s="1846" t="s">
        <v>113</v>
      </c>
      <c r="Z10" s="1847"/>
      <c r="AA10" s="1848"/>
      <c r="AB10" s="142"/>
      <c r="AC10" s="1846" t="s">
        <v>476</v>
      </c>
      <c r="AD10" s="1847"/>
      <c r="AE10" s="1848"/>
      <c r="AF10" s="142"/>
      <c r="AG10" s="1846" t="s">
        <v>184</v>
      </c>
      <c r="AH10" s="1847"/>
      <c r="AI10" s="1848"/>
      <c r="AJ10" s="144"/>
      <c r="AK10" s="1846" t="s">
        <v>477</v>
      </c>
      <c r="AL10" s="1847"/>
      <c r="AM10" s="1848"/>
      <c r="AN10" s="144"/>
      <c r="AO10" s="57" t="s">
        <v>131</v>
      </c>
      <c r="AP10" s="57" t="s">
        <v>111</v>
      </c>
      <c r="AQ10" s="144"/>
      <c r="AR10" s="1846" t="s">
        <v>737</v>
      </c>
      <c r="AS10" s="1847"/>
      <c r="AT10" s="1848"/>
      <c r="AU10" s="142"/>
      <c r="AV10" s="59" t="s">
        <v>88</v>
      </c>
      <c r="AW10" s="276">
        <f>AW7+AW9</f>
        <v>13406765.542842617</v>
      </c>
      <c r="AZ10" s="267"/>
    </row>
    <row r="11" spans="1:53" s="56" customFormat="1" ht="15" thickBot="1" x14ac:dyDescent="0.5">
      <c r="A11" s="85">
        <f t="shared" si="4"/>
        <v>4</v>
      </c>
      <c r="B11" s="146"/>
      <c r="C11" s="146"/>
      <c r="D11" s="144"/>
      <c r="E11" s="171" t="s">
        <v>95</v>
      </c>
      <c r="F11" s="171" t="s">
        <v>95</v>
      </c>
      <c r="G11" s="1095" t="s">
        <v>95</v>
      </c>
      <c r="H11" s="144"/>
      <c r="I11" s="420" t="s">
        <v>103</v>
      </c>
      <c r="J11" s="421" t="s">
        <v>103</v>
      </c>
      <c r="K11" s="144"/>
      <c r="L11" s="328" t="s">
        <v>69</v>
      </c>
      <c r="M11" s="422" t="s">
        <v>69</v>
      </c>
      <c r="N11" s="329" t="s">
        <v>69</v>
      </c>
      <c r="O11" s="422" t="s">
        <v>69</v>
      </c>
      <c r="P11" s="329" t="s">
        <v>69</v>
      </c>
      <c r="Q11" s="421" t="s">
        <v>69</v>
      </c>
      <c r="R11" s="144"/>
      <c r="S11" s="1602" t="s">
        <v>108</v>
      </c>
      <c r="T11" s="1599" t="s">
        <v>108</v>
      </c>
      <c r="U11" s="1599" t="s">
        <v>110</v>
      </c>
      <c r="V11" s="1599" t="s">
        <v>73</v>
      </c>
      <c r="W11" s="1601" t="s">
        <v>109</v>
      </c>
      <c r="X11" s="144"/>
      <c r="Y11" s="284" t="s">
        <v>111</v>
      </c>
      <c r="Z11" s="144" t="s">
        <v>112</v>
      </c>
      <c r="AA11" s="269" t="s">
        <v>96</v>
      </c>
      <c r="AB11" s="57"/>
      <c r="AC11" s="284" t="s">
        <v>111</v>
      </c>
      <c r="AD11" s="144" t="s">
        <v>112</v>
      </c>
      <c r="AE11" s="269" t="s">
        <v>96</v>
      </c>
      <c r="AF11" s="57"/>
      <c r="AG11" s="284" t="s">
        <v>111</v>
      </c>
      <c r="AH11" s="144" t="s">
        <v>112</v>
      </c>
      <c r="AI11" s="269" t="s">
        <v>96</v>
      </c>
      <c r="AJ11" s="144"/>
      <c r="AK11" s="284" t="s">
        <v>111</v>
      </c>
      <c r="AL11" s="144" t="s">
        <v>112</v>
      </c>
      <c r="AM11" s="269" t="s">
        <v>96</v>
      </c>
      <c r="AN11" s="144"/>
      <c r="AO11" s="57" t="s">
        <v>27</v>
      </c>
      <c r="AP11" s="57" t="s">
        <v>27</v>
      </c>
      <c r="AQ11" s="144"/>
      <c r="AR11" s="284" t="s">
        <v>111</v>
      </c>
      <c r="AS11" s="144" t="s">
        <v>112</v>
      </c>
      <c r="AT11" s="269" t="s">
        <v>96</v>
      </c>
      <c r="AU11" s="57"/>
      <c r="AV11" s="273"/>
      <c r="AW11" s="273"/>
      <c r="AX11" s="144"/>
      <c r="AZ11" s="925"/>
      <c r="BA11" s="826"/>
    </row>
    <row r="12" spans="1:53" s="56" customFormat="1" x14ac:dyDescent="0.3">
      <c r="A12" s="85">
        <f t="shared" si="4"/>
        <v>5</v>
      </c>
      <c r="B12" s="55"/>
      <c r="C12" s="55"/>
      <c r="D12" s="57"/>
      <c r="E12" s="149"/>
      <c r="F12" s="149"/>
      <c r="G12" s="149"/>
      <c r="H12" s="57"/>
      <c r="I12" s="150"/>
      <c r="J12" s="148"/>
      <c r="K12" s="57"/>
      <c r="L12" s="330"/>
      <c r="M12" s="331"/>
      <c r="N12" s="331"/>
      <c r="O12" s="331"/>
      <c r="P12" s="331"/>
      <c r="Q12" s="332"/>
      <c r="R12" s="57"/>
      <c r="S12" s="285"/>
      <c r="T12" s="145"/>
      <c r="U12" s="145"/>
      <c r="V12" s="145"/>
      <c r="W12" s="286"/>
      <c r="X12" s="57"/>
      <c r="Y12" s="150"/>
      <c r="AA12" s="148"/>
      <c r="AC12" s="150"/>
      <c r="AE12" s="148"/>
      <c r="AG12" s="150"/>
      <c r="AI12" s="148"/>
      <c r="AJ12" s="57"/>
      <c r="AK12" s="150"/>
      <c r="AM12" s="148"/>
      <c r="AN12" s="57"/>
      <c r="AO12" s="57" t="s">
        <v>123</v>
      </c>
      <c r="AP12" s="57" t="s">
        <v>123</v>
      </c>
      <c r="AQ12" s="57"/>
      <c r="AR12" s="150"/>
      <c r="AT12" s="148"/>
      <c r="AV12" s="144"/>
      <c r="AW12" s="287">
        <f>AZ12</f>
        <v>13406638.775721012</v>
      </c>
      <c r="AX12" s="288" t="s">
        <v>152</v>
      </c>
      <c r="AZ12" s="267">
        <f>SUM(AZ3:AZ11)</f>
        <v>13406638.775721012</v>
      </c>
      <c r="BA12" s="54"/>
    </row>
    <row r="13" spans="1:53" s="56" customFormat="1" ht="13.5" thickBot="1" x14ac:dyDescent="0.35">
      <c r="A13" s="85">
        <f t="shared" si="4"/>
        <v>6</v>
      </c>
      <c r="B13" s="755" t="s">
        <v>2</v>
      </c>
      <c r="C13" s="755" t="s">
        <v>3</v>
      </c>
      <c r="D13" s="289"/>
      <c r="E13" s="289" t="s">
        <v>35</v>
      </c>
      <c r="F13" s="289" t="s">
        <v>36</v>
      </c>
      <c r="G13" s="289" t="s">
        <v>36</v>
      </c>
      <c r="H13" s="289"/>
      <c r="I13" s="290" t="s">
        <v>13</v>
      </c>
      <c r="J13" s="291" t="s">
        <v>37</v>
      </c>
      <c r="K13" s="289"/>
      <c r="L13" s="290" t="s">
        <v>38</v>
      </c>
      <c r="M13" s="289" t="s">
        <v>39</v>
      </c>
      <c r="N13" s="289" t="s">
        <v>40</v>
      </c>
      <c r="O13" s="289" t="s">
        <v>41</v>
      </c>
      <c r="P13" s="289" t="s">
        <v>42</v>
      </c>
      <c r="Q13" s="291" t="s">
        <v>124</v>
      </c>
      <c r="R13" s="289"/>
      <c r="S13" s="290"/>
      <c r="T13" s="1567" t="s">
        <v>125</v>
      </c>
      <c r="U13" s="1567" t="s">
        <v>43</v>
      </c>
      <c r="V13" s="1567" t="s">
        <v>126</v>
      </c>
      <c r="W13" s="291" t="s">
        <v>127</v>
      </c>
      <c r="X13" s="57"/>
      <c r="Y13" s="147" t="s">
        <v>128</v>
      </c>
      <c r="Z13" s="57" t="s">
        <v>129</v>
      </c>
      <c r="AA13" s="292" t="s">
        <v>130</v>
      </c>
      <c r="AB13" s="57"/>
      <c r="AC13" s="147" t="s">
        <v>86</v>
      </c>
      <c r="AD13" s="57" t="s">
        <v>89</v>
      </c>
      <c r="AE13" s="292" t="s">
        <v>90</v>
      </c>
      <c r="AF13" s="57"/>
      <c r="AG13" s="147" t="s">
        <v>91</v>
      </c>
      <c r="AH13" s="57" t="s">
        <v>180</v>
      </c>
      <c r="AI13" s="292" t="s">
        <v>224</v>
      </c>
      <c r="AJ13" s="57"/>
      <c r="AK13" s="147" t="s">
        <v>219</v>
      </c>
      <c r="AL13" s="57" t="s">
        <v>225</v>
      </c>
      <c r="AM13" s="292" t="s">
        <v>226</v>
      </c>
      <c r="AN13" s="57"/>
      <c r="AO13" s="57" t="s">
        <v>122</v>
      </c>
      <c r="AP13" s="57" t="s">
        <v>122</v>
      </c>
      <c r="AQ13" s="57"/>
      <c r="AR13" s="147" t="s">
        <v>91</v>
      </c>
      <c r="AS13" s="57" t="s">
        <v>180</v>
      </c>
      <c r="AT13" s="292" t="s">
        <v>224</v>
      </c>
      <c r="AU13" s="57"/>
      <c r="AW13" s="908">
        <f>AW12-AW10</f>
        <v>-126.76712160557508</v>
      </c>
      <c r="AX13" s="288" t="s">
        <v>162</v>
      </c>
      <c r="AZ13" s="642">
        <f>SUM(AZ3,AZ6)</f>
        <v>5000000</v>
      </c>
      <c r="BA13" s="602" t="s">
        <v>256</v>
      </c>
    </row>
    <row r="14" spans="1:53" ht="13" customHeight="1" x14ac:dyDescent="0.3">
      <c r="A14" s="85">
        <f t="shared" si="4"/>
        <v>7</v>
      </c>
      <c r="B14" s="707" t="str">
        <f>'WA Volumes &amp; Revenues'!B15</f>
        <v>1R</v>
      </c>
      <c r="C14" s="707" t="s">
        <v>270</v>
      </c>
      <c r="D14" s="153"/>
      <c r="E14" s="122">
        <f>'Rates in Detail'!R13-'Rates in Detail'!N13</f>
        <v>0.10204000000000002</v>
      </c>
      <c r="F14" s="122">
        <f>'Rates in Detail'!V13</f>
        <v>-2.1869999999999997E-2</v>
      </c>
      <c r="G14" s="152">
        <f>'[25]Rates in summary'!R13</f>
        <v>0.11476999999999982</v>
      </c>
      <c r="H14" s="153"/>
      <c r="I14" s="363">
        <f>'Rev Req Proof Yr1'!H14</f>
        <v>0.67652999999999996</v>
      </c>
      <c r="J14" s="757">
        <f>I14+E14</f>
        <v>0.77856999999999998</v>
      </c>
      <c r="K14" s="153"/>
      <c r="L14" s="154">
        <f>'Rev Req Proof Yr1'!K14</f>
        <v>5.5</v>
      </c>
      <c r="M14" s="155">
        <f>'Rev Req Proof Yr1'!L14</f>
        <v>5.5</v>
      </c>
      <c r="N14" s="121">
        <f>'Rev Req Proof Yr1'!M14</f>
        <v>0</v>
      </c>
      <c r="O14" s="121">
        <f>'Rev Req Proof Yr1'!N14</f>
        <v>0</v>
      </c>
      <c r="P14" s="121">
        <f>'Rev Req Proof Yr1'!O14</f>
        <v>0</v>
      </c>
      <c r="Q14" s="758">
        <f>'Rev Req Proof Yr1'!P14</f>
        <v>0</v>
      </c>
      <c r="R14" s="153"/>
      <c r="S14" s="293">
        <v>250774.1</v>
      </c>
      <c r="T14" s="294">
        <f>'Rev Req Proof Yr1'!R14</f>
        <v>214704.20066131229</v>
      </c>
      <c r="U14" s="294"/>
      <c r="V14" s="295">
        <f>'Rev Req Proof Yr1'!T14</f>
        <v>911</v>
      </c>
      <c r="W14" s="296">
        <f>'Rev Req Proof Yr1'!U14</f>
        <v>19.639970000000002</v>
      </c>
      <c r="X14" s="153"/>
      <c r="Y14" s="297">
        <f>(I14*T14)</f>
        <v>145253.83287339759</v>
      </c>
      <c r="Z14" s="298">
        <f>(L14*V14*12)</f>
        <v>60126</v>
      </c>
      <c r="AA14" s="299">
        <f t="shared" ref="AA14" si="5">(U14*(N14+P14))*12</f>
        <v>0</v>
      </c>
      <c r="AB14" s="300"/>
      <c r="AC14" s="297">
        <f>(J14*T14)</f>
        <v>167162.2495088779</v>
      </c>
      <c r="AD14" s="298">
        <f>(M14*V14*12)</f>
        <v>60126</v>
      </c>
      <c r="AE14" s="299">
        <f t="shared" ref="AE14:AE15" si="6">(U14*(O14+Q14))*12</f>
        <v>0</v>
      </c>
      <c r="AF14" s="300"/>
      <c r="AG14" s="297">
        <f>(F14*T14)</f>
        <v>-4695.5808684628992</v>
      </c>
      <c r="AH14" s="298">
        <v>0</v>
      </c>
      <c r="AI14" s="299">
        <v>0</v>
      </c>
      <c r="AJ14" s="300"/>
      <c r="AK14" s="297">
        <f t="shared" ref="AK14" si="7">AC14-Y14+AG14</f>
        <v>17212.835767017401</v>
      </c>
      <c r="AL14" s="298">
        <f t="shared" ref="AL14" si="8">AD14-Z14-AH14</f>
        <v>0</v>
      </c>
      <c r="AM14" s="299">
        <f t="shared" ref="AM14" si="9">AE14-AA14-AI14</f>
        <v>0</v>
      </c>
      <c r="AN14" s="300"/>
      <c r="AO14" s="333"/>
      <c r="AP14" s="334"/>
      <c r="AQ14" s="300"/>
      <c r="AR14" s="297">
        <f>(G14*S14)</f>
        <v>28781.343456999955</v>
      </c>
      <c r="AS14" s="298">
        <v>0</v>
      </c>
      <c r="AT14" s="299">
        <v>0</v>
      </c>
      <c r="AU14" s="300"/>
      <c r="AV14" s="1611"/>
      <c r="AW14" s="1610"/>
      <c r="AX14" s="1610"/>
      <c r="AY14" s="304"/>
      <c r="AZ14" s="643"/>
      <c r="BA14" s="138"/>
    </row>
    <row r="15" spans="1:53" x14ac:dyDescent="0.3">
      <c r="A15" s="85">
        <f t="shared" si="4"/>
        <v>8</v>
      </c>
      <c r="B15" s="707" t="str">
        <f>'WA Volumes &amp; Revenues'!B16</f>
        <v>1C</v>
      </c>
      <c r="C15" s="707" t="s">
        <v>270</v>
      </c>
      <c r="D15" s="156"/>
      <c r="E15" s="122">
        <f>'Rates in Detail'!R14-'Rates in Detail'!N14</f>
        <v>8.4849999999999981E-2</v>
      </c>
      <c r="F15" s="122">
        <f>'Rates in Detail'!V14</f>
        <v>-1.8200000000000001E-2</v>
      </c>
      <c r="G15" s="152">
        <f>'[25]Rates in summary'!R14</f>
        <v>0.11234999999999995</v>
      </c>
      <c r="H15" s="156"/>
      <c r="I15" s="363">
        <f>'Rev Req Proof Yr1'!H15</f>
        <v>0.73148999999999997</v>
      </c>
      <c r="J15" s="757">
        <f t="shared" ref="J15:J78" si="10">I15+E15</f>
        <v>0.81633999999999995</v>
      </c>
      <c r="K15" s="156"/>
      <c r="L15" s="154">
        <f>'Rev Req Proof Yr1'!K15</f>
        <v>7</v>
      </c>
      <c r="M15" s="155">
        <f>'Rev Req Proof Yr1'!L15</f>
        <v>7</v>
      </c>
      <c r="N15" s="121">
        <f>'Rev Req Proof Yr1'!M15</f>
        <v>0</v>
      </c>
      <c r="O15" s="121">
        <f>'Rev Req Proof Yr1'!N15</f>
        <v>0</v>
      </c>
      <c r="P15" s="121">
        <f>'Rev Req Proof Yr1'!O15</f>
        <v>0</v>
      </c>
      <c r="Q15" s="758">
        <f>'Rev Req Proof Yr1'!P15</f>
        <v>0</v>
      </c>
      <c r="R15" s="156"/>
      <c r="S15" s="293">
        <v>72762.5</v>
      </c>
      <c r="T15" s="294">
        <f>'Rev Req Proof Yr1'!R15</f>
        <v>46539.057144390383</v>
      </c>
      <c r="U15" s="294"/>
      <c r="V15" s="295">
        <f>'Rev Req Proof Yr1'!T15</f>
        <v>34</v>
      </c>
      <c r="W15" s="296">
        <f>'Rev Req Proof Yr1'!U15</f>
        <v>114.06632</v>
      </c>
      <c r="X15" s="156"/>
      <c r="Y15" s="301">
        <f t="shared" ref="Y15:Y21" si="11">(I15*T15)</f>
        <v>34042.854910550122</v>
      </c>
      <c r="Z15" s="302">
        <f t="shared" ref="Z15:Z21" si="12">(L15*V15*12)</f>
        <v>2856</v>
      </c>
      <c r="AA15" s="303">
        <f t="shared" ref="AA15:AA21" si="13">(U15*(N15+P15))*12</f>
        <v>0</v>
      </c>
      <c r="AB15" s="304"/>
      <c r="AC15" s="301">
        <f t="shared" ref="AC15" si="14">(J15*T15)</f>
        <v>37991.69390925164</v>
      </c>
      <c r="AD15" s="302">
        <f t="shared" ref="AD15" si="15">(M15*V15*12)</f>
        <v>2856</v>
      </c>
      <c r="AE15" s="303">
        <f t="shared" si="6"/>
        <v>0</v>
      </c>
      <c r="AF15" s="304"/>
      <c r="AG15" s="301">
        <f t="shared" ref="AG15" si="16">(F15*T15)</f>
        <v>-847.01084002790503</v>
      </c>
      <c r="AH15" s="302">
        <v>0</v>
      </c>
      <c r="AI15" s="303">
        <v>0</v>
      </c>
      <c r="AJ15" s="304"/>
      <c r="AK15" s="301">
        <f t="shared" ref="AK15:AK21" si="17">AC15-Y15+AG15</f>
        <v>3101.828158673613</v>
      </c>
      <c r="AL15" s="302">
        <f t="shared" ref="AL15:AL21" si="18">AD15-Z15-AH15</f>
        <v>0</v>
      </c>
      <c r="AM15" s="303">
        <f t="shared" ref="AM15:AM21" si="19">AE15-AA15-AI15</f>
        <v>0</v>
      </c>
      <c r="AN15" s="304"/>
      <c r="AO15" s="333"/>
      <c r="AP15" s="334"/>
      <c r="AQ15" s="304"/>
      <c r="AR15" s="301">
        <f t="shared" ref="AR15:AR21" si="20">(G15*S15)</f>
        <v>8174.8668749999961</v>
      </c>
      <c r="AS15" s="302">
        <v>0</v>
      </c>
      <c r="AT15" s="303">
        <v>0</v>
      </c>
      <c r="AU15" s="304"/>
      <c r="AV15" s="473"/>
      <c r="AW15" s="1610"/>
      <c r="AX15" s="1610"/>
      <c r="AY15" s="304"/>
    </row>
    <row r="16" spans="1:53" x14ac:dyDescent="0.3">
      <c r="A16" s="85">
        <f t="shared" si="4"/>
        <v>9</v>
      </c>
      <c r="B16" s="707" t="str">
        <f>'WA Volumes &amp; Revenues'!B17</f>
        <v>2R</v>
      </c>
      <c r="C16" s="707" t="s">
        <v>270</v>
      </c>
      <c r="D16" s="156"/>
      <c r="E16" s="122">
        <f>'Rates in Detail'!R15-'Rates in Detail'!N15</f>
        <v>6.4579999999999971E-2</v>
      </c>
      <c r="F16" s="122">
        <f>'Rates in Detail'!V15</f>
        <v>-1.384E-2</v>
      </c>
      <c r="G16" s="152">
        <f>'[25]Rates in summary'!R15</f>
        <v>0.11125000000000018</v>
      </c>
      <c r="H16" s="156"/>
      <c r="I16" s="363">
        <f>'Rev Req Proof Yr1'!H16</f>
        <v>0.45816000000000001</v>
      </c>
      <c r="J16" s="757">
        <f t="shared" si="10"/>
        <v>0.52273999999999998</v>
      </c>
      <c r="K16" s="156"/>
      <c r="L16" s="154">
        <f>'Rev Req Proof Yr1'!K16</f>
        <v>8</v>
      </c>
      <c r="M16" s="155">
        <f>'Rev Req Proof Yr1'!L16</f>
        <v>8</v>
      </c>
      <c r="N16" s="121">
        <f>'Rev Req Proof Yr1'!M16</f>
        <v>0</v>
      </c>
      <c r="O16" s="121">
        <f>'Rev Req Proof Yr1'!N16</f>
        <v>0</v>
      </c>
      <c r="P16" s="121">
        <f>'Rev Req Proof Yr1'!O16</f>
        <v>0</v>
      </c>
      <c r="Q16" s="758">
        <f>'Rev Req Proof Yr1'!P16</f>
        <v>0</v>
      </c>
      <c r="R16" s="156"/>
      <c r="S16" s="293">
        <v>57025592.200000003</v>
      </c>
      <c r="T16" s="294">
        <f>'Rev Req Proof Yr1'!R16</f>
        <v>54953515.785084128</v>
      </c>
      <c r="U16" s="294"/>
      <c r="V16" s="295">
        <f>'Rev Req Proof Yr1'!T16</f>
        <v>81119</v>
      </c>
      <c r="W16" s="296">
        <f>'Rev Req Proof Yr1'!U16</f>
        <v>56.453600000000002</v>
      </c>
      <c r="X16" s="156"/>
      <c r="Y16" s="301">
        <f>(I16*T16)</f>
        <v>25177502.792094145</v>
      </c>
      <c r="Z16" s="302">
        <f t="shared" si="12"/>
        <v>7787424</v>
      </c>
      <c r="AA16" s="303">
        <f t="shared" si="13"/>
        <v>0</v>
      </c>
      <c r="AB16" s="304"/>
      <c r="AC16" s="301">
        <f>(J16*T16)</f>
        <v>28726400.841494877</v>
      </c>
      <c r="AD16" s="302">
        <f t="shared" ref="AD16" si="21">(M16*V16*12)</f>
        <v>7787424</v>
      </c>
      <c r="AE16" s="303">
        <f t="shared" ref="AE16" si="22">(U16*(O16+Q16))*12</f>
        <v>0</v>
      </c>
      <c r="AF16" s="304"/>
      <c r="AG16" s="301">
        <f>(F16*T16)</f>
        <v>-760556.65846556437</v>
      </c>
      <c r="AH16" s="302">
        <v>0</v>
      </c>
      <c r="AI16" s="303">
        <v>0</v>
      </c>
      <c r="AJ16" s="304"/>
      <c r="AK16" s="301">
        <f>AC16-Y16+AG16</f>
        <v>2788341.3909351677</v>
      </c>
      <c r="AL16" s="302">
        <f t="shared" si="18"/>
        <v>0</v>
      </c>
      <c r="AM16" s="303">
        <f t="shared" si="19"/>
        <v>0</v>
      </c>
      <c r="AN16" s="304"/>
      <c r="AO16" s="333">
        <f>SUM(AK16:AM16)/SUM(Y16:AA16)</f>
        <v>8.4585092772112125E-2</v>
      </c>
      <c r="AP16" s="334">
        <f t="shared" ref="AP16:AP41" si="23">SUM(AK16)/SUM(Y16)</f>
        <v>0.11074733717478606</v>
      </c>
      <c r="AQ16" s="304"/>
      <c r="AR16" s="301">
        <f t="shared" si="20"/>
        <v>6344097.132250011</v>
      </c>
      <c r="AS16" s="302">
        <v>0</v>
      </c>
      <c r="AT16" s="303">
        <v>0</v>
      </c>
      <c r="AU16" s="304"/>
      <c r="AV16" s="473"/>
      <c r="AW16" s="1610"/>
      <c r="AX16" s="1610"/>
      <c r="AY16" s="304"/>
    </row>
    <row r="17" spans="1:53" x14ac:dyDescent="0.3">
      <c r="A17" s="85">
        <f t="shared" si="4"/>
        <v>10</v>
      </c>
      <c r="B17" s="707" t="str">
        <f>'WA Volumes &amp; Revenues'!B18</f>
        <v>3 CFS</v>
      </c>
      <c r="C17" s="707" t="s">
        <v>270</v>
      </c>
      <c r="D17" s="156"/>
      <c r="E17" s="122">
        <f>'Rates in Detail'!R16-'Rates in Detail'!N16</f>
        <v>5.7989999999999986E-2</v>
      </c>
      <c r="F17" s="122">
        <f>'Rates in Detail'!V16</f>
        <v>-1.2419999999999999E-2</v>
      </c>
      <c r="G17" s="152">
        <f>'[25]Rates in summary'!R16</f>
        <v>0.11035000000000006</v>
      </c>
      <c r="H17" s="156"/>
      <c r="I17" s="363">
        <f>'Rev Req Proof Yr1'!H17</f>
        <v>0.44368000000000002</v>
      </c>
      <c r="J17" s="757">
        <f t="shared" si="10"/>
        <v>0.50167000000000006</v>
      </c>
      <c r="K17" s="156"/>
      <c r="L17" s="154">
        <f>'Rev Req Proof Yr1'!K17</f>
        <v>22</v>
      </c>
      <c r="M17" s="155">
        <f>'Rev Req Proof Yr1'!L17</f>
        <v>22</v>
      </c>
      <c r="N17" s="121">
        <f>'Rev Req Proof Yr1'!M17</f>
        <v>0</v>
      </c>
      <c r="O17" s="121">
        <f>'Rev Req Proof Yr1'!N17</f>
        <v>0</v>
      </c>
      <c r="P17" s="121">
        <f>'Rev Req Proof Yr1'!O17</f>
        <v>0</v>
      </c>
      <c r="Q17" s="758">
        <f>'Rev Req Proof Yr1'!P17</f>
        <v>0</v>
      </c>
      <c r="R17" s="156"/>
      <c r="S17" s="293">
        <v>18256652.5</v>
      </c>
      <c r="T17" s="294">
        <f>'Rev Req Proof Yr1'!R17</f>
        <v>17867210.60654201</v>
      </c>
      <c r="U17" s="294"/>
      <c r="V17" s="295">
        <f>'Rev Req Proof Yr1'!T17</f>
        <v>6318</v>
      </c>
      <c r="W17" s="296">
        <f>'Rev Req Proof Yr1'!U17</f>
        <v>235.66542999999999</v>
      </c>
      <c r="X17" s="156"/>
      <c r="Y17" s="301">
        <f t="shared" si="11"/>
        <v>7927324.0019105589</v>
      </c>
      <c r="Z17" s="302">
        <f t="shared" si="12"/>
        <v>1667952</v>
      </c>
      <c r="AA17" s="303">
        <f t="shared" si="13"/>
        <v>0</v>
      </c>
      <c r="AB17" s="304"/>
      <c r="AC17" s="301">
        <f t="shared" ref="AC17:AC21" si="24">(J17*T17)</f>
        <v>8963443.5449839309</v>
      </c>
      <c r="AD17" s="302">
        <f>(M17*V17*12)</f>
        <v>1667952</v>
      </c>
      <c r="AE17" s="303">
        <f t="shared" ref="AE17:AE21" si="25">(U17*(O17+Q17))*12</f>
        <v>0</v>
      </c>
      <c r="AF17" s="304"/>
      <c r="AG17" s="301">
        <f t="shared" ref="AG17:AG21" si="26">(F17*T17)</f>
        <v>-221910.75573325175</v>
      </c>
      <c r="AH17" s="302">
        <v>0</v>
      </c>
      <c r="AI17" s="303">
        <v>0</v>
      </c>
      <c r="AJ17" s="304"/>
      <c r="AK17" s="301">
        <f t="shared" si="17"/>
        <v>814208.78734012018</v>
      </c>
      <c r="AL17" s="302">
        <f t="shared" si="18"/>
        <v>0</v>
      </c>
      <c r="AM17" s="303">
        <f t="shared" si="19"/>
        <v>0</v>
      </c>
      <c r="AN17" s="304"/>
      <c r="AO17" s="333">
        <f>SUM(AK17:AM17)/SUM(Y17:AA17)</f>
        <v>8.4855171146509936E-2</v>
      </c>
      <c r="AP17" s="334">
        <f t="shared" si="23"/>
        <v>0.10270915975477832</v>
      </c>
      <c r="AQ17" s="304"/>
      <c r="AR17" s="301">
        <f t="shared" si="20"/>
        <v>2014621.6033750011</v>
      </c>
      <c r="AS17" s="302">
        <v>0</v>
      </c>
      <c r="AT17" s="303">
        <v>0</v>
      </c>
      <c r="AU17" s="304"/>
      <c r="AV17" s="473"/>
      <c r="AW17" s="1610"/>
      <c r="AX17" s="1610"/>
      <c r="AY17" s="304"/>
      <c r="AZ17" s="468"/>
    </row>
    <row r="18" spans="1:53" x14ac:dyDescent="0.3">
      <c r="A18" s="85">
        <f t="shared" si="4"/>
        <v>11</v>
      </c>
      <c r="B18" s="707" t="str">
        <f>'WA Volumes &amp; Revenues'!B19</f>
        <v>3 IFS</v>
      </c>
      <c r="C18" s="707" t="s">
        <v>270</v>
      </c>
      <c r="D18" s="156"/>
      <c r="E18" s="122">
        <f>'Rates in Detail'!R17-'Rates in Detail'!N17</f>
        <v>5.2520000000000067E-2</v>
      </c>
      <c r="F18" s="122">
        <f>'Rates in Detail'!V17</f>
        <v>-2.8799999999999997E-3</v>
      </c>
      <c r="G18" s="152">
        <f>'[25]Rates in summary'!R17</f>
        <v>0.10180000000000011</v>
      </c>
      <c r="H18" s="156"/>
      <c r="I18" s="363">
        <f>'Rev Req Proof Yr1'!H18</f>
        <v>0.46249000000000001</v>
      </c>
      <c r="J18" s="757">
        <f t="shared" si="10"/>
        <v>0.51501000000000008</v>
      </c>
      <c r="K18" s="156"/>
      <c r="L18" s="154">
        <f>'Rev Req Proof Yr1'!K18</f>
        <v>22</v>
      </c>
      <c r="M18" s="155">
        <f>'Rev Req Proof Yr1'!L18</f>
        <v>22</v>
      </c>
      <c r="N18" s="121">
        <f>'Rev Req Proof Yr1'!M18</f>
        <v>0</v>
      </c>
      <c r="O18" s="121">
        <f>'Rev Req Proof Yr1'!N18</f>
        <v>0</v>
      </c>
      <c r="P18" s="121">
        <f>'Rev Req Proof Yr1'!O18</f>
        <v>0</v>
      </c>
      <c r="Q18" s="758">
        <f>'Rev Req Proof Yr1'!P18</f>
        <v>0</v>
      </c>
      <c r="R18" s="156"/>
      <c r="S18" s="293">
        <v>328124</v>
      </c>
      <c r="T18" s="294">
        <f>'Rev Req Proof Yr1'!R18</f>
        <v>283651.99999999994</v>
      </c>
      <c r="U18" s="294"/>
      <c r="V18" s="295">
        <f>'Rev Req Proof Yr1'!T18</f>
        <v>24.25</v>
      </c>
      <c r="W18" s="296">
        <f>'Rev Req Proof Yr1'!U18</f>
        <v>974.74914000000001</v>
      </c>
      <c r="X18" s="156"/>
      <c r="Y18" s="301">
        <f t="shared" si="11"/>
        <v>131186.21347999998</v>
      </c>
      <c r="Z18" s="302">
        <f t="shared" si="12"/>
        <v>6402</v>
      </c>
      <c r="AA18" s="303">
        <f t="shared" si="13"/>
        <v>0</v>
      </c>
      <c r="AB18" s="304"/>
      <c r="AC18" s="301">
        <f t="shared" si="24"/>
        <v>146083.61651999998</v>
      </c>
      <c r="AD18" s="302">
        <f t="shared" ref="AD18:AD21" si="27">(M18*V18*12)</f>
        <v>6402</v>
      </c>
      <c r="AE18" s="303">
        <f t="shared" si="25"/>
        <v>0</v>
      </c>
      <c r="AF18" s="304"/>
      <c r="AG18" s="301">
        <f t="shared" si="26"/>
        <v>-816.91775999999982</v>
      </c>
      <c r="AH18" s="302">
        <v>0</v>
      </c>
      <c r="AI18" s="303">
        <v>0</v>
      </c>
      <c r="AJ18" s="304"/>
      <c r="AK18" s="301">
        <f t="shared" si="17"/>
        <v>14080.485280000004</v>
      </c>
      <c r="AL18" s="302">
        <f t="shared" si="18"/>
        <v>0</v>
      </c>
      <c r="AM18" s="303">
        <f t="shared" si="19"/>
        <v>0</v>
      </c>
      <c r="AN18" s="304"/>
      <c r="AO18" s="333">
        <f>SUM(AK18:AM18)/SUM(Y18:AA18)</f>
        <v>0.10233787418169191</v>
      </c>
      <c r="AP18" s="334">
        <f t="shared" si="23"/>
        <v>0.10733205042271189</v>
      </c>
      <c r="AQ18" s="304"/>
      <c r="AR18" s="301">
        <f t="shared" si="20"/>
        <v>33403.02320000004</v>
      </c>
      <c r="AS18" s="302">
        <v>0</v>
      </c>
      <c r="AT18" s="303">
        <v>0</v>
      </c>
      <c r="AU18" s="304"/>
      <c r="AV18" s="473"/>
      <c r="AW18" s="1610"/>
      <c r="AX18" s="1610"/>
      <c r="AY18" s="304"/>
      <c r="AZ18" s="468"/>
      <c r="BA18" s="265"/>
    </row>
    <row r="19" spans="1:53" x14ac:dyDescent="0.3">
      <c r="A19" s="85">
        <f t="shared" si="4"/>
        <v>12</v>
      </c>
      <c r="B19" s="707" t="str">
        <f>'WA Volumes &amp; Revenues'!B20</f>
        <v>27R</v>
      </c>
      <c r="C19" s="707" t="s">
        <v>270</v>
      </c>
      <c r="D19" s="156"/>
      <c r="E19" s="122">
        <f>'Rates in Detail'!R18-'Rates in Detail'!N18</f>
        <v>4.5960000000000029E-2</v>
      </c>
      <c r="F19" s="122">
        <f>'Rates in Detail'!V18</f>
        <v>-9.8499999999999994E-3</v>
      </c>
      <c r="G19" s="152">
        <f>'[25]Rates in summary'!R18</f>
        <v>0.10913000000000006</v>
      </c>
      <c r="H19" s="156"/>
      <c r="I19" s="363">
        <f>'Rev Req Proof Yr1'!H19</f>
        <v>0.24088000000000001</v>
      </c>
      <c r="J19" s="757">
        <f t="shared" si="10"/>
        <v>0.28684000000000004</v>
      </c>
      <c r="K19" s="156"/>
      <c r="L19" s="154">
        <f>'Rev Req Proof Yr1'!K19</f>
        <v>9</v>
      </c>
      <c r="M19" s="583">
        <f>'Rev Req Proof Yr1'!L19</f>
        <v>9</v>
      </c>
      <c r="N19" s="121">
        <f>'Rev Req Proof Yr1'!M19</f>
        <v>0</v>
      </c>
      <c r="O19" s="121">
        <f>'Rev Req Proof Yr1'!N19</f>
        <v>0</v>
      </c>
      <c r="P19" s="121">
        <f>'Rev Req Proof Yr1'!O19</f>
        <v>0</v>
      </c>
      <c r="Q19" s="758">
        <f>'Rev Req Proof Yr1'!P19</f>
        <v>0</v>
      </c>
      <c r="R19" s="156"/>
      <c r="S19" s="293">
        <v>534485.69999999995</v>
      </c>
      <c r="T19" s="294">
        <f>'Rev Req Proof Yr1'!R19</f>
        <v>461371.76933137607</v>
      </c>
      <c r="U19" s="294"/>
      <c r="V19" s="295">
        <f>'Rev Req Proof Yr1'!T19</f>
        <v>776</v>
      </c>
      <c r="W19" s="296">
        <f>'Rev Req Proof Yr1'!U19</f>
        <v>49.545940000000002</v>
      </c>
      <c r="X19" s="156"/>
      <c r="Y19" s="301">
        <f t="shared" si="11"/>
        <v>111135.23179654188</v>
      </c>
      <c r="Z19" s="302">
        <f t="shared" si="12"/>
        <v>83808</v>
      </c>
      <c r="AA19" s="303">
        <f t="shared" si="13"/>
        <v>0</v>
      </c>
      <c r="AB19" s="304"/>
      <c r="AC19" s="301">
        <f t="shared" si="24"/>
        <v>132339.87831501194</v>
      </c>
      <c r="AD19" s="302">
        <f t="shared" si="27"/>
        <v>83808</v>
      </c>
      <c r="AE19" s="303">
        <f t="shared" si="25"/>
        <v>0</v>
      </c>
      <c r="AF19" s="304"/>
      <c r="AG19" s="301">
        <f t="shared" si="26"/>
        <v>-4544.5119279140536</v>
      </c>
      <c r="AH19" s="302">
        <v>0</v>
      </c>
      <c r="AI19" s="303">
        <v>0</v>
      </c>
      <c r="AJ19" s="304"/>
      <c r="AK19" s="301">
        <f t="shared" si="17"/>
        <v>16660.134590556012</v>
      </c>
      <c r="AL19" s="302">
        <f t="shared" si="18"/>
        <v>0</v>
      </c>
      <c r="AM19" s="303">
        <f t="shared" si="19"/>
        <v>0</v>
      </c>
      <c r="AN19" s="304"/>
      <c r="AO19" s="333">
        <f>SUM(AK19:AM19)/SUM(Y19:AA19)</f>
        <v>8.5461467100041932E-2</v>
      </c>
      <c r="AP19" s="334">
        <f t="shared" si="23"/>
        <v>0.14990866821653953</v>
      </c>
      <c r="AQ19" s="304"/>
      <c r="AR19" s="301">
        <f t="shared" si="20"/>
        <v>58328.424441000025</v>
      </c>
      <c r="AS19" s="302">
        <v>0</v>
      </c>
      <c r="AT19" s="303">
        <v>0</v>
      </c>
      <c r="AU19" s="304"/>
      <c r="AV19" s="473"/>
      <c r="AW19" s="1610"/>
      <c r="AX19" s="1610"/>
      <c r="AY19" s="304"/>
      <c r="AZ19" s="468"/>
    </row>
    <row r="20" spans="1:53" x14ac:dyDescent="0.3">
      <c r="A20" s="85">
        <f t="shared" si="4"/>
        <v>13</v>
      </c>
      <c r="B20" s="717" t="str">
        <f>'WA Volumes &amp; Revenues'!B21</f>
        <v>41C Firm Sales</v>
      </c>
      <c r="C20" s="710" t="s">
        <v>4</v>
      </c>
      <c r="D20" s="156"/>
      <c r="E20" s="121">
        <f>'Rates in Detail'!R19-'Rates in Detail'!N19</f>
        <v>4.604999999999998E-2</v>
      </c>
      <c r="F20" s="121">
        <f>'Rates in Detail'!V19</f>
        <v>-9.8600000000000007E-3</v>
      </c>
      <c r="G20" s="156">
        <f>'[25]Rates in summary'!R19</f>
        <v>0.10296999999999989</v>
      </c>
      <c r="H20" s="156"/>
      <c r="I20" s="368">
        <f>'Rev Req Proof Yr1'!H20</f>
        <v>0.34473999999999999</v>
      </c>
      <c r="J20" s="758">
        <f t="shared" si="10"/>
        <v>0.39078999999999997</v>
      </c>
      <c r="K20" s="156"/>
      <c r="L20" s="154">
        <f>'Rev Req Proof Yr1'!K20</f>
        <v>250</v>
      </c>
      <c r="M20" s="155">
        <f>'Rev Req Proof Yr1'!L20</f>
        <v>250</v>
      </c>
      <c r="N20" s="121">
        <f>'Rev Req Proof Yr1'!M20</f>
        <v>0</v>
      </c>
      <c r="O20" s="121">
        <f>'Rev Req Proof Yr1'!N20</f>
        <v>0</v>
      </c>
      <c r="P20" s="121">
        <f>'Rev Req Proof Yr1'!O20</f>
        <v>0</v>
      </c>
      <c r="Q20" s="758">
        <f>'Rev Req Proof Yr1'!P20</f>
        <v>0</v>
      </c>
      <c r="R20" s="156"/>
      <c r="S20" s="293">
        <v>1845530.6</v>
      </c>
      <c r="T20" s="294">
        <f>'Rev Req Proof Yr1'!R20</f>
        <v>1777065.1510316674</v>
      </c>
      <c r="U20" s="294"/>
      <c r="V20" s="295">
        <f>'Rev Req Proof Yr1'!T20</f>
        <v>91</v>
      </c>
      <c r="W20" s="296">
        <f>'Rev Req Proof Yr1'!U20</f>
        <v>3436</v>
      </c>
      <c r="X20" s="156"/>
      <c r="Y20" s="308">
        <f t="shared" si="11"/>
        <v>612625.44016665698</v>
      </c>
      <c r="Z20" s="304">
        <f t="shared" si="12"/>
        <v>273000</v>
      </c>
      <c r="AA20" s="309">
        <f t="shared" si="13"/>
        <v>0</v>
      </c>
      <c r="AB20" s="304"/>
      <c r="AC20" s="308">
        <f t="shared" si="24"/>
        <v>694459.29037166527</v>
      </c>
      <c r="AD20" s="304">
        <f t="shared" si="27"/>
        <v>273000</v>
      </c>
      <c r="AE20" s="309">
        <f t="shared" si="25"/>
        <v>0</v>
      </c>
      <c r="AF20" s="304"/>
      <c r="AG20" s="308">
        <f t="shared" si="26"/>
        <v>-17521.862389172242</v>
      </c>
      <c r="AH20" s="304">
        <v>0</v>
      </c>
      <c r="AI20" s="309">
        <v>0</v>
      </c>
      <c r="AJ20" s="304"/>
      <c r="AK20" s="308">
        <f t="shared" si="17"/>
        <v>64311.987815836052</v>
      </c>
      <c r="AL20" s="304">
        <f t="shared" si="18"/>
        <v>0</v>
      </c>
      <c r="AM20" s="309">
        <f t="shared" si="19"/>
        <v>0</v>
      </c>
      <c r="AN20" s="304"/>
      <c r="AO20" s="333"/>
      <c r="AP20" s="335">
        <f t="shared" si="23"/>
        <v>0.10497766432673901</v>
      </c>
      <c r="AQ20" s="304"/>
      <c r="AR20" s="308">
        <f t="shared" si="20"/>
        <v>190034.28588199982</v>
      </c>
      <c r="AS20" s="304">
        <v>0</v>
      </c>
      <c r="AT20" s="309">
        <v>0</v>
      </c>
      <c r="AU20" s="304"/>
      <c r="AV20" s="473"/>
      <c r="AW20" s="1610"/>
      <c r="AX20" s="1610"/>
      <c r="AY20" s="304"/>
      <c r="AZ20" s="468"/>
    </row>
    <row r="21" spans="1:53" x14ac:dyDescent="0.3">
      <c r="A21" s="85">
        <f t="shared" si="4"/>
        <v>14</v>
      </c>
      <c r="B21" s="709"/>
      <c r="C21" s="710" t="s">
        <v>5</v>
      </c>
      <c r="D21" s="156"/>
      <c r="E21" s="121">
        <f>'Rates in Detail'!R20-'Rates in Detail'!N20</f>
        <v>4.0580000000000005E-2</v>
      </c>
      <c r="F21" s="121">
        <f>'Rates in Detail'!V20</f>
        <v>-8.7000000000000011E-3</v>
      </c>
      <c r="G21" s="156">
        <f>'[25]Rates in summary'!R20</f>
        <v>0.10204000000000002</v>
      </c>
      <c r="H21" s="156"/>
      <c r="I21" s="368">
        <f>'Rev Req Proof Yr1'!H21</f>
        <v>0.30376999999999998</v>
      </c>
      <c r="J21" s="758">
        <f t="shared" si="10"/>
        <v>0.34434999999999999</v>
      </c>
      <c r="K21" s="156"/>
      <c r="L21" s="154"/>
      <c r="M21" s="155"/>
      <c r="N21" s="121"/>
      <c r="O21" s="121"/>
      <c r="P21" s="121"/>
      <c r="Q21" s="758"/>
      <c r="R21" s="156"/>
      <c r="S21" s="293">
        <v>2036305.7</v>
      </c>
      <c r="T21" s="294">
        <f>'Rev Req Proof Yr1'!R21</f>
        <v>1974656.4658023661</v>
      </c>
      <c r="U21" s="294"/>
      <c r="V21" s="295">
        <f>'Rev Req Proof Yr1'!T21</f>
        <v>0</v>
      </c>
      <c r="W21" s="296">
        <f>'Rev Req Proof Yr1'!U21</f>
        <v>0</v>
      </c>
      <c r="X21" s="156"/>
      <c r="Y21" s="308">
        <f t="shared" si="11"/>
        <v>599841.39461678476</v>
      </c>
      <c r="Z21" s="304">
        <f t="shared" si="12"/>
        <v>0</v>
      </c>
      <c r="AA21" s="309">
        <f t="shared" si="13"/>
        <v>0</v>
      </c>
      <c r="AB21" s="304"/>
      <c r="AC21" s="308">
        <f t="shared" si="24"/>
        <v>679972.95399904472</v>
      </c>
      <c r="AD21" s="304">
        <f t="shared" si="27"/>
        <v>0</v>
      </c>
      <c r="AE21" s="309">
        <f t="shared" si="25"/>
        <v>0</v>
      </c>
      <c r="AF21" s="304"/>
      <c r="AG21" s="308">
        <f t="shared" si="26"/>
        <v>-17179.511252480588</v>
      </c>
      <c r="AH21" s="304">
        <v>0</v>
      </c>
      <c r="AI21" s="309">
        <v>0</v>
      </c>
      <c r="AJ21" s="304"/>
      <c r="AK21" s="308">
        <f t="shared" si="17"/>
        <v>62952.048129779374</v>
      </c>
      <c r="AL21" s="304">
        <f t="shared" si="18"/>
        <v>0</v>
      </c>
      <c r="AM21" s="309">
        <f t="shared" si="19"/>
        <v>0</v>
      </c>
      <c r="AN21" s="304"/>
      <c r="AO21" s="333"/>
      <c r="AP21" s="335">
        <f t="shared" si="23"/>
        <v>0.10494782236560546</v>
      </c>
      <c r="AQ21" s="304"/>
      <c r="AR21" s="308">
        <f t="shared" si="20"/>
        <v>207784.63362800004</v>
      </c>
      <c r="AS21" s="304">
        <v>0</v>
      </c>
      <c r="AT21" s="309">
        <v>0</v>
      </c>
      <c r="AU21" s="304"/>
      <c r="AV21" s="473"/>
      <c r="AW21" s="1610"/>
      <c r="AX21" s="1610"/>
      <c r="AY21" s="304"/>
      <c r="AZ21" s="468"/>
    </row>
    <row r="22" spans="1:53" x14ac:dyDescent="0.3">
      <c r="A22" s="85">
        <f t="shared" si="4"/>
        <v>15</v>
      </c>
      <c r="B22" s="707"/>
      <c r="C22" s="726" t="s">
        <v>76</v>
      </c>
      <c r="D22" s="152"/>
      <c r="E22" s="122"/>
      <c r="F22" s="122"/>
      <c r="G22" s="152"/>
      <c r="H22" s="152"/>
      <c r="I22" s="363"/>
      <c r="J22" s="757"/>
      <c r="K22" s="156"/>
      <c r="L22" s="154"/>
      <c r="M22" s="155"/>
      <c r="N22" s="121"/>
      <c r="O22" s="121"/>
      <c r="P22" s="121"/>
      <c r="Q22" s="758"/>
      <c r="R22" s="156"/>
      <c r="S22" s="293"/>
      <c r="T22" s="294"/>
      <c r="U22" s="294"/>
      <c r="V22" s="295"/>
      <c r="W22" s="296"/>
      <c r="X22" s="156"/>
      <c r="Y22" s="310">
        <f>SUM(Y20:Y21)</f>
        <v>1212466.8347834419</v>
      </c>
      <c r="Z22" s="311">
        <f>SUM(Z20:Z21)</f>
        <v>273000</v>
      </c>
      <c r="AA22" s="312">
        <f t="shared" ref="AA22" si="28">SUM(AA20:AA21)</f>
        <v>0</v>
      </c>
      <c r="AB22" s="304"/>
      <c r="AC22" s="310">
        <f>SUM(AC20:AC21)</f>
        <v>1374432.2443707101</v>
      </c>
      <c r="AD22" s="311">
        <f t="shared" ref="AD22:AE22" si="29">SUM(AD20:AD21)</f>
        <v>273000</v>
      </c>
      <c r="AE22" s="312">
        <f t="shared" si="29"/>
        <v>0</v>
      </c>
      <c r="AF22" s="304"/>
      <c r="AG22" s="310">
        <f>SUM(AG20:AG21)</f>
        <v>-34701.373641652826</v>
      </c>
      <c r="AH22" s="311">
        <f t="shared" ref="AH22:AI22" si="30">SUM(AH20:AH21)</f>
        <v>0</v>
      </c>
      <c r="AI22" s="312">
        <f t="shared" si="30"/>
        <v>0</v>
      </c>
      <c r="AJ22" s="304"/>
      <c r="AK22" s="310">
        <f>SUM(AK20:AK21)</f>
        <v>127264.03594561543</v>
      </c>
      <c r="AL22" s="311">
        <f t="shared" ref="AL22:AM22" si="31">SUM(AL20:AL21)</f>
        <v>0</v>
      </c>
      <c r="AM22" s="312">
        <f t="shared" si="31"/>
        <v>0</v>
      </c>
      <c r="AN22" s="304"/>
      <c r="AO22" s="333">
        <f>SUM(AK22:AM22)/SUM(Y22:AA22)</f>
        <v>8.567275483075229E-2</v>
      </c>
      <c r="AP22" s="334">
        <f t="shared" si="23"/>
        <v>0.10496290067047154</v>
      </c>
      <c r="AQ22" s="304"/>
      <c r="AR22" s="310">
        <f>SUM(AR20:AR21)</f>
        <v>397818.91950999986</v>
      </c>
      <c r="AS22" s="311">
        <f t="shared" ref="AS22:AT22" si="32">SUM(AS20:AS21)</f>
        <v>0</v>
      </c>
      <c r="AT22" s="312">
        <f t="shared" si="32"/>
        <v>0</v>
      </c>
      <c r="AU22" s="304"/>
      <c r="AV22" s="473"/>
      <c r="AW22" s="1610"/>
      <c r="AX22" s="1610"/>
      <c r="AY22" s="304"/>
      <c r="AZ22" s="656"/>
    </row>
    <row r="23" spans="1:53" x14ac:dyDescent="0.3">
      <c r="A23" s="85">
        <f t="shared" si="4"/>
        <v>16</v>
      </c>
      <c r="B23" s="717" t="str">
        <f>'WA Volumes &amp; Revenues'!B23</f>
        <v>41I Firm Sales</v>
      </c>
      <c r="C23" s="710" t="s">
        <v>4</v>
      </c>
      <c r="D23" s="156"/>
      <c r="E23" s="121">
        <f>'Rates in Detail'!R21-'Rates in Detail'!N21</f>
        <v>1.912999999999998E-2</v>
      </c>
      <c r="F23" s="121">
        <f>'Rates in Detail'!V21</f>
        <v>-2.2799999999999999E-3</v>
      </c>
      <c r="G23" s="156">
        <f>'[25]Rates in summary'!R25</f>
        <v>9.6289999999999987E-2</v>
      </c>
      <c r="H23" s="156"/>
      <c r="I23" s="368">
        <f>'Rev Req Proof Yr1'!H23</f>
        <v>0.34416000000000002</v>
      </c>
      <c r="J23" s="758">
        <f t="shared" si="10"/>
        <v>0.36329</v>
      </c>
      <c r="K23" s="156"/>
      <c r="L23" s="154">
        <f>'Rev Req Proof Yr1'!K23</f>
        <v>250</v>
      </c>
      <c r="M23" s="155">
        <f>'Rev Req Proof Yr1'!L23</f>
        <v>250</v>
      </c>
      <c r="N23" s="121">
        <f>'Rev Req Proof Yr1'!M23</f>
        <v>0</v>
      </c>
      <c r="O23" s="121">
        <f>'Rev Req Proof Yr1'!N23</f>
        <v>0</v>
      </c>
      <c r="P23" s="121">
        <f>'Rev Req Proof Yr1'!O23</f>
        <v>0</v>
      </c>
      <c r="Q23" s="758">
        <f>'Rev Req Proof Yr1'!P23</f>
        <v>0</v>
      </c>
      <c r="R23" s="156"/>
      <c r="S23" s="293">
        <v>382229</v>
      </c>
      <c r="T23" s="294">
        <f>'Rev Req Proof Yr1'!R23</f>
        <v>392890.20000000007</v>
      </c>
      <c r="U23" s="294"/>
      <c r="V23" s="295">
        <f>'Rev Req Proof Yr1'!T23</f>
        <v>17.833333333333332</v>
      </c>
      <c r="W23" s="296">
        <f>'Rev Req Proof Yr1'!U23</f>
        <v>4741</v>
      </c>
      <c r="X23" s="156"/>
      <c r="Y23" s="308">
        <f t="shared" ref="Y23:Y24" si="33">(I23*T23)</f>
        <v>135217.09123200004</v>
      </c>
      <c r="Z23" s="304">
        <f t="shared" ref="Z23:Z24" si="34">(L23*V23*12)</f>
        <v>53500</v>
      </c>
      <c r="AA23" s="309">
        <f t="shared" ref="AA23:AA24" si="35">(U23*(N23+P23))*12</f>
        <v>0</v>
      </c>
      <c r="AB23" s="304"/>
      <c r="AC23" s="308">
        <f t="shared" ref="AC23:AC24" si="36">(J23*T23)</f>
        <v>142733.08075800003</v>
      </c>
      <c r="AD23" s="304">
        <f t="shared" ref="AD23:AD24" si="37">(M23*V23*12)</f>
        <v>53500</v>
      </c>
      <c r="AE23" s="309">
        <f t="shared" ref="AE23:AE24" si="38">(U23*(O23+Q23))*12</f>
        <v>0</v>
      </c>
      <c r="AF23" s="304"/>
      <c r="AG23" s="308">
        <f t="shared" ref="AG23:AG24" si="39">(F23*T23)</f>
        <v>-895.78965600000015</v>
      </c>
      <c r="AH23" s="304">
        <v>0</v>
      </c>
      <c r="AI23" s="309">
        <v>0</v>
      </c>
      <c r="AJ23" s="304"/>
      <c r="AK23" s="308">
        <f t="shared" ref="AK23:AK24" si="40">AC23-Y23+AG23</f>
        <v>6620.1998699999904</v>
      </c>
      <c r="AL23" s="304">
        <f t="shared" ref="AL23:AL24" si="41">AD23-Z23-AH23</f>
        <v>0</v>
      </c>
      <c r="AM23" s="309">
        <f t="shared" ref="AM23:AM24" si="42">AE23-AA23-AI23</f>
        <v>0</v>
      </c>
      <c r="AN23" s="304"/>
      <c r="AO23" s="333"/>
      <c r="AP23" s="335">
        <f t="shared" ref="AP23:AP25" si="43">SUM(AK23)/SUM(Y23)</f>
        <v>4.8959786145978533E-2</v>
      </c>
      <c r="AQ23" s="304"/>
      <c r="AR23" s="308">
        <f t="shared" ref="AR23:AR24" si="44">(G23*S23)</f>
        <v>36804.830409999995</v>
      </c>
      <c r="AS23" s="304">
        <v>0</v>
      </c>
      <c r="AT23" s="309">
        <v>0</v>
      </c>
      <c r="AU23" s="304"/>
      <c r="AV23" s="473"/>
      <c r="AW23" s="1610"/>
      <c r="AX23" s="1610"/>
      <c r="AY23" s="304"/>
      <c r="AZ23" s="468"/>
    </row>
    <row r="24" spans="1:53" x14ac:dyDescent="0.3">
      <c r="A24" s="85">
        <f t="shared" si="4"/>
        <v>17</v>
      </c>
      <c r="B24" s="709"/>
      <c r="C24" s="710" t="s">
        <v>5</v>
      </c>
      <c r="D24" s="156"/>
      <c r="E24" s="121">
        <f>'Rates in Detail'!R22-'Rates in Detail'!N22</f>
        <v>1.6859999999999986E-2</v>
      </c>
      <c r="F24" s="121">
        <f>'Rates in Detail'!V22</f>
        <v>-2.0099999999999996E-3</v>
      </c>
      <c r="G24" s="156">
        <f>'[25]Rates in summary'!R26</f>
        <v>9.6149999999999958E-2</v>
      </c>
      <c r="H24" s="156"/>
      <c r="I24" s="368">
        <f>'Rev Req Proof Yr1'!H24</f>
        <v>0.30325000000000002</v>
      </c>
      <c r="J24" s="758">
        <f t="shared" si="10"/>
        <v>0.32011000000000001</v>
      </c>
      <c r="K24" s="156"/>
      <c r="L24" s="154"/>
      <c r="M24" s="155"/>
      <c r="N24" s="121"/>
      <c r="O24" s="121"/>
      <c r="P24" s="121"/>
      <c r="Q24" s="758"/>
      <c r="R24" s="156"/>
      <c r="S24" s="293">
        <v>627933</v>
      </c>
      <c r="T24" s="294">
        <f>'Rev Req Proof Yr1'!R24</f>
        <v>621650.00000000012</v>
      </c>
      <c r="U24" s="294"/>
      <c r="V24" s="295"/>
      <c r="W24" s="296"/>
      <c r="X24" s="156"/>
      <c r="Y24" s="308">
        <f t="shared" si="33"/>
        <v>188515.36250000005</v>
      </c>
      <c r="Z24" s="304">
        <f t="shared" si="34"/>
        <v>0</v>
      </c>
      <c r="AA24" s="309">
        <f t="shared" si="35"/>
        <v>0</v>
      </c>
      <c r="AB24" s="304"/>
      <c r="AC24" s="308">
        <f t="shared" si="36"/>
        <v>198996.38150000005</v>
      </c>
      <c r="AD24" s="304">
        <f t="shared" si="37"/>
        <v>0</v>
      </c>
      <c r="AE24" s="309">
        <f t="shared" si="38"/>
        <v>0</v>
      </c>
      <c r="AF24" s="304"/>
      <c r="AG24" s="308">
        <f t="shared" si="39"/>
        <v>-1249.5165</v>
      </c>
      <c r="AH24" s="304">
        <v>0</v>
      </c>
      <c r="AI24" s="309">
        <v>0</v>
      </c>
      <c r="AJ24" s="304"/>
      <c r="AK24" s="308">
        <f t="shared" si="40"/>
        <v>9231.5025000000005</v>
      </c>
      <c r="AL24" s="304">
        <f t="shared" si="41"/>
        <v>0</v>
      </c>
      <c r="AM24" s="309">
        <f t="shared" si="42"/>
        <v>0</v>
      </c>
      <c r="AN24" s="304"/>
      <c r="AO24" s="333"/>
      <c r="AP24" s="335">
        <f t="shared" si="43"/>
        <v>4.8969497114591913E-2</v>
      </c>
      <c r="AQ24" s="304"/>
      <c r="AR24" s="308">
        <f t="shared" si="44"/>
        <v>60375.75794999997</v>
      </c>
      <c r="AS24" s="304">
        <v>0</v>
      </c>
      <c r="AT24" s="309">
        <v>0</v>
      </c>
      <c r="AU24" s="304"/>
      <c r="AV24" s="473"/>
      <c r="AW24" s="1610"/>
      <c r="AX24" s="1610"/>
      <c r="AY24" s="304"/>
      <c r="AZ24" s="468"/>
    </row>
    <row r="25" spans="1:53" x14ac:dyDescent="0.3">
      <c r="A25" s="85">
        <f t="shared" si="4"/>
        <v>18</v>
      </c>
      <c r="B25" s="707"/>
      <c r="C25" s="726" t="s">
        <v>76</v>
      </c>
      <c r="D25" s="152"/>
      <c r="E25" s="122"/>
      <c r="F25" s="122"/>
      <c r="G25" s="152"/>
      <c r="H25" s="152"/>
      <c r="I25" s="363"/>
      <c r="J25" s="757"/>
      <c r="K25" s="156"/>
      <c r="L25" s="154"/>
      <c r="M25" s="155"/>
      <c r="N25" s="121"/>
      <c r="O25" s="121"/>
      <c r="P25" s="121"/>
      <c r="Q25" s="758"/>
      <c r="R25" s="156"/>
      <c r="S25" s="293"/>
      <c r="T25" s="294"/>
      <c r="U25" s="294"/>
      <c r="V25" s="295"/>
      <c r="W25" s="296"/>
      <c r="X25" s="156"/>
      <c r="Y25" s="310">
        <f>SUM(Y23:Y24)</f>
        <v>323732.45373200008</v>
      </c>
      <c r="Z25" s="311">
        <f t="shared" ref="Z25:AA25" si="45">SUM(Z23:Z24)</f>
        <v>53500</v>
      </c>
      <c r="AA25" s="312">
        <f t="shared" si="45"/>
        <v>0</v>
      </c>
      <c r="AB25" s="304"/>
      <c r="AC25" s="310">
        <f>SUM(AC23:AC24)</f>
        <v>341729.46225800004</v>
      </c>
      <c r="AD25" s="311">
        <f t="shared" ref="AD25:AE25" si="46">SUM(AD23:AD24)</f>
        <v>53500</v>
      </c>
      <c r="AE25" s="312">
        <f t="shared" si="46"/>
        <v>0</v>
      </c>
      <c r="AF25" s="304"/>
      <c r="AG25" s="310">
        <f>SUM(AG23:AG24)</f>
        <v>-2145.3061560000001</v>
      </c>
      <c r="AH25" s="311">
        <f t="shared" ref="AH25:AI25" si="47">SUM(AH23:AH24)</f>
        <v>0</v>
      </c>
      <c r="AI25" s="312">
        <f t="shared" si="47"/>
        <v>0</v>
      </c>
      <c r="AJ25" s="304"/>
      <c r="AK25" s="310">
        <f>SUM(AK23:AK24)</f>
        <v>15851.702369999992</v>
      </c>
      <c r="AL25" s="311">
        <f t="shared" ref="AL25:AM25" si="48">SUM(AL23:AL24)</f>
        <v>0</v>
      </c>
      <c r="AM25" s="312">
        <f t="shared" si="48"/>
        <v>0</v>
      </c>
      <c r="AN25" s="304"/>
      <c r="AO25" s="333">
        <f>SUM(AK25:AM25)/SUM(Y25:AA25)</f>
        <v>4.2021046209512053E-2</v>
      </c>
      <c r="AP25" s="334">
        <f t="shared" si="43"/>
        <v>4.8965441021624374E-2</v>
      </c>
      <c r="AQ25" s="304"/>
      <c r="AR25" s="310">
        <f>SUM(AR23:AR24)</f>
        <v>97180.588359999965</v>
      </c>
      <c r="AS25" s="311">
        <f t="shared" ref="AS25:AT25" si="49">SUM(AS23:AS24)</f>
        <v>0</v>
      </c>
      <c r="AT25" s="312">
        <f t="shared" si="49"/>
        <v>0</v>
      </c>
      <c r="AU25" s="304"/>
      <c r="AV25" s="473"/>
      <c r="AW25" s="305"/>
      <c r="AX25" s="323"/>
      <c r="AY25" s="56"/>
      <c r="AZ25" s="656"/>
    </row>
    <row r="26" spans="1:53" x14ac:dyDescent="0.3">
      <c r="A26" s="85">
        <f t="shared" si="4"/>
        <v>19</v>
      </c>
      <c r="B26" s="709" t="str">
        <f>'WA Volumes &amp; Revenues'!B25</f>
        <v>41C Interr Sales</v>
      </c>
      <c r="C26" s="710" t="s">
        <v>4</v>
      </c>
      <c r="D26" s="156"/>
      <c r="E26" s="121">
        <f>'Rates in Detail'!R23-'Rates in Detail'!N23</f>
        <v>3.287000000000001E-2</v>
      </c>
      <c r="F26" s="121">
        <f>'Rates in Detail'!V23</f>
        <v>-8.5100000000000002E-3</v>
      </c>
      <c r="G26" s="156">
        <f>'[25]Rates in summary'!R15</f>
        <v>0.11125000000000018</v>
      </c>
      <c r="H26" s="156"/>
      <c r="I26" s="368">
        <f>'Rev Req Proof Yr1'!H26</f>
        <v>0.34372999999999998</v>
      </c>
      <c r="J26" s="758">
        <f t="shared" si="10"/>
        <v>0.37659999999999999</v>
      </c>
      <c r="K26" s="156"/>
      <c r="L26" s="154">
        <f>'Rev Req Proof Yr1'!K26</f>
        <v>250</v>
      </c>
      <c r="M26" s="155">
        <f>'Rev Req Proof Yr1'!L26</f>
        <v>250</v>
      </c>
      <c r="N26" s="121">
        <f>'Rev Req Proof Yr1'!M26</f>
        <v>0</v>
      </c>
      <c r="O26" s="121">
        <f>'Rev Req Proof Yr1'!N26</f>
        <v>0</v>
      </c>
      <c r="P26" s="121">
        <f>'Rev Req Proof Yr1'!O26</f>
        <v>0</v>
      </c>
      <c r="Q26" s="758">
        <f>'Rev Req Proof Yr1'!P26</f>
        <v>0</v>
      </c>
      <c r="R26" s="156"/>
      <c r="S26" s="293">
        <v>0</v>
      </c>
      <c r="T26" s="294">
        <f>'Rev Req Proof Yr1'!R26</f>
        <v>0</v>
      </c>
      <c r="U26" s="294"/>
      <c r="V26" s="295">
        <f>'Rev Req Proof Yr1'!T26</f>
        <v>0</v>
      </c>
      <c r="W26" s="296">
        <f>'Rev Req Proof Yr1'!U26</f>
        <v>0</v>
      </c>
      <c r="X26" s="156"/>
      <c r="Y26" s="308">
        <f t="shared" ref="Y26:Y27" si="50">(I26*T26)</f>
        <v>0</v>
      </c>
      <c r="Z26" s="304">
        <f t="shared" ref="Z26:Z27" si="51">(L26*V26*12)</f>
        <v>0</v>
      </c>
      <c r="AA26" s="309">
        <f t="shared" ref="AA26:AA27" si="52">(U26*(N26+P26))*12</f>
        <v>0</v>
      </c>
      <c r="AB26" s="304"/>
      <c r="AC26" s="308">
        <f t="shared" ref="AC26:AC27" si="53">(J26*T26)</f>
        <v>0</v>
      </c>
      <c r="AD26" s="304">
        <f t="shared" ref="AD26:AD27" si="54">(M26*V26*12)</f>
        <v>0</v>
      </c>
      <c r="AE26" s="309">
        <f t="shared" ref="AE26:AE27" si="55">(U26*(O26+Q26))*12</f>
        <v>0</v>
      </c>
      <c r="AF26" s="304"/>
      <c r="AG26" s="308">
        <f t="shared" ref="AG26:AG27" si="56">(F26*T26)</f>
        <v>0</v>
      </c>
      <c r="AH26" s="304">
        <v>0</v>
      </c>
      <c r="AI26" s="309">
        <v>0</v>
      </c>
      <c r="AJ26" s="304"/>
      <c r="AK26" s="308">
        <f t="shared" ref="AK26:AK27" si="57">AC26-Y26+AG26</f>
        <v>0</v>
      </c>
      <c r="AL26" s="304">
        <f t="shared" ref="AL26:AL27" si="58">AD26-Z26-AH26</f>
        <v>0</v>
      </c>
      <c r="AM26" s="309">
        <f t="shared" ref="AM26:AM27" si="59">AE26-AA26-AI26</f>
        <v>0</v>
      </c>
      <c r="AN26" s="304"/>
      <c r="AO26" s="333"/>
      <c r="AP26" s="335" t="e">
        <f t="shared" si="23"/>
        <v>#DIV/0!</v>
      </c>
      <c r="AQ26" s="304"/>
      <c r="AR26" s="308">
        <f t="shared" ref="AR26:AR27" si="60">(G26*S26)</f>
        <v>0</v>
      </c>
      <c r="AS26" s="304">
        <v>0</v>
      </c>
      <c r="AT26" s="309">
        <v>0</v>
      </c>
      <c r="AU26" s="304"/>
      <c r="AV26" s="473"/>
      <c r="AW26" s="1610"/>
      <c r="AX26" s="1610"/>
      <c r="AY26" s="304"/>
      <c r="AZ26" s="468"/>
    </row>
    <row r="27" spans="1:53" x14ac:dyDescent="0.3">
      <c r="A27" s="85">
        <f t="shared" si="4"/>
        <v>20</v>
      </c>
      <c r="B27" s="709"/>
      <c r="C27" s="710" t="s">
        <v>5</v>
      </c>
      <c r="D27" s="156"/>
      <c r="E27" s="121">
        <f>'Rates in Detail'!R24-'Rates in Detail'!N24</f>
        <v>2.8959999999999986E-2</v>
      </c>
      <c r="F27" s="121">
        <f>'Rates in Detail'!V24</f>
        <v>-7.5100000000000002E-3</v>
      </c>
      <c r="G27" s="156">
        <f>'[25]Rates in summary'!R16</f>
        <v>0.11035000000000006</v>
      </c>
      <c r="H27" s="156"/>
      <c r="I27" s="368">
        <f>'Rev Req Proof Yr1'!H27</f>
        <v>0.30285000000000001</v>
      </c>
      <c r="J27" s="758">
        <f t="shared" si="10"/>
        <v>0.33180999999999999</v>
      </c>
      <c r="K27" s="156"/>
      <c r="L27" s="154"/>
      <c r="M27" s="155"/>
      <c r="N27" s="121"/>
      <c r="O27" s="121"/>
      <c r="P27" s="121"/>
      <c r="Q27" s="758"/>
      <c r="R27" s="156"/>
      <c r="S27" s="293">
        <v>0</v>
      </c>
      <c r="T27" s="294">
        <f>'Rev Req Proof Yr1'!R27</f>
        <v>0</v>
      </c>
      <c r="U27" s="294"/>
      <c r="V27" s="295"/>
      <c r="W27" s="296"/>
      <c r="X27" s="156"/>
      <c r="Y27" s="308">
        <f t="shared" si="50"/>
        <v>0</v>
      </c>
      <c r="Z27" s="304">
        <f t="shared" si="51"/>
        <v>0</v>
      </c>
      <c r="AA27" s="309">
        <f t="shared" si="52"/>
        <v>0</v>
      </c>
      <c r="AB27" s="304"/>
      <c r="AC27" s="308">
        <f t="shared" si="53"/>
        <v>0</v>
      </c>
      <c r="AD27" s="304">
        <f t="shared" si="54"/>
        <v>0</v>
      </c>
      <c r="AE27" s="309">
        <f t="shared" si="55"/>
        <v>0</v>
      </c>
      <c r="AF27" s="304"/>
      <c r="AG27" s="308">
        <f t="shared" si="56"/>
        <v>0</v>
      </c>
      <c r="AH27" s="304">
        <v>0</v>
      </c>
      <c r="AI27" s="309">
        <v>0</v>
      </c>
      <c r="AJ27" s="304"/>
      <c r="AK27" s="308">
        <f t="shared" si="57"/>
        <v>0</v>
      </c>
      <c r="AL27" s="304">
        <f t="shared" si="58"/>
        <v>0</v>
      </c>
      <c r="AM27" s="309">
        <f t="shared" si="59"/>
        <v>0</v>
      </c>
      <c r="AN27" s="304"/>
      <c r="AO27" s="333"/>
      <c r="AP27" s="335" t="e">
        <f t="shared" si="23"/>
        <v>#DIV/0!</v>
      </c>
      <c r="AQ27" s="304"/>
      <c r="AR27" s="308">
        <f t="shared" si="60"/>
        <v>0</v>
      </c>
      <c r="AS27" s="304">
        <v>0</v>
      </c>
      <c r="AT27" s="309">
        <v>0</v>
      </c>
      <c r="AU27" s="304"/>
      <c r="AV27" s="473"/>
      <c r="AW27" s="1610"/>
      <c r="AX27" s="1610"/>
      <c r="AY27" s="304"/>
      <c r="AZ27" s="468"/>
    </row>
    <row r="28" spans="1:53" x14ac:dyDescent="0.3">
      <c r="A28" s="85">
        <f t="shared" si="4"/>
        <v>21</v>
      </c>
      <c r="B28" s="707"/>
      <c r="C28" s="726" t="s">
        <v>76</v>
      </c>
      <c r="D28" s="152"/>
      <c r="E28" s="122"/>
      <c r="F28" s="122"/>
      <c r="G28" s="152"/>
      <c r="H28" s="152"/>
      <c r="I28" s="363"/>
      <c r="J28" s="757"/>
      <c r="K28" s="156"/>
      <c r="L28" s="154"/>
      <c r="M28" s="155"/>
      <c r="N28" s="121"/>
      <c r="O28" s="121"/>
      <c r="P28" s="121"/>
      <c r="Q28" s="758"/>
      <c r="R28" s="156"/>
      <c r="S28" s="293"/>
      <c r="T28" s="294"/>
      <c r="U28" s="294"/>
      <c r="V28" s="295"/>
      <c r="W28" s="296"/>
      <c r="X28" s="156"/>
      <c r="Y28" s="310">
        <f>SUM(Y26:Y27)</f>
        <v>0</v>
      </c>
      <c r="Z28" s="311">
        <f t="shared" ref="Z28:AA28" si="61">SUM(Z26:Z27)</f>
        <v>0</v>
      </c>
      <c r="AA28" s="312">
        <f t="shared" si="61"/>
        <v>0</v>
      </c>
      <c r="AB28" s="304"/>
      <c r="AC28" s="310">
        <f>SUM(AC26:AC27)</f>
        <v>0</v>
      </c>
      <c r="AD28" s="311">
        <f t="shared" ref="AD28:AE28" si="62">SUM(AD26:AD27)</f>
        <v>0</v>
      </c>
      <c r="AE28" s="312">
        <f t="shared" si="62"/>
        <v>0</v>
      </c>
      <c r="AF28" s="304"/>
      <c r="AG28" s="310">
        <f>SUM(AG26:AG27)</f>
        <v>0</v>
      </c>
      <c r="AH28" s="311">
        <f t="shared" ref="AH28:AI28" si="63">SUM(AH26:AH27)</f>
        <v>0</v>
      </c>
      <c r="AI28" s="312">
        <f t="shared" si="63"/>
        <v>0</v>
      </c>
      <c r="AJ28" s="304"/>
      <c r="AK28" s="310">
        <f>SUM(AK26:AK27)</f>
        <v>0</v>
      </c>
      <c r="AL28" s="311">
        <f t="shared" ref="AL28:AM28" si="64">SUM(AL26:AL27)</f>
        <v>0</v>
      </c>
      <c r="AM28" s="312">
        <f t="shared" si="64"/>
        <v>0</v>
      </c>
      <c r="AN28" s="304"/>
      <c r="AO28" s="333" t="e">
        <f>SUM(AK28:AM28)/SUM(Y28:AA28)</f>
        <v>#DIV/0!</v>
      </c>
      <c r="AP28" s="334" t="e">
        <f t="shared" si="23"/>
        <v>#DIV/0!</v>
      </c>
      <c r="AQ28" s="304"/>
      <c r="AR28" s="310">
        <f>SUM(AR26:AR27)</f>
        <v>0</v>
      </c>
      <c r="AS28" s="311">
        <f t="shared" ref="AS28:AT28" si="65">SUM(AS26:AS27)</f>
        <v>0</v>
      </c>
      <c r="AT28" s="312">
        <f t="shared" si="65"/>
        <v>0</v>
      </c>
      <c r="AU28" s="304"/>
      <c r="AV28" s="473"/>
      <c r="AW28" s="305"/>
      <c r="AX28" s="304"/>
      <c r="AY28" s="644"/>
      <c r="AZ28" s="468"/>
    </row>
    <row r="29" spans="1:53" x14ac:dyDescent="0.3">
      <c r="A29" s="85">
        <f t="shared" si="4"/>
        <v>22</v>
      </c>
      <c r="B29" s="709" t="str">
        <f>'WA Volumes &amp; Revenues'!B27</f>
        <v>41I Interr Sales</v>
      </c>
      <c r="C29" s="710" t="s">
        <v>4</v>
      </c>
      <c r="D29" s="156"/>
      <c r="E29" s="121">
        <f>'Rates in Detail'!R25-'Rates in Detail'!N25</f>
        <v>1.2539999999999996E-2</v>
      </c>
      <c r="F29" s="121">
        <f>'Rates in Detail'!V25</f>
        <v>-1.5700000000000002E-3</v>
      </c>
      <c r="G29" s="156">
        <f>'[25]Rates in summary'!R27</f>
        <v>0.12279999999999991</v>
      </c>
      <c r="H29" s="156"/>
      <c r="I29" s="368">
        <f>'Rev Req Proof Yr1'!H29</f>
        <v>0.34372999999999998</v>
      </c>
      <c r="J29" s="758">
        <f t="shared" si="10"/>
        <v>0.35626999999999998</v>
      </c>
      <c r="K29" s="156"/>
      <c r="L29" s="154">
        <f>'Rev Req Proof Yr1'!K29</f>
        <v>250</v>
      </c>
      <c r="M29" s="155">
        <f>'Rev Req Proof Yr1'!L29</f>
        <v>250</v>
      </c>
      <c r="N29" s="121">
        <f>'Rev Req Proof Yr1'!M29</f>
        <v>0</v>
      </c>
      <c r="O29" s="121">
        <f>'Rev Req Proof Yr1'!N29</f>
        <v>0</v>
      </c>
      <c r="P29" s="121">
        <f>'Rev Req Proof Yr1'!O29</f>
        <v>0</v>
      </c>
      <c r="Q29" s="758">
        <f>'Rev Req Proof Yr1'!P29</f>
        <v>0</v>
      </c>
      <c r="R29" s="156"/>
      <c r="S29" s="293">
        <v>0</v>
      </c>
      <c r="T29" s="294">
        <f>'Rev Req Proof Yr1'!R29</f>
        <v>0</v>
      </c>
      <c r="U29" s="294"/>
      <c r="V29" s="295">
        <f>'Rev Req Proof Yr1'!T29</f>
        <v>0</v>
      </c>
      <c r="W29" s="296">
        <f>'Rev Req Proof Yr1'!U29</f>
        <v>0</v>
      </c>
      <c r="X29" s="156"/>
      <c r="Y29" s="308">
        <f t="shared" ref="Y29:Y30" si="66">(I29*T29)</f>
        <v>0</v>
      </c>
      <c r="Z29" s="304">
        <f t="shared" ref="Z29:Z30" si="67">(L29*V29*12)</f>
        <v>0</v>
      </c>
      <c r="AA29" s="309">
        <f t="shared" ref="AA29:AA30" si="68">(U29*(N29+P29))*12</f>
        <v>0</v>
      </c>
      <c r="AB29" s="304"/>
      <c r="AC29" s="308">
        <f t="shared" ref="AC29:AC30" si="69">(J29*T29)</f>
        <v>0</v>
      </c>
      <c r="AD29" s="304">
        <f t="shared" ref="AD29:AD30" si="70">(M29*V29*12)</f>
        <v>0</v>
      </c>
      <c r="AE29" s="309">
        <f t="shared" ref="AE29:AE30" si="71">(U29*(O29+Q29))*12</f>
        <v>0</v>
      </c>
      <c r="AF29" s="304"/>
      <c r="AG29" s="308">
        <f t="shared" ref="AG29:AG30" si="72">(F29*T29)</f>
        <v>0</v>
      </c>
      <c r="AH29" s="304">
        <v>0</v>
      </c>
      <c r="AI29" s="309">
        <v>0</v>
      </c>
      <c r="AJ29" s="304"/>
      <c r="AK29" s="308">
        <f t="shared" ref="AK29:AK30" si="73">AC29-Y29+AG29</f>
        <v>0</v>
      </c>
      <c r="AL29" s="304">
        <f t="shared" ref="AL29:AL30" si="74">AD29-Z29-AH29</f>
        <v>0</v>
      </c>
      <c r="AM29" s="309">
        <f t="shared" ref="AM29:AM30" si="75">AE29-AA29-AI29</f>
        <v>0</v>
      </c>
      <c r="AN29" s="304"/>
      <c r="AO29" s="333"/>
      <c r="AP29" s="335" t="e">
        <f t="shared" si="23"/>
        <v>#DIV/0!</v>
      </c>
      <c r="AQ29" s="304"/>
      <c r="AR29" s="308">
        <f t="shared" ref="AR29:AR30" si="76">(G29*S29)</f>
        <v>0</v>
      </c>
      <c r="AS29" s="304">
        <v>0</v>
      </c>
      <c r="AT29" s="309">
        <v>0</v>
      </c>
      <c r="AU29" s="304"/>
      <c r="AV29" s="473"/>
      <c r="AW29" s="1610"/>
      <c r="AX29" s="1610"/>
      <c r="AY29" s="304"/>
      <c r="AZ29" s="468"/>
    </row>
    <row r="30" spans="1:53" x14ac:dyDescent="0.3">
      <c r="A30" s="85">
        <f t="shared" si="4"/>
        <v>23</v>
      </c>
      <c r="B30" s="709"/>
      <c r="C30" s="710" t="s">
        <v>5</v>
      </c>
      <c r="D30" s="156"/>
      <c r="E30" s="121">
        <f>'Rates in Detail'!R26-'Rates in Detail'!N26</f>
        <v>1.1039999999999994E-2</v>
      </c>
      <c r="F30" s="121">
        <f>'Rates in Detail'!V26</f>
        <v>-1.3800000000000002E-3</v>
      </c>
      <c r="G30" s="156">
        <f>'[25]Rates in summary'!R28</f>
        <v>0.12259999999999993</v>
      </c>
      <c r="H30" s="156"/>
      <c r="I30" s="368">
        <f>'Rev Req Proof Yr1'!H30</f>
        <v>0.30285000000000001</v>
      </c>
      <c r="J30" s="758">
        <f t="shared" si="10"/>
        <v>0.31389</v>
      </c>
      <c r="K30" s="156"/>
      <c r="L30" s="154"/>
      <c r="M30" s="155"/>
      <c r="N30" s="121"/>
      <c r="O30" s="121"/>
      <c r="P30" s="121"/>
      <c r="Q30" s="758"/>
      <c r="R30" s="156"/>
      <c r="S30" s="293">
        <v>0</v>
      </c>
      <c r="T30" s="294">
        <f>'Rev Req Proof Yr1'!R30</f>
        <v>0</v>
      </c>
      <c r="U30" s="294"/>
      <c r="V30" s="295"/>
      <c r="W30" s="296"/>
      <c r="X30" s="156"/>
      <c r="Y30" s="308">
        <f t="shared" si="66"/>
        <v>0</v>
      </c>
      <c r="Z30" s="304">
        <f t="shared" si="67"/>
        <v>0</v>
      </c>
      <c r="AA30" s="309">
        <f t="shared" si="68"/>
        <v>0</v>
      </c>
      <c r="AB30" s="304"/>
      <c r="AC30" s="308">
        <f t="shared" si="69"/>
        <v>0</v>
      </c>
      <c r="AD30" s="304">
        <f t="shared" si="70"/>
        <v>0</v>
      </c>
      <c r="AE30" s="309">
        <f t="shared" si="71"/>
        <v>0</v>
      </c>
      <c r="AF30" s="304"/>
      <c r="AG30" s="308">
        <f t="shared" si="72"/>
        <v>0</v>
      </c>
      <c r="AH30" s="304">
        <v>0</v>
      </c>
      <c r="AI30" s="309">
        <v>0</v>
      </c>
      <c r="AJ30" s="304"/>
      <c r="AK30" s="308">
        <f t="shared" si="73"/>
        <v>0</v>
      </c>
      <c r="AL30" s="304">
        <f t="shared" si="74"/>
        <v>0</v>
      </c>
      <c r="AM30" s="309">
        <f t="shared" si="75"/>
        <v>0</v>
      </c>
      <c r="AN30" s="304"/>
      <c r="AO30" s="333"/>
      <c r="AP30" s="335" t="e">
        <f t="shared" si="23"/>
        <v>#DIV/0!</v>
      </c>
      <c r="AQ30" s="304"/>
      <c r="AR30" s="308">
        <f t="shared" si="76"/>
        <v>0</v>
      </c>
      <c r="AS30" s="304">
        <v>0</v>
      </c>
      <c r="AT30" s="309">
        <v>0</v>
      </c>
      <c r="AU30" s="304"/>
      <c r="AV30" s="473"/>
      <c r="AW30" s="1610"/>
      <c r="AX30" s="1610"/>
      <c r="AY30" s="304"/>
      <c r="AZ30" s="643"/>
    </row>
    <row r="31" spans="1:53" x14ac:dyDescent="0.3">
      <c r="A31" s="85">
        <f t="shared" si="4"/>
        <v>24</v>
      </c>
      <c r="B31" s="707"/>
      <c r="C31" s="726" t="s">
        <v>76</v>
      </c>
      <c r="D31" s="152"/>
      <c r="E31" s="122"/>
      <c r="F31" s="122"/>
      <c r="G31" s="152"/>
      <c r="H31" s="152"/>
      <c r="I31" s="363"/>
      <c r="J31" s="757"/>
      <c r="K31" s="156"/>
      <c r="L31" s="154"/>
      <c r="M31" s="155"/>
      <c r="N31" s="121"/>
      <c r="O31" s="121"/>
      <c r="P31" s="121"/>
      <c r="Q31" s="758"/>
      <c r="R31" s="156"/>
      <c r="S31" s="293"/>
      <c r="T31" s="294"/>
      <c r="U31" s="294"/>
      <c r="V31" s="295"/>
      <c r="W31" s="296"/>
      <c r="X31" s="156"/>
      <c r="Y31" s="310">
        <f>SUM(Y29:Y30)</f>
        <v>0</v>
      </c>
      <c r="Z31" s="311">
        <f t="shared" ref="Z31:AA31" si="77">SUM(Z29:Z30)</f>
        <v>0</v>
      </c>
      <c r="AA31" s="312">
        <f t="shared" si="77"/>
        <v>0</v>
      </c>
      <c r="AB31" s="304"/>
      <c r="AC31" s="310">
        <f>SUM(AC29:AC30)</f>
        <v>0</v>
      </c>
      <c r="AD31" s="311">
        <f t="shared" ref="AD31:AE31" si="78">SUM(AD29:AD30)</f>
        <v>0</v>
      </c>
      <c r="AE31" s="312">
        <f t="shared" si="78"/>
        <v>0</v>
      </c>
      <c r="AF31" s="304"/>
      <c r="AG31" s="310">
        <f>SUM(AG29:AG30)</f>
        <v>0</v>
      </c>
      <c r="AH31" s="311">
        <f t="shared" ref="AH31:AI31" si="79">SUM(AH29:AH30)</f>
        <v>0</v>
      </c>
      <c r="AI31" s="312">
        <f t="shared" si="79"/>
        <v>0</v>
      </c>
      <c r="AJ31" s="304"/>
      <c r="AK31" s="310">
        <f>SUM(AK29:AK30)</f>
        <v>0</v>
      </c>
      <c r="AL31" s="311">
        <f t="shared" ref="AL31:AM31" si="80">SUM(AL29:AL30)</f>
        <v>0</v>
      </c>
      <c r="AM31" s="312">
        <f t="shared" si="80"/>
        <v>0</v>
      </c>
      <c r="AN31" s="304"/>
      <c r="AO31" s="333" t="e">
        <f>SUM(AK31:AM31)/SUM(Y31:AA31)</f>
        <v>#DIV/0!</v>
      </c>
      <c r="AP31" s="334" t="e">
        <f t="shared" si="23"/>
        <v>#DIV/0!</v>
      </c>
      <c r="AQ31" s="304"/>
      <c r="AR31" s="310">
        <f>SUM(AR29:AR30)</f>
        <v>0</v>
      </c>
      <c r="AS31" s="311">
        <f t="shared" ref="AS31:AT31" si="81">SUM(AS29:AS30)</f>
        <v>0</v>
      </c>
      <c r="AT31" s="312">
        <f t="shared" si="81"/>
        <v>0</v>
      </c>
      <c r="AU31" s="304"/>
      <c r="AV31" s="473"/>
      <c r="AW31" s="305"/>
      <c r="AX31" s="304"/>
    </row>
    <row r="32" spans="1:53" x14ac:dyDescent="0.3">
      <c r="A32" s="85">
        <f t="shared" si="4"/>
        <v>25</v>
      </c>
      <c r="B32" s="709" t="str">
        <f>'WA Volumes &amp; Revenues'!B29</f>
        <v>41C Firm Transpt</v>
      </c>
      <c r="C32" s="710" t="s">
        <v>4</v>
      </c>
      <c r="D32" s="156"/>
      <c r="E32" s="121">
        <f>'Rates in Detail'!R27-'Rates in Detail'!N27</f>
        <v>2.1269999999999956E-2</v>
      </c>
      <c r="F32" s="121">
        <f>'Rates in Detail'!V27</f>
        <v>-2.5300000000000001E-3</v>
      </c>
      <c r="G32" s="156">
        <f>'[25]Rates in summary'!R23</f>
        <v>2.8000000000000247E-3</v>
      </c>
      <c r="H32" s="156"/>
      <c r="I32" s="368">
        <f>'Rev Req Proof Yr1'!H32</f>
        <v>0.34791</v>
      </c>
      <c r="J32" s="758">
        <f t="shared" si="10"/>
        <v>0.36917999999999995</v>
      </c>
      <c r="K32" s="156"/>
      <c r="L32" s="154">
        <f>'Rev Req Proof Yr1'!K32</f>
        <v>500</v>
      </c>
      <c r="M32" s="155">
        <f>'Rev Req Proof Yr1'!L32</f>
        <v>500</v>
      </c>
      <c r="N32" s="121">
        <f>'Rev Req Proof Yr1'!M32</f>
        <v>0</v>
      </c>
      <c r="O32" s="121">
        <f>'Rev Req Proof Yr1'!N32</f>
        <v>0</v>
      </c>
      <c r="P32" s="121">
        <f>'Rev Req Proof Yr1'!O32</f>
        <v>0</v>
      </c>
      <c r="Q32" s="758">
        <f>'Rev Req Proof Yr1'!P32</f>
        <v>0</v>
      </c>
      <c r="R32" s="156"/>
      <c r="S32" s="293">
        <v>165422</v>
      </c>
      <c r="T32" s="294">
        <f>'Rev Req Proof Yr1'!R32</f>
        <v>168721</v>
      </c>
      <c r="U32" s="294"/>
      <c r="V32" s="295">
        <f>'Rev Req Proof Yr1'!T32</f>
        <v>7.916666666666667</v>
      </c>
      <c r="W32" s="296">
        <f>'Rev Req Proof Yr1'!U32</f>
        <v>4648</v>
      </c>
      <c r="X32" s="156"/>
      <c r="Y32" s="308">
        <f t="shared" ref="Y32:Y33" si="82">(I32*T32)</f>
        <v>58699.723109999999</v>
      </c>
      <c r="Z32" s="304">
        <f t="shared" ref="Z32:Z33" si="83">(L32*V32*12)</f>
        <v>47500</v>
      </c>
      <c r="AA32" s="309">
        <f t="shared" ref="AA32:AA33" si="84">(U32*(N32+P32))*12</f>
        <v>0</v>
      </c>
      <c r="AB32" s="304"/>
      <c r="AC32" s="308">
        <f t="shared" ref="AC32:AC33" si="85">(J32*T32)</f>
        <v>62288.418779999993</v>
      </c>
      <c r="AD32" s="304">
        <f t="shared" ref="AD32:AD33" si="86">(M32*V32*12)</f>
        <v>47500</v>
      </c>
      <c r="AE32" s="309">
        <f t="shared" ref="AE32:AE33" si="87">(U32*(O32+Q32))*12</f>
        <v>0</v>
      </c>
      <c r="AF32" s="304"/>
      <c r="AG32" s="308">
        <f t="shared" ref="AG32:AG33" si="88">(F32*T32)</f>
        <v>-426.86413000000005</v>
      </c>
      <c r="AH32" s="304">
        <v>0</v>
      </c>
      <c r="AI32" s="309">
        <v>0</v>
      </c>
      <c r="AJ32" s="304"/>
      <c r="AK32" s="308">
        <f t="shared" ref="AK32:AK33" si="89">AC32-Y32+AG32</f>
        <v>3161.8315399999938</v>
      </c>
      <c r="AL32" s="304">
        <f t="shared" ref="AL32:AL33" si="90">AD32-Z32-AH32</f>
        <v>0</v>
      </c>
      <c r="AM32" s="309">
        <f t="shared" ref="AM32:AM33" si="91">AE32-AA32-AI32</f>
        <v>0</v>
      </c>
      <c r="AN32" s="304"/>
      <c r="AO32" s="333"/>
      <c r="AP32" s="335">
        <f t="shared" ref="AP32:AP34" si="92">SUM(AK32)/SUM(Y32)</f>
        <v>5.386450518812326E-2</v>
      </c>
      <c r="AQ32" s="304"/>
      <c r="AR32" s="308">
        <f t="shared" ref="AR32:AR33" si="93">(G32*S32)</f>
        <v>463.1816000000041</v>
      </c>
      <c r="AS32" s="304">
        <v>0</v>
      </c>
      <c r="AT32" s="309">
        <v>0</v>
      </c>
      <c r="AU32" s="304"/>
      <c r="AV32" s="473"/>
      <c r="AW32" s="1610"/>
      <c r="AX32" s="1610"/>
      <c r="AY32" s="304"/>
      <c r="AZ32" s="468"/>
    </row>
    <row r="33" spans="1:52" x14ac:dyDescent="0.3">
      <c r="A33" s="85">
        <f t="shared" si="4"/>
        <v>26</v>
      </c>
      <c r="B33" s="709"/>
      <c r="C33" s="710" t="s">
        <v>5</v>
      </c>
      <c r="D33" s="156"/>
      <c r="E33" s="121">
        <f>'Rates in Detail'!R28-'Rates in Detail'!N28</f>
        <v>1.8739999999999979E-2</v>
      </c>
      <c r="F33" s="121">
        <f>'Rates in Detail'!V28</f>
        <v>-2.2300000000000002E-3</v>
      </c>
      <c r="G33" s="156">
        <f>'[25]Rates in summary'!R24</f>
        <v>2.4799999999999822E-3</v>
      </c>
      <c r="H33" s="156"/>
      <c r="I33" s="368">
        <f>'Rev Req Proof Yr1'!H33</f>
        <v>0.30653000000000002</v>
      </c>
      <c r="J33" s="758">
        <f t="shared" si="10"/>
        <v>0.32527</v>
      </c>
      <c r="K33" s="156"/>
      <c r="L33" s="154"/>
      <c r="M33" s="155"/>
      <c r="N33" s="121"/>
      <c r="O33" s="121"/>
      <c r="P33" s="121"/>
      <c r="Q33" s="758"/>
      <c r="R33" s="156"/>
      <c r="S33" s="293">
        <v>265030</v>
      </c>
      <c r="T33" s="294">
        <f>'Rev Req Proof Yr1'!R33</f>
        <v>272866</v>
      </c>
      <c r="U33" s="294"/>
      <c r="V33" s="295"/>
      <c r="W33" s="296"/>
      <c r="X33" s="156"/>
      <c r="Y33" s="308">
        <f t="shared" si="82"/>
        <v>83641.614980000013</v>
      </c>
      <c r="Z33" s="304">
        <f t="shared" si="83"/>
        <v>0</v>
      </c>
      <c r="AA33" s="309">
        <f t="shared" si="84"/>
        <v>0</v>
      </c>
      <c r="AB33" s="304"/>
      <c r="AC33" s="308">
        <f t="shared" si="85"/>
        <v>88755.123820000008</v>
      </c>
      <c r="AD33" s="304">
        <f t="shared" si="86"/>
        <v>0</v>
      </c>
      <c r="AE33" s="309">
        <f t="shared" si="87"/>
        <v>0</v>
      </c>
      <c r="AF33" s="304"/>
      <c r="AG33" s="308">
        <f t="shared" si="88"/>
        <v>-608.4911800000001</v>
      </c>
      <c r="AH33" s="304">
        <v>0</v>
      </c>
      <c r="AI33" s="309">
        <v>0</v>
      </c>
      <c r="AJ33" s="304"/>
      <c r="AK33" s="308">
        <f t="shared" si="89"/>
        <v>4505.017659999995</v>
      </c>
      <c r="AL33" s="304">
        <f t="shared" si="90"/>
        <v>0</v>
      </c>
      <c r="AM33" s="309">
        <f t="shared" si="91"/>
        <v>0</v>
      </c>
      <c r="AN33" s="304"/>
      <c r="AO33" s="333"/>
      <c r="AP33" s="335">
        <f t="shared" si="92"/>
        <v>5.3860959775552081E-2</v>
      </c>
      <c r="AQ33" s="304"/>
      <c r="AR33" s="308">
        <f t="shared" si="93"/>
        <v>657.27439999999524</v>
      </c>
      <c r="AS33" s="304">
        <v>0</v>
      </c>
      <c r="AT33" s="309">
        <v>0</v>
      </c>
      <c r="AU33" s="304"/>
      <c r="AV33" s="473"/>
      <c r="AW33" s="1610"/>
      <c r="AX33" s="1610"/>
      <c r="AY33" s="304"/>
      <c r="AZ33" s="643"/>
    </row>
    <row r="34" spans="1:52" x14ac:dyDescent="0.3">
      <c r="A34" s="85">
        <f t="shared" si="4"/>
        <v>27</v>
      </c>
      <c r="B34" s="707"/>
      <c r="C34" s="726" t="s">
        <v>76</v>
      </c>
      <c r="D34" s="152"/>
      <c r="E34" s="122"/>
      <c r="F34" s="122"/>
      <c r="G34" s="152"/>
      <c r="H34" s="152"/>
      <c r="I34" s="363"/>
      <c r="J34" s="757"/>
      <c r="K34" s="156"/>
      <c r="L34" s="154"/>
      <c r="M34" s="155"/>
      <c r="N34" s="121"/>
      <c r="O34" s="121"/>
      <c r="P34" s="121"/>
      <c r="Q34" s="758"/>
      <c r="R34" s="156"/>
      <c r="S34" s="293"/>
      <c r="T34" s="294"/>
      <c r="U34" s="294"/>
      <c r="V34" s="295"/>
      <c r="W34" s="296"/>
      <c r="X34" s="156"/>
      <c r="Y34" s="310">
        <f>SUM(Y32:Y33)</f>
        <v>142341.33809</v>
      </c>
      <c r="Z34" s="311">
        <f t="shared" ref="Z34:AA34" si="94">SUM(Z32:Z33)</f>
        <v>47500</v>
      </c>
      <c r="AA34" s="312">
        <f t="shared" si="94"/>
        <v>0</v>
      </c>
      <c r="AB34" s="304"/>
      <c r="AC34" s="310">
        <f>SUM(AC32:AC33)</f>
        <v>151043.54259999999</v>
      </c>
      <c r="AD34" s="311">
        <f t="shared" ref="AD34:AE34" si="95">SUM(AD32:AD33)</f>
        <v>47500</v>
      </c>
      <c r="AE34" s="312">
        <f t="shared" si="95"/>
        <v>0</v>
      </c>
      <c r="AF34" s="304"/>
      <c r="AG34" s="310">
        <f>SUM(AG32:AG33)</f>
        <v>-1035.3553100000001</v>
      </c>
      <c r="AH34" s="311">
        <f t="shared" ref="AH34:AI34" si="96">SUM(AH32:AH33)</f>
        <v>0</v>
      </c>
      <c r="AI34" s="312">
        <f t="shared" si="96"/>
        <v>0</v>
      </c>
      <c r="AJ34" s="304"/>
      <c r="AK34" s="310">
        <f>SUM(AK32:AK33)</f>
        <v>7666.8491999999887</v>
      </c>
      <c r="AL34" s="311">
        <f t="shared" ref="AL34:AM34" si="97">SUM(AL32:AL33)</f>
        <v>0</v>
      </c>
      <c r="AM34" s="312">
        <f t="shared" si="97"/>
        <v>0</v>
      </c>
      <c r="AN34" s="304"/>
      <c r="AO34" s="333">
        <f>SUM(AK34:AM34)/SUM(Y34:AA34)</f>
        <v>4.0385562370853535E-2</v>
      </c>
      <c r="AP34" s="334">
        <f t="shared" si="92"/>
        <v>5.3862421857748526E-2</v>
      </c>
      <c r="AQ34" s="304"/>
      <c r="AR34" s="310">
        <f>SUM(AR32:AR33)</f>
        <v>1120.4559999999992</v>
      </c>
      <c r="AS34" s="311">
        <f t="shared" ref="AS34:AT34" si="98">SUM(AS32:AS33)</f>
        <v>0</v>
      </c>
      <c r="AT34" s="312">
        <f t="shared" si="98"/>
        <v>0</v>
      </c>
      <c r="AU34" s="304"/>
      <c r="AV34" s="473"/>
      <c r="AW34" s="305"/>
      <c r="AX34" s="304"/>
    </row>
    <row r="35" spans="1:52" x14ac:dyDescent="0.3">
      <c r="A35" s="85">
        <f t="shared" si="4"/>
        <v>28</v>
      </c>
      <c r="B35" s="709" t="str">
        <f>'WA Volumes &amp; Revenues'!B31</f>
        <v>41I Firm Transpt</v>
      </c>
      <c r="C35" s="710" t="s">
        <v>4</v>
      </c>
      <c r="D35" s="156"/>
      <c r="E35" s="121">
        <f>'Rates in Detail'!R29-'Rates in Detail'!N29</f>
        <v>1.2690000000000035E-2</v>
      </c>
      <c r="F35" s="121">
        <f>'Rates in Detail'!V29</f>
        <v>-1.5799999999999998E-3</v>
      </c>
      <c r="G35" s="156">
        <f>'[25]Rates in summary'!R23</f>
        <v>2.8000000000000247E-3</v>
      </c>
      <c r="H35" s="156"/>
      <c r="I35" s="368">
        <f>'Rev Req Proof Yr1'!H35</f>
        <v>0.34791</v>
      </c>
      <c r="J35" s="758">
        <f t="shared" si="10"/>
        <v>0.36060000000000003</v>
      </c>
      <c r="K35" s="156"/>
      <c r="L35" s="154">
        <f>'Rev Req Proof Yr1'!K35</f>
        <v>500</v>
      </c>
      <c r="M35" s="155">
        <f>'Rev Req Proof Yr1'!L35</f>
        <v>500</v>
      </c>
      <c r="N35" s="121">
        <f>'Rev Req Proof Yr1'!M35</f>
        <v>0</v>
      </c>
      <c r="O35" s="121">
        <f>'Rev Req Proof Yr1'!N35</f>
        <v>0</v>
      </c>
      <c r="P35" s="121">
        <f>'Rev Req Proof Yr1'!O35</f>
        <v>0</v>
      </c>
      <c r="Q35" s="758">
        <f>'Rev Req Proof Yr1'!P35</f>
        <v>0</v>
      </c>
      <c r="R35" s="156"/>
      <c r="S35" s="293">
        <f>'Rev Req Proof Yr1'!Q35</f>
        <v>0</v>
      </c>
      <c r="T35" s="294">
        <f>'Rev Req Proof Yr1'!R35</f>
        <v>0</v>
      </c>
      <c r="U35" s="294"/>
      <c r="V35" s="295">
        <f>'Rev Req Proof Yr1'!T35</f>
        <v>0</v>
      </c>
      <c r="W35" s="296">
        <f>'Rev Req Proof Yr1'!U35</f>
        <v>0</v>
      </c>
      <c r="X35" s="156"/>
      <c r="Y35" s="308">
        <f t="shared" ref="Y35:Y36" si="99">(I35*T35)</f>
        <v>0</v>
      </c>
      <c r="Z35" s="304">
        <f t="shared" ref="Z35:Z36" si="100">(L35*V35*12)</f>
        <v>0</v>
      </c>
      <c r="AA35" s="309">
        <f t="shared" ref="AA35:AA36" si="101">(U35*(N35+P35))*12</f>
        <v>0</v>
      </c>
      <c r="AB35" s="304"/>
      <c r="AC35" s="308">
        <f t="shared" ref="AC35:AC36" si="102">(J35*T35)</f>
        <v>0</v>
      </c>
      <c r="AD35" s="304">
        <f t="shared" ref="AD35:AD36" si="103">(M35*V35*12)</f>
        <v>0</v>
      </c>
      <c r="AE35" s="309">
        <f t="shared" ref="AE35:AE36" si="104">(U35*(O35+Q35))*12</f>
        <v>0</v>
      </c>
      <c r="AF35" s="304"/>
      <c r="AG35" s="308">
        <f t="shared" ref="AG35:AG36" si="105">(F35*T35)</f>
        <v>0</v>
      </c>
      <c r="AH35" s="304">
        <v>0</v>
      </c>
      <c r="AI35" s="309">
        <v>0</v>
      </c>
      <c r="AJ35" s="304"/>
      <c r="AK35" s="308">
        <f t="shared" ref="AK35:AK36" si="106">AC35-Y35+AG35</f>
        <v>0</v>
      </c>
      <c r="AL35" s="304">
        <f t="shared" ref="AL35:AL36" si="107">AD35-Z35-AH35</f>
        <v>0</v>
      </c>
      <c r="AM35" s="309">
        <f t="shared" ref="AM35:AM36" si="108">AE35-AA35-AI35</f>
        <v>0</v>
      </c>
      <c r="AN35" s="304"/>
      <c r="AO35" s="333"/>
      <c r="AP35" s="335" t="e">
        <f t="shared" si="23"/>
        <v>#DIV/0!</v>
      </c>
      <c r="AQ35" s="304"/>
      <c r="AR35" s="308">
        <f t="shared" ref="AR35:AR36" si="109">(G35*S35)</f>
        <v>0</v>
      </c>
      <c r="AS35" s="304">
        <v>0</v>
      </c>
      <c r="AT35" s="309">
        <v>0</v>
      </c>
      <c r="AU35" s="304"/>
      <c r="AV35" s="473"/>
      <c r="AW35" s="1610"/>
      <c r="AX35" s="1610"/>
      <c r="AY35" s="304"/>
    </row>
    <row r="36" spans="1:52" x14ac:dyDescent="0.3">
      <c r="A36" s="85">
        <f t="shared" si="4"/>
        <v>29</v>
      </c>
      <c r="B36" s="709"/>
      <c r="C36" s="710" t="s">
        <v>5</v>
      </c>
      <c r="D36" s="156"/>
      <c r="E36" s="121">
        <f>'Rates in Detail'!R30-'Rates in Detail'!N30</f>
        <v>1.1180000000000023E-2</v>
      </c>
      <c r="F36" s="121">
        <f>'Rates in Detail'!V30</f>
        <v>-1.4000000000000002E-3</v>
      </c>
      <c r="G36" s="156">
        <f>'[25]Rates in summary'!R24</f>
        <v>2.4799999999999822E-3</v>
      </c>
      <c r="H36" s="156"/>
      <c r="I36" s="368">
        <f>'Rev Req Proof Yr1'!H36</f>
        <v>0.30653000000000002</v>
      </c>
      <c r="J36" s="758">
        <f t="shared" si="10"/>
        <v>0.31771000000000005</v>
      </c>
      <c r="K36" s="156"/>
      <c r="L36" s="268"/>
      <c r="M36" s="54"/>
      <c r="N36" s="121"/>
      <c r="O36" s="121"/>
      <c r="P36" s="121"/>
      <c r="Q36" s="758"/>
      <c r="R36" s="156"/>
      <c r="S36" s="293">
        <f>'Rev Req Proof Yr1'!Q36</f>
        <v>0</v>
      </c>
      <c r="T36" s="294">
        <f>'Rev Req Proof Yr1'!R36</f>
        <v>0</v>
      </c>
      <c r="U36" s="294"/>
      <c r="V36" s="295"/>
      <c r="W36" s="296"/>
      <c r="X36" s="156"/>
      <c r="Y36" s="308">
        <f t="shared" si="99"/>
        <v>0</v>
      </c>
      <c r="Z36" s="304">
        <f t="shared" si="100"/>
        <v>0</v>
      </c>
      <c r="AA36" s="309">
        <f t="shared" si="101"/>
        <v>0</v>
      </c>
      <c r="AB36" s="304"/>
      <c r="AC36" s="308">
        <f t="shared" si="102"/>
        <v>0</v>
      </c>
      <c r="AD36" s="304">
        <f t="shared" si="103"/>
        <v>0</v>
      </c>
      <c r="AE36" s="309">
        <f t="shared" si="104"/>
        <v>0</v>
      </c>
      <c r="AF36" s="304"/>
      <c r="AG36" s="308">
        <f t="shared" si="105"/>
        <v>0</v>
      </c>
      <c r="AH36" s="304">
        <v>0</v>
      </c>
      <c r="AI36" s="309">
        <v>0</v>
      </c>
      <c r="AJ36" s="304"/>
      <c r="AK36" s="308">
        <f t="shared" si="106"/>
        <v>0</v>
      </c>
      <c r="AL36" s="304">
        <f t="shared" si="107"/>
        <v>0</v>
      </c>
      <c r="AM36" s="309">
        <f t="shared" si="108"/>
        <v>0</v>
      </c>
      <c r="AN36" s="304"/>
      <c r="AO36" s="333"/>
      <c r="AP36" s="335" t="e">
        <f t="shared" si="23"/>
        <v>#DIV/0!</v>
      </c>
      <c r="AQ36" s="304"/>
      <c r="AR36" s="308">
        <f t="shared" si="109"/>
        <v>0</v>
      </c>
      <c r="AS36" s="304">
        <v>0</v>
      </c>
      <c r="AT36" s="309">
        <v>0</v>
      </c>
      <c r="AU36" s="304"/>
      <c r="AV36" s="473"/>
      <c r="AW36" s="1610"/>
      <c r="AX36" s="1610"/>
      <c r="AY36" s="304"/>
    </row>
    <row r="37" spans="1:52" x14ac:dyDescent="0.3">
      <c r="A37" s="85">
        <f t="shared" si="4"/>
        <v>30</v>
      </c>
      <c r="B37" s="707"/>
      <c r="C37" s="726" t="s">
        <v>76</v>
      </c>
      <c r="D37" s="152"/>
      <c r="E37" s="122"/>
      <c r="F37" s="122"/>
      <c r="G37" s="152"/>
      <c r="H37" s="152"/>
      <c r="I37" s="363"/>
      <c r="J37" s="757"/>
      <c r="K37" s="156"/>
      <c r="L37" s="268"/>
      <c r="M37" s="54"/>
      <c r="N37" s="121"/>
      <c r="O37" s="121"/>
      <c r="P37" s="121"/>
      <c r="Q37" s="758"/>
      <c r="R37" s="156"/>
      <c r="S37" s="293"/>
      <c r="T37" s="294"/>
      <c r="U37" s="294"/>
      <c r="V37" s="295"/>
      <c r="W37" s="296"/>
      <c r="X37" s="156"/>
      <c r="Y37" s="310">
        <f>SUM(Y35:Y36)</f>
        <v>0</v>
      </c>
      <c r="Z37" s="311">
        <f t="shared" ref="Z37:AA37" si="110">SUM(Z35:Z36)</f>
        <v>0</v>
      </c>
      <c r="AA37" s="312">
        <f t="shared" si="110"/>
        <v>0</v>
      </c>
      <c r="AB37" s="304"/>
      <c r="AC37" s="310">
        <f>SUM(AC35:AC36)</f>
        <v>0</v>
      </c>
      <c r="AD37" s="311">
        <f t="shared" ref="AD37:AE37" si="111">SUM(AD35:AD36)</f>
        <v>0</v>
      </c>
      <c r="AE37" s="312">
        <f t="shared" si="111"/>
        <v>0</v>
      </c>
      <c r="AF37" s="304"/>
      <c r="AG37" s="310">
        <f>SUM(AG35:AG36)</f>
        <v>0</v>
      </c>
      <c r="AH37" s="311">
        <f t="shared" ref="AH37:AI37" si="112">SUM(AH35:AH36)</f>
        <v>0</v>
      </c>
      <c r="AI37" s="312">
        <f t="shared" si="112"/>
        <v>0</v>
      </c>
      <c r="AJ37" s="304"/>
      <c r="AK37" s="310">
        <f>SUM(AK35:AK36)</f>
        <v>0</v>
      </c>
      <c r="AL37" s="311">
        <f t="shared" ref="AL37:AM37" si="113">SUM(AL35:AL36)</f>
        <v>0</v>
      </c>
      <c r="AM37" s="312">
        <f t="shared" si="113"/>
        <v>0</v>
      </c>
      <c r="AN37" s="304"/>
      <c r="AO37" s="333" t="e">
        <f>SUM(AK37:AM37)/SUM(Y37:AA37)</f>
        <v>#DIV/0!</v>
      </c>
      <c r="AP37" s="334" t="e">
        <f t="shared" si="23"/>
        <v>#DIV/0!</v>
      </c>
      <c r="AQ37" s="304"/>
      <c r="AR37" s="310">
        <f>SUM(AR35:AR36)</f>
        <v>0</v>
      </c>
      <c r="AS37" s="311">
        <f t="shared" ref="AS37:AT37" si="114">SUM(AS35:AS36)</f>
        <v>0</v>
      </c>
      <c r="AT37" s="312">
        <f t="shared" si="114"/>
        <v>0</v>
      </c>
      <c r="AU37" s="304"/>
      <c r="AV37" s="473"/>
      <c r="AW37" s="305"/>
      <c r="AX37" s="304"/>
    </row>
    <row r="38" spans="1:52" x14ac:dyDescent="0.3">
      <c r="A38" s="85">
        <f t="shared" si="4"/>
        <v>31</v>
      </c>
      <c r="B38" s="709" t="str">
        <f>'WA Volumes &amp; Revenues'!B33</f>
        <v>42C Firm Sales</v>
      </c>
      <c r="C38" s="710" t="s">
        <v>4</v>
      </c>
      <c r="D38" s="156"/>
      <c r="E38" s="121">
        <f>'Rates in Detail'!R31-'Rates in Detail'!N31</f>
        <v>3.4679999999999989E-2</v>
      </c>
      <c r="F38" s="121">
        <f>'Rates in Detail'!V31</f>
        <v>-7.43E-3</v>
      </c>
      <c r="G38" s="156">
        <f>'[25]Rates in summary'!R29</f>
        <v>0.10028999999999993</v>
      </c>
      <c r="H38" s="156"/>
      <c r="I38" s="368">
        <f>'Rev Req Proof Yr1'!H38</f>
        <v>0.15246000000000001</v>
      </c>
      <c r="J38" s="758">
        <f t="shared" si="10"/>
        <v>0.18714</v>
      </c>
      <c r="K38" s="156"/>
      <c r="L38" s="154">
        <f>'Rev Req Proof Yr1'!K38</f>
        <v>1300</v>
      </c>
      <c r="M38" s="155">
        <f>'Rev Req Proof Yr1'!L38</f>
        <v>1300</v>
      </c>
      <c r="N38" s="121">
        <f>'Rev Req Proof Yr1'!M38</f>
        <v>0.15748000000000001</v>
      </c>
      <c r="O38" s="121">
        <f>'Rev Req Proof Yr1'!N38</f>
        <v>0.15748000000000001</v>
      </c>
      <c r="P38" s="121">
        <f>'Rev Req Proof Yr1'!O38</f>
        <v>0.20415</v>
      </c>
      <c r="Q38" s="758">
        <f>'Rev Req Proof Yr1'!P38</f>
        <v>0.20415</v>
      </c>
      <c r="R38" s="156"/>
      <c r="S38" s="293">
        <v>650322.5</v>
      </c>
      <c r="T38" s="294">
        <f>'Rev Req Proof Yr1'!R38</f>
        <v>350769.66174469434</v>
      </c>
      <c r="U38" s="294">
        <f>'Rev Req Proof Yr1'!S38</f>
        <v>6761</v>
      </c>
      <c r="V38" s="295">
        <f>'Rev Req Proof Yr1'!T38</f>
        <v>5</v>
      </c>
      <c r="W38" s="296">
        <f>'Rev Req Proof Yr1'!U38</f>
        <v>11949</v>
      </c>
      <c r="X38" s="156"/>
      <c r="Y38" s="308">
        <f t="shared" ref="Y38:Y43" si="115">(I38*T38)</f>
        <v>53478.342629596104</v>
      </c>
      <c r="Z38" s="304">
        <f t="shared" ref="Z38:Z43" si="116">(L38*V38*12)</f>
        <v>78000</v>
      </c>
      <c r="AA38" s="309">
        <f t="shared" ref="AA38:AA43" si="117">(U38*(N38+P38))*12</f>
        <v>29339.765160000003</v>
      </c>
      <c r="AB38" s="304"/>
      <c r="AC38" s="308">
        <f t="shared" ref="AC38:AC43" si="118">(J38*T38)</f>
        <v>65643.034498902096</v>
      </c>
      <c r="AD38" s="304">
        <f t="shared" ref="AD38:AD43" si="119">(M38*V38*12)</f>
        <v>78000</v>
      </c>
      <c r="AE38" s="309">
        <f t="shared" ref="AE38:AE43" si="120">(U38*(O38+Q38))*12</f>
        <v>29339.765160000003</v>
      </c>
      <c r="AF38" s="304"/>
      <c r="AG38" s="308">
        <f t="shared" ref="AG38:AG43" si="121">(F38*T38)</f>
        <v>-2606.2185867630787</v>
      </c>
      <c r="AH38" s="304">
        <v>0</v>
      </c>
      <c r="AI38" s="309">
        <v>0</v>
      </c>
      <c r="AJ38" s="304"/>
      <c r="AK38" s="308">
        <f t="shared" ref="AK38:AK43" si="122">AC38-Y38+AG38</f>
        <v>9558.4732825429128</v>
      </c>
      <c r="AL38" s="304">
        <f t="shared" ref="AL38:AL43" si="123">AD38-Z38-AH38</f>
        <v>0</v>
      </c>
      <c r="AM38" s="309">
        <f t="shared" ref="AM38:AM43" si="124">AE38-AA38-AI38</f>
        <v>0</v>
      </c>
      <c r="AN38" s="304"/>
      <c r="AO38" s="333"/>
      <c r="AP38" s="335">
        <f t="shared" si="23"/>
        <v>0.17873540600813312</v>
      </c>
      <c r="AQ38" s="304"/>
      <c r="AR38" s="308">
        <f t="shared" ref="AR38:AR43" si="125">(G38*S38)</f>
        <v>65220.84352499996</v>
      </c>
      <c r="AS38" s="304">
        <v>0</v>
      </c>
      <c r="AT38" s="309">
        <v>0</v>
      </c>
      <c r="AU38" s="304"/>
      <c r="AV38" s="473"/>
      <c r="AW38" s="1610"/>
      <c r="AX38" s="1610"/>
      <c r="AY38" s="304"/>
    </row>
    <row r="39" spans="1:52" x14ac:dyDescent="0.3">
      <c r="A39" s="85">
        <f t="shared" si="4"/>
        <v>32</v>
      </c>
      <c r="B39" s="709"/>
      <c r="C39" s="710" t="s">
        <v>5</v>
      </c>
      <c r="D39" s="156"/>
      <c r="E39" s="121">
        <f>'Rates in Detail'!R32-'Rates in Detail'!N32</f>
        <v>3.1040000000000012E-2</v>
      </c>
      <c r="F39" s="121">
        <f>'Rates in Detail'!V32</f>
        <v>-6.6499999999999997E-3</v>
      </c>
      <c r="G39" s="156">
        <f>'[25]Rates in summary'!R30</f>
        <v>9.9729999999999874E-2</v>
      </c>
      <c r="H39" s="156"/>
      <c r="I39" s="368">
        <f>'Rev Req Proof Yr1'!H39</f>
        <v>0.13647000000000001</v>
      </c>
      <c r="J39" s="758">
        <f t="shared" si="10"/>
        <v>0.16751000000000002</v>
      </c>
      <c r="K39" s="156"/>
      <c r="L39" s="154"/>
      <c r="M39" s="155"/>
      <c r="N39" s="121"/>
      <c r="O39" s="121"/>
      <c r="P39" s="121"/>
      <c r="Q39" s="758"/>
      <c r="R39" s="156"/>
      <c r="S39" s="293">
        <v>623339.4</v>
      </c>
      <c r="T39" s="294">
        <f>'Rev Req Proof Yr1'!R39</f>
        <v>303088.75426472601</v>
      </c>
      <c r="U39" s="294"/>
      <c r="V39" s="295"/>
      <c r="W39" s="296"/>
      <c r="X39" s="156"/>
      <c r="Y39" s="308">
        <f t="shared" si="115"/>
        <v>41362.522294507158</v>
      </c>
      <c r="Z39" s="304">
        <f t="shared" si="116"/>
        <v>0</v>
      </c>
      <c r="AA39" s="309">
        <f t="shared" si="117"/>
        <v>0</v>
      </c>
      <c r="AB39" s="304"/>
      <c r="AC39" s="308">
        <f t="shared" si="118"/>
        <v>50770.397226884263</v>
      </c>
      <c r="AD39" s="304">
        <f t="shared" si="119"/>
        <v>0</v>
      </c>
      <c r="AE39" s="309">
        <f t="shared" si="120"/>
        <v>0</v>
      </c>
      <c r="AF39" s="304"/>
      <c r="AG39" s="308">
        <f t="shared" si="121"/>
        <v>-2015.5402158604279</v>
      </c>
      <c r="AH39" s="304">
        <v>0</v>
      </c>
      <c r="AI39" s="309">
        <v>0</v>
      </c>
      <c r="AJ39" s="304"/>
      <c r="AK39" s="308">
        <f t="shared" si="122"/>
        <v>7392.3347165166761</v>
      </c>
      <c r="AL39" s="304">
        <f t="shared" si="123"/>
        <v>0</v>
      </c>
      <c r="AM39" s="309">
        <f t="shared" si="124"/>
        <v>0</v>
      </c>
      <c r="AN39" s="304"/>
      <c r="AO39" s="333"/>
      <c r="AP39" s="335">
        <f t="shared" si="23"/>
        <v>0.178720597933612</v>
      </c>
      <c r="AQ39" s="304"/>
      <c r="AR39" s="308">
        <f t="shared" si="125"/>
        <v>62165.638361999925</v>
      </c>
      <c r="AS39" s="304">
        <v>0</v>
      </c>
      <c r="AT39" s="309">
        <v>0</v>
      </c>
      <c r="AU39" s="304"/>
      <c r="AV39" s="473"/>
      <c r="AW39" s="1610"/>
      <c r="AX39" s="1610"/>
      <c r="AY39" s="304"/>
    </row>
    <row r="40" spans="1:52" x14ac:dyDescent="0.3">
      <c r="A40" s="85">
        <f t="shared" si="4"/>
        <v>33</v>
      </c>
      <c r="B40" s="709"/>
      <c r="C40" s="710" t="s">
        <v>6</v>
      </c>
      <c r="D40" s="156"/>
      <c r="E40" s="121">
        <f>'Rates in Detail'!R33-'Rates in Detail'!N33</f>
        <v>2.3809999999999998E-2</v>
      </c>
      <c r="F40" s="121">
        <f>'Rates in Detail'!V33</f>
        <v>-5.1100000000000008E-3</v>
      </c>
      <c r="G40" s="156">
        <f>'[25]Rates in summary'!R31</f>
        <v>9.863999999999995E-2</v>
      </c>
      <c r="H40" s="156"/>
      <c r="I40" s="368">
        <f>'Rev Req Proof Yr1'!H40</f>
        <v>0.10467</v>
      </c>
      <c r="J40" s="758">
        <f t="shared" si="10"/>
        <v>0.12847999999999998</v>
      </c>
      <c r="K40" s="156"/>
      <c r="L40" s="268"/>
      <c r="M40" s="54"/>
      <c r="N40" s="121"/>
      <c r="O40" s="121"/>
      <c r="P40" s="121"/>
      <c r="Q40" s="758"/>
      <c r="R40" s="156"/>
      <c r="S40" s="293">
        <v>149794.4</v>
      </c>
      <c r="T40" s="294">
        <f>'Rev Req Proof Yr1'!R40</f>
        <v>59441.942130257296</v>
      </c>
      <c r="U40" s="294"/>
      <c r="V40" s="295"/>
      <c r="W40" s="296"/>
      <c r="X40" s="156"/>
      <c r="Y40" s="308">
        <f t="shared" si="115"/>
        <v>6221.788082774031</v>
      </c>
      <c r="Z40" s="304">
        <f t="shared" si="116"/>
        <v>0</v>
      </c>
      <c r="AA40" s="309">
        <f t="shared" si="117"/>
        <v>0</v>
      </c>
      <c r="AB40" s="304"/>
      <c r="AC40" s="308">
        <f t="shared" si="118"/>
        <v>7637.1007248954566</v>
      </c>
      <c r="AD40" s="304">
        <f t="shared" si="119"/>
        <v>0</v>
      </c>
      <c r="AE40" s="309">
        <f t="shared" si="120"/>
        <v>0</v>
      </c>
      <c r="AF40" s="304"/>
      <c r="AG40" s="308">
        <f t="shared" si="121"/>
        <v>-303.74832428561484</v>
      </c>
      <c r="AH40" s="304">
        <v>0</v>
      </c>
      <c r="AI40" s="309">
        <v>0</v>
      </c>
      <c r="AJ40" s="304"/>
      <c r="AK40" s="308">
        <f t="shared" si="122"/>
        <v>1111.5643178358107</v>
      </c>
      <c r="AL40" s="304">
        <f t="shared" si="123"/>
        <v>0</v>
      </c>
      <c r="AM40" s="309">
        <f t="shared" si="124"/>
        <v>0</v>
      </c>
      <c r="AN40" s="304"/>
      <c r="AO40" s="333"/>
      <c r="AP40" s="335">
        <f t="shared" si="23"/>
        <v>0.17865673067736684</v>
      </c>
      <c r="AQ40" s="304"/>
      <c r="AR40" s="308">
        <f t="shared" si="125"/>
        <v>14775.719615999991</v>
      </c>
      <c r="AS40" s="304">
        <v>0</v>
      </c>
      <c r="AT40" s="309">
        <v>0</v>
      </c>
      <c r="AU40" s="304"/>
      <c r="AV40" s="473"/>
      <c r="AW40" s="1610"/>
      <c r="AX40" s="1610"/>
      <c r="AY40" s="304"/>
    </row>
    <row r="41" spans="1:52" x14ac:dyDescent="0.3">
      <c r="A41" s="85">
        <f t="shared" si="4"/>
        <v>34</v>
      </c>
      <c r="B41" s="709"/>
      <c r="C41" s="710" t="s">
        <v>7</v>
      </c>
      <c r="D41" s="156"/>
      <c r="E41" s="121">
        <f>'Rates in Detail'!R34-'Rates in Detail'!N34</f>
        <v>1.9040000000000015E-2</v>
      </c>
      <c r="F41" s="121">
        <f>'Rates in Detail'!V34</f>
        <v>-4.0800000000000003E-3</v>
      </c>
      <c r="G41" s="156">
        <f>'[25]Rates in summary'!R32</f>
        <v>9.7939999999999972E-2</v>
      </c>
      <c r="H41" s="156"/>
      <c r="I41" s="368">
        <f>'Rev Req Proof Yr1'!H41</f>
        <v>8.3729999999999999E-2</v>
      </c>
      <c r="J41" s="758">
        <f t="shared" si="10"/>
        <v>0.10277000000000001</v>
      </c>
      <c r="K41" s="156"/>
      <c r="L41" s="154"/>
      <c r="M41" s="155"/>
      <c r="N41" s="121"/>
      <c r="O41" s="121"/>
      <c r="P41" s="121"/>
      <c r="Q41" s="758"/>
      <c r="R41" s="156"/>
      <c r="S41" s="293">
        <v>0</v>
      </c>
      <c r="T41" s="294">
        <f>'Rev Req Proof Yr1'!R41</f>
        <v>3614.6071898605187</v>
      </c>
      <c r="U41" s="294"/>
      <c r="V41" s="295"/>
      <c r="W41" s="296"/>
      <c r="X41" s="156"/>
      <c r="Y41" s="308">
        <f t="shared" si="115"/>
        <v>302.65106000702121</v>
      </c>
      <c r="Z41" s="304">
        <f t="shared" si="116"/>
        <v>0</v>
      </c>
      <c r="AA41" s="309">
        <f t="shared" si="117"/>
        <v>0</v>
      </c>
      <c r="AB41" s="304"/>
      <c r="AC41" s="308">
        <f t="shared" si="118"/>
        <v>371.47318090196558</v>
      </c>
      <c r="AD41" s="304">
        <f t="shared" si="119"/>
        <v>0</v>
      </c>
      <c r="AE41" s="309">
        <f t="shared" si="120"/>
        <v>0</v>
      </c>
      <c r="AF41" s="304"/>
      <c r="AG41" s="308">
        <f t="shared" si="121"/>
        <v>-14.747597334630917</v>
      </c>
      <c r="AH41" s="304">
        <v>0</v>
      </c>
      <c r="AI41" s="309">
        <v>0</v>
      </c>
      <c r="AJ41" s="304"/>
      <c r="AK41" s="308">
        <f t="shared" si="122"/>
        <v>54.074523560313445</v>
      </c>
      <c r="AL41" s="304">
        <f t="shared" si="123"/>
        <v>0</v>
      </c>
      <c r="AM41" s="309">
        <f t="shared" si="124"/>
        <v>0</v>
      </c>
      <c r="AN41" s="304"/>
      <c r="AO41" s="333"/>
      <c r="AP41" s="335">
        <f t="shared" si="23"/>
        <v>0.17866953302281172</v>
      </c>
      <c r="AQ41" s="304"/>
      <c r="AR41" s="308">
        <f t="shared" si="125"/>
        <v>0</v>
      </c>
      <c r="AS41" s="304">
        <v>0</v>
      </c>
      <c r="AT41" s="309">
        <v>0</v>
      </c>
      <c r="AU41" s="304"/>
      <c r="AV41" s="473"/>
      <c r="AW41" s="1610"/>
      <c r="AX41" s="1610"/>
      <c r="AY41" s="304"/>
    </row>
    <row r="42" spans="1:52" x14ac:dyDescent="0.3">
      <c r="A42" s="85">
        <f t="shared" si="4"/>
        <v>35</v>
      </c>
      <c r="B42" s="709"/>
      <c r="C42" s="710" t="s">
        <v>8</v>
      </c>
      <c r="D42" s="156"/>
      <c r="E42" s="121">
        <f>'Rates in Detail'!R35-'Rates in Detail'!N35</f>
        <v>1.2699999999999996E-2</v>
      </c>
      <c r="F42" s="121">
        <f>'Rates in Detail'!V35</f>
        <v>-2.7200000000000002E-3</v>
      </c>
      <c r="G42" s="156">
        <f>'[25]Rates in summary'!R33</f>
        <v>9.702999999999995E-2</v>
      </c>
      <c r="H42" s="156"/>
      <c r="I42" s="368">
        <f>'Rev Req Proof Yr1'!H42</f>
        <v>5.5809999999999998E-2</v>
      </c>
      <c r="J42" s="758">
        <f t="shared" si="10"/>
        <v>6.8509999999999988E-2</v>
      </c>
      <c r="K42" s="156"/>
      <c r="L42" s="154"/>
      <c r="M42" s="155"/>
      <c r="N42" s="121"/>
      <c r="O42" s="121"/>
      <c r="P42" s="121"/>
      <c r="Q42" s="758"/>
      <c r="R42" s="156"/>
      <c r="S42" s="293">
        <v>0</v>
      </c>
      <c r="T42" s="294">
        <f>'Rev Req Proof Yr1'!R42</f>
        <v>0</v>
      </c>
      <c r="U42" s="294"/>
      <c r="V42" s="295"/>
      <c r="W42" s="296"/>
      <c r="X42" s="156"/>
      <c r="Y42" s="308">
        <f t="shared" si="115"/>
        <v>0</v>
      </c>
      <c r="Z42" s="304">
        <f t="shared" si="116"/>
        <v>0</v>
      </c>
      <c r="AA42" s="309">
        <f t="shared" si="117"/>
        <v>0</v>
      </c>
      <c r="AB42" s="304"/>
      <c r="AC42" s="308">
        <f t="shared" si="118"/>
        <v>0</v>
      </c>
      <c r="AD42" s="304">
        <f t="shared" si="119"/>
        <v>0</v>
      </c>
      <c r="AE42" s="309">
        <f t="shared" si="120"/>
        <v>0</v>
      </c>
      <c r="AF42" s="304"/>
      <c r="AG42" s="308">
        <f t="shared" si="121"/>
        <v>0</v>
      </c>
      <c r="AH42" s="304">
        <v>0</v>
      </c>
      <c r="AI42" s="309">
        <v>0</v>
      </c>
      <c r="AJ42" s="304"/>
      <c r="AK42" s="308">
        <f t="shared" si="122"/>
        <v>0</v>
      </c>
      <c r="AL42" s="304">
        <f t="shared" si="123"/>
        <v>0</v>
      </c>
      <c r="AM42" s="309">
        <f t="shared" si="124"/>
        <v>0</v>
      </c>
      <c r="AN42" s="304"/>
      <c r="AO42" s="333"/>
      <c r="AP42" s="335">
        <f>AP41</f>
        <v>0.17866953302281172</v>
      </c>
      <c r="AQ42" s="304"/>
      <c r="AR42" s="308">
        <f t="shared" si="125"/>
        <v>0</v>
      </c>
      <c r="AS42" s="304">
        <v>0</v>
      </c>
      <c r="AT42" s="309">
        <v>0</v>
      </c>
      <c r="AU42" s="304"/>
      <c r="AV42" s="473"/>
      <c r="AW42" s="1610"/>
      <c r="AX42" s="1610"/>
      <c r="AY42" s="304"/>
    </row>
    <row r="43" spans="1:52" x14ac:dyDescent="0.3">
      <c r="A43" s="85">
        <f t="shared" si="4"/>
        <v>36</v>
      </c>
      <c r="B43" s="709"/>
      <c r="C43" s="710" t="s">
        <v>9</v>
      </c>
      <c r="D43" s="156"/>
      <c r="E43" s="121">
        <f>'Rates in Detail'!R36-'Rates in Detail'!N36</f>
        <v>4.7600000000000003E-3</v>
      </c>
      <c r="F43" s="121">
        <f>'Rates in Detail'!V36</f>
        <v>-1.0200000000000001E-3</v>
      </c>
      <c r="G43" s="156">
        <f>'[25]Rates in summary'!R34</f>
        <v>9.5819999999999961E-2</v>
      </c>
      <c r="H43" s="156"/>
      <c r="I43" s="368">
        <f>'Rev Req Proof Yr1'!H43</f>
        <v>2.0920000000000001E-2</v>
      </c>
      <c r="J43" s="758">
        <f t="shared" si="10"/>
        <v>2.5680000000000001E-2</v>
      </c>
      <c r="K43" s="156"/>
      <c r="L43" s="268"/>
      <c r="M43" s="54"/>
      <c r="N43" s="121"/>
      <c r="O43" s="121"/>
      <c r="P43" s="121"/>
      <c r="Q43" s="758"/>
      <c r="R43" s="156"/>
      <c r="S43" s="293">
        <v>0</v>
      </c>
      <c r="T43" s="294">
        <f>'Rev Req Proof Yr1'!R43</f>
        <v>0</v>
      </c>
      <c r="U43" s="294"/>
      <c r="V43" s="295"/>
      <c r="W43" s="296"/>
      <c r="X43" s="156"/>
      <c r="Y43" s="308">
        <f t="shared" si="115"/>
        <v>0</v>
      </c>
      <c r="Z43" s="304">
        <f t="shared" si="116"/>
        <v>0</v>
      </c>
      <c r="AA43" s="309">
        <f t="shared" si="117"/>
        <v>0</v>
      </c>
      <c r="AB43" s="304"/>
      <c r="AC43" s="308">
        <f t="shared" si="118"/>
        <v>0</v>
      </c>
      <c r="AD43" s="304">
        <f t="shared" si="119"/>
        <v>0</v>
      </c>
      <c r="AE43" s="309">
        <f t="shared" si="120"/>
        <v>0</v>
      </c>
      <c r="AF43" s="304"/>
      <c r="AG43" s="308">
        <f t="shared" si="121"/>
        <v>0</v>
      </c>
      <c r="AH43" s="304">
        <v>0</v>
      </c>
      <c r="AI43" s="309">
        <v>0</v>
      </c>
      <c r="AJ43" s="304"/>
      <c r="AK43" s="308">
        <f t="shared" si="122"/>
        <v>0</v>
      </c>
      <c r="AL43" s="304">
        <f t="shared" si="123"/>
        <v>0</v>
      </c>
      <c r="AM43" s="309">
        <f t="shared" si="124"/>
        <v>0</v>
      </c>
      <c r="AN43" s="304"/>
      <c r="AO43" s="333"/>
      <c r="AP43" s="335">
        <f>AP42</f>
        <v>0.17866953302281172</v>
      </c>
      <c r="AQ43" s="304"/>
      <c r="AR43" s="308">
        <f t="shared" si="125"/>
        <v>0</v>
      </c>
      <c r="AS43" s="304">
        <v>0</v>
      </c>
      <c r="AT43" s="309">
        <v>0</v>
      </c>
      <c r="AU43" s="304"/>
      <c r="AV43" s="473"/>
      <c r="AW43" s="1610"/>
      <c r="AX43" s="1610"/>
      <c r="AY43" s="304"/>
    </row>
    <row r="44" spans="1:52" x14ac:dyDescent="0.3">
      <c r="A44" s="85">
        <f t="shared" si="4"/>
        <v>37</v>
      </c>
      <c r="B44" s="707"/>
      <c r="C44" s="726" t="s">
        <v>76</v>
      </c>
      <c r="D44" s="152"/>
      <c r="E44" s="122"/>
      <c r="F44" s="122"/>
      <c r="G44" s="152"/>
      <c r="H44" s="152"/>
      <c r="I44" s="363"/>
      <c r="J44" s="757"/>
      <c r="K44" s="156"/>
      <c r="L44" s="268"/>
      <c r="M44" s="54"/>
      <c r="N44" s="121"/>
      <c r="O44" s="121"/>
      <c r="P44" s="121"/>
      <c r="Q44" s="758"/>
      <c r="R44" s="156"/>
      <c r="S44" s="293"/>
      <c r="T44" s="294"/>
      <c r="U44" s="294"/>
      <c r="V44" s="295"/>
      <c r="W44" s="296"/>
      <c r="X44" s="156"/>
      <c r="Y44" s="310">
        <f>SUM(Y38:Y43)</f>
        <v>101365.3040668843</v>
      </c>
      <c r="Z44" s="311">
        <f>SUM(Z38:Z43)</f>
        <v>78000</v>
      </c>
      <c r="AA44" s="312">
        <f>SUM(AA38:AA43)</f>
        <v>29339.765160000003</v>
      </c>
      <c r="AB44" s="304"/>
      <c r="AC44" s="310">
        <f>SUM(AC38:AC43)</f>
        <v>124422.00563158379</v>
      </c>
      <c r="AD44" s="311">
        <f>SUM(AD38:AD43)</f>
        <v>78000</v>
      </c>
      <c r="AE44" s="312">
        <f>SUM(AE38:AE43)</f>
        <v>29339.765160000003</v>
      </c>
      <c r="AF44" s="304"/>
      <c r="AG44" s="310">
        <f>SUM(AG38:AG43)</f>
        <v>-4940.2547242437522</v>
      </c>
      <c r="AH44" s="311">
        <f>SUM(AH38:AH43)</f>
        <v>0</v>
      </c>
      <c r="AI44" s="312">
        <f>SUM(AI38:AI43)</f>
        <v>0</v>
      </c>
      <c r="AJ44" s="304"/>
      <c r="AK44" s="310">
        <f>SUM(AK38:AK43)</f>
        <v>18116.446840455712</v>
      </c>
      <c r="AL44" s="311">
        <f>SUM(AL38:AL43)</f>
        <v>0</v>
      </c>
      <c r="AM44" s="312">
        <f>SUM(AM38:AM43)</f>
        <v>0</v>
      </c>
      <c r="AN44" s="304"/>
      <c r="AO44" s="333">
        <f>SUM(AK44:AM44)/SUM(Y44:AA44)</f>
        <v>8.6804057551478214E-2</v>
      </c>
      <c r="AP44" s="334">
        <f>SUM(AK44)/SUM(Y44)</f>
        <v>0.17872433775270738</v>
      </c>
      <c r="AQ44" s="304"/>
      <c r="AR44" s="310">
        <f>SUM(AR38:AR43)</f>
        <v>142162.20150299987</v>
      </c>
      <c r="AS44" s="311">
        <f>SUM(AS38:AS43)</f>
        <v>0</v>
      </c>
      <c r="AT44" s="312">
        <f>SUM(AT38:AT43)</f>
        <v>0</v>
      </c>
      <c r="AU44" s="304"/>
      <c r="AV44" s="473"/>
      <c r="AW44" s="305"/>
      <c r="AX44" s="304"/>
    </row>
    <row r="45" spans="1:52" x14ac:dyDescent="0.3">
      <c r="A45" s="85">
        <f t="shared" si="4"/>
        <v>38</v>
      </c>
      <c r="B45" s="709" t="str">
        <f>'WA Volumes &amp; Revenues'!B39</f>
        <v>42I Firm Sales</v>
      </c>
      <c r="C45" s="710" t="s">
        <v>4</v>
      </c>
      <c r="D45" s="156"/>
      <c r="E45" s="121">
        <f>'Rates in Detail'!R37-'Rates in Detail'!N37</f>
        <v>1.347000000000001E-2</v>
      </c>
      <c r="F45" s="121">
        <f>'Rates in Detail'!V37</f>
        <v>-1.5999999999999999E-3</v>
      </c>
      <c r="G45" s="156">
        <f>'[25]Rates in summary'!R35</f>
        <v>9.5669999999999922E-2</v>
      </c>
      <c r="H45" s="156"/>
      <c r="I45" s="368">
        <f>'Rev Req Proof Yr1'!H45</f>
        <v>0.14721000000000001</v>
      </c>
      <c r="J45" s="758">
        <f t="shared" si="10"/>
        <v>0.16068000000000002</v>
      </c>
      <c r="K45" s="156"/>
      <c r="L45" s="154">
        <f>'Rev Req Proof Yr1'!K45</f>
        <v>1300</v>
      </c>
      <c r="M45" s="155">
        <f>'Rev Req Proof Yr1'!L45</f>
        <v>1300</v>
      </c>
      <c r="N45" s="121">
        <f>'Rev Req Proof Yr1'!M45</f>
        <v>0.15748000000000001</v>
      </c>
      <c r="O45" s="121">
        <f>'Rev Req Proof Yr1'!N45</f>
        <v>0.15748000000000001</v>
      </c>
      <c r="P45" s="121">
        <f>'Rev Req Proof Yr1'!O45</f>
        <v>0.20415</v>
      </c>
      <c r="Q45" s="758">
        <f>'Rev Req Proof Yr1'!P45</f>
        <v>0.20415</v>
      </c>
      <c r="R45" s="156"/>
      <c r="S45" s="293">
        <v>983097</v>
      </c>
      <c r="T45" s="294">
        <f>'Rev Req Proof Yr1'!R45</f>
        <v>1093724.2000000002</v>
      </c>
      <c r="U45" s="294">
        <f>'Rev Req Proof Yr1'!S45</f>
        <v>9556</v>
      </c>
      <c r="V45" s="295">
        <f>'Rev Req Proof Yr1'!T45</f>
        <v>11.916666666666666</v>
      </c>
      <c r="W45" s="296">
        <f>'Rev Req Proof Yr1'!U45</f>
        <v>12869</v>
      </c>
      <c r="X45" s="156"/>
      <c r="Y45" s="308">
        <f t="shared" ref="Y45:Y50" si="126">(I45*T45)</f>
        <v>161007.13948200003</v>
      </c>
      <c r="Z45" s="304">
        <f t="shared" ref="Z45:Z50" si="127">(L45*V45*12)</f>
        <v>185900</v>
      </c>
      <c r="AA45" s="309">
        <f t="shared" ref="AA45:AA50" si="128">(U45*(N45+P45))*12</f>
        <v>41468.835359999997</v>
      </c>
      <c r="AB45" s="304"/>
      <c r="AC45" s="308">
        <f t="shared" ref="AC45:AC50" si="129">(J45*T45)</f>
        <v>175739.60445600006</v>
      </c>
      <c r="AD45" s="304">
        <f t="shared" ref="AD45:AD50" si="130">(M45*V45*12)</f>
        <v>185900</v>
      </c>
      <c r="AE45" s="309">
        <f t="shared" ref="AE45:AE50" si="131">(U45*(O45+Q45))*12</f>
        <v>41468.835359999997</v>
      </c>
      <c r="AF45" s="304"/>
      <c r="AG45" s="308">
        <f t="shared" ref="AG45:AG50" si="132">(F45*T45)</f>
        <v>-1749.9587200000001</v>
      </c>
      <c r="AH45" s="304">
        <v>0</v>
      </c>
      <c r="AI45" s="309">
        <v>0</v>
      </c>
      <c r="AJ45" s="304"/>
      <c r="AK45" s="308">
        <f t="shared" ref="AK45:AK50" si="133">AC45-Y45+AG45</f>
        <v>12982.506254000031</v>
      </c>
      <c r="AL45" s="304">
        <f t="shared" ref="AL45:AL50" si="134">AD45-Z45-AH45</f>
        <v>0</v>
      </c>
      <c r="AM45" s="309">
        <f t="shared" ref="AM45:AM50" si="135">AE45-AA45-AI45</f>
        <v>0</v>
      </c>
      <c r="AN45" s="304"/>
      <c r="AO45" s="333"/>
      <c r="AP45" s="335">
        <f>SUM(AK45)/SUM(Y45)</f>
        <v>8.0633109163779818E-2</v>
      </c>
      <c r="AQ45" s="304"/>
      <c r="AR45" s="308">
        <f t="shared" ref="AR45:AR50" si="136">(G45*S45)</f>
        <v>94052.889989999923</v>
      </c>
      <c r="AS45" s="304">
        <v>0</v>
      </c>
      <c r="AT45" s="309">
        <v>0</v>
      </c>
      <c r="AU45" s="304"/>
      <c r="AV45" s="473"/>
      <c r="AW45" s="1610"/>
      <c r="AX45" s="1610"/>
      <c r="AY45" s="304"/>
    </row>
    <row r="46" spans="1:52" x14ac:dyDescent="0.3">
      <c r="A46" s="85">
        <f t="shared" si="4"/>
        <v>39</v>
      </c>
      <c r="B46" s="709"/>
      <c r="C46" s="710" t="s">
        <v>5</v>
      </c>
      <c r="D46" s="156"/>
      <c r="E46" s="121">
        <f>'Rates in Detail'!R38-'Rates in Detail'!N38</f>
        <v>1.2060000000000015E-2</v>
      </c>
      <c r="F46" s="121">
        <f>'Rates in Detail'!V38</f>
        <v>-1.4400000000000003E-3</v>
      </c>
      <c r="G46" s="156">
        <f>'[25]Rates in summary'!R36</f>
        <v>9.5629999999999993E-2</v>
      </c>
      <c r="H46" s="156"/>
      <c r="I46" s="368">
        <f>'Rev Req Proof Yr1'!H46</f>
        <v>0.13177</v>
      </c>
      <c r="J46" s="758">
        <f t="shared" si="10"/>
        <v>0.14383000000000001</v>
      </c>
      <c r="K46" s="156"/>
      <c r="L46" s="154"/>
      <c r="M46" s="155"/>
      <c r="N46" s="121"/>
      <c r="O46" s="121"/>
      <c r="P46" s="121"/>
      <c r="Q46" s="758"/>
      <c r="R46" s="156"/>
      <c r="S46" s="293">
        <v>673043</v>
      </c>
      <c r="T46" s="294">
        <f>'Rev Req Proof Yr1'!R46</f>
        <v>655939.80000000005</v>
      </c>
      <c r="U46" s="294"/>
      <c r="V46" s="295"/>
      <c r="W46" s="296"/>
      <c r="X46" s="156"/>
      <c r="Y46" s="308">
        <f t="shared" si="126"/>
        <v>86433.187446000011</v>
      </c>
      <c r="Z46" s="304">
        <f t="shared" si="127"/>
        <v>0</v>
      </c>
      <c r="AA46" s="309">
        <f t="shared" si="128"/>
        <v>0</v>
      </c>
      <c r="AB46" s="304"/>
      <c r="AC46" s="308">
        <f t="shared" si="129"/>
        <v>94343.821434000012</v>
      </c>
      <c r="AD46" s="304">
        <f t="shared" si="130"/>
        <v>0</v>
      </c>
      <c r="AE46" s="309">
        <f t="shared" si="131"/>
        <v>0</v>
      </c>
      <c r="AF46" s="304"/>
      <c r="AG46" s="308">
        <f t="shared" si="132"/>
        <v>-944.55331200000023</v>
      </c>
      <c r="AH46" s="304">
        <v>0</v>
      </c>
      <c r="AI46" s="309">
        <v>0</v>
      </c>
      <c r="AJ46" s="304"/>
      <c r="AK46" s="308">
        <f t="shared" si="133"/>
        <v>6966.0806760000014</v>
      </c>
      <c r="AL46" s="304">
        <f t="shared" si="134"/>
        <v>0</v>
      </c>
      <c r="AM46" s="309">
        <f t="shared" si="135"/>
        <v>0</v>
      </c>
      <c r="AN46" s="304"/>
      <c r="AO46" s="333"/>
      <c r="AP46" s="335">
        <f>SUM(AK46)/SUM(Y46)</f>
        <v>8.0594976094710488E-2</v>
      </c>
      <c r="AQ46" s="304"/>
      <c r="AR46" s="308">
        <f t="shared" si="136"/>
        <v>64363.102089999993</v>
      </c>
      <c r="AS46" s="304">
        <v>0</v>
      </c>
      <c r="AT46" s="309">
        <v>0</v>
      </c>
      <c r="AU46" s="304"/>
      <c r="AV46" s="473"/>
      <c r="AW46" s="1610"/>
      <c r="AX46" s="1610"/>
      <c r="AY46" s="304"/>
    </row>
    <row r="47" spans="1:52" x14ac:dyDescent="0.3">
      <c r="A47" s="85">
        <f t="shared" si="4"/>
        <v>40</v>
      </c>
      <c r="B47" s="709"/>
      <c r="C47" s="710" t="s">
        <v>6</v>
      </c>
      <c r="D47" s="156"/>
      <c r="E47" s="121">
        <f>'Rates in Detail'!R39-'Rates in Detail'!N39</f>
        <v>9.2399999999999982E-3</v>
      </c>
      <c r="F47" s="121">
        <f>'Rates in Detail'!V39</f>
        <v>-1.0999999999999998E-3</v>
      </c>
      <c r="G47" s="156">
        <f>'[25]Rates in summary'!R37</f>
        <v>9.5489999999999964E-2</v>
      </c>
      <c r="H47" s="156"/>
      <c r="I47" s="368">
        <f>'Rev Req Proof Yr1'!H47</f>
        <v>0.10105</v>
      </c>
      <c r="J47" s="758">
        <f t="shared" si="10"/>
        <v>0.11029</v>
      </c>
      <c r="K47" s="156"/>
      <c r="L47" s="154"/>
      <c r="M47" s="155"/>
      <c r="N47" s="121"/>
      <c r="O47" s="121"/>
      <c r="P47" s="121"/>
      <c r="Q47" s="758"/>
      <c r="R47" s="156"/>
      <c r="S47" s="293">
        <v>113356</v>
      </c>
      <c r="T47" s="294">
        <f>'Rev Req Proof Yr1'!R47</f>
        <v>81241.3</v>
      </c>
      <c r="U47" s="294"/>
      <c r="V47" s="295"/>
      <c r="W47" s="296"/>
      <c r="X47" s="156"/>
      <c r="Y47" s="308">
        <f t="shared" si="126"/>
        <v>8209.4333650000008</v>
      </c>
      <c r="Z47" s="304">
        <f t="shared" si="127"/>
        <v>0</v>
      </c>
      <c r="AA47" s="309">
        <f t="shared" si="128"/>
        <v>0</v>
      </c>
      <c r="AB47" s="304"/>
      <c r="AC47" s="308">
        <f t="shared" si="129"/>
        <v>8960.1029770000005</v>
      </c>
      <c r="AD47" s="304">
        <f t="shared" si="130"/>
        <v>0</v>
      </c>
      <c r="AE47" s="309">
        <f t="shared" si="131"/>
        <v>0</v>
      </c>
      <c r="AF47" s="304"/>
      <c r="AG47" s="308">
        <f t="shared" si="132"/>
        <v>-89.365429999999989</v>
      </c>
      <c r="AH47" s="304">
        <v>0</v>
      </c>
      <c r="AI47" s="309">
        <v>0</v>
      </c>
      <c r="AJ47" s="304"/>
      <c r="AK47" s="308">
        <f t="shared" si="133"/>
        <v>661.30418199999974</v>
      </c>
      <c r="AL47" s="304">
        <f t="shared" si="134"/>
        <v>0</v>
      </c>
      <c r="AM47" s="309">
        <f t="shared" si="135"/>
        <v>0</v>
      </c>
      <c r="AN47" s="304"/>
      <c r="AO47" s="333"/>
      <c r="AP47" s="335">
        <f>SUM(AK47)/SUM(Y47)</f>
        <v>8.0554181098466071E-2</v>
      </c>
      <c r="AQ47" s="304"/>
      <c r="AR47" s="308">
        <f t="shared" si="136"/>
        <v>10824.364439999996</v>
      </c>
      <c r="AS47" s="304">
        <v>0</v>
      </c>
      <c r="AT47" s="309">
        <v>0</v>
      </c>
      <c r="AU47" s="304"/>
      <c r="AV47" s="473"/>
      <c r="AW47" s="1610"/>
      <c r="AX47" s="1610"/>
      <c r="AY47" s="304"/>
    </row>
    <row r="48" spans="1:52" x14ac:dyDescent="0.3">
      <c r="A48" s="85">
        <f t="shared" si="4"/>
        <v>41</v>
      </c>
      <c r="B48" s="709"/>
      <c r="C48" s="710" t="s">
        <v>7</v>
      </c>
      <c r="D48" s="156"/>
      <c r="E48" s="121">
        <f>'Rates in Detail'!R40-'Rates in Detail'!N40</f>
        <v>7.4000000000000038E-3</v>
      </c>
      <c r="F48" s="121">
        <f>'Rates in Detail'!V40</f>
        <v>-8.8000000000000014E-4</v>
      </c>
      <c r="G48" s="156">
        <f>'[25]Rates in summary'!R38</f>
        <v>9.5419999999999949E-2</v>
      </c>
      <c r="H48" s="156"/>
      <c r="I48" s="368">
        <f>'Rev Req Proof Yr1'!H48</f>
        <v>8.0839999999999995E-2</v>
      </c>
      <c r="J48" s="758">
        <f t="shared" si="10"/>
        <v>8.8239999999999999E-2</v>
      </c>
      <c r="K48" s="156"/>
      <c r="L48" s="154"/>
      <c r="M48" s="155"/>
      <c r="N48" s="121"/>
      <c r="O48" s="121"/>
      <c r="P48" s="121"/>
      <c r="Q48" s="758"/>
      <c r="R48" s="156"/>
      <c r="S48" s="293">
        <v>951</v>
      </c>
      <c r="T48" s="294">
        <f>'Rev Req Proof Yr1'!R48</f>
        <v>9320.1</v>
      </c>
      <c r="U48" s="294"/>
      <c r="V48" s="295"/>
      <c r="W48" s="296"/>
      <c r="X48" s="156"/>
      <c r="Y48" s="308">
        <f t="shared" si="126"/>
        <v>753.43688399999996</v>
      </c>
      <c r="Z48" s="304">
        <f t="shared" si="127"/>
        <v>0</v>
      </c>
      <c r="AA48" s="309">
        <f t="shared" si="128"/>
        <v>0</v>
      </c>
      <c r="AB48" s="304"/>
      <c r="AC48" s="308">
        <f t="shared" si="129"/>
        <v>822.40562399999999</v>
      </c>
      <c r="AD48" s="304">
        <f t="shared" si="130"/>
        <v>0</v>
      </c>
      <c r="AE48" s="309">
        <f t="shared" si="131"/>
        <v>0</v>
      </c>
      <c r="AF48" s="304"/>
      <c r="AG48" s="308">
        <f t="shared" si="132"/>
        <v>-8.2016880000000008</v>
      </c>
      <c r="AH48" s="304">
        <v>0</v>
      </c>
      <c r="AI48" s="309">
        <v>0</v>
      </c>
      <c r="AJ48" s="304"/>
      <c r="AK48" s="308">
        <f t="shared" si="133"/>
        <v>60.767052000000021</v>
      </c>
      <c r="AL48" s="304">
        <f t="shared" si="134"/>
        <v>0</v>
      </c>
      <c r="AM48" s="309">
        <f t="shared" si="135"/>
        <v>0</v>
      </c>
      <c r="AN48" s="304"/>
      <c r="AO48" s="333"/>
      <c r="AP48" s="335">
        <f>SUM(AK48)/SUM(Y48)</f>
        <v>8.0653142008906512E-2</v>
      </c>
      <c r="AQ48" s="304"/>
      <c r="AR48" s="308">
        <f t="shared" si="136"/>
        <v>90.744419999999948</v>
      </c>
      <c r="AS48" s="304">
        <v>0</v>
      </c>
      <c r="AT48" s="309">
        <v>0</v>
      </c>
      <c r="AU48" s="304"/>
      <c r="AV48" s="473"/>
      <c r="AW48" s="1610"/>
      <c r="AX48" s="1610"/>
      <c r="AY48" s="304"/>
    </row>
    <row r="49" spans="1:51" x14ac:dyDescent="0.3">
      <c r="A49" s="85">
        <f t="shared" si="4"/>
        <v>42</v>
      </c>
      <c r="B49" s="709"/>
      <c r="C49" s="710" t="s">
        <v>8</v>
      </c>
      <c r="D49" s="156"/>
      <c r="E49" s="121">
        <f>'Rates in Detail'!R41-'Rates in Detail'!N41</f>
        <v>4.9300000000000038E-3</v>
      </c>
      <c r="F49" s="121">
        <f>'Rates in Detail'!V41</f>
        <v>-5.9000000000000003E-4</v>
      </c>
      <c r="G49" s="156">
        <f>'[25]Rates in summary'!R39</f>
        <v>9.532999999999997E-2</v>
      </c>
      <c r="H49" s="156"/>
      <c r="I49" s="368">
        <f>'Rev Req Proof Yr1'!H49</f>
        <v>5.391E-2</v>
      </c>
      <c r="J49" s="758">
        <f t="shared" si="10"/>
        <v>5.8840000000000003E-2</v>
      </c>
      <c r="K49" s="156"/>
      <c r="L49" s="154"/>
      <c r="M49" s="155"/>
      <c r="N49" s="121"/>
      <c r="O49" s="121"/>
      <c r="P49" s="121"/>
      <c r="Q49" s="758"/>
      <c r="R49" s="156"/>
      <c r="S49" s="293">
        <v>0</v>
      </c>
      <c r="T49" s="294">
        <f>'Rev Req Proof Yr1'!R49</f>
        <v>0</v>
      </c>
      <c r="U49" s="294"/>
      <c r="V49" s="295"/>
      <c r="W49" s="296"/>
      <c r="X49" s="156"/>
      <c r="Y49" s="308">
        <f t="shared" si="126"/>
        <v>0</v>
      </c>
      <c r="Z49" s="304">
        <f t="shared" si="127"/>
        <v>0</v>
      </c>
      <c r="AA49" s="309">
        <f t="shared" si="128"/>
        <v>0</v>
      </c>
      <c r="AB49" s="304"/>
      <c r="AC49" s="308">
        <f t="shared" si="129"/>
        <v>0</v>
      </c>
      <c r="AD49" s="304">
        <f t="shared" si="130"/>
        <v>0</v>
      </c>
      <c r="AE49" s="309">
        <f t="shared" si="131"/>
        <v>0</v>
      </c>
      <c r="AF49" s="304"/>
      <c r="AG49" s="308">
        <f t="shared" si="132"/>
        <v>0</v>
      </c>
      <c r="AH49" s="304">
        <v>0</v>
      </c>
      <c r="AI49" s="309">
        <v>0</v>
      </c>
      <c r="AJ49" s="304"/>
      <c r="AK49" s="308">
        <f t="shared" si="133"/>
        <v>0</v>
      </c>
      <c r="AL49" s="304">
        <f t="shared" si="134"/>
        <v>0</v>
      </c>
      <c r="AM49" s="309">
        <f t="shared" si="135"/>
        <v>0</v>
      </c>
      <c r="AN49" s="304"/>
      <c r="AO49" s="333"/>
      <c r="AP49" s="335">
        <f>AP48</f>
        <v>8.0653142008906512E-2</v>
      </c>
      <c r="AQ49" s="304"/>
      <c r="AR49" s="308">
        <f t="shared" si="136"/>
        <v>0</v>
      </c>
      <c r="AS49" s="304">
        <v>0</v>
      </c>
      <c r="AT49" s="309">
        <v>0</v>
      </c>
      <c r="AU49" s="304"/>
      <c r="AV49" s="473"/>
      <c r="AW49" s="1610"/>
      <c r="AX49" s="1610"/>
      <c r="AY49" s="304"/>
    </row>
    <row r="50" spans="1:51" x14ac:dyDescent="0.3">
      <c r="A50" s="85">
        <f t="shared" si="4"/>
        <v>43</v>
      </c>
      <c r="B50" s="709"/>
      <c r="C50" s="710" t="s">
        <v>9</v>
      </c>
      <c r="D50" s="156"/>
      <c r="E50" s="121">
        <f>'Rates in Detail'!R42-'Rates in Detail'!N42</f>
        <v>1.8500000000000009E-3</v>
      </c>
      <c r="F50" s="121">
        <f>'Rates in Detail'!V42</f>
        <v>-2.2000000000000003E-4</v>
      </c>
      <c r="G50" s="156">
        <f>'[25]Rates in summary'!R40</f>
        <v>9.5209999999999961E-2</v>
      </c>
      <c r="H50" s="156"/>
      <c r="I50" s="368">
        <f>'Rev Req Proof Yr1'!H50</f>
        <v>2.0199999999999999E-2</v>
      </c>
      <c r="J50" s="758">
        <f t="shared" si="10"/>
        <v>2.205E-2</v>
      </c>
      <c r="K50" s="156"/>
      <c r="L50" s="154"/>
      <c r="M50" s="155"/>
      <c r="N50" s="121"/>
      <c r="O50" s="121"/>
      <c r="P50" s="121"/>
      <c r="Q50" s="758"/>
      <c r="R50" s="156"/>
      <c r="S50" s="293">
        <v>0</v>
      </c>
      <c r="T50" s="294">
        <f>'Rev Req Proof Yr1'!R50</f>
        <v>0</v>
      </c>
      <c r="U50" s="294"/>
      <c r="V50" s="295"/>
      <c r="W50" s="296"/>
      <c r="X50" s="156"/>
      <c r="Y50" s="308">
        <f t="shared" si="126"/>
        <v>0</v>
      </c>
      <c r="Z50" s="304">
        <f t="shared" si="127"/>
        <v>0</v>
      </c>
      <c r="AA50" s="309">
        <f t="shared" si="128"/>
        <v>0</v>
      </c>
      <c r="AB50" s="304"/>
      <c r="AC50" s="308">
        <f t="shared" si="129"/>
        <v>0</v>
      </c>
      <c r="AD50" s="304">
        <f t="shared" si="130"/>
        <v>0</v>
      </c>
      <c r="AE50" s="309">
        <f t="shared" si="131"/>
        <v>0</v>
      </c>
      <c r="AF50" s="304"/>
      <c r="AG50" s="308">
        <f t="shared" si="132"/>
        <v>0</v>
      </c>
      <c r="AH50" s="304">
        <v>0</v>
      </c>
      <c r="AI50" s="309">
        <v>0</v>
      </c>
      <c r="AJ50" s="304"/>
      <c r="AK50" s="308">
        <f t="shared" si="133"/>
        <v>0</v>
      </c>
      <c r="AL50" s="304">
        <f t="shared" si="134"/>
        <v>0</v>
      </c>
      <c r="AM50" s="309">
        <f t="shared" si="135"/>
        <v>0</v>
      </c>
      <c r="AN50" s="304"/>
      <c r="AO50" s="333"/>
      <c r="AP50" s="335">
        <f>AP49</f>
        <v>8.0653142008906512E-2</v>
      </c>
      <c r="AQ50" s="304"/>
      <c r="AR50" s="308">
        <f t="shared" si="136"/>
        <v>0</v>
      </c>
      <c r="AS50" s="304">
        <v>0</v>
      </c>
      <c r="AT50" s="309">
        <v>0</v>
      </c>
      <c r="AU50" s="304"/>
      <c r="AV50" s="473"/>
      <c r="AW50" s="1610"/>
      <c r="AX50" s="1610"/>
      <c r="AY50" s="304"/>
    </row>
    <row r="51" spans="1:51" x14ac:dyDescent="0.3">
      <c r="A51" s="85">
        <f t="shared" si="4"/>
        <v>44</v>
      </c>
      <c r="B51" s="707"/>
      <c r="C51" s="726" t="s">
        <v>76</v>
      </c>
      <c r="D51" s="152"/>
      <c r="E51" s="122"/>
      <c r="F51" s="122"/>
      <c r="G51" s="152"/>
      <c r="H51" s="152"/>
      <c r="I51" s="363"/>
      <c r="J51" s="757"/>
      <c r="K51" s="156"/>
      <c r="L51" s="154"/>
      <c r="M51" s="155"/>
      <c r="N51" s="121"/>
      <c r="O51" s="121"/>
      <c r="P51" s="121"/>
      <c r="Q51" s="758"/>
      <c r="R51" s="156"/>
      <c r="S51" s="293"/>
      <c r="T51" s="294"/>
      <c r="U51" s="294"/>
      <c r="V51" s="295"/>
      <c r="W51" s="296"/>
      <c r="X51" s="156"/>
      <c r="Y51" s="310">
        <f>SUM(Y45:Y50)</f>
        <v>256403.19717700002</v>
      </c>
      <c r="Z51" s="311">
        <f>SUM(Z45:Z50)</f>
        <v>185900</v>
      </c>
      <c r="AA51" s="312">
        <f>SUM(AA45:AA50)</f>
        <v>41468.835359999997</v>
      </c>
      <c r="AB51" s="304"/>
      <c r="AC51" s="310">
        <f>SUM(AC45:AC50)</f>
        <v>279865.93449100008</v>
      </c>
      <c r="AD51" s="311">
        <f>SUM(AD45:AD50)</f>
        <v>185900</v>
      </c>
      <c r="AE51" s="312">
        <f>SUM(AE45:AE50)</f>
        <v>41468.835359999997</v>
      </c>
      <c r="AF51" s="304"/>
      <c r="AG51" s="310">
        <f>SUM(AG45:AG50)</f>
        <v>-2792.0791500000005</v>
      </c>
      <c r="AH51" s="311">
        <f>SUM(AH45:AH50)</f>
        <v>0</v>
      </c>
      <c r="AI51" s="312">
        <f>SUM(AI45:AI50)</f>
        <v>0</v>
      </c>
      <c r="AJ51" s="304"/>
      <c r="AK51" s="310">
        <f>SUM(AK45:AK50)</f>
        <v>20670.658164000033</v>
      </c>
      <c r="AL51" s="311">
        <f>SUM(AL45:AL50)</f>
        <v>0</v>
      </c>
      <c r="AM51" s="312">
        <f>SUM(AM45:AM50)</f>
        <v>0</v>
      </c>
      <c r="AN51" s="304"/>
      <c r="AO51" s="333">
        <f>SUM(AK51:AM51)/SUM(Y51:AA51)</f>
        <v>4.2728096652464284E-2</v>
      </c>
      <c r="AP51" s="334">
        <f t="shared" ref="AP51:AP56" si="137">SUM(AK51)/SUM(Y51)</f>
        <v>8.0617786328657529E-2</v>
      </c>
      <c r="AQ51" s="304"/>
      <c r="AR51" s="310">
        <f>SUM(AR45:AR50)</f>
        <v>169331.10093999992</v>
      </c>
      <c r="AS51" s="311">
        <f>SUM(AS45:AS50)</f>
        <v>0</v>
      </c>
      <c r="AT51" s="312">
        <f>SUM(AT45:AT50)</f>
        <v>0</v>
      </c>
      <c r="AU51" s="304"/>
      <c r="AV51" s="473"/>
      <c r="AW51" s="305"/>
      <c r="AX51" s="304"/>
    </row>
    <row r="52" spans="1:51" x14ac:dyDescent="0.3">
      <c r="A52" s="85">
        <f t="shared" si="4"/>
        <v>45</v>
      </c>
      <c r="B52" s="709" t="str">
        <f>'WA Volumes &amp; Revenues'!B45</f>
        <v>42C Firm Transpt</v>
      </c>
      <c r="C52" s="710" t="s">
        <v>4</v>
      </c>
      <c r="D52" s="156"/>
      <c r="E52" s="121">
        <f>'Rates in Detail'!R43-'Rates in Detail'!N43</f>
        <v>1.1199999999999988E-2</v>
      </c>
      <c r="F52" s="121">
        <f>'Rates in Detail'!V43</f>
        <v>-1.0300000000000001E-3</v>
      </c>
      <c r="G52" s="156">
        <f>'[25]Rates in summary'!R41</f>
        <v>9.2000000000000415E-4</v>
      </c>
      <c r="H52" s="156"/>
      <c r="I52" s="368">
        <f>'Rev Req Proof Yr1'!H52</f>
        <v>0.13791999999999999</v>
      </c>
      <c r="J52" s="758">
        <f t="shared" si="10"/>
        <v>0.14911999999999997</v>
      </c>
      <c r="K52" s="156"/>
      <c r="L52" s="154">
        <f>'Rev Req Proof Yr1'!K52</f>
        <v>1550</v>
      </c>
      <c r="M52" s="155">
        <f>'Rev Req Proof Yr1'!L52</f>
        <v>1550</v>
      </c>
      <c r="N52" s="121">
        <f>'Rev Req Proof Yr1'!M52</f>
        <v>0.15748000000000001</v>
      </c>
      <c r="O52" s="121">
        <f>'Rev Req Proof Yr1'!N52</f>
        <v>0.15748000000000001</v>
      </c>
      <c r="P52" s="121">
        <f>'Rev Req Proof Yr1'!O52</f>
        <v>0</v>
      </c>
      <c r="Q52" s="758">
        <f>'Rev Req Proof Yr1'!P52</f>
        <v>0</v>
      </c>
      <c r="R52" s="156"/>
      <c r="S52" s="293">
        <v>329298</v>
      </c>
      <c r="T52" s="294">
        <f>'Rev Req Proof Yr1'!R52</f>
        <v>480000</v>
      </c>
      <c r="U52" s="294">
        <f>'Rev Req Proof Yr1'!S52</f>
        <v>10479</v>
      </c>
      <c r="V52" s="295">
        <f>'Rev Req Proof Yr1'!T52</f>
        <v>4</v>
      </c>
      <c r="W52" s="296">
        <f>'Rev Req Proof Yr1'!U52</f>
        <v>51470</v>
      </c>
      <c r="X52" s="156"/>
      <c r="Y52" s="308">
        <f t="shared" ref="Y52:Y57" si="138">(I52*T52)</f>
        <v>66201.599999999991</v>
      </c>
      <c r="Z52" s="304">
        <f t="shared" ref="Z52:Z57" si="139">(L52*V52*12)</f>
        <v>74400</v>
      </c>
      <c r="AA52" s="309">
        <f t="shared" ref="AA52:AA57" si="140">(U52*(N52+P52))*12</f>
        <v>19802.795040000001</v>
      </c>
      <c r="AB52" s="304"/>
      <c r="AC52" s="308">
        <f t="shared" ref="AC52:AC57" si="141">(J52*T52)</f>
        <v>71577.599999999991</v>
      </c>
      <c r="AD52" s="304">
        <f t="shared" ref="AD52:AD57" si="142">(M52*V52*12)</f>
        <v>74400</v>
      </c>
      <c r="AE52" s="309">
        <f t="shared" ref="AE52:AE57" si="143">(U52*(O52+Q52))*12</f>
        <v>19802.795040000001</v>
      </c>
      <c r="AF52" s="304"/>
      <c r="AG52" s="308">
        <f t="shared" ref="AG52:AG57" si="144">(F52*T52)</f>
        <v>-494.40000000000003</v>
      </c>
      <c r="AH52" s="304">
        <v>0</v>
      </c>
      <c r="AI52" s="309">
        <v>0</v>
      </c>
      <c r="AJ52" s="304"/>
      <c r="AK52" s="308">
        <f t="shared" ref="AK52:AK57" si="145">AC52-Y52+AG52</f>
        <v>4881.6000000000004</v>
      </c>
      <c r="AL52" s="304">
        <f t="shared" ref="AL52:AL57" si="146">AD52-Z52-AH52</f>
        <v>0</v>
      </c>
      <c r="AM52" s="309">
        <f t="shared" ref="AM52:AM57" si="147">AE52-AA52-AI52</f>
        <v>0</v>
      </c>
      <c r="AN52" s="304"/>
      <c r="AO52" s="333"/>
      <c r="AP52" s="335">
        <f t="shared" si="137"/>
        <v>7.3738399071925767E-2</v>
      </c>
      <c r="AQ52" s="304"/>
      <c r="AR52" s="308">
        <f t="shared" ref="AR52:AR57" si="148">(G52*S52)</f>
        <v>302.95416000000137</v>
      </c>
      <c r="AS52" s="304">
        <v>0</v>
      </c>
      <c r="AT52" s="309">
        <v>0</v>
      </c>
      <c r="AU52" s="304"/>
      <c r="AV52" s="473"/>
      <c r="AW52" s="1610"/>
      <c r="AX52" s="1610"/>
      <c r="AY52" s="304"/>
    </row>
    <row r="53" spans="1:51" x14ac:dyDescent="0.3">
      <c r="A53" s="85">
        <f t="shared" si="4"/>
        <v>46</v>
      </c>
      <c r="B53" s="709"/>
      <c r="C53" s="710" t="s">
        <v>5</v>
      </c>
      <c r="D53" s="156"/>
      <c r="E53" s="121">
        <f>'Rates in Detail'!R44-'Rates in Detail'!N44</f>
        <v>1.0020000000000015E-2</v>
      </c>
      <c r="F53" s="121">
        <f>'Rates in Detail'!V44</f>
        <v>-9.3000000000000005E-4</v>
      </c>
      <c r="G53" s="156">
        <f>'[25]Rates in summary'!R42</f>
        <v>8.2999999999999741E-4</v>
      </c>
      <c r="H53" s="156"/>
      <c r="I53" s="368">
        <f>'Rev Req Proof Yr1'!H53</f>
        <v>0.12347</v>
      </c>
      <c r="J53" s="758">
        <f t="shared" si="10"/>
        <v>0.13349</v>
      </c>
      <c r="K53" s="156"/>
      <c r="L53" s="154"/>
      <c r="M53" s="155"/>
      <c r="N53" s="121"/>
      <c r="O53" s="121"/>
      <c r="P53" s="121"/>
      <c r="Q53" s="758"/>
      <c r="R53" s="156"/>
      <c r="S53" s="293">
        <v>572257</v>
      </c>
      <c r="T53" s="294">
        <f>'Rev Req Proof Yr1'!R53</f>
        <v>807846</v>
      </c>
      <c r="U53" s="294"/>
      <c r="V53" s="295"/>
      <c r="W53" s="296"/>
      <c r="X53" s="156"/>
      <c r="Y53" s="308">
        <f t="shared" si="138"/>
        <v>99744.745620000002</v>
      </c>
      <c r="Z53" s="304">
        <f t="shared" si="139"/>
        <v>0</v>
      </c>
      <c r="AA53" s="309">
        <f t="shared" si="140"/>
        <v>0</v>
      </c>
      <c r="AB53" s="304"/>
      <c r="AC53" s="308">
        <f t="shared" si="141"/>
        <v>107839.36254</v>
      </c>
      <c r="AD53" s="304">
        <f t="shared" si="142"/>
        <v>0</v>
      </c>
      <c r="AE53" s="309">
        <f t="shared" si="143"/>
        <v>0</v>
      </c>
      <c r="AF53" s="304"/>
      <c r="AG53" s="308">
        <f t="shared" si="144"/>
        <v>-751.29678000000001</v>
      </c>
      <c r="AH53" s="304">
        <v>0</v>
      </c>
      <c r="AI53" s="309">
        <v>0</v>
      </c>
      <c r="AJ53" s="304"/>
      <c r="AK53" s="308">
        <f t="shared" si="145"/>
        <v>7343.3201400000007</v>
      </c>
      <c r="AL53" s="304">
        <f t="shared" si="146"/>
        <v>0</v>
      </c>
      <c r="AM53" s="309">
        <f t="shared" si="147"/>
        <v>0</v>
      </c>
      <c r="AN53" s="304"/>
      <c r="AO53" s="333"/>
      <c r="AP53" s="335">
        <f t="shared" si="137"/>
        <v>7.3621122539888242E-2</v>
      </c>
      <c r="AQ53" s="304"/>
      <c r="AR53" s="308">
        <f t="shared" si="148"/>
        <v>474.97330999999849</v>
      </c>
      <c r="AS53" s="304">
        <v>0</v>
      </c>
      <c r="AT53" s="309">
        <v>0</v>
      </c>
      <c r="AU53" s="304"/>
      <c r="AV53" s="473"/>
      <c r="AW53" s="1610"/>
      <c r="AX53" s="1610"/>
      <c r="AY53" s="304"/>
    </row>
    <row r="54" spans="1:51" x14ac:dyDescent="0.3">
      <c r="A54" s="85">
        <f t="shared" si="4"/>
        <v>47</v>
      </c>
      <c r="B54" s="709"/>
      <c r="C54" s="710" t="s">
        <v>6</v>
      </c>
      <c r="D54" s="156"/>
      <c r="E54" s="121">
        <f>'Rates in Detail'!R45-'Rates in Detail'!N45</f>
        <v>7.6899999999999885E-3</v>
      </c>
      <c r="F54" s="121">
        <f>'Rates in Detail'!V45</f>
        <v>-7.000000000000001E-4</v>
      </c>
      <c r="G54" s="156">
        <f>'[25]Rates in summary'!R43</f>
        <v>6.3000000000000556E-4</v>
      </c>
      <c r="H54" s="156"/>
      <c r="I54" s="368">
        <f>'Rev Req Proof Yr1'!H54</f>
        <v>9.4670000000000004E-2</v>
      </c>
      <c r="J54" s="758">
        <f t="shared" si="10"/>
        <v>0.10235999999999999</v>
      </c>
      <c r="K54" s="156"/>
      <c r="L54" s="154"/>
      <c r="M54" s="155"/>
      <c r="N54" s="121"/>
      <c r="O54" s="121"/>
      <c r="P54" s="121"/>
      <c r="Q54" s="758"/>
      <c r="R54" s="156"/>
      <c r="S54" s="293">
        <v>469094</v>
      </c>
      <c r="T54" s="294">
        <f>'Rev Req Proof Yr1'!R54</f>
        <v>583779</v>
      </c>
      <c r="U54" s="294"/>
      <c r="V54" s="295"/>
      <c r="W54" s="296"/>
      <c r="X54" s="156"/>
      <c r="Y54" s="308">
        <f t="shared" si="138"/>
        <v>55266.357930000006</v>
      </c>
      <c r="Z54" s="304">
        <f t="shared" si="139"/>
        <v>0</v>
      </c>
      <c r="AA54" s="309">
        <f t="shared" si="140"/>
        <v>0</v>
      </c>
      <c r="AB54" s="304"/>
      <c r="AC54" s="308">
        <f t="shared" si="141"/>
        <v>59755.618439999998</v>
      </c>
      <c r="AD54" s="304">
        <f t="shared" si="142"/>
        <v>0</v>
      </c>
      <c r="AE54" s="309">
        <f t="shared" si="143"/>
        <v>0</v>
      </c>
      <c r="AF54" s="304"/>
      <c r="AG54" s="308">
        <f t="shared" si="144"/>
        <v>-408.64530000000008</v>
      </c>
      <c r="AH54" s="304">
        <v>0</v>
      </c>
      <c r="AI54" s="309">
        <v>0</v>
      </c>
      <c r="AJ54" s="304"/>
      <c r="AK54" s="308">
        <f t="shared" si="145"/>
        <v>4080.6152099999927</v>
      </c>
      <c r="AL54" s="304">
        <f t="shared" si="146"/>
        <v>0</v>
      </c>
      <c r="AM54" s="309">
        <f t="shared" si="147"/>
        <v>0</v>
      </c>
      <c r="AN54" s="304"/>
      <c r="AO54" s="333"/>
      <c r="AP54" s="335">
        <f t="shared" si="137"/>
        <v>7.383542832998824E-2</v>
      </c>
      <c r="AQ54" s="304"/>
      <c r="AR54" s="308">
        <f t="shared" si="148"/>
        <v>295.52922000000262</v>
      </c>
      <c r="AS54" s="304">
        <v>0</v>
      </c>
      <c r="AT54" s="309">
        <v>0</v>
      </c>
      <c r="AU54" s="304"/>
      <c r="AV54" s="473"/>
      <c r="AW54" s="1610"/>
      <c r="AX54" s="1610"/>
      <c r="AY54" s="304"/>
    </row>
    <row r="55" spans="1:51" x14ac:dyDescent="0.3">
      <c r="A55" s="85">
        <f t="shared" si="4"/>
        <v>48</v>
      </c>
      <c r="B55" s="709"/>
      <c r="C55" s="710" t="s">
        <v>7</v>
      </c>
      <c r="D55" s="156"/>
      <c r="E55" s="121">
        <f>'Rates in Detail'!R46-'Rates in Detail'!N46</f>
        <v>6.1500000000000027E-3</v>
      </c>
      <c r="F55" s="121">
        <f>'Rates in Detail'!V46</f>
        <v>-5.6999999999999998E-4</v>
      </c>
      <c r="G55" s="156">
        <f>'[25]Rates in summary'!R44</f>
        <v>5.2000000000000657E-4</v>
      </c>
      <c r="H55" s="156"/>
      <c r="I55" s="368">
        <f>'Rev Req Proof Yr1'!H55</f>
        <v>7.5749999999999998E-2</v>
      </c>
      <c r="J55" s="758">
        <f t="shared" si="10"/>
        <v>8.1900000000000001E-2</v>
      </c>
      <c r="K55" s="156"/>
      <c r="L55" s="154"/>
      <c r="M55" s="155"/>
      <c r="N55" s="121"/>
      <c r="O55" s="121"/>
      <c r="P55" s="121"/>
      <c r="Q55" s="758"/>
      <c r="R55" s="156"/>
      <c r="S55" s="293">
        <v>526340</v>
      </c>
      <c r="T55" s="294">
        <f>'Rev Req Proof Yr1'!R55</f>
        <v>598933</v>
      </c>
      <c r="U55" s="294"/>
      <c r="V55" s="295"/>
      <c r="W55" s="296"/>
      <c r="X55" s="156"/>
      <c r="Y55" s="308">
        <f t="shared" si="138"/>
        <v>45369.174749999998</v>
      </c>
      <c r="Z55" s="304">
        <f t="shared" si="139"/>
        <v>0</v>
      </c>
      <c r="AA55" s="309">
        <f t="shared" si="140"/>
        <v>0</v>
      </c>
      <c r="AB55" s="304"/>
      <c r="AC55" s="308">
        <f t="shared" si="141"/>
        <v>49052.612699999998</v>
      </c>
      <c r="AD55" s="304">
        <f t="shared" si="142"/>
        <v>0</v>
      </c>
      <c r="AE55" s="309">
        <f t="shared" si="143"/>
        <v>0</v>
      </c>
      <c r="AF55" s="304"/>
      <c r="AG55" s="308">
        <f t="shared" si="144"/>
        <v>-341.39180999999996</v>
      </c>
      <c r="AH55" s="304">
        <v>0</v>
      </c>
      <c r="AI55" s="309">
        <v>0</v>
      </c>
      <c r="AJ55" s="304"/>
      <c r="AK55" s="308">
        <f t="shared" si="145"/>
        <v>3342.0461399999995</v>
      </c>
      <c r="AL55" s="304">
        <f t="shared" si="146"/>
        <v>0</v>
      </c>
      <c r="AM55" s="309">
        <f t="shared" si="147"/>
        <v>0</v>
      </c>
      <c r="AN55" s="304"/>
      <c r="AO55" s="333"/>
      <c r="AP55" s="335">
        <f t="shared" si="137"/>
        <v>7.3663366336633659E-2</v>
      </c>
      <c r="AQ55" s="304"/>
      <c r="AR55" s="308">
        <f t="shared" si="148"/>
        <v>273.69680000000346</v>
      </c>
      <c r="AS55" s="304">
        <v>0</v>
      </c>
      <c r="AT55" s="309">
        <v>0</v>
      </c>
      <c r="AU55" s="304"/>
      <c r="AV55" s="473"/>
      <c r="AW55" s="1610"/>
      <c r="AX55" s="1610"/>
      <c r="AY55" s="304"/>
    </row>
    <row r="56" spans="1:51" x14ac:dyDescent="0.3">
      <c r="A56" s="85">
        <f t="shared" si="4"/>
        <v>49</v>
      </c>
      <c r="B56" s="709"/>
      <c r="C56" s="710" t="s">
        <v>8</v>
      </c>
      <c r="D56" s="156"/>
      <c r="E56" s="121">
        <f>'Rates in Detail'!R47-'Rates in Detail'!N47</f>
        <v>4.0999999999999995E-3</v>
      </c>
      <c r="F56" s="121">
        <f>'Rates in Detail'!V47</f>
        <v>-3.6999999999999999E-4</v>
      </c>
      <c r="G56" s="156">
        <f>'[25]Rates in summary'!R45</f>
        <v>3.5000000000000309E-4</v>
      </c>
      <c r="H56" s="156"/>
      <c r="I56" s="368">
        <f>'Rev Req Proof Yr1'!H56</f>
        <v>5.0500000000000003E-2</v>
      </c>
      <c r="J56" s="758">
        <f t="shared" si="10"/>
        <v>5.4600000000000003E-2</v>
      </c>
      <c r="K56" s="156"/>
      <c r="L56" s="154"/>
      <c r="M56" s="155"/>
      <c r="N56" s="121"/>
      <c r="O56" s="121"/>
      <c r="P56" s="121"/>
      <c r="Q56" s="758"/>
      <c r="R56" s="156"/>
      <c r="S56" s="293">
        <v>0</v>
      </c>
      <c r="T56" s="294">
        <f>'Rev Req Proof Yr1'!R56</f>
        <v>0</v>
      </c>
      <c r="U56" s="294"/>
      <c r="V56" s="295"/>
      <c r="W56" s="296"/>
      <c r="X56" s="156"/>
      <c r="Y56" s="308">
        <f t="shared" si="138"/>
        <v>0</v>
      </c>
      <c r="Z56" s="304">
        <f t="shared" si="139"/>
        <v>0</v>
      </c>
      <c r="AA56" s="309">
        <f t="shared" si="140"/>
        <v>0</v>
      </c>
      <c r="AB56" s="304"/>
      <c r="AC56" s="308">
        <f t="shared" si="141"/>
        <v>0</v>
      </c>
      <c r="AD56" s="304">
        <f t="shared" si="142"/>
        <v>0</v>
      </c>
      <c r="AE56" s="309">
        <f t="shared" si="143"/>
        <v>0</v>
      </c>
      <c r="AF56" s="304"/>
      <c r="AG56" s="308">
        <f t="shared" si="144"/>
        <v>0</v>
      </c>
      <c r="AH56" s="304">
        <v>0</v>
      </c>
      <c r="AI56" s="309">
        <v>0</v>
      </c>
      <c r="AJ56" s="304"/>
      <c r="AK56" s="308">
        <f t="shared" si="145"/>
        <v>0</v>
      </c>
      <c r="AL56" s="304">
        <f t="shared" si="146"/>
        <v>0</v>
      </c>
      <c r="AM56" s="309">
        <f t="shared" si="147"/>
        <v>0</v>
      </c>
      <c r="AN56" s="304"/>
      <c r="AO56" s="333"/>
      <c r="AP56" s="335" t="e">
        <f t="shared" si="137"/>
        <v>#DIV/0!</v>
      </c>
      <c r="AQ56" s="304"/>
      <c r="AR56" s="308">
        <f t="shared" si="148"/>
        <v>0</v>
      </c>
      <c r="AS56" s="304">
        <v>0</v>
      </c>
      <c r="AT56" s="309">
        <v>0</v>
      </c>
      <c r="AU56" s="304"/>
      <c r="AV56" s="473"/>
      <c r="AW56" s="1610"/>
      <c r="AX56" s="1610"/>
      <c r="AY56" s="304"/>
    </row>
    <row r="57" spans="1:51" x14ac:dyDescent="0.3">
      <c r="A57" s="85">
        <f t="shared" si="4"/>
        <v>50</v>
      </c>
      <c r="B57" s="709"/>
      <c r="C57" s="710" t="s">
        <v>9</v>
      </c>
      <c r="D57" s="156"/>
      <c r="E57" s="121">
        <f>'Rates in Detail'!R48-'Rates in Detail'!N48</f>
        <v>1.5399999999999997E-3</v>
      </c>
      <c r="F57" s="121">
        <f>'Rates in Detail'!V48</f>
        <v>-1.3999999999999999E-4</v>
      </c>
      <c r="G57" s="156">
        <f>'[25]Rates in summary'!R46</f>
        <v>1.3000000000000164E-4</v>
      </c>
      <c r="H57" s="156"/>
      <c r="I57" s="368">
        <f>'Rev Req Proof Yr1'!H57</f>
        <v>1.8929999999999999E-2</v>
      </c>
      <c r="J57" s="758">
        <f t="shared" si="10"/>
        <v>2.0469999999999999E-2</v>
      </c>
      <c r="K57" s="156"/>
      <c r="L57" s="154"/>
      <c r="M57" s="155"/>
      <c r="N57" s="121"/>
      <c r="O57" s="121"/>
      <c r="P57" s="121"/>
      <c r="Q57" s="758"/>
      <c r="R57" s="156"/>
      <c r="S57" s="293">
        <v>0</v>
      </c>
      <c r="T57" s="294">
        <f>'Rev Req Proof Yr1'!R57</f>
        <v>0</v>
      </c>
      <c r="U57" s="294"/>
      <c r="V57" s="295"/>
      <c r="W57" s="296"/>
      <c r="X57" s="156"/>
      <c r="Y57" s="308">
        <f t="shared" si="138"/>
        <v>0</v>
      </c>
      <c r="Z57" s="304">
        <f t="shared" si="139"/>
        <v>0</v>
      </c>
      <c r="AA57" s="309">
        <f t="shared" si="140"/>
        <v>0</v>
      </c>
      <c r="AB57" s="304"/>
      <c r="AC57" s="308">
        <f t="shared" si="141"/>
        <v>0</v>
      </c>
      <c r="AD57" s="304">
        <f t="shared" si="142"/>
        <v>0</v>
      </c>
      <c r="AE57" s="309">
        <f t="shared" si="143"/>
        <v>0</v>
      </c>
      <c r="AF57" s="304"/>
      <c r="AG57" s="308">
        <f t="shared" si="144"/>
        <v>0</v>
      </c>
      <c r="AH57" s="304">
        <v>0</v>
      </c>
      <c r="AI57" s="309">
        <v>0</v>
      </c>
      <c r="AJ57" s="304"/>
      <c r="AK57" s="308">
        <f t="shared" si="145"/>
        <v>0</v>
      </c>
      <c r="AL57" s="304">
        <f t="shared" si="146"/>
        <v>0</v>
      </c>
      <c r="AM57" s="309">
        <f t="shared" si="147"/>
        <v>0</v>
      </c>
      <c r="AN57" s="304"/>
      <c r="AO57" s="333"/>
      <c r="AP57" s="335" t="e">
        <f>AP56</f>
        <v>#DIV/0!</v>
      </c>
      <c r="AQ57" s="304"/>
      <c r="AR57" s="308">
        <f t="shared" si="148"/>
        <v>0</v>
      </c>
      <c r="AS57" s="304">
        <v>0</v>
      </c>
      <c r="AT57" s="309">
        <v>0</v>
      </c>
      <c r="AU57" s="304"/>
      <c r="AV57" s="473"/>
      <c r="AW57" s="1610"/>
      <c r="AX57" s="1610"/>
      <c r="AY57" s="304"/>
    </row>
    <row r="58" spans="1:51" x14ac:dyDescent="0.3">
      <c r="A58" s="85">
        <f t="shared" si="4"/>
        <v>51</v>
      </c>
      <c r="B58" s="707"/>
      <c r="C58" s="726" t="s">
        <v>76</v>
      </c>
      <c r="D58" s="152"/>
      <c r="E58" s="122"/>
      <c r="F58" s="122"/>
      <c r="G58" s="152"/>
      <c r="H58" s="152"/>
      <c r="I58" s="363"/>
      <c r="J58" s="757"/>
      <c r="K58" s="156"/>
      <c r="L58" s="154"/>
      <c r="M58" s="155"/>
      <c r="N58" s="121"/>
      <c r="O58" s="121"/>
      <c r="P58" s="121"/>
      <c r="Q58" s="758"/>
      <c r="R58" s="156"/>
      <c r="S58" s="293"/>
      <c r="T58" s="294"/>
      <c r="U58" s="294"/>
      <c r="V58" s="295"/>
      <c r="W58" s="296"/>
      <c r="X58" s="156"/>
      <c r="Y58" s="310">
        <f>SUM(Y52:Y57)</f>
        <v>266581.87829999998</v>
      </c>
      <c r="Z58" s="311">
        <f>SUM(Z52:Z57)</f>
        <v>74400</v>
      </c>
      <c r="AA58" s="312">
        <f>SUM(AA52:AA57)</f>
        <v>19802.795040000001</v>
      </c>
      <c r="AB58" s="304"/>
      <c r="AC58" s="310">
        <f>SUM(AC52:AC57)</f>
        <v>288225.19367999997</v>
      </c>
      <c r="AD58" s="311">
        <f>SUM(AD52:AD57)</f>
        <v>74400</v>
      </c>
      <c r="AE58" s="312">
        <f>SUM(AE52:AE57)</f>
        <v>19802.795040000001</v>
      </c>
      <c r="AF58" s="304"/>
      <c r="AG58" s="310">
        <f>SUM(AG52:AG57)</f>
        <v>-1995.73389</v>
      </c>
      <c r="AH58" s="311">
        <f>SUM(AH52:AH57)</f>
        <v>0</v>
      </c>
      <c r="AI58" s="312">
        <f>SUM(AI52:AI57)</f>
        <v>0</v>
      </c>
      <c r="AJ58" s="304"/>
      <c r="AK58" s="310">
        <f>SUM(AK52:AK57)</f>
        <v>19647.581489999993</v>
      </c>
      <c r="AL58" s="311">
        <f>SUM(AL52:AL57)</f>
        <v>0</v>
      </c>
      <c r="AM58" s="312">
        <f>SUM(AM52:AM57)</f>
        <v>0</v>
      </c>
      <c r="AN58" s="304"/>
      <c r="AO58" s="333">
        <f>SUM(AK58:AM58)/SUM(Y58:AA58)</f>
        <v>5.4457916152896836E-2</v>
      </c>
      <c r="AP58" s="334">
        <f t="shared" ref="AP58:AP70" si="149">SUM(AK58)/SUM(Y58)</f>
        <v>7.3701864565187861E-2</v>
      </c>
      <c r="AQ58" s="304"/>
      <c r="AR58" s="310">
        <f>SUM(AR52:AR57)</f>
        <v>1347.1534900000061</v>
      </c>
      <c r="AS58" s="311">
        <f>SUM(AS52:AS57)</f>
        <v>0</v>
      </c>
      <c r="AT58" s="312">
        <f>SUM(AT52:AT57)</f>
        <v>0</v>
      </c>
      <c r="AU58" s="304"/>
      <c r="AV58" s="473"/>
      <c r="AW58" s="305"/>
      <c r="AX58" s="304"/>
    </row>
    <row r="59" spans="1:51" x14ac:dyDescent="0.3">
      <c r="A59" s="85">
        <f t="shared" si="4"/>
        <v>52</v>
      </c>
      <c r="B59" s="709" t="str">
        <f>'WA Volumes &amp; Revenues'!B51</f>
        <v>42I Firm Transpt</v>
      </c>
      <c r="C59" s="710" t="s">
        <v>4</v>
      </c>
      <c r="D59" s="156"/>
      <c r="E59" s="121">
        <f>'Rates in Detail'!R49-'Rates in Detail'!N49</f>
        <v>8.670000000000011E-3</v>
      </c>
      <c r="F59" s="121">
        <f>'Rates in Detail'!V49</f>
        <v>-1.0300000000000001E-3</v>
      </c>
      <c r="G59" s="156">
        <f>'[25]Rates in summary'!R47</f>
        <v>1.0300000000000031E-3</v>
      </c>
      <c r="H59" s="156"/>
      <c r="I59" s="368">
        <f>'Rev Req Proof Yr1'!H59</f>
        <v>0.13941000000000001</v>
      </c>
      <c r="J59" s="758">
        <f t="shared" si="10"/>
        <v>0.14808000000000002</v>
      </c>
      <c r="K59" s="156"/>
      <c r="L59" s="154">
        <f>'Rev Req Proof Yr1'!K59</f>
        <v>1550</v>
      </c>
      <c r="M59" s="155">
        <f>'Rev Req Proof Yr1'!L59</f>
        <v>1550</v>
      </c>
      <c r="N59" s="121">
        <f>'Rev Req Proof Yr1'!M59</f>
        <v>0.15748000000000001</v>
      </c>
      <c r="O59" s="121">
        <f>'Rev Req Proof Yr1'!N59</f>
        <v>0.15748000000000001</v>
      </c>
      <c r="P59" s="121">
        <f>'Rev Req Proof Yr1'!O59</f>
        <v>0</v>
      </c>
      <c r="Q59" s="758">
        <f>'Rev Req Proof Yr1'!P59</f>
        <v>0</v>
      </c>
      <c r="R59" s="156"/>
      <c r="S59" s="293">
        <v>845780</v>
      </c>
      <c r="T59" s="294">
        <f>'Rev Req Proof Yr1'!R59</f>
        <v>924395</v>
      </c>
      <c r="U59" s="294">
        <f>'Rev Req Proof Yr1'!S59</f>
        <v>26810</v>
      </c>
      <c r="V59" s="295">
        <f>'Rev Req Proof Yr1'!T59</f>
        <v>8.9166666666666661</v>
      </c>
      <c r="W59" s="296">
        <f>'Rev Req Proof Yr1'!U59</f>
        <v>63374</v>
      </c>
      <c r="X59" s="156"/>
      <c r="Y59" s="308">
        <f t="shared" ref="Y59:Y64" si="150">(I59*T59)</f>
        <v>128869.90695</v>
      </c>
      <c r="Z59" s="304">
        <f t="shared" ref="Z59:Z64" si="151">(L59*V59*12)</f>
        <v>165850</v>
      </c>
      <c r="AA59" s="309">
        <f t="shared" ref="AA59:AA64" si="152">(U59*(N59+P59))*12</f>
        <v>50664.465600000003</v>
      </c>
      <c r="AB59" s="304"/>
      <c r="AC59" s="308">
        <f t="shared" ref="AC59:AC64" si="153">(J59*T59)</f>
        <v>136884.41160000002</v>
      </c>
      <c r="AD59" s="304">
        <f t="shared" ref="AD59:AD64" si="154">(M59*V59*12)</f>
        <v>165850</v>
      </c>
      <c r="AE59" s="309">
        <f t="shared" ref="AE59:AE64" si="155">(U59*(O59+Q59))*12</f>
        <v>50664.465600000003</v>
      </c>
      <c r="AF59" s="304"/>
      <c r="AG59" s="308">
        <f t="shared" ref="AG59:AG64" si="156">(F59*T59)</f>
        <v>-952.1268500000001</v>
      </c>
      <c r="AH59" s="304">
        <v>0</v>
      </c>
      <c r="AI59" s="309">
        <v>0</v>
      </c>
      <c r="AJ59" s="304"/>
      <c r="AK59" s="308">
        <f t="shared" ref="AK59:AK64" si="157">AC59-Y59+AG59</f>
        <v>7062.3778000000166</v>
      </c>
      <c r="AL59" s="304">
        <f t="shared" ref="AL59:AL64" si="158">AD59-Z59-AH59</f>
        <v>0</v>
      </c>
      <c r="AM59" s="309">
        <f t="shared" ref="AM59:AM64" si="159">AE59-AA59-AI59</f>
        <v>0</v>
      </c>
      <c r="AN59" s="304"/>
      <c r="AO59" s="333"/>
      <c r="AP59" s="335">
        <f t="shared" si="149"/>
        <v>5.4802381464744407E-2</v>
      </c>
      <c r="AQ59" s="304"/>
      <c r="AR59" s="308">
        <f t="shared" ref="AR59:AR64" si="160">(G59*S59)</f>
        <v>871.15340000000265</v>
      </c>
      <c r="AS59" s="304">
        <v>0</v>
      </c>
      <c r="AT59" s="309">
        <v>0</v>
      </c>
      <c r="AU59" s="304"/>
      <c r="AV59" s="473"/>
      <c r="AW59" s="1610"/>
      <c r="AX59" s="1610"/>
      <c r="AY59" s="304"/>
    </row>
    <row r="60" spans="1:51" x14ac:dyDescent="0.3">
      <c r="A60" s="85">
        <f t="shared" si="4"/>
        <v>53</v>
      </c>
      <c r="B60" s="709"/>
      <c r="C60" s="710" t="s">
        <v>5</v>
      </c>
      <c r="D60" s="156"/>
      <c r="E60" s="121">
        <f>'Rates in Detail'!R50-'Rates in Detail'!N50</f>
        <v>7.760000000000003E-3</v>
      </c>
      <c r="F60" s="121">
        <f>'Rates in Detail'!V50</f>
        <v>-9.3000000000000005E-4</v>
      </c>
      <c r="G60" s="156">
        <f>'[25]Rates in summary'!R48</f>
        <v>9.2999999999998639E-4</v>
      </c>
      <c r="H60" s="156"/>
      <c r="I60" s="368">
        <f>'Rev Req Proof Yr1'!H60</f>
        <v>0.12479</v>
      </c>
      <c r="J60" s="758">
        <f t="shared" si="10"/>
        <v>0.13255</v>
      </c>
      <c r="K60" s="156"/>
      <c r="L60" s="154"/>
      <c r="M60" s="155"/>
      <c r="N60" s="121"/>
      <c r="O60" s="121"/>
      <c r="P60" s="121"/>
      <c r="Q60" s="758"/>
      <c r="R60" s="156"/>
      <c r="S60" s="293">
        <v>1035850</v>
      </c>
      <c r="T60" s="294">
        <f>'Rev Req Proof Yr1'!R60</f>
        <v>1036796</v>
      </c>
      <c r="U60" s="294"/>
      <c r="V60" s="295"/>
      <c r="W60" s="296"/>
      <c r="X60" s="156"/>
      <c r="Y60" s="308">
        <f t="shared" si="150"/>
        <v>129381.77284000001</v>
      </c>
      <c r="Z60" s="304">
        <f t="shared" si="151"/>
        <v>0</v>
      </c>
      <c r="AA60" s="309">
        <f t="shared" si="152"/>
        <v>0</v>
      </c>
      <c r="AB60" s="304"/>
      <c r="AC60" s="308">
        <f t="shared" si="153"/>
        <v>137427.30979999999</v>
      </c>
      <c r="AD60" s="304">
        <f t="shared" si="154"/>
        <v>0</v>
      </c>
      <c r="AE60" s="309">
        <f t="shared" si="155"/>
        <v>0</v>
      </c>
      <c r="AF60" s="304"/>
      <c r="AG60" s="308">
        <f t="shared" si="156"/>
        <v>-964.22028</v>
      </c>
      <c r="AH60" s="304">
        <v>0</v>
      </c>
      <c r="AI60" s="309">
        <v>0</v>
      </c>
      <c r="AJ60" s="304"/>
      <c r="AK60" s="308">
        <f t="shared" si="157"/>
        <v>7081.3166799999835</v>
      </c>
      <c r="AL60" s="304">
        <f t="shared" si="158"/>
        <v>0</v>
      </c>
      <c r="AM60" s="309">
        <f t="shared" si="159"/>
        <v>0</v>
      </c>
      <c r="AN60" s="304"/>
      <c r="AO60" s="333"/>
      <c r="AP60" s="335">
        <f t="shared" si="149"/>
        <v>5.4731949675454632E-2</v>
      </c>
      <c r="AQ60" s="304"/>
      <c r="AR60" s="308">
        <f t="shared" si="160"/>
        <v>963.34049999998592</v>
      </c>
      <c r="AS60" s="304">
        <v>0</v>
      </c>
      <c r="AT60" s="309">
        <v>0</v>
      </c>
      <c r="AU60" s="304"/>
      <c r="AV60" s="473"/>
      <c r="AW60" s="1610"/>
      <c r="AX60" s="1610"/>
      <c r="AY60" s="304"/>
    </row>
    <row r="61" spans="1:51" x14ac:dyDescent="0.3">
      <c r="A61" s="85">
        <f t="shared" si="4"/>
        <v>54</v>
      </c>
      <c r="B61" s="709"/>
      <c r="C61" s="710" t="s">
        <v>6</v>
      </c>
      <c r="D61" s="156"/>
      <c r="E61" s="121">
        <f>'Rates in Detail'!R51-'Rates in Detail'!N51</f>
        <v>5.949999999999997E-3</v>
      </c>
      <c r="F61" s="121">
        <f>'Rates in Detail'!V51</f>
        <v>-7.000000000000001E-4</v>
      </c>
      <c r="G61" s="156">
        <f>'[25]Rates in summary'!R49</f>
        <v>7.0000000000000617E-4</v>
      </c>
      <c r="H61" s="156"/>
      <c r="I61" s="368">
        <f>'Rev Req Proof Yr1'!H61</f>
        <v>9.5689999999999997E-2</v>
      </c>
      <c r="J61" s="758">
        <f t="shared" si="10"/>
        <v>0.10163999999999999</v>
      </c>
      <c r="K61" s="156"/>
      <c r="L61" s="154"/>
      <c r="M61" s="155"/>
      <c r="N61" s="121"/>
      <c r="O61" s="121"/>
      <c r="P61" s="121"/>
      <c r="Q61" s="758"/>
      <c r="R61" s="156"/>
      <c r="S61" s="293">
        <v>958175</v>
      </c>
      <c r="T61" s="294">
        <f>'Rev Req Proof Yr1'!R61</f>
        <v>937215</v>
      </c>
      <c r="U61" s="294"/>
      <c r="V61" s="295"/>
      <c r="W61" s="296"/>
      <c r="X61" s="156"/>
      <c r="Y61" s="308">
        <f t="shared" si="150"/>
        <v>89682.10334999999</v>
      </c>
      <c r="Z61" s="304">
        <f t="shared" si="151"/>
        <v>0</v>
      </c>
      <c r="AA61" s="309">
        <f t="shared" si="152"/>
        <v>0</v>
      </c>
      <c r="AB61" s="304"/>
      <c r="AC61" s="308">
        <f t="shared" si="153"/>
        <v>95258.532599999991</v>
      </c>
      <c r="AD61" s="304">
        <f t="shared" si="154"/>
        <v>0</v>
      </c>
      <c r="AE61" s="309">
        <f t="shared" si="155"/>
        <v>0</v>
      </c>
      <c r="AF61" s="304"/>
      <c r="AG61" s="308">
        <f t="shared" si="156"/>
        <v>-656.05050000000006</v>
      </c>
      <c r="AH61" s="304">
        <v>0</v>
      </c>
      <c r="AI61" s="309">
        <v>0</v>
      </c>
      <c r="AJ61" s="304"/>
      <c r="AK61" s="308">
        <f t="shared" si="157"/>
        <v>4920.3787500000008</v>
      </c>
      <c r="AL61" s="304">
        <f t="shared" si="158"/>
        <v>0</v>
      </c>
      <c r="AM61" s="309">
        <f t="shared" si="159"/>
        <v>0</v>
      </c>
      <c r="AN61" s="304"/>
      <c r="AO61" s="333"/>
      <c r="AP61" s="335">
        <f t="shared" si="149"/>
        <v>5.4864667154352613E-2</v>
      </c>
      <c r="AQ61" s="304"/>
      <c r="AR61" s="308">
        <f t="shared" si="160"/>
        <v>670.72250000000588</v>
      </c>
      <c r="AS61" s="304">
        <v>0</v>
      </c>
      <c r="AT61" s="309">
        <v>0</v>
      </c>
      <c r="AU61" s="304"/>
      <c r="AV61" s="473"/>
      <c r="AW61" s="1610"/>
      <c r="AX61" s="1610"/>
      <c r="AY61" s="304"/>
    </row>
    <row r="62" spans="1:51" x14ac:dyDescent="0.3">
      <c r="A62" s="85">
        <f t="shared" si="4"/>
        <v>55</v>
      </c>
      <c r="B62" s="709"/>
      <c r="C62" s="710" t="s">
        <v>7</v>
      </c>
      <c r="D62" s="156"/>
      <c r="E62" s="121">
        <f>'Rates in Detail'!R52-'Rates in Detail'!N52</f>
        <v>4.7600000000000003E-3</v>
      </c>
      <c r="F62" s="121">
        <f>'Rates in Detail'!V52</f>
        <v>-5.5999999999999995E-4</v>
      </c>
      <c r="G62" s="156">
        <f>'[25]Rates in summary'!R50</f>
        <v>5.7000000000000106E-4</v>
      </c>
      <c r="H62" s="156"/>
      <c r="I62" s="368">
        <f>'Rev Req Proof Yr1'!H62</f>
        <v>7.6560000000000003E-2</v>
      </c>
      <c r="J62" s="758">
        <f t="shared" si="10"/>
        <v>8.1320000000000003E-2</v>
      </c>
      <c r="K62" s="156"/>
      <c r="L62" s="154"/>
      <c r="M62" s="155"/>
      <c r="N62" s="121"/>
      <c r="O62" s="121"/>
      <c r="P62" s="121"/>
      <c r="Q62" s="758"/>
      <c r="R62" s="156"/>
      <c r="S62" s="293">
        <v>2472959</v>
      </c>
      <c r="T62" s="294">
        <f>'Rev Req Proof Yr1'!R62</f>
        <v>2390318</v>
      </c>
      <c r="U62" s="294"/>
      <c r="V62" s="295"/>
      <c r="W62" s="296"/>
      <c r="X62" s="156"/>
      <c r="Y62" s="308">
        <f t="shared" si="150"/>
        <v>183002.74608000001</v>
      </c>
      <c r="Z62" s="304">
        <f t="shared" si="151"/>
        <v>0</v>
      </c>
      <c r="AA62" s="309">
        <f t="shared" si="152"/>
        <v>0</v>
      </c>
      <c r="AB62" s="304"/>
      <c r="AC62" s="308">
        <f t="shared" si="153"/>
        <v>194380.65976000001</v>
      </c>
      <c r="AD62" s="304">
        <f t="shared" si="154"/>
        <v>0</v>
      </c>
      <c r="AE62" s="309">
        <f t="shared" si="155"/>
        <v>0</v>
      </c>
      <c r="AF62" s="304"/>
      <c r="AG62" s="308">
        <f t="shared" si="156"/>
        <v>-1338.5780799999998</v>
      </c>
      <c r="AH62" s="304">
        <v>0</v>
      </c>
      <c r="AI62" s="309">
        <v>0</v>
      </c>
      <c r="AJ62" s="304"/>
      <c r="AK62" s="308">
        <f t="shared" si="157"/>
        <v>10039.335599999999</v>
      </c>
      <c r="AL62" s="304">
        <f t="shared" si="158"/>
        <v>0</v>
      </c>
      <c r="AM62" s="309">
        <f t="shared" si="159"/>
        <v>0</v>
      </c>
      <c r="AN62" s="304"/>
      <c r="AO62" s="333"/>
      <c r="AP62" s="335">
        <f t="shared" si="149"/>
        <v>5.4858934169278985E-2</v>
      </c>
      <c r="AQ62" s="304"/>
      <c r="AR62" s="308">
        <f t="shared" si="160"/>
        <v>1409.5866300000025</v>
      </c>
      <c r="AS62" s="304">
        <v>0</v>
      </c>
      <c r="AT62" s="309">
        <v>0</v>
      </c>
      <c r="AU62" s="304"/>
      <c r="AV62" s="473"/>
      <c r="AW62" s="1610"/>
      <c r="AX62" s="1610"/>
      <c r="AY62" s="304"/>
    </row>
    <row r="63" spans="1:51" x14ac:dyDescent="0.3">
      <c r="A63" s="85">
        <f t="shared" si="4"/>
        <v>56</v>
      </c>
      <c r="B63" s="709"/>
      <c r="C63" s="710" t="s">
        <v>8</v>
      </c>
      <c r="D63" s="156"/>
      <c r="E63" s="121">
        <f>'Rates in Detail'!R53-'Rates in Detail'!N53</f>
        <v>3.1699999999999992E-3</v>
      </c>
      <c r="F63" s="121">
        <f>'Rates in Detail'!V53</f>
        <v>-3.6999999999999999E-4</v>
      </c>
      <c r="G63" s="156">
        <f>'[25]Rates in summary'!R51</f>
        <v>3.7999999999999839E-4</v>
      </c>
      <c r="H63" s="156"/>
      <c r="I63" s="368">
        <f>'Rev Req Proof Yr1'!H63</f>
        <v>5.1040000000000002E-2</v>
      </c>
      <c r="J63" s="758">
        <f t="shared" si="10"/>
        <v>5.4210000000000001E-2</v>
      </c>
      <c r="K63" s="156"/>
      <c r="L63" s="154"/>
      <c r="M63" s="155"/>
      <c r="N63" s="121"/>
      <c r="O63" s="121"/>
      <c r="P63" s="121"/>
      <c r="Q63" s="758"/>
      <c r="R63" s="156"/>
      <c r="S63" s="293">
        <v>1302378</v>
      </c>
      <c r="T63" s="294">
        <f>'Rev Req Proof Yr1'!R63</f>
        <v>1492257</v>
      </c>
      <c r="U63" s="294"/>
      <c r="V63" s="295"/>
      <c r="W63" s="296"/>
      <c r="X63" s="156"/>
      <c r="Y63" s="308">
        <f t="shared" si="150"/>
        <v>76164.797279999999</v>
      </c>
      <c r="Z63" s="304">
        <f t="shared" si="151"/>
        <v>0</v>
      </c>
      <c r="AA63" s="309">
        <f t="shared" si="152"/>
        <v>0</v>
      </c>
      <c r="AB63" s="304"/>
      <c r="AC63" s="308">
        <f t="shared" si="153"/>
        <v>80895.251969999998</v>
      </c>
      <c r="AD63" s="304">
        <f t="shared" si="154"/>
        <v>0</v>
      </c>
      <c r="AE63" s="309">
        <f t="shared" si="155"/>
        <v>0</v>
      </c>
      <c r="AF63" s="304"/>
      <c r="AG63" s="308">
        <f t="shared" si="156"/>
        <v>-552.13508999999999</v>
      </c>
      <c r="AH63" s="304">
        <v>0</v>
      </c>
      <c r="AI63" s="309">
        <v>0</v>
      </c>
      <c r="AJ63" s="304"/>
      <c r="AK63" s="308">
        <f t="shared" si="157"/>
        <v>4178.3195999999989</v>
      </c>
      <c r="AL63" s="304">
        <f t="shared" si="158"/>
        <v>0</v>
      </c>
      <c r="AM63" s="309">
        <f t="shared" si="159"/>
        <v>0</v>
      </c>
      <c r="AN63" s="304"/>
      <c r="AO63" s="333"/>
      <c r="AP63" s="335">
        <f t="shared" si="149"/>
        <v>5.4858934169278985E-2</v>
      </c>
      <c r="AQ63" s="304"/>
      <c r="AR63" s="308">
        <f t="shared" si="160"/>
        <v>494.90363999999789</v>
      </c>
      <c r="AS63" s="304">
        <v>0</v>
      </c>
      <c r="AT63" s="309">
        <v>0</v>
      </c>
      <c r="AU63" s="304"/>
      <c r="AV63" s="473"/>
      <c r="AW63" s="1610"/>
      <c r="AX63" s="1610"/>
      <c r="AY63" s="304"/>
    </row>
    <row r="64" spans="1:51" x14ac:dyDescent="0.3">
      <c r="A64" s="85">
        <f t="shared" si="4"/>
        <v>57</v>
      </c>
      <c r="B64" s="709"/>
      <c r="C64" s="710" t="s">
        <v>9</v>
      </c>
      <c r="D64" s="156"/>
      <c r="E64" s="121">
        <f>'Rates in Detail'!R54-'Rates in Detail'!N54</f>
        <v>1.1900000000000001E-3</v>
      </c>
      <c r="F64" s="121">
        <f>'Rates in Detail'!V54</f>
        <v>-1.3999999999999999E-4</v>
      </c>
      <c r="G64" s="156">
        <f>'[25]Rates in summary'!R52</f>
        <v>1.4000000000000123E-4</v>
      </c>
      <c r="H64" s="156"/>
      <c r="I64" s="368">
        <f>'Rev Req Proof Yr1'!H64</f>
        <v>1.9140000000000001E-2</v>
      </c>
      <c r="J64" s="758">
        <f t="shared" si="10"/>
        <v>2.0330000000000001E-2</v>
      </c>
      <c r="K64" s="156"/>
      <c r="L64" s="154"/>
      <c r="M64" s="155"/>
      <c r="N64" s="121"/>
      <c r="O64" s="121"/>
      <c r="P64" s="121"/>
      <c r="Q64" s="758"/>
      <c r="R64" s="156"/>
      <c r="S64" s="293">
        <v>0</v>
      </c>
      <c r="T64" s="294">
        <f>'Rev Req Proof Yr1'!R64</f>
        <v>0</v>
      </c>
      <c r="U64" s="294"/>
      <c r="V64" s="295"/>
      <c r="W64" s="296"/>
      <c r="X64" s="156"/>
      <c r="Y64" s="308">
        <f t="shared" si="150"/>
        <v>0</v>
      </c>
      <c r="Z64" s="304">
        <f t="shared" si="151"/>
        <v>0</v>
      </c>
      <c r="AA64" s="309">
        <f t="shared" si="152"/>
        <v>0</v>
      </c>
      <c r="AB64" s="304"/>
      <c r="AC64" s="308">
        <f t="shared" si="153"/>
        <v>0</v>
      </c>
      <c r="AD64" s="304">
        <f t="shared" si="154"/>
        <v>0</v>
      </c>
      <c r="AE64" s="309">
        <f t="shared" si="155"/>
        <v>0</v>
      </c>
      <c r="AF64" s="304"/>
      <c r="AG64" s="308">
        <f t="shared" si="156"/>
        <v>0</v>
      </c>
      <c r="AH64" s="304">
        <v>0</v>
      </c>
      <c r="AI64" s="309">
        <v>0</v>
      </c>
      <c r="AJ64" s="304"/>
      <c r="AK64" s="308">
        <f t="shared" si="157"/>
        <v>0</v>
      </c>
      <c r="AL64" s="304">
        <f t="shared" si="158"/>
        <v>0</v>
      </c>
      <c r="AM64" s="309">
        <f t="shared" si="159"/>
        <v>0</v>
      </c>
      <c r="AN64" s="304"/>
      <c r="AO64" s="333"/>
      <c r="AP64" s="335" t="e">
        <f t="shared" si="149"/>
        <v>#DIV/0!</v>
      </c>
      <c r="AQ64" s="304"/>
      <c r="AR64" s="308">
        <f t="shared" si="160"/>
        <v>0</v>
      </c>
      <c r="AS64" s="304">
        <v>0</v>
      </c>
      <c r="AT64" s="309">
        <v>0</v>
      </c>
      <c r="AU64" s="304"/>
      <c r="AV64" s="473"/>
      <c r="AW64" s="1610"/>
      <c r="AX64" s="1610"/>
      <c r="AY64" s="304"/>
    </row>
    <row r="65" spans="1:51" x14ac:dyDescent="0.3">
      <c r="A65" s="85">
        <f t="shared" si="4"/>
        <v>58</v>
      </c>
      <c r="B65" s="707"/>
      <c r="C65" s="726" t="s">
        <v>76</v>
      </c>
      <c r="D65" s="152"/>
      <c r="E65" s="122"/>
      <c r="F65" s="122"/>
      <c r="G65" s="152"/>
      <c r="H65" s="152"/>
      <c r="I65" s="363"/>
      <c r="J65" s="757"/>
      <c r="K65" s="156"/>
      <c r="L65" s="154"/>
      <c r="M65" s="155"/>
      <c r="N65" s="121"/>
      <c r="O65" s="121"/>
      <c r="P65" s="121"/>
      <c r="Q65" s="758"/>
      <c r="R65" s="156"/>
      <c r="S65" s="293"/>
      <c r="T65" s="294"/>
      <c r="U65" s="294"/>
      <c r="V65" s="295"/>
      <c r="W65" s="296"/>
      <c r="X65" s="156"/>
      <c r="Y65" s="310">
        <f>SUM(Y59:Y64)</f>
        <v>607101.32649999997</v>
      </c>
      <c r="Z65" s="311">
        <f>SUM(Z59:Z64)</f>
        <v>165850</v>
      </c>
      <c r="AA65" s="312">
        <f>SUM(AA59:AA64)</f>
        <v>50664.465600000003</v>
      </c>
      <c r="AB65" s="304"/>
      <c r="AC65" s="310">
        <f>SUM(AC59:AC64)</f>
        <v>644846.16573000001</v>
      </c>
      <c r="AD65" s="311">
        <f>SUM(AD59:AD64)</f>
        <v>165850</v>
      </c>
      <c r="AE65" s="312">
        <f>SUM(AE59:AE64)</f>
        <v>50664.465600000003</v>
      </c>
      <c r="AF65" s="304"/>
      <c r="AG65" s="310">
        <f>SUM(AG59:AG64)</f>
        <v>-4463.1108000000004</v>
      </c>
      <c r="AH65" s="311">
        <f>SUM(AH59:AH64)</f>
        <v>0</v>
      </c>
      <c r="AI65" s="312">
        <f>SUM(AI59:AI64)</f>
        <v>0</v>
      </c>
      <c r="AJ65" s="304"/>
      <c r="AK65" s="310">
        <f>SUM(AK59:AK64)</f>
        <v>33281.728430000003</v>
      </c>
      <c r="AL65" s="311">
        <f>SUM(AL59:AL64)</f>
        <v>0</v>
      </c>
      <c r="AM65" s="312">
        <f>SUM(AM59:AM64)</f>
        <v>0</v>
      </c>
      <c r="AN65" s="304"/>
      <c r="AO65" s="333">
        <f>SUM(AK65:AM65)/SUM(Y65:AA65)</f>
        <v>4.0409288832527722E-2</v>
      </c>
      <c r="AP65" s="334">
        <f t="shared" si="149"/>
        <v>5.4820714396841309E-2</v>
      </c>
      <c r="AQ65" s="304"/>
      <c r="AR65" s="310">
        <f>SUM(AR59:AR64)</f>
        <v>4409.706669999995</v>
      </c>
      <c r="AS65" s="311">
        <f>SUM(AS59:AS64)</f>
        <v>0</v>
      </c>
      <c r="AT65" s="312">
        <f>SUM(AT59:AT64)</f>
        <v>0</v>
      </c>
      <c r="AU65" s="304"/>
      <c r="AV65" s="473"/>
      <c r="AW65" s="305"/>
      <c r="AX65" s="304"/>
    </row>
    <row r="66" spans="1:51" x14ac:dyDescent="0.3">
      <c r="A66" s="85">
        <f t="shared" si="4"/>
        <v>59</v>
      </c>
      <c r="B66" s="709" t="str">
        <f>'WA Volumes &amp; Revenues'!B57</f>
        <v>42C Interr Sales</v>
      </c>
      <c r="C66" s="710" t="s">
        <v>4</v>
      </c>
      <c r="D66" s="156"/>
      <c r="E66" s="121">
        <f>'Rates in Detail'!R55-'Rates in Detail'!N55</f>
        <v>2.0599999999999979E-2</v>
      </c>
      <c r="F66" s="121">
        <f>'Rates in Detail'!V55</f>
        <v>-4.4099999999999999E-3</v>
      </c>
      <c r="G66" s="156">
        <f>'[25]Rates in summary'!R53</f>
        <v>0.12404000000000004</v>
      </c>
      <c r="H66" s="156"/>
      <c r="I66" s="368">
        <f>'Rev Req Proof Yr1'!H66</f>
        <v>0.13682</v>
      </c>
      <c r="J66" s="758">
        <f t="shared" si="10"/>
        <v>0.15741999999999998</v>
      </c>
      <c r="K66" s="156"/>
      <c r="L66" s="154">
        <f>'Rev Req Proof Yr1'!K66</f>
        <v>1300</v>
      </c>
      <c r="M66" s="155">
        <f>'Rev Req Proof Yr1'!L66</f>
        <v>1300</v>
      </c>
      <c r="N66" s="121">
        <f>'Rev Req Proof Yr1'!M66</f>
        <v>0</v>
      </c>
      <c r="O66" s="121">
        <f>'Rev Req Proof Yr1'!N66</f>
        <v>0</v>
      </c>
      <c r="P66" s="121">
        <f>'Rev Req Proof Yr1'!O66</f>
        <v>0</v>
      </c>
      <c r="Q66" s="758">
        <f>'Rev Req Proof Yr1'!P66</f>
        <v>0</v>
      </c>
      <c r="R66" s="156"/>
      <c r="S66" s="293">
        <v>255672</v>
      </c>
      <c r="T66" s="294">
        <f>'Rev Req Proof Yr1'!R66</f>
        <v>240000</v>
      </c>
      <c r="U66" s="294">
        <f>'Rev Req Proof Yr1'!S66</f>
        <v>4620</v>
      </c>
      <c r="V66" s="295">
        <f>'Rev Req Proof Yr1'!T66</f>
        <v>2</v>
      </c>
      <c r="W66" s="296">
        <f>'Rev Req Proof Yr1'!U66</f>
        <v>39322</v>
      </c>
      <c r="X66" s="156"/>
      <c r="Y66" s="308">
        <f t="shared" ref="Y66:Y71" si="161">(I66*T66)</f>
        <v>32836.800000000003</v>
      </c>
      <c r="Z66" s="304">
        <f t="shared" ref="Z66:Z71" si="162">(L66*V66*12)</f>
        <v>31200</v>
      </c>
      <c r="AA66" s="309">
        <f t="shared" ref="AA66:AA71" si="163">(U66*(N66+P66))*12</f>
        <v>0</v>
      </c>
      <c r="AB66" s="304"/>
      <c r="AC66" s="308">
        <f t="shared" ref="AC66:AC71" si="164">(J66*T66)</f>
        <v>37780.799999999996</v>
      </c>
      <c r="AD66" s="304">
        <f t="shared" ref="AD66:AD71" si="165">(M66*V66*12)</f>
        <v>31200</v>
      </c>
      <c r="AE66" s="309">
        <f t="shared" ref="AE66:AE71" si="166">(U66*(O66+Q66))*12</f>
        <v>0</v>
      </c>
      <c r="AF66" s="304"/>
      <c r="AG66" s="308">
        <f t="shared" ref="AG66:AG71" si="167">(F66*T66)</f>
        <v>-1058.3999999999999</v>
      </c>
      <c r="AH66" s="304">
        <v>0</v>
      </c>
      <c r="AI66" s="309">
        <v>0</v>
      </c>
      <c r="AJ66" s="304"/>
      <c r="AK66" s="308">
        <f t="shared" ref="AK66:AK71" si="168">AC66-Y66+AG66</f>
        <v>3885.5999999999931</v>
      </c>
      <c r="AL66" s="304">
        <f t="shared" ref="AL66:AL71" si="169">AD66-Z66-AH66</f>
        <v>0</v>
      </c>
      <c r="AM66" s="309">
        <f t="shared" ref="AM66:AM71" si="170">AE66-AA66-AI66</f>
        <v>0</v>
      </c>
      <c r="AN66" s="304"/>
      <c r="AO66" s="333"/>
      <c r="AP66" s="335">
        <f t="shared" si="149"/>
        <v>0.11833065341324346</v>
      </c>
      <c r="AQ66" s="304"/>
      <c r="AR66" s="308">
        <f t="shared" ref="AR66:AR71" si="171">(G66*S66)</f>
        <v>31713.554880000011</v>
      </c>
      <c r="AS66" s="304">
        <v>0</v>
      </c>
      <c r="AT66" s="309">
        <v>0</v>
      </c>
      <c r="AU66" s="304"/>
      <c r="AV66" s="473"/>
      <c r="AW66" s="1610"/>
      <c r="AX66" s="1610"/>
      <c r="AY66" s="304"/>
    </row>
    <row r="67" spans="1:51" x14ac:dyDescent="0.3">
      <c r="A67" s="85">
        <f t="shared" si="4"/>
        <v>60</v>
      </c>
      <c r="B67" s="709"/>
      <c r="C67" s="710" t="s">
        <v>5</v>
      </c>
      <c r="D67" s="156"/>
      <c r="E67" s="121">
        <f>'Rates in Detail'!R56-'Rates in Detail'!N56</f>
        <v>1.8449999999999994E-2</v>
      </c>
      <c r="F67" s="121">
        <f>'Rates in Detail'!V56</f>
        <v>-3.9499999999999995E-3</v>
      </c>
      <c r="G67" s="156">
        <f>'[25]Rates in summary'!R54</f>
        <v>0.12372999999999995</v>
      </c>
      <c r="H67" s="156"/>
      <c r="I67" s="368">
        <f>'Rev Req Proof Yr1'!H67</f>
        <v>0.12247</v>
      </c>
      <c r="J67" s="758">
        <f t="shared" si="10"/>
        <v>0.14091999999999999</v>
      </c>
      <c r="K67" s="156"/>
      <c r="L67" s="268"/>
      <c r="M67" s="54"/>
      <c r="N67" s="121"/>
      <c r="O67" s="121"/>
      <c r="P67" s="121"/>
      <c r="Q67" s="758"/>
      <c r="R67" s="156"/>
      <c r="S67" s="293">
        <v>464002</v>
      </c>
      <c r="T67" s="294">
        <f>'Rev Req Proof Yr1'!R67</f>
        <v>467511</v>
      </c>
      <c r="U67" s="294"/>
      <c r="V67" s="295"/>
      <c r="W67" s="296"/>
      <c r="X67" s="156"/>
      <c r="Y67" s="308">
        <f t="shared" si="161"/>
        <v>57256.072169999999</v>
      </c>
      <c r="Z67" s="304">
        <f t="shared" si="162"/>
        <v>0</v>
      </c>
      <c r="AA67" s="309">
        <f t="shared" si="163"/>
        <v>0</v>
      </c>
      <c r="AB67" s="304"/>
      <c r="AC67" s="308">
        <f t="shared" si="164"/>
        <v>65881.650119999991</v>
      </c>
      <c r="AD67" s="304">
        <f t="shared" si="165"/>
        <v>0</v>
      </c>
      <c r="AE67" s="309">
        <f t="shared" si="166"/>
        <v>0</v>
      </c>
      <c r="AF67" s="304"/>
      <c r="AG67" s="308">
        <f t="shared" si="167"/>
        <v>-1846.6684499999997</v>
      </c>
      <c r="AH67" s="304">
        <v>0</v>
      </c>
      <c r="AI67" s="309">
        <v>0</v>
      </c>
      <c r="AJ67" s="304"/>
      <c r="AK67" s="308">
        <f t="shared" si="168"/>
        <v>6778.9094999999925</v>
      </c>
      <c r="AL67" s="304">
        <f t="shared" si="169"/>
        <v>0</v>
      </c>
      <c r="AM67" s="309">
        <f t="shared" si="170"/>
        <v>0</v>
      </c>
      <c r="AN67" s="304"/>
      <c r="AO67" s="333"/>
      <c r="AP67" s="335">
        <f t="shared" si="149"/>
        <v>0.11839634196129652</v>
      </c>
      <c r="AQ67" s="304"/>
      <c r="AR67" s="308">
        <f t="shared" si="171"/>
        <v>57410.967459999978</v>
      </c>
      <c r="AS67" s="304">
        <v>0</v>
      </c>
      <c r="AT67" s="309">
        <v>0</v>
      </c>
      <c r="AU67" s="304"/>
      <c r="AV67" s="473"/>
      <c r="AW67" s="1610"/>
      <c r="AX67" s="1610"/>
      <c r="AY67" s="304"/>
    </row>
    <row r="68" spans="1:51" x14ac:dyDescent="0.3">
      <c r="A68" s="85">
        <f t="shared" si="4"/>
        <v>61</v>
      </c>
      <c r="B68" s="709"/>
      <c r="C68" s="710" t="s">
        <v>6</v>
      </c>
      <c r="D68" s="156"/>
      <c r="E68" s="121">
        <f>'Rates in Detail'!R57-'Rates in Detail'!N57</f>
        <v>1.414E-2</v>
      </c>
      <c r="F68" s="121">
        <f>'Rates in Detail'!V57</f>
        <v>-3.0299999999999997E-3</v>
      </c>
      <c r="G68" s="156">
        <f>'[25]Rates in summary'!R55</f>
        <v>0.12308999999999998</v>
      </c>
      <c r="H68" s="156"/>
      <c r="I68" s="368">
        <f>'Rev Req Proof Yr1'!H68</f>
        <v>9.3909999999999993E-2</v>
      </c>
      <c r="J68" s="758">
        <f t="shared" si="10"/>
        <v>0.10804999999999999</v>
      </c>
      <c r="K68" s="156"/>
      <c r="L68" s="154"/>
      <c r="M68" s="155"/>
      <c r="N68" s="121"/>
      <c r="O68" s="121"/>
      <c r="P68" s="121"/>
      <c r="Q68" s="758"/>
      <c r="R68" s="156"/>
      <c r="S68" s="293">
        <v>197172</v>
      </c>
      <c r="T68" s="294">
        <f>'Rev Req Proof Yr1'!R68</f>
        <v>218004</v>
      </c>
      <c r="U68" s="294"/>
      <c r="V68" s="295"/>
      <c r="W68" s="296"/>
      <c r="X68" s="156"/>
      <c r="Y68" s="308">
        <f t="shared" si="161"/>
        <v>20472.755639999999</v>
      </c>
      <c r="Z68" s="304">
        <f t="shared" si="162"/>
        <v>0</v>
      </c>
      <c r="AA68" s="309">
        <f t="shared" si="163"/>
        <v>0</v>
      </c>
      <c r="AB68" s="304"/>
      <c r="AC68" s="308">
        <f t="shared" si="164"/>
        <v>23555.332199999997</v>
      </c>
      <c r="AD68" s="304">
        <f t="shared" si="165"/>
        <v>0</v>
      </c>
      <c r="AE68" s="309">
        <f t="shared" si="166"/>
        <v>0</v>
      </c>
      <c r="AF68" s="304"/>
      <c r="AG68" s="308">
        <f t="shared" si="167"/>
        <v>-660.55211999999995</v>
      </c>
      <c r="AH68" s="304">
        <v>0</v>
      </c>
      <c r="AI68" s="309">
        <v>0</v>
      </c>
      <c r="AJ68" s="304"/>
      <c r="AK68" s="308">
        <f t="shared" si="168"/>
        <v>2422.0244399999979</v>
      </c>
      <c r="AL68" s="304">
        <f t="shared" si="169"/>
        <v>0</v>
      </c>
      <c r="AM68" s="309">
        <f t="shared" si="170"/>
        <v>0</v>
      </c>
      <c r="AN68" s="304"/>
      <c r="AO68" s="333"/>
      <c r="AP68" s="335">
        <f t="shared" si="149"/>
        <v>0.11830475987647737</v>
      </c>
      <c r="AQ68" s="304"/>
      <c r="AR68" s="308">
        <f t="shared" si="171"/>
        <v>24269.901479999997</v>
      </c>
      <c r="AS68" s="304">
        <v>0</v>
      </c>
      <c r="AT68" s="309">
        <v>0</v>
      </c>
      <c r="AU68" s="304"/>
      <c r="AV68" s="473"/>
      <c r="AW68" s="1610"/>
      <c r="AX68" s="1610"/>
      <c r="AY68" s="304"/>
    </row>
    <row r="69" spans="1:51" x14ac:dyDescent="0.3">
      <c r="A69" s="85">
        <f t="shared" si="4"/>
        <v>62</v>
      </c>
      <c r="B69" s="709"/>
      <c r="C69" s="710" t="s">
        <v>7</v>
      </c>
      <c r="D69" s="156"/>
      <c r="E69" s="121">
        <f>'Rates in Detail'!R58-'Rates in Detail'!N58</f>
        <v>1.1310000000000001E-2</v>
      </c>
      <c r="F69" s="121">
        <f>'Rates in Detail'!V58</f>
        <v>-2.4199999999999998E-3</v>
      </c>
      <c r="G69" s="156">
        <f>'[25]Rates in summary'!R56</f>
        <v>0.12264999999999998</v>
      </c>
      <c r="H69" s="156"/>
      <c r="I69" s="368">
        <f>'Rev Req Proof Yr1'!H69</f>
        <v>7.5130000000000002E-2</v>
      </c>
      <c r="J69" s="758">
        <f t="shared" si="10"/>
        <v>8.6440000000000003E-2</v>
      </c>
      <c r="K69" s="156"/>
      <c r="L69" s="154"/>
      <c r="M69" s="155"/>
      <c r="N69" s="121"/>
      <c r="O69" s="121"/>
      <c r="P69" s="121"/>
      <c r="Q69" s="758"/>
      <c r="R69" s="156"/>
      <c r="S69" s="293">
        <v>28613</v>
      </c>
      <c r="T69" s="294">
        <f>'Rev Req Proof Yr1'!R69</f>
        <v>18208</v>
      </c>
      <c r="U69" s="294"/>
      <c r="V69" s="295"/>
      <c r="W69" s="296"/>
      <c r="X69" s="156"/>
      <c r="Y69" s="308">
        <f t="shared" si="161"/>
        <v>1367.96704</v>
      </c>
      <c r="Z69" s="304">
        <f t="shared" si="162"/>
        <v>0</v>
      </c>
      <c r="AA69" s="309">
        <f t="shared" si="163"/>
        <v>0</v>
      </c>
      <c r="AB69" s="304"/>
      <c r="AC69" s="308">
        <f t="shared" si="164"/>
        <v>1573.8995200000002</v>
      </c>
      <c r="AD69" s="304">
        <f t="shared" si="165"/>
        <v>0</v>
      </c>
      <c r="AE69" s="309">
        <f t="shared" si="166"/>
        <v>0</v>
      </c>
      <c r="AF69" s="304"/>
      <c r="AG69" s="308">
        <f t="shared" si="167"/>
        <v>-44.063359999999996</v>
      </c>
      <c r="AH69" s="304">
        <v>0</v>
      </c>
      <c r="AI69" s="309">
        <v>0</v>
      </c>
      <c r="AJ69" s="304"/>
      <c r="AK69" s="308">
        <f t="shared" si="168"/>
        <v>161.86912000000018</v>
      </c>
      <c r="AL69" s="304">
        <f t="shared" si="169"/>
        <v>0</v>
      </c>
      <c r="AM69" s="309">
        <f t="shared" si="170"/>
        <v>0</v>
      </c>
      <c r="AN69" s="304"/>
      <c r="AO69" s="333"/>
      <c r="AP69" s="335">
        <f t="shared" si="149"/>
        <v>0.11832823106615213</v>
      </c>
      <c r="AQ69" s="304"/>
      <c r="AR69" s="308">
        <f t="shared" si="171"/>
        <v>3509.3844499999996</v>
      </c>
      <c r="AS69" s="304">
        <v>0</v>
      </c>
      <c r="AT69" s="309">
        <v>0</v>
      </c>
      <c r="AU69" s="304"/>
      <c r="AV69" s="473"/>
      <c r="AW69" s="1610"/>
      <c r="AX69" s="1610"/>
      <c r="AY69" s="304"/>
    </row>
    <row r="70" spans="1:51" x14ac:dyDescent="0.3">
      <c r="A70" s="85">
        <f t="shared" si="4"/>
        <v>63</v>
      </c>
      <c r="B70" s="709"/>
      <c r="C70" s="710" t="s">
        <v>8</v>
      </c>
      <c r="D70" s="156"/>
      <c r="E70" s="121">
        <f>'Rates in Detail'!R59-'Rates in Detail'!N59</f>
        <v>7.5500000000000012E-3</v>
      </c>
      <c r="F70" s="121">
        <f>'Rates in Detail'!V59</f>
        <v>-1.6100000000000001E-3</v>
      </c>
      <c r="G70" s="156">
        <f>'[25]Rates in summary'!R57</f>
        <v>0.12209999999999999</v>
      </c>
      <c r="H70" s="156"/>
      <c r="I70" s="368">
        <f>'Rev Req Proof Yr1'!H70</f>
        <v>5.0090000000000003E-2</v>
      </c>
      <c r="J70" s="758">
        <f t="shared" si="10"/>
        <v>5.7640000000000004E-2</v>
      </c>
      <c r="K70" s="156"/>
      <c r="L70" s="154"/>
      <c r="M70" s="155"/>
      <c r="N70" s="121"/>
      <c r="O70" s="121"/>
      <c r="P70" s="121"/>
      <c r="Q70" s="758"/>
      <c r="R70" s="156"/>
      <c r="S70" s="293">
        <v>0</v>
      </c>
      <c r="T70" s="294">
        <f>'Rev Req Proof Yr1'!R70</f>
        <v>0</v>
      </c>
      <c r="U70" s="294"/>
      <c r="V70" s="295"/>
      <c r="W70" s="296"/>
      <c r="X70" s="156"/>
      <c r="Y70" s="308">
        <f t="shared" si="161"/>
        <v>0</v>
      </c>
      <c r="Z70" s="304">
        <f t="shared" si="162"/>
        <v>0</v>
      </c>
      <c r="AA70" s="309">
        <f t="shared" si="163"/>
        <v>0</v>
      </c>
      <c r="AB70" s="304"/>
      <c r="AC70" s="308">
        <f t="shared" si="164"/>
        <v>0</v>
      </c>
      <c r="AD70" s="304">
        <f t="shared" si="165"/>
        <v>0</v>
      </c>
      <c r="AE70" s="309">
        <f t="shared" si="166"/>
        <v>0</v>
      </c>
      <c r="AF70" s="304"/>
      <c r="AG70" s="308">
        <f t="shared" si="167"/>
        <v>0</v>
      </c>
      <c r="AH70" s="304">
        <v>0</v>
      </c>
      <c r="AI70" s="309">
        <v>0</v>
      </c>
      <c r="AJ70" s="304"/>
      <c r="AK70" s="308">
        <f t="shared" si="168"/>
        <v>0</v>
      </c>
      <c r="AL70" s="304">
        <f t="shared" si="169"/>
        <v>0</v>
      </c>
      <c r="AM70" s="309">
        <f t="shared" si="170"/>
        <v>0</v>
      </c>
      <c r="AN70" s="304"/>
      <c r="AO70" s="333"/>
      <c r="AP70" s="335" t="e">
        <f t="shared" si="149"/>
        <v>#DIV/0!</v>
      </c>
      <c r="AQ70" s="304"/>
      <c r="AR70" s="308">
        <f t="shared" si="171"/>
        <v>0</v>
      </c>
      <c r="AS70" s="304">
        <v>0</v>
      </c>
      <c r="AT70" s="309">
        <v>0</v>
      </c>
      <c r="AU70" s="304"/>
      <c r="AV70" s="473"/>
      <c r="AW70" s="1610"/>
      <c r="AX70" s="1610"/>
      <c r="AY70" s="304"/>
    </row>
    <row r="71" spans="1:51" x14ac:dyDescent="0.3">
      <c r="A71" s="85">
        <f t="shared" si="4"/>
        <v>64</v>
      </c>
      <c r="B71" s="709"/>
      <c r="C71" s="710" t="s">
        <v>9</v>
      </c>
      <c r="D71" s="156"/>
      <c r="E71" s="121">
        <f>'Rates in Detail'!R60-'Rates in Detail'!N60</f>
        <v>2.8299999999999992E-3</v>
      </c>
      <c r="F71" s="121">
        <f>'Rates in Detail'!V60</f>
        <v>-6.0999999999999997E-4</v>
      </c>
      <c r="G71" s="156">
        <f>'[25]Rates in summary'!R58</f>
        <v>0.12140999999999996</v>
      </c>
      <c r="H71" s="156"/>
      <c r="I71" s="368">
        <f>'Rev Req Proof Yr1'!H71</f>
        <v>1.8790000000000001E-2</v>
      </c>
      <c r="J71" s="758">
        <f t="shared" si="10"/>
        <v>2.162E-2</v>
      </c>
      <c r="K71" s="156"/>
      <c r="L71" s="154"/>
      <c r="M71" s="155"/>
      <c r="N71" s="121"/>
      <c r="O71" s="121"/>
      <c r="P71" s="121"/>
      <c r="Q71" s="758"/>
      <c r="R71" s="156"/>
      <c r="S71" s="293">
        <v>0</v>
      </c>
      <c r="T71" s="294">
        <f>'Rev Req Proof Yr1'!R71</f>
        <v>0</v>
      </c>
      <c r="U71" s="294"/>
      <c r="V71" s="295"/>
      <c r="W71" s="296"/>
      <c r="X71" s="156"/>
      <c r="Y71" s="308">
        <f t="shared" si="161"/>
        <v>0</v>
      </c>
      <c r="Z71" s="304">
        <f t="shared" si="162"/>
        <v>0</v>
      </c>
      <c r="AA71" s="309">
        <f t="shared" si="163"/>
        <v>0</v>
      </c>
      <c r="AB71" s="304"/>
      <c r="AC71" s="308">
        <f t="shared" si="164"/>
        <v>0</v>
      </c>
      <c r="AD71" s="304">
        <f t="shared" si="165"/>
        <v>0</v>
      </c>
      <c r="AE71" s="309">
        <f t="shared" si="166"/>
        <v>0</v>
      </c>
      <c r="AF71" s="304"/>
      <c r="AG71" s="308">
        <f t="shared" si="167"/>
        <v>0</v>
      </c>
      <c r="AH71" s="304">
        <v>0</v>
      </c>
      <c r="AI71" s="309">
        <v>0</v>
      </c>
      <c r="AJ71" s="304"/>
      <c r="AK71" s="308">
        <f t="shared" si="168"/>
        <v>0</v>
      </c>
      <c r="AL71" s="304">
        <f t="shared" si="169"/>
        <v>0</v>
      </c>
      <c r="AM71" s="309">
        <f t="shared" si="170"/>
        <v>0</v>
      </c>
      <c r="AN71" s="304"/>
      <c r="AO71" s="333"/>
      <c r="AP71" s="335" t="e">
        <f>AP70</f>
        <v>#DIV/0!</v>
      </c>
      <c r="AQ71" s="304"/>
      <c r="AR71" s="308">
        <f t="shared" si="171"/>
        <v>0</v>
      </c>
      <c r="AS71" s="304">
        <v>0</v>
      </c>
      <c r="AT71" s="309">
        <v>0</v>
      </c>
      <c r="AU71" s="304"/>
      <c r="AV71" s="473"/>
      <c r="AW71" s="1610"/>
      <c r="AX71" s="1610"/>
      <c r="AY71" s="304"/>
    </row>
    <row r="72" spans="1:51" x14ac:dyDescent="0.3">
      <c r="A72" s="85">
        <f t="shared" si="4"/>
        <v>65</v>
      </c>
      <c r="B72" s="707"/>
      <c r="C72" s="726" t="s">
        <v>76</v>
      </c>
      <c r="D72" s="152"/>
      <c r="E72" s="122"/>
      <c r="F72" s="122"/>
      <c r="G72" s="152"/>
      <c r="H72" s="152"/>
      <c r="I72" s="363"/>
      <c r="J72" s="757"/>
      <c r="K72" s="156"/>
      <c r="L72" s="154"/>
      <c r="M72" s="155"/>
      <c r="N72" s="121"/>
      <c r="O72" s="121"/>
      <c r="P72" s="121"/>
      <c r="Q72" s="758"/>
      <c r="R72" s="156"/>
      <c r="S72" s="293"/>
      <c r="T72" s="294"/>
      <c r="U72" s="294"/>
      <c r="V72" s="295"/>
      <c r="W72" s="296"/>
      <c r="X72" s="156"/>
      <c r="Y72" s="310">
        <f>SUM(Y66:Y71)</f>
        <v>111933.59485000001</v>
      </c>
      <c r="Z72" s="311">
        <f>SUM(Z66:Z71)</f>
        <v>31200</v>
      </c>
      <c r="AA72" s="312">
        <f>SUM(AA66:AA71)</f>
        <v>0</v>
      </c>
      <c r="AB72" s="304"/>
      <c r="AC72" s="310">
        <f>SUM(AC66:AC71)</f>
        <v>128791.68184</v>
      </c>
      <c r="AD72" s="311">
        <f>SUM(AD66:AD71)</f>
        <v>31200</v>
      </c>
      <c r="AE72" s="312">
        <f>SUM(AE66:AE71)</f>
        <v>0</v>
      </c>
      <c r="AF72" s="304"/>
      <c r="AG72" s="310">
        <f>SUM(AG66:AG71)</f>
        <v>-3609.6839299999997</v>
      </c>
      <c r="AH72" s="311">
        <f>SUM(AH66:AH71)</f>
        <v>0</v>
      </c>
      <c r="AI72" s="312">
        <f>SUM(AI66:AI71)</f>
        <v>0</v>
      </c>
      <c r="AJ72" s="304"/>
      <c r="AK72" s="310">
        <f>SUM(AK66:AK71)</f>
        <v>13248.403059999982</v>
      </c>
      <c r="AL72" s="311">
        <f>SUM(AL66:AL71)</f>
        <v>0</v>
      </c>
      <c r="AM72" s="312">
        <f>SUM(AM66:AM71)</f>
        <v>0</v>
      </c>
      <c r="AN72" s="304"/>
      <c r="AO72" s="333">
        <f>SUM(AK72:AM72)/SUM(Y72:AA72)</f>
        <v>9.2559703219107559E-2</v>
      </c>
      <c r="AP72" s="334">
        <f t="shared" ref="AP72:AP77" si="172">SUM(AK72)/SUM(Y72)</f>
        <v>0.11835948874646531</v>
      </c>
      <c r="AQ72" s="304"/>
      <c r="AR72" s="310">
        <f>SUM(AR66:AR71)</f>
        <v>116903.80826999999</v>
      </c>
      <c r="AS72" s="311">
        <f>SUM(AS66:AS71)</f>
        <v>0</v>
      </c>
      <c r="AT72" s="312">
        <f>SUM(AT66:AT71)</f>
        <v>0</v>
      </c>
      <c r="AU72" s="304"/>
      <c r="AV72" s="473"/>
      <c r="AW72" s="305"/>
      <c r="AX72" s="304"/>
    </row>
    <row r="73" spans="1:51" x14ac:dyDescent="0.3">
      <c r="A73" s="85">
        <f t="shared" si="4"/>
        <v>66</v>
      </c>
      <c r="B73" s="709" t="str">
        <f>'WA Volumes &amp; Revenues'!B63</f>
        <v>42I Interr Sales</v>
      </c>
      <c r="C73" s="710" t="s">
        <v>4</v>
      </c>
      <c r="D73" s="156"/>
      <c r="E73" s="121">
        <f>'Rates in Detail'!R61-'Rates in Detail'!N61</f>
        <v>1.2410000000000004E-2</v>
      </c>
      <c r="F73" s="121">
        <f>'Rates in Detail'!V61</f>
        <v>-1.48E-3</v>
      </c>
      <c r="G73" s="156">
        <f>'[25]Rates in summary'!R59</f>
        <v>0.12177999999999994</v>
      </c>
      <c r="H73" s="156"/>
      <c r="I73" s="368">
        <f>'Rev Req Proof Yr1'!H73</f>
        <v>0.14584</v>
      </c>
      <c r="J73" s="758">
        <f t="shared" si="10"/>
        <v>0.15825</v>
      </c>
      <c r="K73" s="156"/>
      <c r="L73" s="154">
        <f>'Rev Req Proof Yr1'!K73</f>
        <v>1300</v>
      </c>
      <c r="M73" s="155">
        <f>'Rev Req Proof Yr1'!L73</f>
        <v>1300</v>
      </c>
      <c r="N73" s="121">
        <f>'Rev Req Proof Yr1'!M73</f>
        <v>0</v>
      </c>
      <c r="O73" s="121">
        <f>'Rev Req Proof Yr1'!N73</f>
        <v>0</v>
      </c>
      <c r="P73" s="121">
        <f>'Rev Req Proof Yr1'!O73</f>
        <v>0</v>
      </c>
      <c r="Q73" s="758">
        <f>'Rev Req Proof Yr1'!P73</f>
        <v>0</v>
      </c>
      <c r="R73" s="156"/>
      <c r="S73" s="293">
        <v>171006</v>
      </c>
      <c r="T73" s="294">
        <f>'Rev Req Proof Yr1'!R73</f>
        <v>156740</v>
      </c>
      <c r="U73" s="294">
        <f>'Rev Req Proof Yr1'!S73</f>
        <v>2934</v>
      </c>
      <c r="V73" s="295">
        <f>'Rev Req Proof Yr1'!T73</f>
        <v>1.9166666666666701</v>
      </c>
      <c r="W73" s="296">
        <f>'Rev Req Proof Yr1'!U73</f>
        <v>13758</v>
      </c>
      <c r="X73" s="156"/>
      <c r="Y73" s="308">
        <f t="shared" ref="Y73:Y78" si="173">(I73*T73)</f>
        <v>22858.961599999999</v>
      </c>
      <c r="Z73" s="304">
        <f t="shared" ref="Z73:Z78" si="174">(L73*V73*12)</f>
        <v>29900.000000000051</v>
      </c>
      <c r="AA73" s="309">
        <f t="shared" ref="AA73:AA78" si="175">(U73*(N73+P73))*12</f>
        <v>0</v>
      </c>
      <c r="AB73" s="304"/>
      <c r="AC73" s="308">
        <f t="shared" ref="AC73:AC78" si="176">(J73*T73)</f>
        <v>24804.105</v>
      </c>
      <c r="AD73" s="304">
        <f t="shared" ref="AD73:AD78" si="177">(M73*V73*12)</f>
        <v>29900.000000000051</v>
      </c>
      <c r="AE73" s="309">
        <f t="shared" ref="AE73:AE78" si="178">(U73*(O73+Q73))*12</f>
        <v>0</v>
      </c>
      <c r="AF73" s="304"/>
      <c r="AG73" s="308">
        <f t="shared" ref="AG73:AG78" si="179">(F73*T73)</f>
        <v>-231.9752</v>
      </c>
      <c r="AH73" s="304">
        <v>0</v>
      </c>
      <c r="AI73" s="309">
        <v>0</v>
      </c>
      <c r="AJ73" s="304"/>
      <c r="AK73" s="308">
        <f t="shared" ref="AK73:AK78" si="180">AC73-Y73+AG73</f>
        <v>1713.1682000000008</v>
      </c>
      <c r="AL73" s="304">
        <f t="shared" ref="AL73:AL78" si="181">AD73-Z73-AH73</f>
        <v>0</v>
      </c>
      <c r="AM73" s="309">
        <f t="shared" ref="AM73:AM78" si="182">AE73-AA73-AI73</f>
        <v>0</v>
      </c>
      <c r="AN73" s="304"/>
      <c r="AO73" s="333"/>
      <c r="AP73" s="335">
        <f t="shared" si="172"/>
        <v>7.4945145364783361E-2</v>
      </c>
      <c r="AQ73" s="304"/>
      <c r="AR73" s="308">
        <f t="shared" ref="AR73:AR92" si="183">(G73*S73)</f>
        <v>20825.110679999991</v>
      </c>
      <c r="AS73" s="304">
        <v>0</v>
      </c>
      <c r="AT73" s="309">
        <v>0</v>
      </c>
      <c r="AU73" s="304"/>
      <c r="AV73" s="473"/>
      <c r="AW73" s="1610"/>
      <c r="AX73" s="1610"/>
      <c r="AY73" s="304"/>
    </row>
    <row r="74" spans="1:51" x14ac:dyDescent="0.3">
      <c r="A74" s="85">
        <f t="shared" ref="A74:A102" si="184">+A73+1</f>
        <v>67</v>
      </c>
      <c r="B74" s="709"/>
      <c r="C74" s="710" t="s">
        <v>5</v>
      </c>
      <c r="D74" s="156"/>
      <c r="E74" s="121">
        <f>'Rates in Detail'!R62-'Rates in Detail'!N62</f>
        <v>1.1110000000000009E-2</v>
      </c>
      <c r="F74" s="121">
        <f>'Rates in Detail'!V62</f>
        <v>-1.32E-3</v>
      </c>
      <c r="G74" s="156">
        <f>'[25]Rates in summary'!R60</f>
        <v>0.12169999999999997</v>
      </c>
      <c r="H74" s="156"/>
      <c r="I74" s="368">
        <f>'Rev Req Proof Yr1'!H74</f>
        <v>0.13055</v>
      </c>
      <c r="J74" s="758">
        <f t="shared" si="10"/>
        <v>0.14166000000000001</v>
      </c>
      <c r="K74" s="156"/>
      <c r="L74" s="154"/>
      <c r="M74" s="155"/>
      <c r="N74" s="121"/>
      <c r="O74" s="121"/>
      <c r="P74" s="121"/>
      <c r="Q74" s="758"/>
      <c r="R74" s="156"/>
      <c r="S74" s="293">
        <v>141620</v>
      </c>
      <c r="T74" s="294">
        <f>'Rev Req Proof Yr1'!R74</f>
        <v>159690</v>
      </c>
      <c r="U74" s="294"/>
      <c r="V74" s="295"/>
      <c r="W74" s="296"/>
      <c r="X74" s="156"/>
      <c r="Y74" s="308">
        <f t="shared" si="173"/>
        <v>20847.529500000001</v>
      </c>
      <c r="Z74" s="304">
        <f t="shared" si="174"/>
        <v>0</v>
      </c>
      <c r="AA74" s="309">
        <f t="shared" si="175"/>
        <v>0</v>
      </c>
      <c r="AB74" s="304"/>
      <c r="AC74" s="308">
        <f t="shared" si="176"/>
        <v>22621.685400000002</v>
      </c>
      <c r="AD74" s="304">
        <f t="shared" si="177"/>
        <v>0</v>
      </c>
      <c r="AE74" s="309">
        <f t="shared" si="178"/>
        <v>0</v>
      </c>
      <c r="AF74" s="304"/>
      <c r="AG74" s="308">
        <f t="shared" si="179"/>
        <v>-210.79079999999999</v>
      </c>
      <c r="AH74" s="304">
        <v>0</v>
      </c>
      <c r="AI74" s="309">
        <v>0</v>
      </c>
      <c r="AJ74" s="304"/>
      <c r="AK74" s="308">
        <f t="shared" si="180"/>
        <v>1563.3651000000016</v>
      </c>
      <c r="AL74" s="304">
        <f t="shared" si="181"/>
        <v>0</v>
      </c>
      <c r="AM74" s="309">
        <f t="shared" si="182"/>
        <v>0</v>
      </c>
      <c r="AN74" s="304"/>
      <c r="AO74" s="333"/>
      <c r="AP74" s="335">
        <f t="shared" si="172"/>
        <v>7.4990425124473459E-2</v>
      </c>
      <c r="AQ74" s="304"/>
      <c r="AR74" s="308">
        <f t="shared" si="183"/>
        <v>17235.153999999995</v>
      </c>
      <c r="AS74" s="304">
        <v>0</v>
      </c>
      <c r="AT74" s="309">
        <v>0</v>
      </c>
      <c r="AU74" s="304"/>
      <c r="AV74" s="473"/>
      <c r="AW74" s="1610"/>
      <c r="AX74" s="1610"/>
      <c r="AY74" s="304"/>
    </row>
    <row r="75" spans="1:51" x14ac:dyDescent="0.3">
      <c r="A75" s="85">
        <f t="shared" si="184"/>
        <v>68</v>
      </c>
      <c r="B75" s="709"/>
      <c r="C75" s="710" t="s">
        <v>6</v>
      </c>
      <c r="D75" s="156"/>
      <c r="E75" s="121">
        <f>'Rates in Detail'!R63-'Rates in Detail'!N63</f>
        <v>8.5199999999999998E-3</v>
      </c>
      <c r="F75" s="121">
        <f>'Rates in Detail'!V63</f>
        <v>-1.01E-3</v>
      </c>
      <c r="G75" s="156">
        <f>'[25]Rates in summary'!R61</f>
        <v>0.12152999999999997</v>
      </c>
      <c r="H75" s="156"/>
      <c r="I75" s="368">
        <f>'Rev Req Proof Yr1'!H75</f>
        <v>0.10011</v>
      </c>
      <c r="J75" s="758">
        <f t="shared" si="10"/>
        <v>0.10863</v>
      </c>
      <c r="K75" s="156"/>
      <c r="L75" s="154"/>
      <c r="M75" s="155"/>
      <c r="N75" s="121"/>
      <c r="O75" s="121"/>
      <c r="P75" s="121"/>
      <c r="Q75" s="758"/>
      <c r="R75" s="156"/>
      <c r="S75" s="293">
        <v>0</v>
      </c>
      <c r="T75" s="294">
        <f>'Rev Req Proof Yr1'!R75</f>
        <v>0</v>
      </c>
      <c r="U75" s="294"/>
      <c r="V75" s="295"/>
      <c r="W75" s="296"/>
      <c r="X75" s="156"/>
      <c r="Y75" s="308">
        <f t="shared" si="173"/>
        <v>0</v>
      </c>
      <c r="Z75" s="304">
        <f t="shared" si="174"/>
        <v>0</v>
      </c>
      <c r="AA75" s="309">
        <f t="shared" si="175"/>
        <v>0</v>
      </c>
      <c r="AB75" s="304"/>
      <c r="AC75" s="308">
        <f t="shared" si="176"/>
        <v>0</v>
      </c>
      <c r="AD75" s="304">
        <f t="shared" si="177"/>
        <v>0</v>
      </c>
      <c r="AE75" s="309">
        <f t="shared" si="178"/>
        <v>0</v>
      </c>
      <c r="AF75" s="304"/>
      <c r="AG75" s="308">
        <f t="shared" si="179"/>
        <v>0</v>
      </c>
      <c r="AH75" s="304">
        <v>0</v>
      </c>
      <c r="AI75" s="309">
        <v>0</v>
      </c>
      <c r="AJ75" s="304"/>
      <c r="AK75" s="308">
        <f t="shared" si="180"/>
        <v>0</v>
      </c>
      <c r="AL75" s="304">
        <f t="shared" si="181"/>
        <v>0</v>
      </c>
      <c r="AM75" s="309">
        <f t="shared" si="182"/>
        <v>0</v>
      </c>
      <c r="AN75" s="304"/>
      <c r="AO75" s="333"/>
      <c r="AP75" s="335" t="e">
        <f t="shared" si="172"/>
        <v>#DIV/0!</v>
      </c>
      <c r="AQ75" s="304"/>
      <c r="AR75" s="308">
        <f t="shared" si="183"/>
        <v>0</v>
      </c>
      <c r="AS75" s="304">
        <v>0</v>
      </c>
      <c r="AT75" s="309">
        <v>0</v>
      </c>
      <c r="AU75" s="304"/>
      <c r="AV75" s="473"/>
      <c r="AW75" s="1610"/>
      <c r="AX75" s="1610"/>
      <c r="AY75" s="304"/>
    </row>
    <row r="76" spans="1:51" x14ac:dyDescent="0.3">
      <c r="A76" s="85">
        <f t="shared" si="184"/>
        <v>69</v>
      </c>
      <c r="B76" s="709"/>
      <c r="C76" s="710" t="s">
        <v>7</v>
      </c>
      <c r="D76" s="156"/>
      <c r="E76" s="121">
        <f>'Rates in Detail'!R64-'Rates in Detail'!N64</f>
        <v>6.8199999999999927E-3</v>
      </c>
      <c r="F76" s="121">
        <f>'Rates in Detail'!V64</f>
        <v>-8.0999999999999996E-4</v>
      </c>
      <c r="G76" s="156">
        <f>'[25]Rates in summary'!R62</f>
        <v>0.12141999999999997</v>
      </c>
      <c r="H76" s="156"/>
      <c r="I76" s="368">
        <f>'Rev Req Proof Yr1'!H76</f>
        <v>8.0089999999999995E-2</v>
      </c>
      <c r="J76" s="758">
        <f t="shared" si="10"/>
        <v>8.6909999999999987E-2</v>
      </c>
      <c r="K76" s="156"/>
      <c r="L76" s="154"/>
      <c r="M76" s="155"/>
      <c r="N76" s="121"/>
      <c r="O76" s="121"/>
      <c r="P76" s="121"/>
      <c r="Q76" s="758"/>
      <c r="R76" s="156"/>
      <c r="S76" s="293">
        <v>0</v>
      </c>
      <c r="T76" s="294">
        <f>'Rev Req Proof Yr1'!R76</f>
        <v>0</v>
      </c>
      <c r="U76" s="294"/>
      <c r="V76" s="295"/>
      <c r="W76" s="296"/>
      <c r="X76" s="156"/>
      <c r="Y76" s="308">
        <f t="shared" si="173"/>
        <v>0</v>
      </c>
      <c r="Z76" s="304">
        <f t="shared" si="174"/>
        <v>0</v>
      </c>
      <c r="AA76" s="309">
        <f t="shared" si="175"/>
        <v>0</v>
      </c>
      <c r="AB76" s="304"/>
      <c r="AC76" s="308">
        <f t="shared" si="176"/>
        <v>0</v>
      </c>
      <c r="AD76" s="304">
        <f t="shared" si="177"/>
        <v>0</v>
      </c>
      <c r="AE76" s="309">
        <f t="shared" si="178"/>
        <v>0</v>
      </c>
      <c r="AF76" s="304"/>
      <c r="AG76" s="308">
        <f t="shared" si="179"/>
        <v>0</v>
      </c>
      <c r="AH76" s="304">
        <v>0</v>
      </c>
      <c r="AI76" s="309">
        <v>0</v>
      </c>
      <c r="AJ76" s="304"/>
      <c r="AK76" s="308">
        <f t="shared" si="180"/>
        <v>0</v>
      </c>
      <c r="AL76" s="304">
        <f t="shared" si="181"/>
        <v>0</v>
      </c>
      <c r="AM76" s="309">
        <f t="shared" si="182"/>
        <v>0</v>
      </c>
      <c r="AN76" s="304"/>
      <c r="AO76" s="333"/>
      <c r="AP76" s="335" t="e">
        <f t="shared" si="172"/>
        <v>#DIV/0!</v>
      </c>
      <c r="AQ76" s="304"/>
      <c r="AR76" s="308">
        <f t="shared" si="183"/>
        <v>0</v>
      </c>
      <c r="AS76" s="304">
        <v>0</v>
      </c>
      <c r="AT76" s="309">
        <v>0</v>
      </c>
      <c r="AU76" s="304"/>
      <c r="AV76" s="473"/>
      <c r="AW76" s="1610"/>
      <c r="AX76" s="1610"/>
      <c r="AY76" s="304"/>
    </row>
    <row r="77" spans="1:51" x14ac:dyDescent="0.3">
      <c r="A77" s="85">
        <f t="shared" si="184"/>
        <v>70</v>
      </c>
      <c r="B77" s="709"/>
      <c r="C77" s="710" t="s">
        <v>8</v>
      </c>
      <c r="D77" s="156"/>
      <c r="E77" s="121">
        <f>'Rates in Detail'!R65-'Rates in Detail'!N65</f>
        <v>4.5400000000000024E-3</v>
      </c>
      <c r="F77" s="121">
        <f>'Rates in Detail'!V65</f>
        <v>-5.4000000000000001E-4</v>
      </c>
      <c r="G77" s="156">
        <f>'[25]Rates in summary'!R63</f>
        <v>0.12125999999999998</v>
      </c>
      <c r="H77" s="156"/>
      <c r="I77" s="368">
        <f>'Rev Req Proof Yr1'!H77</f>
        <v>5.339E-2</v>
      </c>
      <c r="J77" s="758">
        <f t="shared" si="10"/>
        <v>5.7930000000000002E-2</v>
      </c>
      <c r="K77" s="156"/>
      <c r="L77" s="154"/>
      <c r="M77" s="155"/>
      <c r="N77" s="121"/>
      <c r="O77" s="121"/>
      <c r="P77" s="121"/>
      <c r="Q77" s="758"/>
      <c r="R77" s="156"/>
      <c r="S77" s="293">
        <v>0</v>
      </c>
      <c r="T77" s="294">
        <f>'Rev Req Proof Yr1'!R77</f>
        <v>0</v>
      </c>
      <c r="U77" s="294"/>
      <c r="V77" s="295"/>
      <c r="W77" s="296"/>
      <c r="X77" s="156"/>
      <c r="Y77" s="308">
        <f t="shared" si="173"/>
        <v>0</v>
      </c>
      <c r="Z77" s="304">
        <f t="shared" si="174"/>
        <v>0</v>
      </c>
      <c r="AA77" s="309">
        <f t="shared" si="175"/>
        <v>0</v>
      </c>
      <c r="AB77" s="304"/>
      <c r="AC77" s="308">
        <f t="shared" si="176"/>
        <v>0</v>
      </c>
      <c r="AD77" s="304">
        <f t="shared" si="177"/>
        <v>0</v>
      </c>
      <c r="AE77" s="309">
        <f t="shared" si="178"/>
        <v>0</v>
      </c>
      <c r="AF77" s="304"/>
      <c r="AG77" s="308">
        <f t="shared" si="179"/>
        <v>0</v>
      </c>
      <c r="AH77" s="304">
        <v>0</v>
      </c>
      <c r="AI77" s="309">
        <v>0</v>
      </c>
      <c r="AJ77" s="304"/>
      <c r="AK77" s="308">
        <f t="shared" si="180"/>
        <v>0</v>
      </c>
      <c r="AL77" s="304">
        <f t="shared" si="181"/>
        <v>0</v>
      </c>
      <c r="AM77" s="309">
        <f t="shared" si="182"/>
        <v>0</v>
      </c>
      <c r="AN77" s="304"/>
      <c r="AO77" s="333"/>
      <c r="AP77" s="335" t="e">
        <f t="shared" si="172"/>
        <v>#DIV/0!</v>
      </c>
      <c r="AQ77" s="304"/>
      <c r="AR77" s="308">
        <f t="shared" si="183"/>
        <v>0</v>
      </c>
      <c r="AS77" s="304">
        <v>0</v>
      </c>
      <c r="AT77" s="309">
        <v>0</v>
      </c>
      <c r="AU77" s="304"/>
      <c r="AV77" s="473"/>
      <c r="AW77" s="1610"/>
      <c r="AX77" s="1610"/>
      <c r="AY77" s="304"/>
    </row>
    <row r="78" spans="1:51" x14ac:dyDescent="0.3">
      <c r="A78" s="85">
        <f t="shared" si="184"/>
        <v>71</v>
      </c>
      <c r="B78" s="709"/>
      <c r="C78" s="710" t="s">
        <v>9</v>
      </c>
      <c r="D78" s="156"/>
      <c r="E78" s="121">
        <f>'Rates in Detail'!R66-'Rates in Detail'!N66</f>
        <v>1.7000000000000001E-3</v>
      </c>
      <c r="F78" s="121">
        <f>'Rates in Detail'!V66</f>
        <v>-1.9999999999999998E-4</v>
      </c>
      <c r="G78" s="156">
        <f>'[25]Rates in summary'!R64</f>
        <v>0.12109999999999999</v>
      </c>
      <c r="H78" s="156"/>
      <c r="I78" s="368">
        <f>'Rev Req Proof Yr1'!H78</f>
        <v>2.002E-2</v>
      </c>
      <c r="J78" s="758">
        <f t="shared" si="10"/>
        <v>2.172E-2</v>
      </c>
      <c r="K78" s="156"/>
      <c r="L78" s="268"/>
      <c r="M78" s="54"/>
      <c r="N78" s="121"/>
      <c r="O78" s="121"/>
      <c r="P78" s="121"/>
      <c r="Q78" s="758"/>
      <c r="R78" s="156"/>
      <c r="S78" s="293">
        <v>0</v>
      </c>
      <c r="T78" s="294">
        <f>'Rev Req Proof Yr1'!R78</f>
        <v>0</v>
      </c>
      <c r="U78" s="294"/>
      <c r="V78" s="295"/>
      <c r="W78" s="296"/>
      <c r="X78" s="156"/>
      <c r="Y78" s="308">
        <f t="shared" si="173"/>
        <v>0</v>
      </c>
      <c r="Z78" s="304">
        <f t="shared" si="174"/>
        <v>0</v>
      </c>
      <c r="AA78" s="309">
        <f t="shared" si="175"/>
        <v>0</v>
      </c>
      <c r="AB78" s="304"/>
      <c r="AC78" s="308">
        <f t="shared" si="176"/>
        <v>0</v>
      </c>
      <c r="AD78" s="304">
        <f t="shared" si="177"/>
        <v>0</v>
      </c>
      <c r="AE78" s="309">
        <f t="shared" si="178"/>
        <v>0</v>
      </c>
      <c r="AF78" s="304"/>
      <c r="AG78" s="308">
        <f t="shared" si="179"/>
        <v>0</v>
      </c>
      <c r="AH78" s="304">
        <v>0</v>
      </c>
      <c r="AI78" s="309">
        <v>0</v>
      </c>
      <c r="AJ78" s="304"/>
      <c r="AK78" s="308">
        <f t="shared" si="180"/>
        <v>0</v>
      </c>
      <c r="AL78" s="304">
        <f t="shared" si="181"/>
        <v>0</v>
      </c>
      <c r="AM78" s="309">
        <f t="shared" si="182"/>
        <v>0</v>
      </c>
      <c r="AN78" s="304"/>
      <c r="AO78" s="333"/>
      <c r="AP78" s="335" t="e">
        <f>AP77</f>
        <v>#DIV/0!</v>
      </c>
      <c r="AQ78" s="304"/>
      <c r="AR78" s="308">
        <f t="shared" si="183"/>
        <v>0</v>
      </c>
      <c r="AS78" s="304">
        <v>0</v>
      </c>
      <c r="AT78" s="309">
        <v>0</v>
      </c>
      <c r="AU78" s="304"/>
      <c r="AV78" s="473"/>
      <c r="AW78" s="1610"/>
      <c r="AX78" s="1610"/>
      <c r="AY78" s="304"/>
    </row>
    <row r="79" spans="1:51" x14ac:dyDescent="0.3">
      <c r="A79" s="85">
        <f t="shared" si="184"/>
        <v>72</v>
      </c>
      <c r="B79" s="707"/>
      <c r="C79" s="726" t="s">
        <v>76</v>
      </c>
      <c r="D79" s="152"/>
      <c r="E79" s="122"/>
      <c r="F79" s="122"/>
      <c r="G79" s="152"/>
      <c r="H79" s="152"/>
      <c r="I79" s="363"/>
      <c r="J79" s="757"/>
      <c r="K79" s="156"/>
      <c r="L79" s="268"/>
      <c r="M79" s="54"/>
      <c r="N79" s="121"/>
      <c r="O79" s="121"/>
      <c r="P79" s="121"/>
      <c r="Q79" s="758"/>
      <c r="R79" s="156"/>
      <c r="S79" s="293"/>
      <c r="T79" s="294"/>
      <c r="U79" s="294"/>
      <c r="V79" s="295"/>
      <c r="W79" s="296"/>
      <c r="X79" s="156"/>
      <c r="Y79" s="310">
        <f>SUM(Y73:Y78)</f>
        <v>43706.491099999999</v>
      </c>
      <c r="Z79" s="311">
        <f>SUM(Z73:Z78)</f>
        <v>29900.000000000051</v>
      </c>
      <c r="AA79" s="312">
        <f>SUM(AA73:AA78)</f>
        <v>0</v>
      </c>
      <c r="AB79" s="304"/>
      <c r="AC79" s="310">
        <f>SUM(AC73:AC78)</f>
        <v>47425.790399999998</v>
      </c>
      <c r="AD79" s="311">
        <f>SUM(AD73:AD78)</f>
        <v>29900.000000000051</v>
      </c>
      <c r="AE79" s="312">
        <f>SUM(AE73:AE78)</f>
        <v>0</v>
      </c>
      <c r="AF79" s="304"/>
      <c r="AG79" s="310">
        <f>SUM(AG73:AG78)</f>
        <v>-442.76599999999996</v>
      </c>
      <c r="AH79" s="311">
        <f>SUM(AH73:AH78)</f>
        <v>0</v>
      </c>
      <c r="AI79" s="312">
        <f>SUM(AI73:AI78)</f>
        <v>0</v>
      </c>
      <c r="AJ79" s="304"/>
      <c r="AK79" s="310">
        <f>SUM(AK73:AK78)</f>
        <v>3276.5333000000023</v>
      </c>
      <c r="AL79" s="311">
        <f>SUM(AL73:AL78)</f>
        <v>0</v>
      </c>
      <c r="AM79" s="312">
        <f>SUM(AM73:AM78)</f>
        <v>0</v>
      </c>
      <c r="AN79" s="304"/>
      <c r="AO79" s="333">
        <f>SUM(AK79:AM79)/SUM(Y79:AA79)</f>
        <v>4.4514189591629651E-2</v>
      </c>
      <c r="AP79" s="334">
        <f t="shared" ref="AP79:AP93" si="185">SUM(AK79)/SUM(Y79)</f>
        <v>7.496674332659943E-2</v>
      </c>
      <c r="AQ79" s="304"/>
      <c r="AR79" s="310">
        <f>SUM(AR73:AR78)</f>
        <v>38060.264679999986</v>
      </c>
      <c r="AS79" s="311">
        <f>SUM(AS73:AS78)</f>
        <v>0</v>
      </c>
      <c r="AT79" s="312">
        <f>SUM(AT73:AT78)</f>
        <v>0</v>
      </c>
      <c r="AU79" s="304"/>
      <c r="AV79" s="473"/>
      <c r="AW79" s="305"/>
      <c r="AX79" s="304"/>
    </row>
    <row r="80" spans="1:51" x14ac:dyDescent="0.3">
      <c r="A80" s="85">
        <f t="shared" si="184"/>
        <v>73</v>
      </c>
      <c r="B80" s="709" t="str">
        <f>'WA Volumes &amp; Revenues'!B69</f>
        <v>42C Inter Transpt</v>
      </c>
      <c r="C80" s="710" t="s">
        <v>4</v>
      </c>
      <c r="D80" s="156"/>
      <c r="E80" s="121">
        <f>'Rates in Detail'!R67-'Rates in Detail'!N67</f>
        <v>4.8799999999999955E-3</v>
      </c>
      <c r="F80" s="121">
        <f>'Rates in Detail'!V67</f>
        <v>-6.0999999999999987E-4</v>
      </c>
      <c r="G80" s="156">
        <f>'[25]Rates in summary'!R65</f>
        <v>1.0300000000000031E-3</v>
      </c>
      <c r="H80" s="156"/>
      <c r="I80" s="368">
        <f>'Rev Req Proof Yr1'!H80</f>
        <v>0.13403000000000001</v>
      </c>
      <c r="J80" s="758">
        <f t="shared" ref="J80:J96" si="186">I80+E80</f>
        <v>0.13891000000000001</v>
      </c>
      <c r="K80" s="156"/>
      <c r="L80" s="154">
        <f>'Rev Req Proof Yr1'!K80</f>
        <v>1550</v>
      </c>
      <c r="M80" s="155">
        <f>'Rev Req Proof Yr1'!L80</f>
        <v>1550</v>
      </c>
      <c r="N80" s="121">
        <f>'Rev Req Proof Yr1'!M80</f>
        <v>0</v>
      </c>
      <c r="O80" s="121">
        <f>'Rev Req Proof Yr1'!N80</f>
        <v>0</v>
      </c>
      <c r="P80" s="121">
        <f>'Rev Req Proof Yr1'!O80</f>
        <v>0</v>
      </c>
      <c r="Q80" s="758">
        <f>'Rev Req Proof Yr1'!P80</f>
        <v>0</v>
      </c>
      <c r="R80" s="156"/>
      <c r="S80" s="293">
        <v>789249</v>
      </c>
      <c r="T80" s="294">
        <f>'Rev Req Proof Yr1'!R80</f>
        <v>0</v>
      </c>
      <c r="U80" s="294"/>
      <c r="V80" s="295">
        <f>'Rev Req Proof Yr1'!T80</f>
        <v>0</v>
      </c>
      <c r="W80" s="296">
        <f>'Rev Req Proof Yr1'!U80</f>
        <v>0</v>
      </c>
      <c r="X80" s="156"/>
      <c r="Y80" s="308">
        <f t="shared" ref="Y80:Y85" si="187">(I80*T80)</f>
        <v>0</v>
      </c>
      <c r="Z80" s="304">
        <f t="shared" ref="Z80:Z85" si="188">(L80*V80*12)</f>
        <v>0</v>
      </c>
      <c r="AA80" s="309">
        <f t="shared" ref="AA80:AA85" si="189">(U80*(N80+P80))*12</f>
        <v>0</v>
      </c>
      <c r="AB80" s="304"/>
      <c r="AC80" s="308">
        <f t="shared" ref="AC80:AC85" si="190">(J80*T80)</f>
        <v>0</v>
      </c>
      <c r="AD80" s="304">
        <f t="shared" ref="AD80:AD85" si="191">(M80*V80*12)</f>
        <v>0</v>
      </c>
      <c r="AE80" s="309">
        <f t="shared" ref="AE80:AE85" si="192">(U80*(O80+Q80))*12</f>
        <v>0</v>
      </c>
      <c r="AF80" s="304"/>
      <c r="AG80" s="308">
        <f t="shared" ref="AG80:AG85" si="193">(F80*T80)</f>
        <v>0</v>
      </c>
      <c r="AH80" s="304">
        <v>0</v>
      </c>
      <c r="AI80" s="309">
        <v>0</v>
      </c>
      <c r="AJ80" s="304"/>
      <c r="AK80" s="308">
        <f t="shared" ref="AK80:AK85" si="194">AC80-Y80+AG80</f>
        <v>0</v>
      </c>
      <c r="AL80" s="304">
        <f t="shared" ref="AL80:AL85" si="195">AD80-Z80-AH80</f>
        <v>0</v>
      </c>
      <c r="AM80" s="309">
        <f t="shared" ref="AM80:AM85" si="196">AE80-AA80-AI80</f>
        <v>0</v>
      </c>
      <c r="AN80" s="304"/>
      <c r="AO80" s="333"/>
      <c r="AP80" s="335" t="e">
        <f t="shared" ref="AP80:AP84" si="197">SUM(AK80)/SUM(Y80)</f>
        <v>#DIV/0!</v>
      </c>
      <c r="AQ80" s="304"/>
      <c r="AR80" s="308">
        <f t="shared" si="183"/>
        <v>812.9264700000025</v>
      </c>
      <c r="AS80" s="304">
        <v>0</v>
      </c>
      <c r="AT80" s="309">
        <v>0</v>
      </c>
      <c r="AU80" s="304"/>
      <c r="AV80" s="473"/>
      <c r="AW80" s="1610"/>
      <c r="AX80" s="1610"/>
      <c r="AY80" s="304"/>
    </row>
    <row r="81" spans="1:51" x14ac:dyDescent="0.3">
      <c r="A81" s="85">
        <f t="shared" si="184"/>
        <v>74</v>
      </c>
      <c r="B81" s="709"/>
      <c r="C81" s="710" t="s">
        <v>5</v>
      </c>
      <c r="D81" s="156"/>
      <c r="E81" s="121">
        <f>'Rates in Detail'!R68-'Rates in Detail'!N68</f>
        <v>4.379999999999995E-3</v>
      </c>
      <c r="F81" s="121">
        <f>'Rates in Detail'!V68</f>
        <v>-5.5000000000000003E-4</v>
      </c>
      <c r="G81" s="156">
        <f>'[25]Rates in summary'!R66</f>
        <v>9.2000000000000415E-4</v>
      </c>
      <c r="H81" s="156"/>
      <c r="I81" s="368">
        <f>'Rev Req Proof Yr1'!H81</f>
        <v>0.11998</v>
      </c>
      <c r="J81" s="758">
        <f t="shared" si="186"/>
        <v>0.12436</v>
      </c>
      <c r="K81" s="156"/>
      <c r="L81" s="154"/>
      <c r="M81" s="155"/>
      <c r="N81" s="121"/>
      <c r="O81" s="121"/>
      <c r="P81" s="121"/>
      <c r="Q81" s="758"/>
      <c r="R81" s="156"/>
      <c r="S81" s="293">
        <v>1487999</v>
      </c>
      <c r="T81" s="294">
        <f>'Rev Req Proof Yr1'!R81</f>
        <v>0</v>
      </c>
      <c r="U81" s="294"/>
      <c r="V81" s="295"/>
      <c r="W81" s="296"/>
      <c r="X81" s="156"/>
      <c r="Y81" s="308">
        <f t="shared" si="187"/>
        <v>0</v>
      </c>
      <c r="Z81" s="304">
        <f t="shared" si="188"/>
        <v>0</v>
      </c>
      <c r="AA81" s="309">
        <f t="shared" si="189"/>
        <v>0</v>
      </c>
      <c r="AB81" s="304"/>
      <c r="AC81" s="308">
        <f t="shared" si="190"/>
        <v>0</v>
      </c>
      <c r="AD81" s="304">
        <f t="shared" si="191"/>
        <v>0</v>
      </c>
      <c r="AE81" s="309">
        <f t="shared" si="192"/>
        <v>0</v>
      </c>
      <c r="AF81" s="304"/>
      <c r="AG81" s="308">
        <f t="shared" si="193"/>
        <v>0</v>
      </c>
      <c r="AH81" s="304">
        <v>0</v>
      </c>
      <c r="AI81" s="309">
        <v>0</v>
      </c>
      <c r="AJ81" s="304"/>
      <c r="AK81" s="308">
        <f t="shared" si="194"/>
        <v>0</v>
      </c>
      <c r="AL81" s="304">
        <f t="shared" si="195"/>
        <v>0</v>
      </c>
      <c r="AM81" s="309">
        <f t="shared" si="196"/>
        <v>0</v>
      </c>
      <c r="AN81" s="304"/>
      <c r="AO81" s="333"/>
      <c r="AP81" s="335" t="e">
        <f t="shared" si="197"/>
        <v>#DIV/0!</v>
      </c>
      <c r="AQ81" s="304"/>
      <c r="AR81" s="308">
        <f t="shared" si="183"/>
        <v>1368.9590800000062</v>
      </c>
      <c r="AS81" s="304">
        <v>0</v>
      </c>
      <c r="AT81" s="309">
        <v>0</v>
      </c>
      <c r="AU81" s="304"/>
      <c r="AV81" s="473"/>
      <c r="AW81" s="1610"/>
      <c r="AX81" s="1610"/>
      <c r="AY81" s="304"/>
    </row>
    <row r="82" spans="1:51" x14ac:dyDescent="0.3">
      <c r="A82" s="85">
        <f t="shared" si="184"/>
        <v>75</v>
      </c>
      <c r="B82" s="709"/>
      <c r="C82" s="710" t="s">
        <v>6</v>
      </c>
      <c r="D82" s="156"/>
      <c r="E82" s="121">
        <f>'Rates in Detail'!R69-'Rates in Detail'!N69</f>
        <v>3.3600000000000019E-3</v>
      </c>
      <c r="F82" s="121">
        <f>'Rates in Detail'!V69</f>
        <v>-4.1999999999999996E-4</v>
      </c>
      <c r="G82" s="156">
        <f>'[25]Rates in summary'!R67</f>
        <v>7.1999999999999842E-4</v>
      </c>
      <c r="H82" s="156"/>
      <c r="I82" s="368">
        <f>'Rev Req Proof Yr1'!H82</f>
        <v>9.1999999999999998E-2</v>
      </c>
      <c r="J82" s="758">
        <f t="shared" si="186"/>
        <v>9.536E-2</v>
      </c>
      <c r="K82" s="156"/>
      <c r="L82" s="154"/>
      <c r="M82" s="155"/>
      <c r="N82" s="121"/>
      <c r="O82" s="121"/>
      <c r="P82" s="121"/>
      <c r="Q82" s="758"/>
      <c r="R82" s="156"/>
      <c r="S82" s="293">
        <v>1056738</v>
      </c>
      <c r="T82" s="294">
        <f>'Rev Req Proof Yr1'!R82</f>
        <v>0</v>
      </c>
      <c r="U82" s="294"/>
      <c r="V82" s="295"/>
      <c r="W82" s="296"/>
      <c r="X82" s="156"/>
      <c r="Y82" s="308">
        <f t="shared" si="187"/>
        <v>0</v>
      </c>
      <c r="Z82" s="304">
        <f t="shared" si="188"/>
        <v>0</v>
      </c>
      <c r="AA82" s="309">
        <f t="shared" si="189"/>
        <v>0</v>
      </c>
      <c r="AB82" s="304"/>
      <c r="AC82" s="308">
        <f t="shared" si="190"/>
        <v>0</v>
      </c>
      <c r="AD82" s="304">
        <f t="shared" si="191"/>
        <v>0</v>
      </c>
      <c r="AE82" s="309">
        <f t="shared" si="192"/>
        <v>0</v>
      </c>
      <c r="AF82" s="304"/>
      <c r="AG82" s="308">
        <f t="shared" si="193"/>
        <v>0</v>
      </c>
      <c r="AH82" s="304">
        <v>0</v>
      </c>
      <c r="AI82" s="309">
        <v>0</v>
      </c>
      <c r="AJ82" s="304"/>
      <c r="AK82" s="308">
        <f t="shared" si="194"/>
        <v>0</v>
      </c>
      <c r="AL82" s="304">
        <f t="shared" si="195"/>
        <v>0</v>
      </c>
      <c r="AM82" s="309">
        <f t="shared" si="196"/>
        <v>0</v>
      </c>
      <c r="AN82" s="304"/>
      <c r="AO82" s="333"/>
      <c r="AP82" s="335" t="e">
        <f t="shared" si="197"/>
        <v>#DIV/0!</v>
      </c>
      <c r="AQ82" s="304"/>
      <c r="AR82" s="308">
        <f t="shared" si="183"/>
        <v>760.85135999999829</v>
      </c>
      <c r="AS82" s="304">
        <v>0</v>
      </c>
      <c r="AT82" s="309">
        <v>0</v>
      </c>
      <c r="AU82" s="304"/>
      <c r="AV82" s="473"/>
      <c r="AW82" s="1610"/>
      <c r="AX82" s="1610"/>
      <c r="AY82" s="304"/>
    </row>
    <row r="83" spans="1:51" x14ac:dyDescent="0.3">
      <c r="A83" s="85">
        <f t="shared" si="184"/>
        <v>76</v>
      </c>
      <c r="B83" s="709"/>
      <c r="C83" s="710" t="s">
        <v>7</v>
      </c>
      <c r="D83" s="156"/>
      <c r="E83" s="121">
        <f>'Rates in Detail'!R70-'Rates in Detail'!N70</f>
        <v>2.6800000000000018E-3</v>
      </c>
      <c r="F83" s="121">
        <f>'Rates in Detail'!V70</f>
        <v>-3.3E-4</v>
      </c>
      <c r="G83" s="156">
        <f>'[25]Rates in summary'!R68</f>
        <v>5.7000000000000106E-4</v>
      </c>
      <c r="H83" s="156"/>
      <c r="I83" s="368">
        <f>'Rev Req Proof Yr1'!H83</f>
        <v>7.3609999999999995E-2</v>
      </c>
      <c r="J83" s="758">
        <f t="shared" si="186"/>
        <v>7.6289999999999997E-2</v>
      </c>
      <c r="K83" s="156"/>
      <c r="L83" s="154"/>
      <c r="M83" s="155"/>
      <c r="N83" s="121"/>
      <c r="O83" s="121"/>
      <c r="P83" s="121"/>
      <c r="Q83" s="758"/>
      <c r="R83" s="156"/>
      <c r="S83" s="293">
        <v>2806733</v>
      </c>
      <c r="T83" s="294">
        <f>'Rev Req Proof Yr1'!R83</f>
        <v>0</v>
      </c>
      <c r="U83" s="294"/>
      <c r="V83" s="295"/>
      <c r="W83" s="296"/>
      <c r="X83" s="156"/>
      <c r="Y83" s="308">
        <f t="shared" si="187"/>
        <v>0</v>
      </c>
      <c r="Z83" s="304">
        <f t="shared" si="188"/>
        <v>0</v>
      </c>
      <c r="AA83" s="309">
        <f t="shared" si="189"/>
        <v>0</v>
      </c>
      <c r="AB83" s="304"/>
      <c r="AC83" s="308">
        <f t="shared" si="190"/>
        <v>0</v>
      </c>
      <c r="AD83" s="304">
        <f t="shared" si="191"/>
        <v>0</v>
      </c>
      <c r="AE83" s="309">
        <f t="shared" si="192"/>
        <v>0</v>
      </c>
      <c r="AF83" s="304"/>
      <c r="AG83" s="308">
        <f t="shared" si="193"/>
        <v>0</v>
      </c>
      <c r="AH83" s="304">
        <v>0</v>
      </c>
      <c r="AI83" s="309">
        <v>0</v>
      </c>
      <c r="AJ83" s="304"/>
      <c r="AK83" s="308">
        <f t="shared" si="194"/>
        <v>0</v>
      </c>
      <c r="AL83" s="304">
        <f t="shared" si="195"/>
        <v>0</v>
      </c>
      <c r="AM83" s="309">
        <f t="shared" si="196"/>
        <v>0</v>
      </c>
      <c r="AN83" s="304"/>
      <c r="AO83" s="333"/>
      <c r="AP83" s="335" t="e">
        <f t="shared" si="197"/>
        <v>#DIV/0!</v>
      </c>
      <c r="AQ83" s="304"/>
      <c r="AR83" s="308">
        <f t="shared" si="183"/>
        <v>1599.8378100000029</v>
      </c>
      <c r="AS83" s="304">
        <v>0</v>
      </c>
      <c r="AT83" s="309">
        <v>0</v>
      </c>
      <c r="AU83" s="304"/>
      <c r="AV83" s="473"/>
      <c r="AW83" s="1610"/>
      <c r="AX83" s="1610"/>
      <c r="AY83" s="304"/>
    </row>
    <row r="84" spans="1:51" x14ac:dyDescent="0.3">
      <c r="A84" s="85">
        <f t="shared" si="184"/>
        <v>77</v>
      </c>
      <c r="B84" s="709"/>
      <c r="C84" s="710" t="s">
        <v>8</v>
      </c>
      <c r="D84" s="156"/>
      <c r="E84" s="121">
        <f>'Rates in Detail'!R71-'Rates in Detail'!N71</f>
        <v>1.7899999999999999E-3</v>
      </c>
      <c r="F84" s="121">
        <f>'Rates in Detail'!V71</f>
        <v>-2.1999999999999998E-4</v>
      </c>
      <c r="G84" s="156">
        <f>'[25]Rates in summary'!R69</f>
        <v>3.7999999999999839E-4</v>
      </c>
      <c r="H84" s="156"/>
      <c r="I84" s="368">
        <f>'Rev Req Proof Yr1'!H84</f>
        <v>4.9079999999999999E-2</v>
      </c>
      <c r="J84" s="758">
        <f t="shared" si="186"/>
        <v>5.0869999999999999E-2</v>
      </c>
      <c r="K84" s="156"/>
      <c r="L84" s="154"/>
      <c r="M84" s="155"/>
      <c r="N84" s="121"/>
      <c r="O84" s="121"/>
      <c r="P84" s="121"/>
      <c r="Q84" s="758"/>
      <c r="R84" s="156"/>
      <c r="S84" s="293">
        <v>1370021</v>
      </c>
      <c r="T84" s="294">
        <f>'Rev Req Proof Yr1'!R84</f>
        <v>0</v>
      </c>
      <c r="U84" s="294"/>
      <c r="V84" s="295"/>
      <c r="W84" s="296"/>
      <c r="X84" s="156"/>
      <c r="Y84" s="308">
        <f t="shared" si="187"/>
        <v>0</v>
      </c>
      <c r="Z84" s="304">
        <f t="shared" si="188"/>
        <v>0</v>
      </c>
      <c r="AA84" s="309">
        <f t="shared" si="189"/>
        <v>0</v>
      </c>
      <c r="AB84" s="304"/>
      <c r="AC84" s="308">
        <f t="shared" si="190"/>
        <v>0</v>
      </c>
      <c r="AD84" s="304">
        <f t="shared" si="191"/>
        <v>0</v>
      </c>
      <c r="AE84" s="309">
        <f t="shared" si="192"/>
        <v>0</v>
      </c>
      <c r="AF84" s="304"/>
      <c r="AG84" s="308">
        <f t="shared" si="193"/>
        <v>0</v>
      </c>
      <c r="AH84" s="304">
        <v>0</v>
      </c>
      <c r="AI84" s="309">
        <v>0</v>
      </c>
      <c r="AJ84" s="304"/>
      <c r="AK84" s="308">
        <f t="shared" si="194"/>
        <v>0</v>
      </c>
      <c r="AL84" s="304">
        <f t="shared" si="195"/>
        <v>0</v>
      </c>
      <c r="AM84" s="309">
        <f t="shared" si="196"/>
        <v>0</v>
      </c>
      <c r="AN84" s="304"/>
      <c r="AO84" s="333"/>
      <c r="AP84" s="335" t="e">
        <f t="shared" si="197"/>
        <v>#DIV/0!</v>
      </c>
      <c r="AQ84" s="304"/>
      <c r="AR84" s="308">
        <f t="shared" si="183"/>
        <v>520.60797999999784</v>
      </c>
      <c r="AS84" s="304">
        <v>0</v>
      </c>
      <c r="AT84" s="309">
        <v>0</v>
      </c>
      <c r="AU84" s="304"/>
      <c r="AV84" s="473"/>
      <c r="AW84" s="1610"/>
      <c r="AX84" s="1610"/>
      <c r="AY84" s="304"/>
    </row>
    <row r="85" spans="1:51" x14ac:dyDescent="0.3">
      <c r="A85" s="85">
        <f t="shared" si="184"/>
        <v>78</v>
      </c>
      <c r="B85" s="709"/>
      <c r="C85" s="710" t="s">
        <v>9</v>
      </c>
      <c r="D85" s="156"/>
      <c r="E85" s="121">
        <f>'Rates in Detail'!R72-'Rates in Detail'!N72</f>
        <v>6.7000000000000046E-4</v>
      </c>
      <c r="F85" s="121">
        <f>'Rates in Detail'!V72</f>
        <v>-7.9999999999999993E-5</v>
      </c>
      <c r="G85" s="156">
        <f>'[25]Rates in summary'!R70</f>
        <v>1.5000000000000083E-4</v>
      </c>
      <c r="H85" s="156"/>
      <c r="I85" s="368">
        <f>'Rev Req Proof Yr1'!H85</f>
        <v>1.839E-2</v>
      </c>
      <c r="J85" s="758">
        <f t="shared" si="186"/>
        <v>1.9060000000000001E-2</v>
      </c>
      <c r="K85" s="156"/>
      <c r="L85" s="268"/>
      <c r="M85" s="54"/>
      <c r="N85" s="121"/>
      <c r="O85" s="121"/>
      <c r="P85" s="121"/>
      <c r="Q85" s="758"/>
      <c r="R85" s="156"/>
      <c r="S85" s="293">
        <v>0</v>
      </c>
      <c r="T85" s="294">
        <f>'Rev Req Proof Yr1'!R85</f>
        <v>0</v>
      </c>
      <c r="U85" s="294"/>
      <c r="V85" s="295"/>
      <c r="W85" s="296"/>
      <c r="X85" s="156"/>
      <c r="Y85" s="308">
        <f t="shared" si="187"/>
        <v>0</v>
      </c>
      <c r="Z85" s="304">
        <f t="shared" si="188"/>
        <v>0</v>
      </c>
      <c r="AA85" s="309">
        <f t="shared" si="189"/>
        <v>0</v>
      </c>
      <c r="AB85" s="304"/>
      <c r="AC85" s="308">
        <f t="shared" si="190"/>
        <v>0</v>
      </c>
      <c r="AD85" s="304">
        <f t="shared" si="191"/>
        <v>0</v>
      </c>
      <c r="AE85" s="309">
        <f t="shared" si="192"/>
        <v>0</v>
      </c>
      <c r="AF85" s="304"/>
      <c r="AG85" s="308">
        <f t="shared" si="193"/>
        <v>0</v>
      </c>
      <c r="AH85" s="304">
        <v>0</v>
      </c>
      <c r="AI85" s="309">
        <v>0</v>
      </c>
      <c r="AJ85" s="304"/>
      <c r="AK85" s="308">
        <f t="shared" si="194"/>
        <v>0</v>
      </c>
      <c r="AL85" s="304">
        <f t="shared" si="195"/>
        <v>0</v>
      </c>
      <c r="AM85" s="309">
        <f t="shared" si="196"/>
        <v>0</v>
      </c>
      <c r="AN85" s="304"/>
      <c r="AO85" s="333"/>
      <c r="AP85" s="335" t="e">
        <f>AP84</f>
        <v>#DIV/0!</v>
      </c>
      <c r="AQ85" s="304"/>
      <c r="AR85" s="308">
        <f t="shared" si="183"/>
        <v>0</v>
      </c>
      <c r="AS85" s="304">
        <v>0</v>
      </c>
      <c r="AT85" s="309">
        <v>0</v>
      </c>
      <c r="AU85" s="304"/>
      <c r="AV85" s="473"/>
      <c r="AW85" s="1610"/>
      <c r="AX85" s="1610"/>
      <c r="AY85" s="304"/>
    </row>
    <row r="86" spans="1:51" x14ac:dyDescent="0.3">
      <c r="A86" s="85">
        <f t="shared" si="184"/>
        <v>79</v>
      </c>
      <c r="B86" s="707"/>
      <c r="C86" s="726" t="s">
        <v>76</v>
      </c>
      <c r="D86" s="152"/>
      <c r="E86" s="122"/>
      <c r="F86" s="122"/>
      <c r="G86" s="152"/>
      <c r="H86" s="152"/>
      <c r="I86" s="363"/>
      <c r="J86" s="757"/>
      <c r="K86" s="156"/>
      <c r="L86" s="268"/>
      <c r="M86" s="54"/>
      <c r="N86" s="121"/>
      <c r="O86" s="121"/>
      <c r="P86" s="121"/>
      <c r="Q86" s="758"/>
      <c r="R86" s="156"/>
      <c r="S86" s="293"/>
      <c r="T86" s="294"/>
      <c r="U86" s="294"/>
      <c r="V86" s="295"/>
      <c r="W86" s="296"/>
      <c r="X86" s="156"/>
      <c r="Y86" s="310">
        <f>SUM(Y80:Y85)</f>
        <v>0</v>
      </c>
      <c r="Z86" s="311">
        <f>SUM(Z80:Z85)</f>
        <v>0</v>
      </c>
      <c r="AA86" s="312">
        <f>SUM(AA80:AA85)</f>
        <v>0</v>
      </c>
      <c r="AB86" s="304"/>
      <c r="AC86" s="310">
        <f>SUM(AC80:AC85)</f>
        <v>0</v>
      </c>
      <c r="AD86" s="311">
        <f>SUM(AD80:AD85)</f>
        <v>0</v>
      </c>
      <c r="AE86" s="312">
        <f>SUM(AE80:AE85)</f>
        <v>0</v>
      </c>
      <c r="AF86" s="304"/>
      <c r="AG86" s="310">
        <f>SUM(AG80:AG85)</f>
        <v>0</v>
      </c>
      <c r="AH86" s="311">
        <f>SUM(AH80:AH85)</f>
        <v>0</v>
      </c>
      <c r="AI86" s="312">
        <f>SUM(AI80:AI85)</f>
        <v>0</v>
      </c>
      <c r="AJ86" s="304"/>
      <c r="AK86" s="310">
        <f>SUM(AK80:AK85)</f>
        <v>0</v>
      </c>
      <c r="AL86" s="311">
        <f>SUM(AL80:AL85)</f>
        <v>0</v>
      </c>
      <c r="AM86" s="312">
        <f>SUM(AM80:AM85)</f>
        <v>0</v>
      </c>
      <c r="AN86" s="304"/>
      <c r="AO86" s="333"/>
      <c r="AP86" s="334"/>
      <c r="AQ86" s="304"/>
      <c r="AR86" s="310">
        <f>SUM(AR80:AR85)</f>
        <v>5063.1827000000076</v>
      </c>
      <c r="AS86" s="311">
        <f>SUM(AS80:AS85)</f>
        <v>0</v>
      </c>
      <c r="AT86" s="312">
        <f>SUM(AT80:AT85)</f>
        <v>0</v>
      </c>
      <c r="AU86" s="304"/>
      <c r="AV86" s="473"/>
      <c r="AW86" s="305"/>
      <c r="AX86" s="304"/>
    </row>
    <row r="87" spans="1:51" x14ac:dyDescent="0.3">
      <c r="A87" s="85">
        <f t="shared" si="184"/>
        <v>80</v>
      </c>
      <c r="B87" s="709" t="str">
        <f>'WA Volumes &amp; Revenues'!B75</f>
        <v>42I Inter Transpt</v>
      </c>
      <c r="C87" s="710" t="s">
        <v>4</v>
      </c>
      <c r="D87" s="161"/>
      <c r="E87" s="121">
        <f>'Rates in Detail'!R73-'Rates in Detail'!N73</f>
        <v>7.3000000000000009E-3</v>
      </c>
      <c r="F87" s="121">
        <f>'Rates in Detail'!V73</f>
        <v>-8.7000000000000011E-4</v>
      </c>
      <c r="G87" s="156">
        <f>'[25]Rates in summary'!R65</f>
        <v>1.0300000000000031E-3</v>
      </c>
      <c r="H87" s="161"/>
      <c r="I87" s="368">
        <f>'Rev Req Proof Yr1'!H87</f>
        <v>0.13403000000000001</v>
      </c>
      <c r="J87" s="758">
        <f t="shared" si="186"/>
        <v>0.14133000000000001</v>
      </c>
      <c r="K87" s="161"/>
      <c r="L87" s="154">
        <f>'Rev Req Proof Yr1'!K87</f>
        <v>1550</v>
      </c>
      <c r="M87" s="155">
        <f>'Rev Req Proof Yr1'!L87</f>
        <v>1550</v>
      </c>
      <c r="N87" s="121">
        <f>'Rev Req Proof Yr1'!M87</f>
        <v>0</v>
      </c>
      <c r="O87" s="121">
        <f>'Rev Req Proof Yr1'!N87</f>
        <v>0</v>
      </c>
      <c r="P87" s="121">
        <f>'Rev Req Proof Yr1'!O87</f>
        <v>0</v>
      </c>
      <c r="Q87" s="758">
        <f>'Rev Req Proof Yr1'!P87</f>
        <v>0</v>
      </c>
      <c r="R87" s="161"/>
      <c r="S87" s="293">
        <f>'Rev Req Proof Yr1'!Q87</f>
        <v>0</v>
      </c>
      <c r="T87" s="294">
        <f>'Rev Req Proof Yr1'!R87</f>
        <v>844078</v>
      </c>
      <c r="U87" s="294"/>
      <c r="V87" s="295">
        <f>'Rev Req Proof Yr1'!T87</f>
        <v>7</v>
      </c>
      <c r="W87" s="296">
        <f>'Rev Req Proof Yr1'!U87</f>
        <v>95634</v>
      </c>
      <c r="X87" s="161"/>
      <c r="Y87" s="308">
        <f t="shared" ref="Y87:Y92" si="198">(I87*T87)</f>
        <v>113131.77434</v>
      </c>
      <c r="Z87" s="304">
        <f t="shared" ref="Z87:Z92" si="199">(L87*V87*12)</f>
        <v>130200</v>
      </c>
      <c r="AA87" s="309">
        <f t="shared" ref="AA87:AA92" si="200">(U87*(N87+P87))*12</f>
        <v>0</v>
      </c>
      <c r="AB87" s="315"/>
      <c r="AC87" s="308">
        <f t="shared" ref="AC87:AC92" si="201">(J87*T87)</f>
        <v>119293.54374000001</v>
      </c>
      <c r="AD87" s="304">
        <f t="shared" ref="AD87:AD92" si="202">(M87*V87*12)</f>
        <v>130200</v>
      </c>
      <c r="AE87" s="309">
        <f t="shared" ref="AE87:AE92" si="203">(U87*(O87+Q87))*12</f>
        <v>0</v>
      </c>
      <c r="AF87" s="315"/>
      <c r="AG87" s="308">
        <f t="shared" ref="AG87:AG92" si="204">(F87*T87)</f>
        <v>-734.34786000000008</v>
      </c>
      <c r="AH87" s="304">
        <v>0</v>
      </c>
      <c r="AI87" s="309">
        <v>0</v>
      </c>
      <c r="AJ87" s="315"/>
      <c r="AK87" s="308">
        <f t="shared" ref="AK87:AK92" si="205">AC87-Y87+AG87</f>
        <v>5427.4215400000048</v>
      </c>
      <c r="AL87" s="304">
        <f t="shared" ref="AL87:AL92" si="206">AD87-Z87-AH87</f>
        <v>0</v>
      </c>
      <c r="AM87" s="309">
        <f t="shared" ref="AM87:AM92" si="207">AE87-AA87-AI87</f>
        <v>0</v>
      </c>
      <c r="AN87" s="315"/>
      <c r="AO87" s="333"/>
      <c r="AP87" s="335">
        <f t="shared" si="185"/>
        <v>4.7974334104305044E-2</v>
      </c>
      <c r="AQ87" s="315"/>
      <c r="AR87" s="308">
        <f>(G87*S87)</f>
        <v>0</v>
      </c>
      <c r="AS87" s="304">
        <v>0</v>
      </c>
      <c r="AT87" s="309">
        <v>0</v>
      </c>
      <c r="AU87" s="315"/>
      <c r="AV87" s="473"/>
      <c r="AW87" s="305"/>
      <c r="AX87" s="315"/>
    </row>
    <row r="88" spans="1:51" x14ac:dyDescent="0.3">
      <c r="A88" s="85">
        <f t="shared" si="184"/>
        <v>81</v>
      </c>
      <c r="B88" s="709"/>
      <c r="C88" s="710" t="s">
        <v>5</v>
      </c>
      <c r="D88" s="161"/>
      <c r="E88" s="121">
        <f>'Rates in Detail'!R74-'Rates in Detail'!N74</f>
        <v>6.5299999999999941E-3</v>
      </c>
      <c r="F88" s="121">
        <f>'Rates in Detail'!V74</f>
        <v>-7.7999999999999988E-4</v>
      </c>
      <c r="G88" s="156">
        <f>'[25]Rates in summary'!R66</f>
        <v>9.2000000000000415E-4</v>
      </c>
      <c r="H88" s="161"/>
      <c r="I88" s="368">
        <f>'Rev Req Proof Yr1'!H88</f>
        <v>0.11998</v>
      </c>
      <c r="J88" s="758">
        <f t="shared" si="186"/>
        <v>0.12651000000000001</v>
      </c>
      <c r="K88" s="161"/>
      <c r="L88" s="268"/>
      <c r="M88" s="54"/>
      <c r="N88" s="121"/>
      <c r="O88" s="121"/>
      <c r="P88" s="121"/>
      <c r="Q88" s="758"/>
      <c r="R88" s="161"/>
      <c r="S88" s="293">
        <f>'Rev Req Proof Yr1'!Q88</f>
        <v>0</v>
      </c>
      <c r="T88" s="294">
        <f>'Rev Req Proof Yr1'!R88</f>
        <v>1445175</v>
      </c>
      <c r="U88" s="294"/>
      <c r="V88" s="156"/>
      <c r="W88" s="157"/>
      <c r="X88" s="161"/>
      <c r="Y88" s="308">
        <f t="shared" si="198"/>
        <v>173392.09650000001</v>
      </c>
      <c r="Z88" s="304">
        <f t="shared" si="199"/>
        <v>0</v>
      </c>
      <c r="AA88" s="309">
        <f t="shared" si="200"/>
        <v>0</v>
      </c>
      <c r="AB88" s="315"/>
      <c r="AC88" s="308">
        <f t="shared" si="201"/>
        <v>182829.08925000002</v>
      </c>
      <c r="AD88" s="304">
        <f t="shared" si="202"/>
        <v>0</v>
      </c>
      <c r="AE88" s="309">
        <f t="shared" si="203"/>
        <v>0</v>
      </c>
      <c r="AF88" s="315"/>
      <c r="AG88" s="308">
        <f t="shared" si="204"/>
        <v>-1127.2364999999998</v>
      </c>
      <c r="AH88" s="304">
        <v>0</v>
      </c>
      <c r="AI88" s="309">
        <v>0</v>
      </c>
      <c r="AJ88" s="315"/>
      <c r="AK88" s="308">
        <f t="shared" si="205"/>
        <v>8309.7562500000058</v>
      </c>
      <c r="AL88" s="304">
        <f t="shared" si="206"/>
        <v>0</v>
      </c>
      <c r="AM88" s="309">
        <f t="shared" si="207"/>
        <v>0</v>
      </c>
      <c r="AN88" s="315"/>
      <c r="AO88" s="333"/>
      <c r="AP88" s="335">
        <f t="shared" si="185"/>
        <v>4.7924654109018201E-2</v>
      </c>
      <c r="AQ88" s="315"/>
      <c r="AR88" s="308">
        <f t="shared" si="183"/>
        <v>0</v>
      </c>
      <c r="AS88" s="304">
        <v>0</v>
      </c>
      <c r="AT88" s="309">
        <v>0</v>
      </c>
      <c r="AU88" s="315"/>
      <c r="AV88" s="473"/>
      <c r="AW88" s="155"/>
      <c r="AX88" s="315"/>
    </row>
    <row r="89" spans="1:51" x14ac:dyDescent="0.3">
      <c r="A89" s="85">
        <f t="shared" si="184"/>
        <v>82</v>
      </c>
      <c r="B89" s="709"/>
      <c r="C89" s="710" t="s">
        <v>6</v>
      </c>
      <c r="D89" s="161"/>
      <c r="E89" s="121">
        <f>'Rates in Detail'!R75-'Rates in Detail'!N75</f>
        <v>5.0099999999999867E-3</v>
      </c>
      <c r="F89" s="121">
        <f>'Rates in Detail'!V75</f>
        <v>-6.0000000000000006E-4</v>
      </c>
      <c r="G89" s="156">
        <f>'[25]Rates in summary'!R67</f>
        <v>7.1999999999999842E-4</v>
      </c>
      <c r="H89" s="161"/>
      <c r="I89" s="368">
        <f>'Rev Req Proof Yr1'!H89</f>
        <v>9.1999999999999998E-2</v>
      </c>
      <c r="J89" s="758">
        <f t="shared" si="186"/>
        <v>9.7009999999999985E-2</v>
      </c>
      <c r="K89" s="161"/>
      <c r="L89" s="154"/>
      <c r="M89" s="155"/>
      <c r="N89" s="121"/>
      <c r="O89" s="121"/>
      <c r="P89" s="121"/>
      <c r="Q89" s="758"/>
      <c r="R89" s="161"/>
      <c r="S89" s="293">
        <f>'Rev Req Proof Yr1'!Q89</f>
        <v>0</v>
      </c>
      <c r="T89" s="294">
        <f>'Rev Req Proof Yr1'!R89</f>
        <v>1034978</v>
      </c>
      <c r="U89" s="294"/>
      <c r="V89" s="156"/>
      <c r="W89" s="157"/>
      <c r="X89" s="161"/>
      <c r="Y89" s="308">
        <f t="shared" si="198"/>
        <v>95217.975999999995</v>
      </c>
      <c r="Z89" s="304">
        <f t="shared" si="199"/>
        <v>0</v>
      </c>
      <c r="AA89" s="309">
        <f t="shared" si="200"/>
        <v>0</v>
      </c>
      <c r="AB89" s="315"/>
      <c r="AC89" s="308">
        <f t="shared" si="201"/>
        <v>100403.21577999998</v>
      </c>
      <c r="AD89" s="304">
        <f t="shared" si="202"/>
        <v>0</v>
      </c>
      <c r="AE89" s="309">
        <f t="shared" si="203"/>
        <v>0</v>
      </c>
      <c r="AF89" s="315"/>
      <c r="AG89" s="308">
        <f t="shared" si="204"/>
        <v>-620.98680000000002</v>
      </c>
      <c r="AH89" s="304">
        <v>0</v>
      </c>
      <c r="AI89" s="309">
        <v>0</v>
      </c>
      <c r="AJ89" s="315"/>
      <c r="AK89" s="308">
        <f t="shared" si="205"/>
        <v>4564.2529799999893</v>
      </c>
      <c r="AL89" s="304">
        <f t="shared" si="206"/>
        <v>0</v>
      </c>
      <c r="AM89" s="309">
        <f t="shared" si="207"/>
        <v>0</v>
      </c>
      <c r="AN89" s="315"/>
      <c r="AO89" s="333"/>
      <c r="AP89" s="335">
        <f t="shared" si="185"/>
        <v>4.7934782608695541E-2</v>
      </c>
      <c r="AQ89" s="315"/>
      <c r="AR89" s="308">
        <f t="shared" si="183"/>
        <v>0</v>
      </c>
      <c r="AS89" s="304">
        <v>0</v>
      </c>
      <c r="AT89" s="309">
        <v>0</v>
      </c>
      <c r="AU89" s="315"/>
      <c r="AV89" s="473"/>
      <c r="AW89" s="155"/>
      <c r="AX89" s="315"/>
    </row>
    <row r="90" spans="1:51" x14ac:dyDescent="0.3">
      <c r="A90" s="85">
        <f t="shared" si="184"/>
        <v>83</v>
      </c>
      <c r="B90" s="709"/>
      <c r="C90" s="710" t="s">
        <v>7</v>
      </c>
      <c r="D90" s="161"/>
      <c r="E90" s="121">
        <f>'Rates in Detail'!R76-'Rates in Detail'!N76</f>
        <v>4.0099999999999997E-3</v>
      </c>
      <c r="F90" s="121">
        <f>'Rates in Detail'!V76</f>
        <v>-4.8000000000000001E-4</v>
      </c>
      <c r="G90" s="156">
        <f>'[25]Rates in summary'!R68</f>
        <v>5.7000000000000106E-4</v>
      </c>
      <c r="H90" s="161"/>
      <c r="I90" s="368">
        <f>'Rev Req Proof Yr1'!H90</f>
        <v>7.3609999999999995E-2</v>
      </c>
      <c r="J90" s="758">
        <f t="shared" si="186"/>
        <v>7.7619999999999995E-2</v>
      </c>
      <c r="K90" s="161"/>
      <c r="L90" s="154"/>
      <c r="M90" s="155"/>
      <c r="N90" s="121"/>
      <c r="O90" s="121"/>
      <c r="P90" s="121"/>
      <c r="Q90" s="758"/>
      <c r="R90" s="161"/>
      <c r="S90" s="293">
        <f>'Rev Req Proof Yr1'!Q90</f>
        <v>0</v>
      </c>
      <c r="T90" s="294">
        <f>'Rev Req Proof Yr1'!R90</f>
        <v>3359916</v>
      </c>
      <c r="U90" s="294"/>
      <c r="V90" s="156"/>
      <c r="W90" s="157"/>
      <c r="X90" s="161"/>
      <c r="Y90" s="308">
        <f t="shared" si="198"/>
        <v>247323.41675999999</v>
      </c>
      <c r="Z90" s="304">
        <f t="shared" si="199"/>
        <v>0</v>
      </c>
      <c r="AA90" s="309">
        <f t="shared" si="200"/>
        <v>0</v>
      </c>
      <c r="AB90" s="315"/>
      <c r="AC90" s="308">
        <f t="shared" si="201"/>
        <v>260796.67992</v>
      </c>
      <c r="AD90" s="304">
        <f t="shared" si="202"/>
        <v>0</v>
      </c>
      <c r="AE90" s="309">
        <f t="shared" si="203"/>
        <v>0</v>
      </c>
      <c r="AF90" s="315"/>
      <c r="AG90" s="308">
        <f t="shared" si="204"/>
        <v>-1612.7596800000001</v>
      </c>
      <c r="AH90" s="304">
        <v>0</v>
      </c>
      <c r="AI90" s="309">
        <v>0</v>
      </c>
      <c r="AJ90" s="315"/>
      <c r="AK90" s="308">
        <f t="shared" si="205"/>
        <v>11860.503480000003</v>
      </c>
      <c r="AL90" s="304">
        <f t="shared" si="206"/>
        <v>0</v>
      </c>
      <c r="AM90" s="309">
        <f t="shared" si="207"/>
        <v>0</v>
      </c>
      <c r="AN90" s="315"/>
      <c r="AO90" s="333"/>
      <c r="AP90" s="335">
        <f t="shared" si="185"/>
        <v>4.7955440836842833E-2</v>
      </c>
      <c r="AQ90" s="315"/>
      <c r="AR90" s="308">
        <f t="shared" si="183"/>
        <v>0</v>
      </c>
      <c r="AS90" s="304">
        <v>0</v>
      </c>
      <c r="AT90" s="309">
        <v>0</v>
      </c>
      <c r="AU90" s="315"/>
      <c r="AV90" s="473"/>
      <c r="AW90" s="155"/>
      <c r="AX90" s="315"/>
    </row>
    <row r="91" spans="1:51" x14ac:dyDescent="0.3">
      <c r="A91" s="85">
        <f t="shared" si="184"/>
        <v>84</v>
      </c>
      <c r="B91" s="709"/>
      <c r="C91" s="710" t="s">
        <v>8</v>
      </c>
      <c r="D91" s="161"/>
      <c r="E91" s="121">
        <f>'Rates in Detail'!R77-'Rates in Detail'!N77</f>
        <v>2.6699999999999988E-3</v>
      </c>
      <c r="F91" s="121">
        <f>'Rates in Detail'!V77</f>
        <v>-3.1999999999999997E-4</v>
      </c>
      <c r="G91" s="156">
        <f>'[25]Rates in summary'!R69</f>
        <v>3.7999999999999839E-4</v>
      </c>
      <c r="H91" s="161"/>
      <c r="I91" s="368">
        <f>'Rev Req Proof Yr1'!H91</f>
        <v>4.9079999999999999E-2</v>
      </c>
      <c r="J91" s="758">
        <f t="shared" si="186"/>
        <v>5.1749999999999997E-2</v>
      </c>
      <c r="K91" s="161"/>
      <c r="L91" s="154"/>
      <c r="M91" s="155"/>
      <c r="N91" s="121"/>
      <c r="O91" s="121"/>
      <c r="P91" s="121"/>
      <c r="Q91" s="758"/>
      <c r="R91" s="161"/>
      <c r="S91" s="293">
        <f>'Rev Req Proof Yr1'!Q91</f>
        <v>0</v>
      </c>
      <c r="T91" s="294">
        <f>'Rev Req Proof Yr1'!R91</f>
        <v>1349120</v>
      </c>
      <c r="U91" s="294"/>
      <c r="V91" s="156"/>
      <c r="W91" s="157"/>
      <c r="X91" s="161"/>
      <c r="Y91" s="308">
        <f t="shared" si="198"/>
        <v>66214.809599999993</v>
      </c>
      <c r="Z91" s="304">
        <f t="shared" si="199"/>
        <v>0</v>
      </c>
      <c r="AA91" s="309">
        <f t="shared" si="200"/>
        <v>0</v>
      </c>
      <c r="AB91" s="315"/>
      <c r="AC91" s="308">
        <f t="shared" si="201"/>
        <v>69816.959999999992</v>
      </c>
      <c r="AD91" s="304">
        <f t="shared" si="202"/>
        <v>0</v>
      </c>
      <c r="AE91" s="309">
        <f t="shared" si="203"/>
        <v>0</v>
      </c>
      <c r="AF91" s="315"/>
      <c r="AG91" s="308">
        <f t="shared" si="204"/>
        <v>-431.71839999999997</v>
      </c>
      <c r="AH91" s="304">
        <v>0</v>
      </c>
      <c r="AI91" s="309">
        <v>0</v>
      </c>
      <c r="AJ91" s="315"/>
      <c r="AK91" s="308">
        <f t="shared" si="205"/>
        <v>3170.4319999999989</v>
      </c>
      <c r="AL91" s="304">
        <f t="shared" si="206"/>
        <v>0</v>
      </c>
      <c r="AM91" s="309">
        <f t="shared" si="207"/>
        <v>0</v>
      </c>
      <c r="AN91" s="315"/>
      <c r="AO91" s="333"/>
      <c r="AP91" s="335">
        <f t="shared" si="185"/>
        <v>4.788101059494701E-2</v>
      </c>
      <c r="AQ91" s="315"/>
      <c r="AR91" s="308">
        <f t="shared" si="183"/>
        <v>0</v>
      </c>
      <c r="AS91" s="304">
        <v>0</v>
      </c>
      <c r="AT91" s="309">
        <v>0</v>
      </c>
      <c r="AU91" s="315"/>
      <c r="AV91" s="473"/>
      <c r="AW91" s="153"/>
      <c r="AX91" s="315"/>
    </row>
    <row r="92" spans="1:51" x14ac:dyDescent="0.3">
      <c r="A92" s="85">
        <f t="shared" si="184"/>
        <v>85</v>
      </c>
      <c r="B92" s="709"/>
      <c r="C92" s="710" t="s">
        <v>9</v>
      </c>
      <c r="D92" s="161"/>
      <c r="E92" s="121">
        <f>'Rates in Detail'!R78-'Rates in Detail'!N78</f>
        <v>1.0100000000000005E-3</v>
      </c>
      <c r="F92" s="121">
        <f>'Rates in Detail'!V78</f>
        <v>-1.2000000000000002E-4</v>
      </c>
      <c r="G92" s="156">
        <f>'[25]Rates in summary'!R70</f>
        <v>1.5000000000000083E-4</v>
      </c>
      <c r="H92" s="161"/>
      <c r="I92" s="368">
        <f>'Rev Req Proof Yr1'!H92</f>
        <v>1.839E-2</v>
      </c>
      <c r="J92" s="758">
        <f t="shared" si="186"/>
        <v>1.9400000000000001E-2</v>
      </c>
      <c r="K92" s="161"/>
      <c r="L92" s="154"/>
      <c r="M92" s="155"/>
      <c r="N92" s="121"/>
      <c r="O92" s="121"/>
      <c r="P92" s="121"/>
      <c r="Q92" s="758"/>
      <c r="R92" s="161"/>
      <c r="S92" s="293">
        <f>'Rev Req Proof Yr1'!Q92</f>
        <v>0</v>
      </c>
      <c r="T92" s="294">
        <f>'Rev Req Proof Yr1'!R92</f>
        <v>0</v>
      </c>
      <c r="U92" s="294"/>
      <c r="V92" s="156"/>
      <c r="W92" s="157"/>
      <c r="X92" s="161"/>
      <c r="Y92" s="308">
        <f t="shared" si="198"/>
        <v>0</v>
      </c>
      <c r="Z92" s="304">
        <f t="shared" si="199"/>
        <v>0</v>
      </c>
      <c r="AA92" s="309">
        <f t="shared" si="200"/>
        <v>0</v>
      </c>
      <c r="AB92" s="315"/>
      <c r="AC92" s="308">
        <f t="shared" si="201"/>
        <v>0</v>
      </c>
      <c r="AD92" s="304">
        <f t="shared" si="202"/>
        <v>0</v>
      </c>
      <c r="AE92" s="309">
        <f t="shared" si="203"/>
        <v>0</v>
      </c>
      <c r="AF92" s="315"/>
      <c r="AG92" s="308">
        <f t="shared" si="204"/>
        <v>0</v>
      </c>
      <c r="AH92" s="304">
        <v>0</v>
      </c>
      <c r="AI92" s="309">
        <v>0</v>
      </c>
      <c r="AJ92" s="315"/>
      <c r="AK92" s="308">
        <f t="shared" si="205"/>
        <v>0</v>
      </c>
      <c r="AL92" s="304">
        <f t="shared" si="206"/>
        <v>0</v>
      </c>
      <c r="AM92" s="309">
        <f t="shared" si="207"/>
        <v>0</v>
      </c>
      <c r="AN92" s="315"/>
      <c r="AO92" s="333"/>
      <c r="AP92" s="335" t="e">
        <f t="shared" si="185"/>
        <v>#DIV/0!</v>
      </c>
      <c r="AQ92" s="315"/>
      <c r="AR92" s="308">
        <f t="shared" si="183"/>
        <v>0</v>
      </c>
      <c r="AS92" s="304">
        <v>0</v>
      </c>
      <c r="AT92" s="309">
        <v>0</v>
      </c>
      <c r="AU92" s="315"/>
      <c r="AV92" s="473"/>
      <c r="AW92" s="153"/>
      <c r="AX92" s="315"/>
    </row>
    <row r="93" spans="1:51" x14ac:dyDescent="0.3">
      <c r="A93" s="85">
        <f t="shared" si="184"/>
        <v>86</v>
      </c>
      <c r="B93" s="707"/>
      <c r="C93" s="726" t="s">
        <v>76</v>
      </c>
      <c r="D93" s="162"/>
      <c r="E93" s="122"/>
      <c r="F93" s="122"/>
      <c r="G93" s="152"/>
      <c r="H93" s="162"/>
      <c r="I93" s="363"/>
      <c r="J93" s="757"/>
      <c r="K93" s="161"/>
      <c r="L93" s="154"/>
      <c r="M93" s="155"/>
      <c r="N93" s="121"/>
      <c r="O93" s="121"/>
      <c r="P93" s="121"/>
      <c r="Q93" s="758"/>
      <c r="R93" s="161"/>
      <c r="S93" s="293"/>
      <c r="T93" s="294"/>
      <c r="U93" s="156"/>
      <c r="V93" s="156"/>
      <c r="W93" s="157"/>
      <c r="X93" s="161"/>
      <c r="Y93" s="310">
        <f>SUM(Y87:Y92)</f>
        <v>695280.07319999998</v>
      </c>
      <c r="Z93" s="311">
        <f>SUM(Z87:Z92)</f>
        <v>130200</v>
      </c>
      <c r="AA93" s="312">
        <f>SUM(AA87:AA92)</f>
        <v>0</v>
      </c>
      <c r="AB93" s="315"/>
      <c r="AC93" s="310">
        <f>SUM(AC87:AC92)</f>
        <v>733139.48868999991</v>
      </c>
      <c r="AD93" s="311">
        <f>SUM(AD87:AD92)</f>
        <v>130200</v>
      </c>
      <c r="AE93" s="312">
        <f>SUM(AE87:AE92)</f>
        <v>0</v>
      </c>
      <c r="AF93" s="315"/>
      <c r="AG93" s="310">
        <f>SUM(AG87:AG92)</f>
        <v>-4527.0492400000003</v>
      </c>
      <c r="AH93" s="311">
        <f>SUM(AH87:AH92)</f>
        <v>0</v>
      </c>
      <c r="AI93" s="312">
        <f>SUM(AI87:AI92)</f>
        <v>0</v>
      </c>
      <c r="AJ93" s="315"/>
      <c r="AK93" s="310">
        <f>SUM(AK87:AK92)</f>
        <v>33332.366249999999</v>
      </c>
      <c r="AL93" s="311">
        <f>SUM(AL87:AL92)</f>
        <v>0</v>
      </c>
      <c r="AM93" s="312">
        <f>SUM(AM87:AM92)</f>
        <v>0</v>
      </c>
      <c r="AN93" s="315"/>
      <c r="AO93" s="333">
        <f>SUM(AK93:AM93)/SUM(Y93:AA93)</f>
        <v>4.0379371146763134E-2</v>
      </c>
      <c r="AP93" s="334">
        <f t="shared" si="185"/>
        <v>4.7940919831901775E-2</v>
      </c>
      <c r="AQ93" s="315"/>
      <c r="AR93" s="310">
        <f>SUM(AR87:AR92)</f>
        <v>0</v>
      </c>
      <c r="AS93" s="311">
        <f>SUM(AS87:AS92)</f>
        <v>0</v>
      </c>
      <c r="AT93" s="312">
        <f>SUM(AT87:AT92)</f>
        <v>0</v>
      </c>
      <c r="AU93" s="315"/>
      <c r="AV93" s="473"/>
      <c r="AW93" s="153"/>
      <c r="AX93" s="315"/>
    </row>
    <row r="94" spans="1:51" x14ac:dyDescent="0.3">
      <c r="A94" s="85">
        <f t="shared" si="184"/>
        <v>87</v>
      </c>
      <c r="B94" s="707" t="str">
        <f>'WA Volumes &amp; Revenues'!B81</f>
        <v>43 Firm Transpt</v>
      </c>
      <c r="C94" s="707" t="s">
        <v>270</v>
      </c>
      <c r="D94" s="161"/>
      <c r="E94" s="387">
        <f>'Rates in Detail'!R79-'Rates in Detail'!N79</f>
        <v>0</v>
      </c>
      <c r="F94" s="387">
        <f>'Rates in Detail'!V79</f>
        <v>-2.0000000000000002E-5</v>
      </c>
      <c r="G94" s="163">
        <f>'[25]Rates in summary'!R71</f>
        <v>4.9999999999999697E-5</v>
      </c>
      <c r="H94" s="161"/>
      <c r="I94" s="388">
        <f>'Rev Req Proof Yr1'!H94</f>
        <v>4.9100000000000003E-3</v>
      </c>
      <c r="J94" s="759">
        <f t="shared" si="186"/>
        <v>4.9100000000000003E-3</v>
      </c>
      <c r="K94" s="161"/>
      <c r="L94" s="154">
        <f>'Rev Req Proof Yr1'!K94</f>
        <v>38000</v>
      </c>
      <c r="M94" s="155">
        <f>'Rev Req Proof Yr1'!L94</f>
        <v>38000</v>
      </c>
      <c r="N94" s="121">
        <f>'Rev Req Proof Yr1'!M94</f>
        <v>0.15748000000000001</v>
      </c>
      <c r="O94" s="121">
        <f>'Rev Req Proof Yr1'!N94</f>
        <v>0</v>
      </c>
      <c r="P94" s="121">
        <f>'Rev Req Proof Yr1'!O94</f>
        <v>0</v>
      </c>
      <c r="Q94" s="758">
        <f>'Rev Req Proof Yr1'!P94</f>
        <v>0</v>
      </c>
      <c r="R94" s="161"/>
      <c r="S94" s="293">
        <f>'Rev Req Proof Yr1'!Q94</f>
        <v>0</v>
      </c>
      <c r="T94" s="294">
        <f>'Rev Req Proof Yr1'!R94</f>
        <v>0</v>
      </c>
      <c r="U94" s="294"/>
      <c r="V94" s="295">
        <f>'Rev Req Proof Yr1'!T94</f>
        <v>0</v>
      </c>
      <c r="W94" s="296">
        <f>'Rev Req Proof Yr1'!U94</f>
        <v>0</v>
      </c>
      <c r="X94" s="161"/>
      <c r="Y94" s="301">
        <f t="shared" ref="Y94:Y96" si="208">(I94*T94)</f>
        <v>0</v>
      </c>
      <c r="Z94" s="302">
        <f t="shared" ref="Z94:Z96" si="209">(L94*V94*12)</f>
        <v>0</v>
      </c>
      <c r="AA94" s="303">
        <f t="shared" ref="AA94:AA96" si="210">(U94*(N94+P94))*12</f>
        <v>0</v>
      </c>
      <c r="AB94" s="316"/>
      <c r="AC94" s="301">
        <f t="shared" ref="AC94:AC96" si="211">(J94*T94)</f>
        <v>0</v>
      </c>
      <c r="AD94" s="302">
        <f t="shared" ref="AD94:AD96" si="212">(M94*V94*12)</f>
        <v>0</v>
      </c>
      <c r="AE94" s="303">
        <f t="shared" ref="AE94:AE96" si="213">(U94*(O94+Q94))*12</f>
        <v>0</v>
      </c>
      <c r="AF94" s="316"/>
      <c r="AG94" s="301">
        <f t="shared" ref="AG94:AG96" si="214">(F94*T94)</f>
        <v>0</v>
      </c>
      <c r="AH94" s="302">
        <v>0</v>
      </c>
      <c r="AI94" s="303">
        <v>0</v>
      </c>
      <c r="AJ94" s="316"/>
      <c r="AK94" s="301">
        <f t="shared" ref="AK94:AK96" si="215">AC94-Y94+AG94</f>
        <v>0</v>
      </c>
      <c r="AL94" s="302">
        <f t="shared" ref="AL94:AL96" si="216">AD94-Z94-AH94</f>
        <v>0</v>
      </c>
      <c r="AM94" s="303">
        <f t="shared" ref="AM94:AM96" si="217">AE94-AA94-AI94</f>
        <v>0</v>
      </c>
      <c r="AN94" s="315"/>
      <c r="AO94" s="333"/>
      <c r="AP94" s="334"/>
      <c r="AQ94" s="315"/>
      <c r="AR94" s="301">
        <f t="shared" ref="AR94:AR96" si="218">(G94*T94)</f>
        <v>0</v>
      </c>
      <c r="AS94" s="302">
        <v>0</v>
      </c>
      <c r="AT94" s="303">
        <v>0</v>
      </c>
      <c r="AU94" s="315"/>
      <c r="AV94" s="473"/>
      <c r="AW94" s="153"/>
      <c r="AX94" s="315"/>
    </row>
    <row r="95" spans="1:51" x14ac:dyDescent="0.3">
      <c r="A95" s="85">
        <f t="shared" si="184"/>
        <v>88</v>
      </c>
      <c r="B95" s="707" t="str">
        <f>'WA Volumes &amp; Revenues'!B82</f>
        <v>43 Interr Transpt</v>
      </c>
      <c r="C95" s="708" t="s">
        <v>270</v>
      </c>
      <c r="D95" s="161"/>
      <c r="E95" s="387">
        <f>'Rates in Detail'!R80-'Rates in Detail'!N80</f>
        <v>0</v>
      </c>
      <c r="F95" s="387">
        <f>'Rates in Detail'!V80</f>
        <v>-2.0000000000000002E-5</v>
      </c>
      <c r="G95" s="163">
        <f>'[25]Rates in summary'!R72</f>
        <v>4.9999999999999697E-5</v>
      </c>
      <c r="H95" s="161"/>
      <c r="I95" s="391">
        <f>'Rev Req Proof Yr1'!H95</f>
        <v>4.9100000000000003E-3</v>
      </c>
      <c r="J95" s="760">
        <f t="shared" si="186"/>
        <v>4.9100000000000003E-3</v>
      </c>
      <c r="K95" s="161"/>
      <c r="L95" s="154">
        <f>'Rev Req Proof Yr1'!K95</f>
        <v>38000</v>
      </c>
      <c r="M95" s="155">
        <f>'Rev Req Proof Yr1'!L95</f>
        <v>38000</v>
      </c>
      <c r="N95" s="121">
        <f>'Rev Req Proof Yr1'!M95</f>
        <v>0</v>
      </c>
      <c r="O95" s="121">
        <f>'Rev Req Proof Yr1'!N95</f>
        <v>0</v>
      </c>
      <c r="P95" s="121">
        <f>'Rev Req Proof Yr1'!O95</f>
        <v>0</v>
      </c>
      <c r="Q95" s="758">
        <f>'Rev Req Proof Yr1'!P95</f>
        <v>0</v>
      </c>
      <c r="R95" s="161"/>
      <c r="S95" s="293">
        <f>'Rev Req Proof Yr1'!Q95</f>
        <v>0</v>
      </c>
      <c r="T95" s="294">
        <f>'Rev Req Proof Yr1'!R95</f>
        <v>0</v>
      </c>
      <c r="U95" s="294"/>
      <c r="V95" s="295">
        <f>'Rev Req Proof Yr1'!T95</f>
        <v>0</v>
      </c>
      <c r="W95" s="296">
        <f>'Rev Req Proof Yr1'!U95</f>
        <v>0</v>
      </c>
      <c r="X95" s="161"/>
      <c r="Y95" s="317">
        <f t="shared" si="208"/>
        <v>0</v>
      </c>
      <c r="Z95" s="316">
        <f t="shared" si="209"/>
        <v>0</v>
      </c>
      <c r="AA95" s="318">
        <f t="shared" si="210"/>
        <v>0</v>
      </c>
      <c r="AB95" s="315"/>
      <c r="AC95" s="317">
        <f t="shared" si="211"/>
        <v>0</v>
      </c>
      <c r="AD95" s="316">
        <f t="shared" si="212"/>
        <v>0</v>
      </c>
      <c r="AE95" s="318">
        <f t="shared" si="213"/>
        <v>0</v>
      </c>
      <c r="AF95" s="315"/>
      <c r="AG95" s="317">
        <f t="shared" si="214"/>
        <v>0</v>
      </c>
      <c r="AH95" s="316">
        <v>0</v>
      </c>
      <c r="AI95" s="318">
        <v>0</v>
      </c>
      <c r="AJ95" s="315"/>
      <c r="AK95" s="317">
        <f t="shared" si="215"/>
        <v>0</v>
      </c>
      <c r="AL95" s="316">
        <f t="shared" si="216"/>
        <v>0</v>
      </c>
      <c r="AM95" s="318">
        <f t="shared" si="217"/>
        <v>0</v>
      </c>
      <c r="AN95" s="315"/>
      <c r="AO95" s="315"/>
      <c r="AP95" s="315"/>
      <c r="AQ95" s="315"/>
      <c r="AR95" s="317">
        <f t="shared" si="218"/>
        <v>0</v>
      </c>
      <c r="AS95" s="316">
        <v>0</v>
      </c>
      <c r="AT95" s="318">
        <v>0</v>
      </c>
      <c r="AU95" s="315"/>
      <c r="AV95" s="473"/>
      <c r="AW95" s="153"/>
      <c r="AX95" s="315"/>
    </row>
    <row r="96" spans="1:51" ht="13.5" thickBot="1" x14ac:dyDescent="0.35">
      <c r="A96" s="85">
        <f t="shared" si="184"/>
        <v>89</v>
      </c>
      <c r="B96" s="763" t="str">
        <f>'WA Volumes &amp; Revenues'!B83</f>
        <v>Special Contract</v>
      </c>
      <c r="C96" s="764" t="s">
        <v>270</v>
      </c>
      <c r="D96" s="165"/>
      <c r="E96" s="819">
        <f>'Rates in Detail'!R81-'Rates in Detail'!N81</f>
        <v>0</v>
      </c>
      <c r="F96" s="819">
        <f>'Rates in Detail'!V81</f>
        <v>0</v>
      </c>
      <c r="G96" s="165">
        <v>0</v>
      </c>
      <c r="H96" s="766"/>
      <c r="I96" s="761">
        <f>'Rev Req Proof Yr1'!H96</f>
        <v>0</v>
      </c>
      <c r="J96" s="762">
        <f t="shared" si="186"/>
        <v>0</v>
      </c>
      <c r="K96" s="161"/>
      <c r="L96" s="769">
        <f>'Rev Req Proof Yr1'!K96</f>
        <v>0</v>
      </c>
      <c r="M96" s="770">
        <f>'Rev Req Proof Yr1'!L96</f>
        <v>0</v>
      </c>
      <c r="N96" s="779">
        <f>'Rev Req Proof Yr1'!M96</f>
        <v>0</v>
      </c>
      <c r="O96" s="779">
        <f>'Rev Req Proof Yr1'!N96</f>
        <v>0</v>
      </c>
      <c r="P96" s="779">
        <f>'Rev Req Proof Yr1'!O96</f>
        <v>0</v>
      </c>
      <c r="Q96" s="762">
        <f>'Rev Req Proof Yr1'!P96</f>
        <v>0</v>
      </c>
      <c r="R96" s="161"/>
      <c r="S96" s="795">
        <f>'Rev Req Proof Yr1'!Q96</f>
        <v>0</v>
      </c>
      <c r="T96" s="1600">
        <f>'Rev Req Proof Yr1'!R96</f>
        <v>2895114</v>
      </c>
      <c r="U96" s="789"/>
      <c r="V96" s="785">
        <f>'Rev Req Proof Yr1'!T96</f>
        <v>1</v>
      </c>
      <c r="W96" s="786">
        <f>'Rev Req Proof Yr1'!U96</f>
        <v>241259.5</v>
      </c>
      <c r="X96" s="161"/>
      <c r="Y96" s="319">
        <f t="shared" si="208"/>
        <v>0</v>
      </c>
      <c r="Z96" s="320">
        <f t="shared" si="209"/>
        <v>0</v>
      </c>
      <c r="AA96" s="321">
        <f t="shared" si="210"/>
        <v>0</v>
      </c>
      <c r="AB96" s="315"/>
      <c r="AC96" s="319">
        <f t="shared" si="211"/>
        <v>0</v>
      </c>
      <c r="AD96" s="320">
        <f t="shared" si="212"/>
        <v>0</v>
      </c>
      <c r="AE96" s="321">
        <f t="shared" si="213"/>
        <v>0</v>
      </c>
      <c r="AF96" s="315"/>
      <c r="AG96" s="319">
        <f t="shared" si="214"/>
        <v>0</v>
      </c>
      <c r="AH96" s="320">
        <v>0</v>
      </c>
      <c r="AI96" s="321">
        <v>0</v>
      </c>
      <c r="AJ96" s="315"/>
      <c r="AK96" s="319">
        <f t="shared" si="215"/>
        <v>0</v>
      </c>
      <c r="AL96" s="320">
        <f t="shared" si="216"/>
        <v>0</v>
      </c>
      <c r="AM96" s="321">
        <f t="shared" si="217"/>
        <v>0</v>
      </c>
      <c r="AN96" s="315"/>
      <c r="AO96" s="315"/>
      <c r="AP96" s="315"/>
      <c r="AQ96" s="315"/>
      <c r="AR96" s="319">
        <f t="shared" si="218"/>
        <v>0</v>
      </c>
      <c r="AS96" s="320">
        <v>0</v>
      </c>
      <c r="AT96" s="321">
        <v>0</v>
      </c>
      <c r="AU96" s="315"/>
      <c r="AV96" s="649"/>
      <c r="AW96" s="161"/>
      <c r="AX96" s="315"/>
    </row>
    <row r="97" spans="1:51" x14ac:dyDescent="0.3">
      <c r="A97" s="85">
        <f t="shared" si="184"/>
        <v>90</v>
      </c>
      <c r="AV97" s="1190"/>
      <c r="AW97" s="1190"/>
      <c r="AX97" s="1190"/>
      <c r="AY97" s="1190"/>
    </row>
    <row r="98" spans="1:51" x14ac:dyDescent="0.3">
      <c r="A98" s="85">
        <f t="shared" si="184"/>
        <v>91</v>
      </c>
      <c r="B98" s="167" t="s">
        <v>58</v>
      </c>
      <c r="AU98" s="54"/>
      <c r="AV98" s="54"/>
      <c r="AW98" s="428"/>
    </row>
    <row r="99" spans="1:51" x14ac:dyDescent="0.3">
      <c r="A99" s="85">
        <f t="shared" si="184"/>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82"/>
      <c r="AN99" s="749"/>
      <c r="AO99" s="749"/>
      <c r="AP99" s="749"/>
      <c r="AQ99" s="749"/>
      <c r="AR99" s="782"/>
      <c r="AS99" s="782"/>
      <c r="AT99" s="783"/>
      <c r="AU99" s="820"/>
      <c r="AV99" s="54"/>
      <c r="AX99" s="54"/>
    </row>
    <row r="100" spans="1:51" x14ac:dyDescent="0.3">
      <c r="A100" s="85">
        <f t="shared" si="184"/>
        <v>93</v>
      </c>
      <c r="B100" s="168"/>
      <c r="T100" s="322"/>
      <c r="U100" s="322"/>
      <c r="V100" s="322"/>
      <c r="AU100" s="54"/>
      <c r="AV100" s="54"/>
    </row>
    <row r="101" spans="1:51" x14ac:dyDescent="0.3">
      <c r="A101" s="85">
        <f t="shared" si="184"/>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49"/>
      <c r="AQ101" s="749"/>
      <c r="AR101" s="749"/>
      <c r="AS101" s="749"/>
      <c r="AT101" s="784"/>
      <c r="AU101" s="54"/>
      <c r="AV101" s="54"/>
      <c r="AX101" s="54"/>
    </row>
    <row r="102" spans="1:51" x14ac:dyDescent="0.3">
      <c r="A102" s="85">
        <f t="shared" si="184"/>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49"/>
      <c r="AT102" s="784"/>
      <c r="AU102" s="54"/>
      <c r="AV102" s="54"/>
      <c r="AX102" s="54"/>
    </row>
    <row r="103" spans="1:51" x14ac:dyDescent="0.3">
      <c r="A103" s="85"/>
      <c r="B103" s="168"/>
      <c r="AU103" s="54"/>
      <c r="AV103" s="54"/>
    </row>
    <row r="104" spans="1:51" x14ac:dyDescent="0.3">
      <c r="A104" s="85"/>
      <c r="B104" s="168"/>
    </row>
    <row r="105" spans="1:51" x14ac:dyDescent="0.3">
      <c r="A105" s="85"/>
      <c r="B105" s="168"/>
    </row>
  </sheetData>
  <customSheetViews>
    <customSheetView guid="{80646397-1CEF-4A79-B348-594AB32B8020}" hiddenColumns="1" topLeftCell="AG1">
      <selection activeCell="AY13" sqref="AY13"/>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hiddenColumns="1" topLeftCell="AG1">
      <selection activeCell="AY13" sqref="AY13"/>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9">
    <mergeCell ref="AG10:AI10"/>
    <mergeCell ref="AV2:AW2"/>
    <mergeCell ref="I7:J7"/>
    <mergeCell ref="L7:Q7"/>
    <mergeCell ref="Y10:AA10"/>
    <mergeCell ref="AC10:AE10"/>
    <mergeCell ref="AK10:AM10"/>
    <mergeCell ref="AR10:AT10"/>
    <mergeCell ref="S7:W7"/>
  </mergeCells>
  <printOptions horizont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view="pageLayout" topLeftCell="AI1" zoomScaleNormal="115" workbookViewId="0">
      <selection activeCell="AI17" sqref="AI17"/>
    </sheetView>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7" width="14.796875" style="55" customWidth="1"/>
    <col min="8" max="8" width="2.796875" style="55" customWidth="1"/>
    <col min="9" max="10" width="15.796875" style="55" customWidth="1"/>
    <col min="11" max="11" width="2.796875" style="55" customWidth="1"/>
    <col min="12" max="17" width="15.796875" style="55" customWidth="1"/>
    <col min="18" max="18" width="2.796875" style="55" customWidth="1"/>
    <col min="19" max="19" width="17.19921875" style="55" customWidth="1"/>
    <col min="20" max="22" width="15.796875" style="55" customWidth="1"/>
    <col min="23" max="23" width="2.796875" style="55" customWidth="1"/>
    <col min="24"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8" width="15.796875" style="55" customWidth="1"/>
    <col min="39" max="39" width="2.796875" style="55" customWidth="1"/>
    <col min="40" max="40" width="15.69921875" style="55" hidden="1" customWidth="1"/>
    <col min="41" max="41" width="15.796875" style="55" hidden="1" customWidth="1"/>
    <col min="42" max="42" width="2.796875" style="55" customWidth="1"/>
    <col min="43" max="45" width="15.796875" style="55" customWidth="1"/>
    <col min="46" max="46" width="2.796875" style="55" customWidth="1"/>
    <col min="47" max="47" width="23.796875" style="55" customWidth="1"/>
    <col min="48" max="48" width="15.296875" style="55" customWidth="1"/>
    <col min="49" max="49" width="2.796875" style="55" customWidth="1"/>
    <col min="50" max="50" width="9.296875" style="54" customWidth="1"/>
    <col min="51" max="51" width="16.796875" style="54" customWidth="1"/>
    <col min="52" max="52" width="18.5" style="54" customWidth="1"/>
    <col min="53" max="16384" width="9.296875" style="54"/>
  </cols>
  <sheetData>
    <row r="1" spans="1:52" ht="15" thickBot="1" x14ac:dyDescent="0.4">
      <c r="A1" s="172" t="str">
        <f>+'WA Volumes &amp; Revenues'!A1</f>
        <v>NW Natural</v>
      </c>
    </row>
    <row r="2" spans="1:52" ht="15" thickBot="1" x14ac:dyDescent="0.4">
      <c r="A2" s="172" t="str">
        <f>+'WA Volumes &amp; Revenues'!A2</f>
        <v>Rates &amp; Regulatory Affairs</v>
      </c>
      <c r="E2" s="139"/>
      <c r="F2" s="139"/>
      <c r="G2" s="139"/>
      <c r="U2" s="260"/>
      <c r="X2" s="261" t="s">
        <v>111</v>
      </c>
      <c r="Y2" s="262" t="s">
        <v>112</v>
      </c>
      <c r="Z2" s="263" t="s">
        <v>96</v>
      </c>
      <c r="AB2" s="261" t="s">
        <v>111</v>
      </c>
      <c r="AC2" s="262" t="s">
        <v>112</v>
      </c>
      <c r="AD2" s="263" t="s">
        <v>96</v>
      </c>
      <c r="AF2" s="261" t="s">
        <v>111</v>
      </c>
      <c r="AG2" s="262" t="s">
        <v>112</v>
      </c>
      <c r="AH2" s="263" t="s">
        <v>96</v>
      </c>
      <c r="AJ2" s="261" t="s">
        <v>111</v>
      </c>
      <c r="AK2" s="262" t="s">
        <v>112</v>
      </c>
      <c r="AL2" s="263" t="s">
        <v>96</v>
      </c>
      <c r="AO2" s="144"/>
      <c r="AQ2" s="261" t="s">
        <v>111</v>
      </c>
      <c r="AR2" s="262" t="s">
        <v>112</v>
      </c>
      <c r="AS2" s="263" t="s">
        <v>96</v>
      </c>
      <c r="AU2" s="1849" t="s">
        <v>267</v>
      </c>
      <c r="AV2" s="1850"/>
    </row>
    <row r="3" spans="1:52" ht="14.5" x14ac:dyDescent="0.35">
      <c r="A3" s="172" t="str">
        <f>+'WA Volumes &amp; Revenues'!A3</f>
        <v>Test Year Ending September 30, 2020</v>
      </c>
      <c r="E3" s="139"/>
      <c r="F3" s="139"/>
      <c r="G3" s="139"/>
      <c r="U3" s="347"/>
      <c r="X3" s="264">
        <f>SUM(X14:X19)+X22+X28+X31+X37+X44+X51+X58+X65+X72+X79+X94+X93+X25+X34+X86+X95+X96</f>
        <v>42287343.334423244</v>
      </c>
      <c r="Y3" s="265">
        <f>SUM(Y14:Y19)+Y22+Y28+Y31+Y37+Y44+Y51+Y58+Y65+Y72+Y79+Y94+Y93+Y25+Y34+Y86+Y95+Y96</f>
        <v>10678018</v>
      </c>
      <c r="Z3" s="266">
        <f>SUM(Z14:Z19)+Z22+Z28+Z31+Z37+Z44+Z51+Z58+Z65+Z72+Z79+Z94+Z93+Z25+Z34+Z86+Z95+Z96</f>
        <v>141275.86116</v>
      </c>
      <c r="AB3" s="264">
        <f t="shared" ref="AB3:AD3" si="0">SUM(AB14:AB19)+AB22+AB28+AB31+AB37+AB44+AB51+AB58+AB65+AB72+AB79+AB94+AB93+AB25+AB34+AB86+AB95+AB96</f>
        <v>45287447.275616832</v>
      </c>
      <c r="AC3" s="265">
        <f t="shared" si="0"/>
        <v>10678018</v>
      </c>
      <c r="AD3" s="266">
        <f t="shared" si="0"/>
        <v>141275.86116</v>
      </c>
      <c r="AF3" s="264">
        <f t="shared" ref="AF3:AH3" si="1">SUM(AF14:AF19)+AF22+AF28+AF31+AF37+AF44+AF51+AF58+AF65+AF72+AF79+AF94+AF93+AF25+AF34+AF86+AF95+AF96</f>
        <v>-1253641.4078134175</v>
      </c>
      <c r="AG3" s="265">
        <f t="shared" si="1"/>
        <v>0</v>
      </c>
      <c r="AH3" s="266">
        <f t="shared" si="1"/>
        <v>0</v>
      </c>
      <c r="AJ3" s="264">
        <f t="shared" ref="AJ3:AL3" si="2">SUM(AJ14:AJ19)+AJ22+AJ28+AJ31+AJ37+AJ44+AJ51+AJ58+AJ65+AJ72+AJ79+AJ94+AJ93+AJ25+AJ34+AJ86+AJ95+AJ96</f>
        <v>1746462.5333801785</v>
      </c>
      <c r="AK3" s="265">
        <f t="shared" si="2"/>
        <v>0</v>
      </c>
      <c r="AL3" s="266">
        <f t="shared" si="2"/>
        <v>0</v>
      </c>
      <c r="AO3" s="265"/>
      <c r="AQ3" s="264">
        <f t="shared" ref="AQ3:AS3" si="3">SUM(AQ14:AQ19)+AQ22+AQ28+AQ31+AQ37+AQ44+AQ51+AQ58+AQ65+AQ72+AQ79+AQ94+AQ93+AQ25+AQ34+AQ86+AQ95+AQ96</f>
        <v>0</v>
      </c>
      <c r="AR3" s="265">
        <f t="shared" si="3"/>
        <v>0</v>
      </c>
      <c r="AS3" s="266">
        <f t="shared" si="3"/>
        <v>0</v>
      </c>
      <c r="AU3" s="55" t="s">
        <v>97</v>
      </c>
      <c r="AV3" s="267">
        <f>AJ3</f>
        <v>1746462.5333801785</v>
      </c>
      <c r="AY3" s="267">
        <f>'Rate Spread SETTLEMENT'!D28</f>
        <v>3000000</v>
      </c>
      <c r="AZ3" s="54" t="s">
        <v>172</v>
      </c>
    </row>
    <row r="4" spans="1:52" ht="14.5" x14ac:dyDescent="0.35">
      <c r="A4" s="172" t="s">
        <v>606</v>
      </c>
      <c r="D4" s="139"/>
      <c r="E4" s="139"/>
      <c r="F4" s="139"/>
      <c r="G4" s="139"/>
      <c r="H4" s="139"/>
      <c r="I4" s="139"/>
      <c r="K4" s="139"/>
      <c r="L4" s="139"/>
      <c r="M4" s="139"/>
      <c r="R4" s="139"/>
      <c r="U4" s="347"/>
      <c r="W4" s="139"/>
      <c r="X4" s="268"/>
      <c r="Y4" s="54"/>
      <c r="Z4" s="269" t="s">
        <v>76</v>
      </c>
      <c r="AA4" s="139"/>
      <c r="AB4" s="268"/>
      <c r="AC4" s="54"/>
      <c r="AD4" s="269" t="s">
        <v>76</v>
      </c>
      <c r="AE4" s="139"/>
      <c r="AF4" s="268"/>
      <c r="AG4" s="54"/>
      <c r="AH4" s="269" t="s">
        <v>76</v>
      </c>
      <c r="AI4" s="139"/>
      <c r="AJ4" s="268"/>
      <c r="AK4" s="54"/>
      <c r="AL4" s="269" t="s">
        <v>76</v>
      </c>
      <c r="AM4" s="139"/>
      <c r="AN4" s="139"/>
      <c r="AO4" s="144"/>
      <c r="AP4" s="139"/>
      <c r="AQ4" s="268"/>
      <c r="AR4" s="54"/>
      <c r="AS4" s="269" t="s">
        <v>76</v>
      </c>
      <c r="AT4" s="139"/>
      <c r="AU4" s="55" t="s">
        <v>98</v>
      </c>
      <c r="AV4" s="267">
        <f>AK3</f>
        <v>0</v>
      </c>
      <c r="AY4" s="294">
        <f>'Allocation = % of Margin'!AE10</f>
        <v>-770716</v>
      </c>
      <c r="AZ4" s="294" t="s">
        <v>396</v>
      </c>
    </row>
    <row r="5" spans="1:52" ht="13.5" thickBot="1" x14ac:dyDescent="0.35">
      <c r="E5" s="139"/>
      <c r="F5" s="139"/>
      <c r="G5" s="139"/>
      <c r="X5" s="270"/>
      <c r="Y5" s="271"/>
      <c r="Z5" s="272">
        <f>SUM(X3:Z3)</f>
        <v>53106637.195583247</v>
      </c>
      <c r="AB5" s="270"/>
      <c r="AC5" s="271"/>
      <c r="AD5" s="272">
        <f>SUM(AB3:AD3)</f>
        <v>56106741.136776835</v>
      </c>
      <c r="AF5" s="270"/>
      <c r="AG5" s="271"/>
      <c r="AH5" s="272">
        <f>SUM(AF3:AH3)</f>
        <v>-1253641.4078134175</v>
      </c>
      <c r="AJ5" s="548"/>
      <c r="AK5" s="549"/>
      <c r="AL5" s="550">
        <f>SUM(AJ3:AL3)</f>
        <v>1746462.5333801785</v>
      </c>
      <c r="AO5" s="265"/>
      <c r="AQ5" s="270"/>
      <c r="AR5" s="271"/>
      <c r="AS5" s="272">
        <f>SUM(AQ3:AS3)</f>
        <v>0</v>
      </c>
      <c r="AU5" s="55" t="s">
        <v>99</v>
      </c>
      <c r="AV5" s="267">
        <f>AL3</f>
        <v>0</v>
      </c>
      <c r="AY5" s="267">
        <f>'Allocation = % of Margin'!AH10</f>
        <v>-437870</v>
      </c>
      <c r="AZ5" s="54" t="s">
        <v>387</v>
      </c>
    </row>
    <row r="6" spans="1:52" ht="15" thickBot="1" x14ac:dyDescent="0.4">
      <c r="A6" s="131"/>
      <c r="E6" s="139"/>
      <c r="F6" s="139"/>
      <c r="G6" s="139"/>
      <c r="X6" s="54"/>
      <c r="Y6" s="54"/>
      <c r="Z6" s="265"/>
      <c r="AB6" s="54"/>
      <c r="AC6" s="54"/>
      <c r="AD6" s="265"/>
      <c r="AF6" s="54"/>
      <c r="AG6" s="54"/>
      <c r="AH6" s="265"/>
      <c r="AJ6" s="54"/>
      <c r="AK6" s="54"/>
      <c r="AL6" s="265"/>
      <c r="AO6" s="265"/>
      <c r="AQ6" s="54"/>
      <c r="AR6" s="54"/>
      <c r="AS6" s="265"/>
      <c r="AV6" s="267"/>
      <c r="AY6" s="267">
        <f>'Allocation = % of Margin'!AK10</f>
        <v>-44544</v>
      </c>
      <c r="AZ6" s="294" t="s">
        <v>446</v>
      </c>
    </row>
    <row r="7" spans="1:52" ht="13.5" thickBot="1" x14ac:dyDescent="0.35">
      <c r="E7" s="1712" t="s">
        <v>397</v>
      </c>
      <c r="F7" s="1712" t="s">
        <v>397</v>
      </c>
      <c r="G7" s="139"/>
      <c r="I7" s="1851" t="s">
        <v>118</v>
      </c>
      <c r="J7" s="1852"/>
      <c r="L7" s="1851" t="s">
        <v>120</v>
      </c>
      <c r="M7" s="1853"/>
      <c r="N7" s="1853"/>
      <c r="O7" s="1853"/>
      <c r="P7" s="1853"/>
      <c r="Q7" s="1852"/>
      <c r="S7" s="1851" t="s">
        <v>119</v>
      </c>
      <c r="T7" s="1853"/>
      <c r="U7" s="1853"/>
      <c r="V7" s="1852"/>
      <c r="X7" s="827"/>
      <c r="AC7" s="825" t="str">
        <f>J9</f>
        <v>UG-200994</v>
      </c>
      <c r="AD7" s="275"/>
      <c r="AG7" s="825" t="str">
        <f>F8</f>
        <v>UG-200994</v>
      </c>
      <c r="AH7" s="275"/>
      <c r="AS7" s="275"/>
      <c r="AU7" s="55" t="s">
        <v>100</v>
      </c>
      <c r="AV7" s="276">
        <f>SUM(AV3:AV5)</f>
        <v>1746462.5333801785</v>
      </c>
      <c r="AY7" s="267"/>
    </row>
    <row r="8" spans="1:52" x14ac:dyDescent="0.3">
      <c r="A8" s="85">
        <v>1</v>
      </c>
      <c r="D8" s="141"/>
      <c r="E8" s="512" t="s">
        <v>599</v>
      </c>
      <c r="F8" s="512" t="str">
        <f>E8</f>
        <v>UG-200994</v>
      </c>
      <c r="G8" s="1712" t="s">
        <v>752</v>
      </c>
      <c r="H8" s="141"/>
      <c r="I8" s="147"/>
      <c r="J8" s="292"/>
      <c r="K8" s="141"/>
      <c r="L8" s="324" t="s">
        <v>17</v>
      </c>
      <c r="M8" s="325" t="s">
        <v>20</v>
      </c>
      <c r="N8" s="325" t="s">
        <v>17</v>
      </c>
      <c r="O8" s="325" t="s">
        <v>20</v>
      </c>
      <c r="P8" s="325" t="s">
        <v>17</v>
      </c>
      <c r="Q8" s="326" t="s">
        <v>20</v>
      </c>
      <c r="R8" s="141"/>
      <c r="S8" s="140"/>
      <c r="T8" s="277"/>
      <c r="U8" s="277"/>
      <c r="V8" s="278"/>
      <c r="W8" s="141"/>
      <c r="X8" s="273"/>
      <c r="Y8" s="821" t="s">
        <v>121</v>
      </c>
      <c r="Z8" s="273"/>
      <c r="AA8" s="144"/>
      <c r="AB8" s="273"/>
      <c r="AC8" s="823" t="s">
        <v>393</v>
      </c>
      <c r="AD8" s="273"/>
      <c r="AE8" s="144"/>
      <c r="AF8" s="273"/>
      <c r="AG8" s="824" t="s">
        <v>394</v>
      </c>
      <c r="AH8" s="273"/>
      <c r="AI8" s="141"/>
      <c r="AK8" s="824" t="s">
        <v>367</v>
      </c>
      <c r="AM8" s="141"/>
      <c r="AN8" s="141"/>
      <c r="AP8" s="141"/>
      <c r="AQ8" s="273"/>
      <c r="AR8" s="1197" t="s">
        <v>360</v>
      </c>
      <c r="AS8" s="273"/>
      <c r="AT8" s="144"/>
      <c r="AU8" s="55" t="s">
        <v>101</v>
      </c>
      <c r="AV8" s="267"/>
      <c r="AY8" s="267"/>
    </row>
    <row r="9" spans="1:52" ht="13.5" thickBot="1" x14ac:dyDescent="0.35">
      <c r="A9" s="85">
        <f>+A8+1</f>
        <v>2</v>
      </c>
      <c r="D9" s="142"/>
      <c r="E9" s="143" t="s">
        <v>182</v>
      </c>
      <c r="F9" s="143" t="s">
        <v>182</v>
      </c>
      <c r="G9" s="143" t="s">
        <v>228</v>
      </c>
      <c r="H9" s="142"/>
      <c r="I9" s="417" t="s">
        <v>115</v>
      </c>
      <c r="J9" s="972" t="str">
        <f>E8</f>
        <v>UG-200994</v>
      </c>
      <c r="K9" s="142"/>
      <c r="L9" s="327" t="str">
        <f>I9</f>
        <v>CURRENT</v>
      </c>
      <c r="M9" s="491" t="str">
        <f>E8</f>
        <v>UG-200994</v>
      </c>
      <c r="N9" s="142" t="str">
        <f>L9</f>
        <v>CURRENT</v>
      </c>
      <c r="O9" s="491" t="str">
        <f>E8</f>
        <v>UG-200994</v>
      </c>
      <c r="P9" s="142" t="str">
        <f>L9</f>
        <v>CURRENT</v>
      </c>
      <c r="Q9" s="972" t="str">
        <f>E8</f>
        <v>UG-200994</v>
      </c>
      <c r="R9" s="142"/>
      <c r="S9" s="973" t="str">
        <f>J9</f>
        <v>UG-200994</v>
      </c>
      <c r="T9" s="974" t="str">
        <f>S9</f>
        <v>UG-200994</v>
      </c>
      <c r="U9" s="974" t="str">
        <f>T9</f>
        <v>UG-200994</v>
      </c>
      <c r="V9" s="975" t="str">
        <f>U9</f>
        <v>UG-200994</v>
      </c>
      <c r="W9" s="142"/>
      <c r="X9" s="273"/>
      <c r="Y9" s="273"/>
      <c r="Z9" s="273"/>
      <c r="AA9" s="144"/>
      <c r="AB9" s="273"/>
      <c r="AC9" s="274"/>
      <c r="AD9" s="273"/>
      <c r="AE9" s="144"/>
      <c r="AF9" s="273"/>
      <c r="AG9" s="274"/>
      <c r="AH9" s="273"/>
      <c r="AI9" s="142"/>
      <c r="AJ9" s="273"/>
      <c r="AK9" s="273"/>
      <c r="AL9" s="273"/>
      <c r="AM9" s="142"/>
      <c r="AN9" s="142"/>
      <c r="AO9" s="273"/>
      <c r="AP9" s="142"/>
      <c r="AQ9" s="273"/>
      <c r="AR9" s="274"/>
      <c r="AS9" s="273"/>
      <c r="AT9" s="144"/>
      <c r="AU9" s="596" t="s">
        <v>242</v>
      </c>
      <c r="AV9" s="267">
        <f>AS5</f>
        <v>0</v>
      </c>
      <c r="AY9" s="267"/>
    </row>
    <row r="10" spans="1:52" ht="13.5" thickBot="1" x14ac:dyDescent="0.35">
      <c r="A10" s="85">
        <f t="shared" ref="A10:A73" si="4">+A9+1</f>
        <v>3</v>
      </c>
      <c r="D10" s="144"/>
      <c r="E10" s="58" t="s">
        <v>87</v>
      </c>
      <c r="F10" s="58" t="s">
        <v>183</v>
      </c>
      <c r="G10" s="1603" t="s">
        <v>28</v>
      </c>
      <c r="H10" s="144"/>
      <c r="I10" s="417" t="s">
        <v>102</v>
      </c>
      <c r="J10" s="418" t="s">
        <v>102</v>
      </c>
      <c r="K10" s="144"/>
      <c r="L10" s="284" t="s">
        <v>80</v>
      </c>
      <c r="M10" s="419" t="s">
        <v>80</v>
      </c>
      <c r="N10" s="144" t="s">
        <v>105</v>
      </c>
      <c r="O10" s="419" t="s">
        <v>105</v>
      </c>
      <c r="P10" s="144" t="s">
        <v>106</v>
      </c>
      <c r="Q10" s="418" t="s">
        <v>106</v>
      </c>
      <c r="R10" s="144"/>
      <c r="S10" s="279" t="s">
        <v>107</v>
      </c>
      <c r="T10" s="273" t="s">
        <v>107</v>
      </c>
      <c r="U10" s="273" t="s">
        <v>116</v>
      </c>
      <c r="V10" s="280" t="s">
        <v>68</v>
      </c>
      <c r="W10" s="144"/>
      <c r="X10" s="1846" t="s">
        <v>113</v>
      </c>
      <c r="Y10" s="1847"/>
      <c r="Z10" s="1848"/>
      <c r="AA10" s="142"/>
      <c r="AB10" s="1846" t="s">
        <v>114</v>
      </c>
      <c r="AC10" s="1847"/>
      <c r="AD10" s="1848"/>
      <c r="AE10" s="142"/>
      <c r="AF10" s="1846" t="s">
        <v>184</v>
      </c>
      <c r="AG10" s="1847"/>
      <c r="AH10" s="1848"/>
      <c r="AI10" s="144"/>
      <c r="AJ10" s="1846" t="s">
        <v>104</v>
      </c>
      <c r="AK10" s="1847"/>
      <c r="AL10" s="1848"/>
      <c r="AM10" s="144"/>
      <c r="AN10" s="57" t="s">
        <v>131</v>
      </c>
      <c r="AO10" s="57" t="s">
        <v>111</v>
      </c>
      <c r="AP10" s="144"/>
      <c r="AQ10" s="1846" t="s">
        <v>114</v>
      </c>
      <c r="AR10" s="1847"/>
      <c r="AS10" s="1848"/>
      <c r="AT10" s="142"/>
      <c r="AU10" s="59" t="s">
        <v>88</v>
      </c>
      <c r="AV10" s="276">
        <f>AV7+AV9</f>
        <v>1746462.5333801785</v>
      </c>
      <c r="AY10" s="267"/>
    </row>
    <row r="11" spans="1:52" s="56" customFormat="1" ht="15" thickBot="1" x14ac:dyDescent="0.5">
      <c r="A11" s="85">
        <f t="shared" si="4"/>
        <v>4</v>
      </c>
      <c r="B11" s="146"/>
      <c r="C11" s="146"/>
      <c r="D11" s="144"/>
      <c r="E11" s="171" t="s">
        <v>95</v>
      </c>
      <c r="F11" s="171" t="s">
        <v>95</v>
      </c>
      <c r="G11" s="1095" t="s">
        <v>95</v>
      </c>
      <c r="H11" s="144"/>
      <c r="I11" s="420" t="s">
        <v>103</v>
      </c>
      <c r="J11" s="421" t="s">
        <v>103</v>
      </c>
      <c r="K11" s="144"/>
      <c r="L11" s="328" t="s">
        <v>69</v>
      </c>
      <c r="M11" s="422" t="s">
        <v>69</v>
      </c>
      <c r="N11" s="329" t="s">
        <v>69</v>
      </c>
      <c r="O11" s="422" t="s">
        <v>69</v>
      </c>
      <c r="P11" s="329" t="s">
        <v>69</v>
      </c>
      <c r="Q11" s="421" t="s">
        <v>69</v>
      </c>
      <c r="R11" s="144"/>
      <c r="S11" s="281" t="s">
        <v>108</v>
      </c>
      <c r="T11" s="282" t="s">
        <v>110</v>
      </c>
      <c r="U11" s="282" t="s">
        <v>73</v>
      </c>
      <c r="V11" s="283" t="s">
        <v>109</v>
      </c>
      <c r="W11" s="144"/>
      <c r="X11" s="284" t="s">
        <v>111</v>
      </c>
      <c r="Y11" s="144" t="s">
        <v>112</v>
      </c>
      <c r="Z11" s="269" t="s">
        <v>96</v>
      </c>
      <c r="AA11" s="57"/>
      <c r="AB11" s="284" t="s">
        <v>111</v>
      </c>
      <c r="AC11" s="144" t="s">
        <v>112</v>
      </c>
      <c r="AD11" s="269" t="s">
        <v>96</v>
      </c>
      <c r="AE11" s="57"/>
      <c r="AF11" s="284" t="s">
        <v>111</v>
      </c>
      <c r="AG11" s="144" t="s">
        <v>112</v>
      </c>
      <c r="AH11" s="269" t="s">
        <v>96</v>
      </c>
      <c r="AI11" s="144"/>
      <c r="AJ11" s="284" t="s">
        <v>111</v>
      </c>
      <c r="AK11" s="144" t="s">
        <v>112</v>
      </c>
      <c r="AL11" s="269" t="s">
        <v>96</v>
      </c>
      <c r="AM11" s="144"/>
      <c r="AN11" s="57" t="s">
        <v>27</v>
      </c>
      <c r="AO11" s="57" t="s">
        <v>27</v>
      </c>
      <c r="AP11" s="144"/>
      <c r="AQ11" s="284" t="s">
        <v>111</v>
      </c>
      <c r="AR11" s="144" t="s">
        <v>112</v>
      </c>
      <c r="AS11" s="269" t="s">
        <v>96</v>
      </c>
      <c r="AT11" s="57"/>
      <c r="AU11" s="273"/>
      <c r="AV11" s="273"/>
      <c r="AW11" s="144"/>
      <c r="AY11" s="925"/>
      <c r="AZ11" s="826"/>
    </row>
    <row r="12" spans="1:52" s="56" customFormat="1" x14ac:dyDescent="0.3">
      <c r="A12" s="85">
        <f t="shared" si="4"/>
        <v>5</v>
      </c>
      <c r="B12" s="55"/>
      <c r="C12" s="55"/>
      <c r="D12" s="57"/>
      <c r="E12" s="149"/>
      <c r="F12" s="149"/>
      <c r="G12" s="149"/>
      <c r="H12" s="57"/>
      <c r="I12" s="150"/>
      <c r="J12" s="148"/>
      <c r="K12" s="57"/>
      <c r="L12" s="330"/>
      <c r="M12" s="331"/>
      <c r="N12" s="331"/>
      <c r="O12" s="331"/>
      <c r="P12" s="331"/>
      <c r="Q12" s="332"/>
      <c r="R12" s="57"/>
      <c r="S12" s="285"/>
      <c r="T12" s="145"/>
      <c r="U12" s="145"/>
      <c r="V12" s="286"/>
      <c r="W12" s="57"/>
      <c r="X12" s="150"/>
      <c r="Z12" s="148"/>
      <c r="AB12" s="150"/>
      <c r="AD12" s="148"/>
      <c r="AF12" s="150"/>
      <c r="AH12" s="148"/>
      <c r="AI12" s="57"/>
      <c r="AJ12" s="150"/>
      <c r="AL12" s="148"/>
      <c r="AM12" s="57"/>
      <c r="AN12" s="57" t="s">
        <v>123</v>
      </c>
      <c r="AO12" s="57" t="s">
        <v>123</v>
      </c>
      <c r="AP12" s="57"/>
      <c r="AQ12" s="150"/>
      <c r="AS12" s="148"/>
      <c r="AU12" s="144"/>
      <c r="AV12" s="287">
        <f>AY12</f>
        <v>1746870</v>
      </c>
      <c r="AW12" s="288" t="s">
        <v>152</v>
      </c>
      <c r="AY12" s="267">
        <f>SUM(AY3:AY6)</f>
        <v>1746870</v>
      </c>
      <c r="AZ12" s="54"/>
    </row>
    <row r="13" spans="1:52" s="56" customFormat="1" ht="13.5" thickBot="1" x14ac:dyDescent="0.35">
      <c r="A13" s="85">
        <f t="shared" si="4"/>
        <v>6</v>
      </c>
      <c r="B13" s="755" t="s">
        <v>2</v>
      </c>
      <c r="C13" s="755" t="s">
        <v>3</v>
      </c>
      <c r="D13" s="289"/>
      <c r="E13" s="289" t="s">
        <v>35</v>
      </c>
      <c r="F13" s="289" t="s">
        <v>36</v>
      </c>
      <c r="G13" s="289" t="s">
        <v>36</v>
      </c>
      <c r="H13" s="289"/>
      <c r="I13" s="290" t="s">
        <v>13</v>
      </c>
      <c r="J13" s="291" t="s">
        <v>37</v>
      </c>
      <c r="K13" s="289"/>
      <c r="L13" s="290" t="s">
        <v>38</v>
      </c>
      <c r="M13" s="289" t="s">
        <v>39</v>
      </c>
      <c r="N13" s="289" t="s">
        <v>40</v>
      </c>
      <c r="O13" s="289" t="s">
        <v>41</v>
      </c>
      <c r="P13" s="289" t="s">
        <v>42</v>
      </c>
      <c r="Q13" s="291" t="s">
        <v>124</v>
      </c>
      <c r="R13" s="289"/>
      <c r="S13" s="290" t="s">
        <v>125</v>
      </c>
      <c r="T13" s="289" t="s">
        <v>43</v>
      </c>
      <c r="U13" s="289" t="s">
        <v>126</v>
      </c>
      <c r="V13" s="291" t="s">
        <v>127</v>
      </c>
      <c r="W13" s="57"/>
      <c r="X13" s="147" t="s">
        <v>128</v>
      </c>
      <c r="Y13" s="57" t="s">
        <v>129</v>
      </c>
      <c r="Z13" s="292" t="s">
        <v>130</v>
      </c>
      <c r="AA13" s="57"/>
      <c r="AB13" s="147" t="s">
        <v>86</v>
      </c>
      <c r="AC13" s="57" t="s">
        <v>89</v>
      </c>
      <c r="AD13" s="292" t="s">
        <v>90</v>
      </c>
      <c r="AE13" s="57"/>
      <c r="AF13" s="147" t="s">
        <v>91</v>
      </c>
      <c r="AG13" s="57" t="s">
        <v>180</v>
      </c>
      <c r="AH13" s="292" t="s">
        <v>224</v>
      </c>
      <c r="AI13" s="57"/>
      <c r="AJ13" s="147" t="s">
        <v>219</v>
      </c>
      <c r="AK13" s="57" t="s">
        <v>225</v>
      </c>
      <c r="AL13" s="292" t="s">
        <v>226</v>
      </c>
      <c r="AM13" s="57"/>
      <c r="AN13" s="57" t="s">
        <v>122</v>
      </c>
      <c r="AO13" s="57" t="s">
        <v>122</v>
      </c>
      <c r="AP13" s="57"/>
      <c r="AQ13" s="147" t="s">
        <v>91</v>
      </c>
      <c r="AR13" s="57" t="s">
        <v>180</v>
      </c>
      <c r="AS13" s="292" t="s">
        <v>224</v>
      </c>
      <c r="AT13" s="57"/>
      <c r="AV13" s="908">
        <f>AV12-AV10</f>
        <v>407.46661982149817</v>
      </c>
      <c r="AW13" s="288" t="s">
        <v>162</v>
      </c>
      <c r="AY13" s="642">
        <f>SUM(AY3)</f>
        <v>3000000</v>
      </c>
      <c r="AZ13" s="602" t="s">
        <v>256</v>
      </c>
    </row>
    <row r="14" spans="1:52" ht="13" customHeight="1" x14ac:dyDescent="0.3">
      <c r="A14" s="85">
        <f t="shared" si="4"/>
        <v>7</v>
      </c>
      <c r="B14" s="707" t="str">
        <f>'WA Volumes &amp; Revenues'!B15</f>
        <v>1R</v>
      </c>
      <c r="C14" s="707" t="s">
        <v>270</v>
      </c>
      <c r="D14" s="153"/>
      <c r="E14" s="122">
        <f>'Rates in Detail'!AC13</f>
        <v>6.1650000000000003E-2</v>
      </c>
      <c r="F14" s="122">
        <f>SUM('Rates in Detail'!AD13:AF13)</f>
        <v>-2.5819999999999999E-2</v>
      </c>
      <c r="G14" s="152"/>
      <c r="H14" s="153"/>
      <c r="I14" s="363">
        <f>'Rev Req Proof Yr2'!H14</f>
        <v>0.77856999999999998</v>
      </c>
      <c r="J14" s="757">
        <f>I14+E14</f>
        <v>0.84021999999999997</v>
      </c>
      <c r="K14" s="153"/>
      <c r="L14" s="154">
        <f>'Rev Req Proof Yr1'!K14</f>
        <v>5.5</v>
      </c>
      <c r="M14" s="155">
        <f>'Rev Req Proof Yr1'!L14</f>
        <v>5.5</v>
      </c>
      <c r="N14" s="121">
        <f>'Rev Req Proof Yr1'!M14</f>
        <v>0</v>
      </c>
      <c r="O14" s="121">
        <f>'Rev Req Proof Yr1'!N14</f>
        <v>0</v>
      </c>
      <c r="P14" s="121">
        <f>'Rev Req Proof Yr1'!O14</f>
        <v>0</v>
      </c>
      <c r="Q14" s="758">
        <f>'Rev Req Proof Yr1'!P14</f>
        <v>0</v>
      </c>
      <c r="R14" s="153"/>
      <c r="S14" s="293">
        <f>'Rev Req Proof Yr1'!R14</f>
        <v>214704.20066131229</v>
      </c>
      <c r="T14" s="294"/>
      <c r="U14" s="295">
        <f>'Rev Req Proof Yr1'!T14</f>
        <v>911</v>
      </c>
      <c r="V14" s="296">
        <f>'Rev Req Proof Yr1'!U14</f>
        <v>19.639970000000002</v>
      </c>
      <c r="W14" s="153"/>
      <c r="X14" s="297">
        <f>(I14*S14)</f>
        <v>167162.2495088779</v>
      </c>
      <c r="Y14" s="298">
        <f>(L14*U14*12)</f>
        <v>60126</v>
      </c>
      <c r="Z14" s="299">
        <f t="shared" ref="Z14:Z21" si="5">(T14*(N14+P14))*12</f>
        <v>0</v>
      </c>
      <c r="AA14" s="300"/>
      <c r="AB14" s="297">
        <f>(J14*S14)</f>
        <v>180398.76347964781</v>
      </c>
      <c r="AC14" s="298">
        <f>(M14*U14*12)</f>
        <v>60126</v>
      </c>
      <c r="AD14" s="299">
        <f t="shared" ref="AD14:AD21" si="6">(T14*(O14+Q14))*12</f>
        <v>0</v>
      </c>
      <c r="AE14" s="300"/>
      <c r="AF14" s="297">
        <f>(F14*S14)</f>
        <v>-5543.6624610750832</v>
      </c>
      <c r="AG14" s="298">
        <v>0</v>
      </c>
      <c r="AH14" s="299">
        <v>0</v>
      </c>
      <c r="AI14" s="300"/>
      <c r="AJ14" s="297">
        <f t="shared" ref="AJ14:AJ21" si="7">AB14-X14+AF14</f>
        <v>7692.8515096948295</v>
      </c>
      <c r="AK14" s="298">
        <f t="shared" ref="AK14:AL21" si="8">AC14-Y14-AG14</f>
        <v>0</v>
      </c>
      <c r="AL14" s="299">
        <f t="shared" si="8"/>
        <v>0</v>
      </c>
      <c r="AM14" s="300"/>
      <c r="AN14" s="333"/>
      <c r="AO14" s="334"/>
      <c r="AP14" s="300"/>
      <c r="AQ14" s="297">
        <f t="shared" ref="AQ14:AQ21" si="9">(G14*S14)</f>
        <v>0</v>
      </c>
      <c r="AR14" s="298">
        <v>0</v>
      </c>
      <c r="AS14" s="299">
        <v>0</v>
      </c>
      <c r="AT14" s="300"/>
      <c r="AU14" s="1855"/>
      <c r="AV14" s="1855"/>
      <c r="AW14" s="1855"/>
      <c r="AY14" s="643"/>
      <c r="AZ14" s="138"/>
    </row>
    <row r="15" spans="1:52" x14ac:dyDescent="0.3">
      <c r="A15" s="85">
        <f t="shared" si="4"/>
        <v>8</v>
      </c>
      <c r="B15" s="707" t="str">
        <f>'WA Volumes &amp; Revenues'!B16</f>
        <v>1C</v>
      </c>
      <c r="C15" s="707" t="s">
        <v>270</v>
      </c>
      <c r="D15" s="156"/>
      <c r="E15" s="122">
        <f>'Rates in Detail'!AC14</f>
        <v>5.126E-2</v>
      </c>
      <c r="F15" s="122">
        <f>SUM('Rates in Detail'!AD14:AF14)</f>
        <v>-2.147E-2</v>
      </c>
      <c r="G15" s="152"/>
      <c r="H15" s="156"/>
      <c r="I15" s="363">
        <f>'Rev Req Proof Yr2'!H15</f>
        <v>0.81633999999999995</v>
      </c>
      <c r="J15" s="757">
        <f t="shared" ref="J15:J78" si="10">I15+E15</f>
        <v>0.86759999999999993</v>
      </c>
      <c r="K15" s="156"/>
      <c r="L15" s="154">
        <f>'Rev Req Proof Yr1'!K15</f>
        <v>7</v>
      </c>
      <c r="M15" s="155">
        <f>'Rev Req Proof Yr1'!L15</f>
        <v>7</v>
      </c>
      <c r="N15" s="121">
        <f>'Rev Req Proof Yr1'!M15</f>
        <v>0</v>
      </c>
      <c r="O15" s="121">
        <f>'Rev Req Proof Yr1'!N15</f>
        <v>0</v>
      </c>
      <c r="P15" s="121">
        <f>'Rev Req Proof Yr1'!O15</f>
        <v>0</v>
      </c>
      <c r="Q15" s="758">
        <f>'Rev Req Proof Yr1'!P15</f>
        <v>0</v>
      </c>
      <c r="R15" s="156"/>
      <c r="S15" s="293">
        <f>'Rev Req Proof Yr1'!R15</f>
        <v>46539.057144390383</v>
      </c>
      <c r="T15" s="294"/>
      <c r="U15" s="295">
        <f>'Rev Req Proof Yr1'!T15</f>
        <v>34</v>
      </c>
      <c r="V15" s="296">
        <f>'Rev Req Proof Yr1'!U15</f>
        <v>114.06632</v>
      </c>
      <c r="W15" s="156"/>
      <c r="X15" s="301">
        <f t="shared" ref="X15:X21" si="11">(I15*S15)</f>
        <v>37991.69390925164</v>
      </c>
      <c r="Y15" s="302">
        <f t="shared" ref="Y15:Y21" si="12">(L15*U15*12)</f>
        <v>2856</v>
      </c>
      <c r="Z15" s="303">
        <f t="shared" si="5"/>
        <v>0</v>
      </c>
      <c r="AA15" s="304"/>
      <c r="AB15" s="301">
        <f t="shared" ref="AB15" si="13">(J15*S15)</f>
        <v>40377.28597847309</v>
      </c>
      <c r="AC15" s="302">
        <f t="shared" ref="AC15:AC16" si="14">(M15*U15*12)</f>
        <v>2856</v>
      </c>
      <c r="AD15" s="303">
        <f t="shared" si="6"/>
        <v>0</v>
      </c>
      <c r="AE15" s="304"/>
      <c r="AF15" s="301">
        <f t="shared" ref="AF15" si="15">(F15*S15)</f>
        <v>-999.19355689006147</v>
      </c>
      <c r="AG15" s="302">
        <v>0</v>
      </c>
      <c r="AH15" s="303">
        <v>0</v>
      </c>
      <c r="AI15" s="304"/>
      <c r="AJ15" s="301">
        <f t="shared" si="7"/>
        <v>1386.398512331388</v>
      </c>
      <c r="AK15" s="302">
        <f t="shared" si="8"/>
        <v>0</v>
      </c>
      <c r="AL15" s="303">
        <f t="shared" si="8"/>
        <v>0</v>
      </c>
      <c r="AM15" s="304"/>
      <c r="AN15" s="333"/>
      <c r="AO15" s="334"/>
      <c r="AP15" s="304"/>
      <c r="AQ15" s="301">
        <f t="shared" si="9"/>
        <v>0</v>
      </c>
      <c r="AR15" s="302">
        <v>0</v>
      </c>
      <c r="AS15" s="303">
        <v>0</v>
      </c>
      <c r="AT15" s="304"/>
      <c r="AU15" s="305"/>
      <c r="AV15" s="305"/>
      <c r="AW15" s="304"/>
    </row>
    <row r="16" spans="1:52" x14ac:dyDescent="0.3">
      <c r="A16" s="85">
        <f t="shared" si="4"/>
        <v>9</v>
      </c>
      <c r="B16" s="707" t="str">
        <f>'WA Volumes &amp; Revenues'!B17</f>
        <v>2R</v>
      </c>
      <c r="C16" s="707" t="s">
        <v>270</v>
      </c>
      <c r="D16" s="156"/>
      <c r="E16" s="122">
        <f>'Rates in Detail'!AC15</f>
        <v>3.9019999999999999E-2</v>
      </c>
      <c r="F16" s="122">
        <f>SUM('Rates in Detail'!AD15:AF15)</f>
        <v>-1.635E-2</v>
      </c>
      <c r="G16" s="158"/>
      <c r="H16" s="156"/>
      <c r="I16" s="363">
        <f>'Rev Req Proof Yr2'!H16</f>
        <v>0.52273999999999998</v>
      </c>
      <c r="J16" s="757">
        <f t="shared" si="10"/>
        <v>0.56176000000000004</v>
      </c>
      <c r="K16" s="156"/>
      <c r="L16" s="154">
        <f>'Rev Req Proof Yr1'!K16</f>
        <v>8</v>
      </c>
      <c r="M16" s="155">
        <f>'Rev Req Proof Yr1'!L16</f>
        <v>8</v>
      </c>
      <c r="N16" s="121">
        <f>'Rev Req Proof Yr1'!M16</f>
        <v>0</v>
      </c>
      <c r="O16" s="121">
        <f>'Rev Req Proof Yr1'!N16</f>
        <v>0</v>
      </c>
      <c r="P16" s="121">
        <f>'Rev Req Proof Yr1'!O16</f>
        <v>0</v>
      </c>
      <c r="Q16" s="758">
        <f>'Rev Req Proof Yr1'!P16</f>
        <v>0</v>
      </c>
      <c r="R16" s="156"/>
      <c r="S16" s="293">
        <f>'Rev Req Proof Yr1'!R16</f>
        <v>54953515.785084128</v>
      </c>
      <c r="T16" s="294"/>
      <c r="U16" s="295">
        <f>'Rev Req Proof Yr1'!T16</f>
        <v>81119</v>
      </c>
      <c r="V16" s="296">
        <f>'Rev Req Proof Yr1'!U16</f>
        <v>56.453600000000002</v>
      </c>
      <c r="W16" s="156"/>
      <c r="X16" s="301">
        <f>(I16*S16)</f>
        <v>28726400.841494877</v>
      </c>
      <c r="Y16" s="302">
        <f t="shared" si="12"/>
        <v>7787424</v>
      </c>
      <c r="Z16" s="303">
        <f t="shared" si="5"/>
        <v>0</v>
      </c>
      <c r="AA16" s="304"/>
      <c r="AB16" s="301">
        <f>(J16*S16)</f>
        <v>30870687.027428862</v>
      </c>
      <c r="AC16" s="302">
        <f t="shared" si="14"/>
        <v>7787424</v>
      </c>
      <c r="AD16" s="303">
        <f t="shared" si="6"/>
        <v>0</v>
      </c>
      <c r="AE16" s="304"/>
      <c r="AF16" s="301">
        <f>(F16*S16)</f>
        <v>-898489.98308612546</v>
      </c>
      <c r="AG16" s="302">
        <v>0</v>
      </c>
      <c r="AH16" s="303">
        <v>0</v>
      </c>
      <c r="AI16" s="304"/>
      <c r="AJ16" s="301">
        <f>AB16-X16+AF16</f>
        <v>1245796.2028478594</v>
      </c>
      <c r="AK16" s="302">
        <f t="shared" si="8"/>
        <v>0</v>
      </c>
      <c r="AL16" s="303">
        <f t="shared" si="8"/>
        <v>0</v>
      </c>
      <c r="AM16" s="304"/>
      <c r="AN16" s="333">
        <f>SUM(AJ16:AL16)/SUM(X16:Z16)</f>
        <v>3.4118480007389346E-2</v>
      </c>
      <c r="AO16" s="334">
        <f t="shared" ref="AO16:AO41" si="16">SUM(AJ16)/SUM(X16)</f>
        <v>4.3367639744423689E-2</v>
      </c>
      <c r="AP16" s="304"/>
      <c r="AQ16" s="301">
        <f t="shared" si="9"/>
        <v>0</v>
      </c>
      <c r="AR16" s="302">
        <v>0</v>
      </c>
      <c r="AS16" s="303">
        <v>0</v>
      </c>
      <c r="AT16" s="304"/>
      <c r="AU16" s="305"/>
      <c r="AV16" s="597"/>
      <c r="AW16" s="304"/>
    </row>
    <row r="17" spans="1:52" x14ac:dyDescent="0.3">
      <c r="A17" s="85">
        <f t="shared" si="4"/>
        <v>10</v>
      </c>
      <c r="B17" s="707" t="str">
        <f>'WA Volumes &amp; Revenues'!B18</f>
        <v>3 CFS</v>
      </c>
      <c r="C17" s="707" t="s">
        <v>270</v>
      </c>
      <c r="D17" s="156"/>
      <c r="E17" s="122">
        <f>'Rates in Detail'!AC16</f>
        <v>3.5029999999999999E-2</v>
      </c>
      <c r="F17" s="122">
        <f>SUM('Rates in Detail'!AD16:AF16)</f>
        <v>-1.4670000000000001E-2</v>
      </c>
      <c r="G17" s="158"/>
      <c r="H17" s="156"/>
      <c r="I17" s="363">
        <f>'Rev Req Proof Yr2'!H17</f>
        <v>0.50166999999999995</v>
      </c>
      <c r="J17" s="757">
        <f t="shared" si="10"/>
        <v>0.53669999999999995</v>
      </c>
      <c r="K17" s="156"/>
      <c r="L17" s="154">
        <f>'Rev Req Proof Yr1'!K17</f>
        <v>22</v>
      </c>
      <c r="M17" s="155">
        <f>'Rev Req Proof Yr1'!L17</f>
        <v>22</v>
      </c>
      <c r="N17" s="121">
        <f>'Rev Req Proof Yr1'!M17</f>
        <v>0</v>
      </c>
      <c r="O17" s="121">
        <f>'Rev Req Proof Yr1'!N17</f>
        <v>0</v>
      </c>
      <c r="P17" s="121">
        <f>'Rev Req Proof Yr1'!O17</f>
        <v>0</v>
      </c>
      <c r="Q17" s="758">
        <f>'Rev Req Proof Yr1'!P17</f>
        <v>0</v>
      </c>
      <c r="R17" s="156"/>
      <c r="S17" s="293">
        <f>'Rev Req Proof Yr1'!R17</f>
        <v>17867210.60654201</v>
      </c>
      <c r="T17" s="294"/>
      <c r="U17" s="295">
        <f>'Rev Req Proof Yr1'!T17</f>
        <v>6318</v>
      </c>
      <c r="V17" s="296">
        <f>'Rev Req Proof Yr1'!U17</f>
        <v>235.66542999999999</v>
      </c>
      <c r="W17" s="156"/>
      <c r="X17" s="301">
        <f t="shared" si="11"/>
        <v>8963443.544983929</v>
      </c>
      <c r="Y17" s="302">
        <f t="shared" si="12"/>
        <v>1667952</v>
      </c>
      <c r="Z17" s="303">
        <f t="shared" si="5"/>
        <v>0</v>
      </c>
      <c r="AA17" s="304"/>
      <c r="AB17" s="301">
        <f t="shared" ref="AB17:AB21" si="17">(J17*S17)</f>
        <v>9589331.932531096</v>
      </c>
      <c r="AC17" s="302">
        <f>(M17*U17*12)</f>
        <v>1667952</v>
      </c>
      <c r="AD17" s="303">
        <f t="shared" si="6"/>
        <v>0</v>
      </c>
      <c r="AE17" s="304"/>
      <c r="AF17" s="301">
        <f t="shared" ref="AF17:AF21" si="18">(F17*S17)</f>
        <v>-262111.97959797131</v>
      </c>
      <c r="AG17" s="302">
        <v>0</v>
      </c>
      <c r="AH17" s="303">
        <v>0</v>
      </c>
      <c r="AI17" s="304"/>
      <c r="AJ17" s="301">
        <f t="shared" si="7"/>
        <v>363776.40794919571</v>
      </c>
      <c r="AK17" s="302">
        <f t="shared" si="8"/>
        <v>0</v>
      </c>
      <c r="AL17" s="303">
        <f t="shared" si="8"/>
        <v>0</v>
      </c>
      <c r="AM17" s="304"/>
      <c r="AN17" s="333">
        <f>SUM(AJ17:AL17)/SUM(X17:Z17)</f>
        <v>3.4217183097926547E-2</v>
      </c>
      <c r="AO17" s="334">
        <f t="shared" si="16"/>
        <v>4.0584447943867528E-2</v>
      </c>
      <c r="AP17" s="304"/>
      <c r="AQ17" s="301">
        <f t="shared" si="9"/>
        <v>0</v>
      </c>
      <c r="AR17" s="302">
        <v>0</v>
      </c>
      <c r="AS17" s="303">
        <v>0</v>
      </c>
      <c r="AT17" s="304"/>
      <c r="AU17" s="305"/>
      <c r="AV17" s="305"/>
      <c r="AW17" s="304"/>
      <c r="AX17" s="644"/>
      <c r="AY17" s="468"/>
    </row>
    <row r="18" spans="1:52" x14ac:dyDescent="0.3">
      <c r="A18" s="85">
        <f t="shared" si="4"/>
        <v>11</v>
      </c>
      <c r="B18" s="707" t="str">
        <f>'WA Volumes &amp; Revenues'!B19</f>
        <v>3 IFS</v>
      </c>
      <c r="C18" s="707" t="s">
        <v>270</v>
      </c>
      <c r="D18" s="156"/>
      <c r="E18" s="122">
        <f>'Rates in Detail'!AC17</f>
        <v>3.1730000000000001E-2</v>
      </c>
      <c r="F18" s="122">
        <f>SUM('Rates in Detail'!AD17:AF17)</f>
        <v>-4.9100000000000003E-3</v>
      </c>
      <c r="G18" s="158"/>
      <c r="H18" s="156"/>
      <c r="I18" s="363">
        <f>'Rev Req Proof Yr2'!H18</f>
        <v>0.51500999999999997</v>
      </c>
      <c r="J18" s="757">
        <f t="shared" si="10"/>
        <v>0.54674</v>
      </c>
      <c r="K18" s="156"/>
      <c r="L18" s="154">
        <f>'Rev Req Proof Yr1'!K18</f>
        <v>22</v>
      </c>
      <c r="M18" s="155">
        <f>'Rev Req Proof Yr1'!L18</f>
        <v>22</v>
      </c>
      <c r="N18" s="121">
        <f>'Rev Req Proof Yr1'!M18</f>
        <v>0</v>
      </c>
      <c r="O18" s="121">
        <f>'Rev Req Proof Yr1'!N18</f>
        <v>0</v>
      </c>
      <c r="P18" s="121">
        <f>'Rev Req Proof Yr1'!O18</f>
        <v>0</v>
      </c>
      <c r="Q18" s="758">
        <f>'Rev Req Proof Yr1'!P18</f>
        <v>0</v>
      </c>
      <c r="R18" s="156"/>
      <c r="S18" s="293">
        <f>'Rev Req Proof Yr1'!R18</f>
        <v>283651.99999999994</v>
      </c>
      <c r="T18" s="294"/>
      <c r="U18" s="295">
        <f>'Rev Req Proof Yr1'!T18</f>
        <v>24.25</v>
      </c>
      <c r="V18" s="296">
        <f>'Rev Req Proof Yr1'!U18</f>
        <v>974.74914000000001</v>
      </c>
      <c r="W18" s="156"/>
      <c r="X18" s="301">
        <f t="shared" si="11"/>
        <v>146083.61651999995</v>
      </c>
      <c r="Y18" s="302">
        <f t="shared" si="12"/>
        <v>6402</v>
      </c>
      <c r="Z18" s="303">
        <f t="shared" si="5"/>
        <v>0</v>
      </c>
      <c r="AA18" s="304"/>
      <c r="AB18" s="301">
        <f t="shared" si="17"/>
        <v>155083.89447999996</v>
      </c>
      <c r="AC18" s="302">
        <f t="shared" ref="AC18:AC21" si="19">(M18*U18*12)</f>
        <v>6402</v>
      </c>
      <c r="AD18" s="303">
        <f t="shared" si="6"/>
        <v>0</v>
      </c>
      <c r="AE18" s="304"/>
      <c r="AF18" s="301">
        <f t="shared" si="18"/>
        <v>-1392.7313199999999</v>
      </c>
      <c r="AG18" s="302">
        <v>0</v>
      </c>
      <c r="AH18" s="303">
        <v>0</v>
      </c>
      <c r="AI18" s="304"/>
      <c r="AJ18" s="301">
        <f t="shared" si="7"/>
        <v>7607.5466400000068</v>
      </c>
      <c r="AK18" s="302">
        <f t="shared" si="8"/>
        <v>0</v>
      </c>
      <c r="AL18" s="303">
        <f t="shared" si="8"/>
        <v>0</v>
      </c>
      <c r="AM18" s="304"/>
      <c r="AN18" s="333">
        <f>SUM(AJ18:AL18)/SUM(X18:Z18)</f>
        <v>4.9890257282084072E-2</v>
      </c>
      <c r="AO18" s="334">
        <f t="shared" si="16"/>
        <v>5.2076658705656267E-2</v>
      </c>
      <c r="AP18" s="304"/>
      <c r="AQ18" s="301">
        <f t="shared" si="9"/>
        <v>0</v>
      </c>
      <c r="AR18" s="302">
        <v>0</v>
      </c>
      <c r="AS18" s="303">
        <v>0</v>
      </c>
      <c r="AT18" s="304"/>
      <c r="AU18" s="305"/>
      <c r="AV18" s="305"/>
      <c r="AW18" s="304"/>
      <c r="AX18" s="644"/>
      <c r="AY18" s="468"/>
      <c r="AZ18" s="265"/>
    </row>
    <row r="19" spans="1:52" x14ac:dyDescent="0.3">
      <c r="A19" s="85">
        <f t="shared" si="4"/>
        <v>12</v>
      </c>
      <c r="B19" s="707" t="str">
        <f>'WA Volumes &amp; Revenues'!B20</f>
        <v>27R</v>
      </c>
      <c r="C19" s="707" t="s">
        <v>270</v>
      </c>
      <c r="D19" s="156"/>
      <c r="E19" s="122">
        <f>'Rates in Detail'!AC18</f>
        <v>2.777E-2</v>
      </c>
      <c r="F19" s="122">
        <f>SUM('Rates in Detail'!AD18:AF18)</f>
        <v>-1.163E-2</v>
      </c>
      <c r="G19" s="158"/>
      <c r="H19" s="156"/>
      <c r="I19" s="363">
        <f>'Rev Req Proof Yr2'!H19</f>
        <v>0.28683999999999998</v>
      </c>
      <c r="J19" s="757">
        <f t="shared" si="10"/>
        <v>0.31461</v>
      </c>
      <c r="K19" s="156"/>
      <c r="L19" s="154">
        <f>'Rev Req Proof Yr1'!K19</f>
        <v>9</v>
      </c>
      <c r="M19" s="583">
        <f>'Rev Req Proof Yr1'!L19</f>
        <v>9</v>
      </c>
      <c r="N19" s="121">
        <f>'Rev Req Proof Yr1'!M19</f>
        <v>0</v>
      </c>
      <c r="O19" s="121">
        <f>'Rev Req Proof Yr1'!N19</f>
        <v>0</v>
      </c>
      <c r="P19" s="121">
        <f>'Rev Req Proof Yr1'!O19</f>
        <v>0</v>
      </c>
      <c r="Q19" s="758">
        <f>'Rev Req Proof Yr1'!P19</f>
        <v>0</v>
      </c>
      <c r="R19" s="156"/>
      <c r="S19" s="293">
        <f>'Rev Req Proof Yr1'!R19</f>
        <v>461371.76933137607</v>
      </c>
      <c r="T19" s="294"/>
      <c r="U19" s="295">
        <f>'Rev Req Proof Yr1'!T19</f>
        <v>776</v>
      </c>
      <c r="V19" s="296">
        <f>'Rev Req Proof Yr1'!U19</f>
        <v>49.545940000000002</v>
      </c>
      <c r="W19" s="156"/>
      <c r="X19" s="301">
        <f t="shared" si="11"/>
        <v>132339.87831501191</v>
      </c>
      <c r="Y19" s="302">
        <f t="shared" si="12"/>
        <v>83808</v>
      </c>
      <c r="Z19" s="303">
        <f t="shared" si="5"/>
        <v>0</v>
      </c>
      <c r="AA19" s="304"/>
      <c r="AB19" s="301">
        <f t="shared" si="17"/>
        <v>145152.17234934421</v>
      </c>
      <c r="AC19" s="302">
        <f t="shared" si="19"/>
        <v>83808</v>
      </c>
      <c r="AD19" s="303">
        <f t="shared" si="6"/>
        <v>0</v>
      </c>
      <c r="AE19" s="304"/>
      <c r="AF19" s="301">
        <f t="shared" si="18"/>
        <v>-5365.7536773239035</v>
      </c>
      <c r="AG19" s="302">
        <v>0</v>
      </c>
      <c r="AH19" s="303">
        <v>0</v>
      </c>
      <c r="AI19" s="304"/>
      <c r="AJ19" s="301">
        <f t="shared" si="7"/>
        <v>7446.5403570083954</v>
      </c>
      <c r="AK19" s="302">
        <f t="shared" si="8"/>
        <v>0</v>
      </c>
      <c r="AL19" s="303">
        <f t="shared" si="8"/>
        <v>0</v>
      </c>
      <c r="AM19" s="304"/>
      <c r="AN19" s="333">
        <f>SUM(AJ19:AL19)/SUM(X19:Z19)</f>
        <v>3.4451137874024727E-2</v>
      </c>
      <c r="AO19" s="334">
        <f t="shared" si="16"/>
        <v>5.6268302886626584E-2</v>
      </c>
      <c r="AP19" s="304"/>
      <c r="AQ19" s="301">
        <f t="shared" si="9"/>
        <v>0</v>
      </c>
      <c r="AR19" s="302">
        <v>0</v>
      </c>
      <c r="AS19" s="303">
        <v>0</v>
      </c>
      <c r="AT19" s="304"/>
      <c r="AU19" s="305"/>
      <c r="AV19" s="305"/>
      <c r="AW19" s="304"/>
      <c r="AX19" s="644"/>
      <c r="AY19" s="468"/>
    </row>
    <row r="20" spans="1:52" x14ac:dyDescent="0.3">
      <c r="A20" s="85">
        <f t="shared" si="4"/>
        <v>13</v>
      </c>
      <c r="B20" s="717" t="str">
        <f>'WA Volumes &amp; Revenues'!B21</f>
        <v>41C Firm Sales</v>
      </c>
      <c r="C20" s="710" t="s">
        <v>4</v>
      </c>
      <c r="D20" s="156"/>
      <c r="E20" s="121">
        <f>'Rates in Detail'!AC19</f>
        <v>2.7820000000000001E-2</v>
      </c>
      <c r="F20" s="121">
        <f>SUM('Rates in Detail'!AD19:AF19)</f>
        <v>-1.1650000000000001E-2</v>
      </c>
      <c r="G20" s="156"/>
      <c r="H20" s="156"/>
      <c r="I20" s="368">
        <f>'Rev Req Proof Yr2'!H20</f>
        <v>0.39079000000000003</v>
      </c>
      <c r="J20" s="758">
        <f t="shared" si="10"/>
        <v>0.41861000000000004</v>
      </c>
      <c r="K20" s="156"/>
      <c r="L20" s="154">
        <f>'Rev Req Proof Yr1'!K20</f>
        <v>250</v>
      </c>
      <c r="M20" s="155">
        <f>'Rev Req Proof Yr1'!L20</f>
        <v>250</v>
      </c>
      <c r="N20" s="121">
        <f>'Rev Req Proof Yr1'!M20</f>
        <v>0</v>
      </c>
      <c r="O20" s="121">
        <f>'Rev Req Proof Yr1'!N20</f>
        <v>0</v>
      </c>
      <c r="P20" s="121">
        <f>'Rev Req Proof Yr1'!O20</f>
        <v>0</v>
      </c>
      <c r="Q20" s="758">
        <f>'Rev Req Proof Yr1'!P20</f>
        <v>0</v>
      </c>
      <c r="R20" s="156"/>
      <c r="S20" s="293">
        <f>'Rev Req Proof Yr1'!R20</f>
        <v>1777065.1510316674</v>
      </c>
      <c r="T20" s="294"/>
      <c r="U20" s="295">
        <f>'Rev Req Proof Yr1'!T20</f>
        <v>91</v>
      </c>
      <c r="V20" s="296">
        <f>'Rev Req Proof Yr1'!U20</f>
        <v>3436</v>
      </c>
      <c r="W20" s="156"/>
      <c r="X20" s="308">
        <f t="shared" si="11"/>
        <v>694459.29037166538</v>
      </c>
      <c r="Y20" s="304">
        <f t="shared" si="12"/>
        <v>273000</v>
      </c>
      <c r="Z20" s="309">
        <f t="shared" si="5"/>
        <v>0</v>
      </c>
      <c r="AA20" s="304"/>
      <c r="AB20" s="308">
        <f t="shared" si="17"/>
        <v>743897.24287336634</v>
      </c>
      <c r="AC20" s="304">
        <f t="shared" si="19"/>
        <v>273000</v>
      </c>
      <c r="AD20" s="309">
        <f t="shared" si="6"/>
        <v>0</v>
      </c>
      <c r="AE20" s="304"/>
      <c r="AF20" s="308">
        <f t="shared" si="18"/>
        <v>-20702.809009518925</v>
      </c>
      <c r="AG20" s="304">
        <v>0</v>
      </c>
      <c r="AH20" s="309">
        <v>0</v>
      </c>
      <c r="AI20" s="304"/>
      <c r="AJ20" s="308">
        <f t="shared" si="7"/>
        <v>28735.143492182033</v>
      </c>
      <c r="AK20" s="304">
        <f t="shared" si="8"/>
        <v>0</v>
      </c>
      <c r="AL20" s="309">
        <f t="shared" si="8"/>
        <v>0</v>
      </c>
      <c r="AM20" s="304"/>
      <c r="AN20" s="333"/>
      <c r="AO20" s="335">
        <f t="shared" si="16"/>
        <v>4.1377722050205949E-2</v>
      </c>
      <c r="AP20" s="304"/>
      <c r="AQ20" s="308">
        <f t="shared" si="9"/>
        <v>0</v>
      </c>
      <c r="AR20" s="304">
        <v>0</v>
      </c>
      <c r="AS20" s="309">
        <v>0</v>
      </c>
      <c r="AT20" s="304"/>
      <c r="AU20" s="305"/>
      <c r="AV20" s="305"/>
      <c r="AW20" s="304"/>
      <c r="AX20" s="644"/>
      <c r="AY20" s="468"/>
    </row>
    <row r="21" spans="1:52" x14ac:dyDescent="0.3">
      <c r="A21" s="85">
        <f t="shared" si="4"/>
        <v>14</v>
      </c>
      <c r="B21" s="709"/>
      <c r="C21" s="710" t="s">
        <v>5</v>
      </c>
      <c r="D21" s="156"/>
      <c r="E21" s="121">
        <f>'Rates in Detail'!AC20</f>
        <v>2.4510000000000001E-2</v>
      </c>
      <c r="F21" s="121">
        <f>SUM('Rates in Detail'!AD20:AF20)</f>
        <v>-1.027E-2</v>
      </c>
      <c r="G21" s="156"/>
      <c r="H21" s="156"/>
      <c r="I21" s="368">
        <f>'Rev Req Proof Yr2'!H21</f>
        <v>0.34434999999999999</v>
      </c>
      <c r="J21" s="758">
        <f t="shared" si="10"/>
        <v>0.36885999999999997</v>
      </c>
      <c r="K21" s="156"/>
      <c r="L21" s="154"/>
      <c r="M21" s="155"/>
      <c r="N21" s="121"/>
      <c r="O21" s="121"/>
      <c r="P21" s="121"/>
      <c r="Q21" s="758"/>
      <c r="R21" s="156"/>
      <c r="S21" s="293">
        <f>'Rev Req Proof Yr1'!R21</f>
        <v>1974656.4658023661</v>
      </c>
      <c r="T21" s="294"/>
      <c r="U21" s="295">
        <f>'Rev Req Proof Yr1'!T21</f>
        <v>0</v>
      </c>
      <c r="V21" s="296">
        <f>'Rev Req Proof Yr1'!U21</f>
        <v>0</v>
      </c>
      <c r="W21" s="156"/>
      <c r="X21" s="308">
        <f t="shared" si="11"/>
        <v>679972.95399904472</v>
      </c>
      <c r="Y21" s="304">
        <f t="shared" si="12"/>
        <v>0</v>
      </c>
      <c r="Z21" s="309">
        <f t="shared" si="5"/>
        <v>0</v>
      </c>
      <c r="AA21" s="304"/>
      <c r="AB21" s="308">
        <f t="shared" si="17"/>
        <v>728371.78397586069</v>
      </c>
      <c r="AC21" s="304">
        <f t="shared" si="19"/>
        <v>0</v>
      </c>
      <c r="AD21" s="309">
        <f t="shared" si="6"/>
        <v>0</v>
      </c>
      <c r="AE21" s="304"/>
      <c r="AF21" s="308">
        <f t="shared" si="18"/>
        <v>-20279.721903790298</v>
      </c>
      <c r="AG21" s="304">
        <v>0</v>
      </c>
      <c r="AH21" s="309">
        <v>0</v>
      </c>
      <c r="AI21" s="304"/>
      <c r="AJ21" s="308">
        <f t="shared" si="7"/>
        <v>28119.108073025665</v>
      </c>
      <c r="AK21" s="304">
        <f t="shared" si="8"/>
        <v>0</v>
      </c>
      <c r="AL21" s="309">
        <f t="shared" si="8"/>
        <v>0</v>
      </c>
      <c r="AM21" s="304"/>
      <c r="AN21" s="333"/>
      <c r="AO21" s="335">
        <f t="shared" si="16"/>
        <v>4.1353274284884528E-2</v>
      </c>
      <c r="AP21" s="304"/>
      <c r="AQ21" s="308">
        <f t="shared" si="9"/>
        <v>0</v>
      </c>
      <c r="AR21" s="304">
        <v>0</v>
      </c>
      <c r="AS21" s="309">
        <v>0</v>
      </c>
      <c r="AT21" s="304"/>
      <c r="AU21" s="305"/>
      <c r="AV21" s="305"/>
      <c r="AW21" s="304"/>
      <c r="AX21" s="644"/>
      <c r="AY21" s="468"/>
    </row>
    <row r="22" spans="1:52" x14ac:dyDescent="0.3">
      <c r="A22" s="85">
        <f t="shared" si="4"/>
        <v>15</v>
      </c>
      <c r="B22" s="707"/>
      <c r="C22" s="726" t="s">
        <v>76</v>
      </c>
      <c r="D22" s="152"/>
      <c r="E22" s="122"/>
      <c r="F22" s="122"/>
      <c r="G22" s="152"/>
      <c r="H22" s="152"/>
      <c r="I22" s="363"/>
      <c r="J22" s="757"/>
      <c r="K22" s="156"/>
      <c r="L22" s="154"/>
      <c r="M22" s="155"/>
      <c r="N22" s="121"/>
      <c r="O22" s="121"/>
      <c r="P22" s="121"/>
      <c r="Q22" s="758"/>
      <c r="R22" s="156"/>
      <c r="S22" s="293"/>
      <c r="T22" s="294"/>
      <c r="U22" s="295"/>
      <c r="V22" s="296"/>
      <c r="W22" s="156"/>
      <c r="X22" s="310">
        <f>SUM(X20:X21)</f>
        <v>1374432.2443707101</v>
      </c>
      <c r="Y22" s="311">
        <f>SUM(Y20:Y21)</f>
        <v>273000</v>
      </c>
      <c r="Z22" s="312">
        <f t="shared" ref="Z22" si="20">SUM(Z20:Z21)</f>
        <v>0</v>
      </c>
      <c r="AA22" s="304"/>
      <c r="AB22" s="310">
        <f>SUM(AB20:AB21)</f>
        <v>1472269.026849227</v>
      </c>
      <c r="AC22" s="311">
        <f t="shared" ref="AC22:AD22" si="21">SUM(AC20:AC21)</f>
        <v>273000</v>
      </c>
      <c r="AD22" s="312">
        <f t="shared" si="21"/>
        <v>0</v>
      </c>
      <c r="AE22" s="304"/>
      <c r="AF22" s="310">
        <f>SUM(AF20:AF21)</f>
        <v>-40982.530913309223</v>
      </c>
      <c r="AG22" s="311">
        <f t="shared" ref="AG22:AH22" si="22">SUM(AG20:AG21)</f>
        <v>0</v>
      </c>
      <c r="AH22" s="312">
        <f t="shared" si="22"/>
        <v>0</v>
      </c>
      <c r="AI22" s="304"/>
      <c r="AJ22" s="310">
        <f>SUM(AJ20:AJ21)</f>
        <v>56854.251565207698</v>
      </c>
      <c r="AK22" s="311">
        <f t="shared" ref="AK22:AL22" si="23">SUM(AK20:AK21)</f>
        <v>0</v>
      </c>
      <c r="AL22" s="312">
        <f t="shared" si="23"/>
        <v>0</v>
      </c>
      <c r="AM22" s="304"/>
      <c r="AN22" s="333">
        <f>SUM(AJ22:AL22)/SUM(X22:Z22)</f>
        <v>3.451082844801609E-2</v>
      </c>
      <c r="AO22" s="334">
        <f t="shared" si="16"/>
        <v>4.1365627005672201E-2</v>
      </c>
      <c r="AP22" s="304"/>
      <c r="AQ22" s="310">
        <f>SUM(AQ20:AQ21)</f>
        <v>0</v>
      </c>
      <c r="AR22" s="311">
        <f t="shared" ref="AR22:AS22" si="24">SUM(AR20:AR21)</f>
        <v>0</v>
      </c>
      <c r="AS22" s="312">
        <f t="shared" si="24"/>
        <v>0</v>
      </c>
      <c r="AT22" s="304"/>
      <c r="AU22" s="305"/>
      <c r="AV22" s="305"/>
      <c r="AW22" s="323"/>
      <c r="AX22" s="56"/>
      <c r="AY22" s="656"/>
    </row>
    <row r="23" spans="1:52" x14ac:dyDescent="0.3">
      <c r="A23" s="85">
        <f t="shared" si="4"/>
        <v>16</v>
      </c>
      <c r="B23" s="717" t="str">
        <f>'WA Volumes &amp; Revenues'!B23</f>
        <v>41I Firm Sales</v>
      </c>
      <c r="C23" s="710" t="s">
        <v>4</v>
      </c>
      <c r="D23" s="156"/>
      <c r="E23" s="121">
        <f>'Rates in Detail'!AC21</f>
        <v>8.7299999999999999E-3</v>
      </c>
      <c r="F23" s="121">
        <f>SUM('Rates in Detail'!AD21:AF21)</f>
        <v>-3.7499999999999999E-3</v>
      </c>
      <c r="G23" s="156"/>
      <c r="H23" s="156"/>
      <c r="I23" s="368">
        <f>'Rev Req Proof Yr2'!H23</f>
        <v>0.36329</v>
      </c>
      <c r="J23" s="758">
        <f t="shared" si="10"/>
        <v>0.37202000000000002</v>
      </c>
      <c r="K23" s="156"/>
      <c r="L23" s="154">
        <f>'Rev Req Proof Yr1'!K23</f>
        <v>250</v>
      </c>
      <c r="M23" s="155">
        <f>'Rev Req Proof Yr1'!L23</f>
        <v>250</v>
      </c>
      <c r="N23" s="121">
        <f>'Rev Req Proof Yr1'!M23</f>
        <v>0</v>
      </c>
      <c r="O23" s="121">
        <f>'Rev Req Proof Yr1'!N23</f>
        <v>0</v>
      </c>
      <c r="P23" s="121">
        <f>'Rev Req Proof Yr1'!O23</f>
        <v>0</v>
      </c>
      <c r="Q23" s="758">
        <f>'Rev Req Proof Yr1'!P23</f>
        <v>0</v>
      </c>
      <c r="R23" s="156"/>
      <c r="S23" s="293">
        <f>'Rev Req Proof Yr1'!R23</f>
        <v>392890.20000000007</v>
      </c>
      <c r="T23" s="294"/>
      <c r="U23" s="295">
        <f>'Rev Req Proof Yr1'!T23</f>
        <v>17.833333333333332</v>
      </c>
      <c r="V23" s="296">
        <f>'Rev Req Proof Yr1'!U23</f>
        <v>4741</v>
      </c>
      <c r="W23" s="156"/>
      <c r="X23" s="308">
        <f t="shared" ref="X23:X24" si="25">(I23*S23)</f>
        <v>142733.08075800003</v>
      </c>
      <c r="Y23" s="304">
        <f t="shared" ref="Y23:Y24" si="26">(L23*U23*12)</f>
        <v>53500</v>
      </c>
      <c r="Z23" s="309">
        <f t="shared" ref="Z23:Z24" si="27">(T23*(N23+P23))*12</f>
        <v>0</v>
      </c>
      <c r="AA23" s="304"/>
      <c r="AB23" s="308">
        <f t="shared" ref="AB23:AB24" si="28">(J23*S23)</f>
        <v>146163.01220400003</v>
      </c>
      <c r="AC23" s="304">
        <f t="shared" ref="AC23:AC24" si="29">(M23*U23*12)</f>
        <v>53500</v>
      </c>
      <c r="AD23" s="309">
        <f t="shared" ref="AD23:AD24" si="30">(T23*(O23+Q23))*12</f>
        <v>0</v>
      </c>
      <c r="AE23" s="304"/>
      <c r="AF23" s="308">
        <f t="shared" ref="AF23:AF24" si="31">(F23*S23)</f>
        <v>-1473.3382500000002</v>
      </c>
      <c r="AG23" s="304">
        <v>0</v>
      </c>
      <c r="AH23" s="309">
        <v>0</v>
      </c>
      <c r="AI23" s="304"/>
      <c r="AJ23" s="308">
        <f t="shared" ref="AJ23:AJ24" si="32">AB23-X23+AF23</f>
        <v>1956.5931960000021</v>
      </c>
      <c r="AK23" s="304">
        <f t="shared" ref="AK23:AL24" si="33">AC23-Y23-AG23</f>
        <v>0</v>
      </c>
      <c r="AL23" s="309">
        <f t="shared" si="33"/>
        <v>0</v>
      </c>
      <c r="AM23" s="304"/>
      <c r="AN23" s="333"/>
      <c r="AO23" s="335">
        <f t="shared" ref="AO23:AO25" si="34">SUM(AJ23)/SUM(X23)</f>
        <v>1.3708056924220332E-2</v>
      </c>
      <c r="AP23" s="304"/>
      <c r="AQ23" s="308">
        <f t="shared" ref="AQ23:AQ24" si="35">(G23*S23)</f>
        <v>0</v>
      </c>
      <c r="AR23" s="304">
        <v>0</v>
      </c>
      <c r="AS23" s="309">
        <v>0</v>
      </c>
      <c r="AT23" s="304"/>
      <c r="AU23" s="305"/>
      <c r="AV23" s="305"/>
      <c r="AW23" s="304"/>
      <c r="AX23" s="644"/>
      <c r="AY23" s="468"/>
    </row>
    <row r="24" spans="1:52" x14ac:dyDescent="0.3">
      <c r="A24" s="85">
        <f t="shared" si="4"/>
        <v>17</v>
      </c>
      <c r="B24" s="709"/>
      <c r="C24" s="710" t="s">
        <v>5</v>
      </c>
      <c r="D24" s="156"/>
      <c r="E24" s="121">
        <f>'Rates in Detail'!AC22</f>
        <v>7.6899999999999998E-3</v>
      </c>
      <c r="F24" s="121">
        <f>SUM('Rates in Detail'!AD22:AF22)</f>
        <v>-3.29E-3</v>
      </c>
      <c r="G24" s="156"/>
      <c r="H24" s="156"/>
      <c r="I24" s="368">
        <f>'Rev Req Proof Yr2'!H24</f>
        <v>0.32011000000000001</v>
      </c>
      <c r="J24" s="758">
        <f t="shared" si="10"/>
        <v>0.32779999999999998</v>
      </c>
      <c r="K24" s="156"/>
      <c r="L24" s="154"/>
      <c r="M24" s="155"/>
      <c r="N24" s="121"/>
      <c r="O24" s="121"/>
      <c r="P24" s="121"/>
      <c r="Q24" s="758"/>
      <c r="R24" s="156"/>
      <c r="S24" s="293">
        <f>'Rev Req Proof Yr1'!R24</f>
        <v>621650.00000000012</v>
      </c>
      <c r="T24" s="294"/>
      <c r="U24" s="295"/>
      <c r="V24" s="296"/>
      <c r="W24" s="156"/>
      <c r="X24" s="308">
        <f t="shared" si="25"/>
        <v>198996.38150000005</v>
      </c>
      <c r="Y24" s="304">
        <f t="shared" si="26"/>
        <v>0</v>
      </c>
      <c r="Z24" s="309">
        <f t="shared" si="27"/>
        <v>0</v>
      </c>
      <c r="AA24" s="304"/>
      <c r="AB24" s="308">
        <f t="shared" si="28"/>
        <v>203776.87000000002</v>
      </c>
      <c r="AC24" s="304">
        <f t="shared" si="29"/>
        <v>0</v>
      </c>
      <c r="AD24" s="309">
        <f t="shared" si="30"/>
        <v>0</v>
      </c>
      <c r="AE24" s="304"/>
      <c r="AF24" s="308">
        <f t="shared" si="31"/>
        <v>-2045.2285000000004</v>
      </c>
      <c r="AG24" s="304">
        <v>0</v>
      </c>
      <c r="AH24" s="309">
        <v>0</v>
      </c>
      <c r="AI24" s="304"/>
      <c r="AJ24" s="308">
        <f t="shared" si="32"/>
        <v>2735.2599999999775</v>
      </c>
      <c r="AK24" s="304">
        <f t="shared" si="33"/>
        <v>0</v>
      </c>
      <c r="AL24" s="309">
        <f t="shared" si="33"/>
        <v>0</v>
      </c>
      <c r="AM24" s="304"/>
      <c r="AN24" s="333"/>
      <c r="AO24" s="335">
        <f t="shared" si="34"/>
        <v>1.3745275061697424E-2</v>
      </c>
      <c r="AP24" s="304"/>
      <c r="AQ24" s="308">
        <f t="shared" si="35"/>
        <v>0</v>
      </c>
      <c r="AR24" s="304">
        <v>0</v>
      </c>
      <c r="AS24" s="309">
        <v>0</v>
      </c>
      <c r="AT24" s="304"/>
      <c r="AU24" s="305"/>
      <c r="AV24" s="305"/>
      <c r="AW24" s="304"/>
      <c r="AX24" s="644"/>
      <c r="AY24" s="468"/>
    </row>
    <row r="25" spans="1:52" x14ac:dyDescent="0.3">
      <c r="A25" s="85">
        <f t="shared" si="4"/>
        <v>18</v>
      </c>
      <c r="B25" s="707"/>
      <c r="C25" s="726" t="s">
        <v>76</v>
      </c>
      <c r="D25" s="152"/>
      <c r="E25" s="122"/>
      <c r="F25" s="122"/>
      <c r="G25" s="152"/>
      <c r="H25" s="152"/>
      <c r="I25" s="363"/>
      <c r="J25" s="757"/>
      <c r="K25" s="156"/>
      <c r="L25" s="154"/>
      <c r="M25" s="155"/>
      <c r="N25" s="121"/>
      <c r="O25" s="121"/>
      <c r="P25" s="121"/>
      <c r="Q25" s="758"/>
      <c r="R25" s="156"/>
      <c r="S25" s="293"/>
      <c r="T25" s="294"/>
      <c r="U25" s="295"/>
      <c r="V25" s="296"/>
      <c r="W25" s="156"/>
      <c r="X25" s="310">
        <f>SUM(X23:X24)</f>
        <v>341729.46225800004</v>
      </c>
      <c r="Y25" s="311">
        <f t="shared" ref="Y25:Z25" si="36">SUM(Y23:Y24)</f>
        <v>53500</v>
      </c>
      <c r="Z25" s="312">
        <f t="shared" si="36"/>
        <v>0</v>
      </c>
      <c r="AA25" s="304"/>
      <c r="AB25" s="310">
        <f>SUM(AB23:AB24)</f>
        <v>349939.88220400002</v>
      </c>
      <c r="AC25" s="311">
        <f t="shared" ref="AC25:AD25" si="37">SUM(AC23:AC24)</f>
        <v>53500</v>
      </c>
      <c r="AD25" s="312">
        <f t="shared" si="37"/>
        <v>0</v>
      </c>
      <c r="AE25" s="304"/>
      <c r="AF25" s="310">
        <f>SUM(AF23:AF24)</f>
        <v>-3518.5667500000009</v>
      </c>
      <c r="AG25" s="311">
        <f t="shared" ref="AG25:AH25" si="38">SUM(AG23:AG24)</f>
        <v>0</v>
      </c>
      <c r="AH25" s="312">
        <f t="shared" si="38"/>
        <v>0</v>
      </c>
      <c r="AI25" s="304"/>
      <c r="AJ25" s="310">
        <f>SUM(AJ23:AJ24)</f>
        <v>4691.85319599998</v>
      </c>
      <c r="AK25" s="311">
        <f t="shared" ref="AK25:AL25" si="39">SUM(AK23:AK24)</f>
        <v>0</v>
      </c>
      <c r="AL25" s="312">
        <f t="shared" si="39"/>
        <v>0</v>
      </c>
      <c r="AM25" s="304"/>
      <c r="AN25" s="333">
        <f>SUM(AJ25:AL25)/SUM(X25:Z25)</f>
        <v>1.1871213166130835E-2</v>
      </c>
      <c r="AO25" s="334">
        <f t="shared" si="34"/>
        <v>1.3729729842426373E-2</v>
      </c>
      <c r="AP25" s="304"/>
      <c r="AQ25" s="310">
        <f>SUM(AQ23:AQ24)</f>
        <v>0</v>
      </c>
      <c r="AR25" s="311">
        <f t="shared" ref="AR25:AS25" si="40">SUM(AR23:AR24)</f>
        <v>0</v>
      </c>
      <c r="AS25" s="312">
        <f t="shared" si="40"/>
        <v>0</v>
      </c>
      <c r="AT25" s="304"/>
      <c r="AU25" s="305"/>
      <c r="AV25" s="305"/>
      <c r="AW25" s="323"/>
      <c r="AX25" s="56"/>
      <c r="AY25" s="656"/>
    </row>
    <row r="26" spans="1:52" x14ac:dyDescent="0.3">
      <c r="A26" s="85">
        <f t="shared" si="4"/>
        <v>19</v>
      </c>
      <c r="B26" s="709" t="str">
        <f>'WA Volumes &amp; Revenues'!B25</f>
        <v>41C Interr Sales</v>
      </c>
      <c r="C26" s="710" t="s">
        <v>4</v>
      </c>
      <c r="D26" s="156"/>
      <c r="E26" s="121">
        <f>'Rates in Detail'!AC23</f>
        <v>2.162E-2</v>
      </c>
      <c r="F26" s="121">
        <f>SUM('Rates in Detail'!AD23:AF23)</f>
        <v>-1.013E-2</v>
      </c>
      <c r="G26" s="156"/>
      <c r="H26" s="156"/>
      <c r="I26" s="368">
        <f>'Rev Req Proof Yr2'!H26</f>
        <v>0.37659999999999999</v>
      </c>
      <c r="J26" s="758">
        <f t="shared" si="10"/>
        <v>0.39822000000000002</v>
      </c>
      <c r="K26" s="156"/>
      <c r="L26" s="154">
        <f>'Rev Req Proof Yr1'!K26</f>
        <v>250</v>
      </c>
      <c r="M26" s="155">
        <f>'Rev Req Proof Yr1'!L26</f>
        <v>250</v>
      </c>
      <c r="N26" s="121">
        <f>'Rev Req Proof Yr1'!M26</f>
        <v>0</v>
      </c>
      <c r="O26" s="121">
        <f>'Rev Req Proof Yr1'!N26</f>
        <v>0</v>
      </c>
      <c r="P26" s="121">
        <f>'Rev Req Proof Yr1'!O26</f>
        <v>0</v>
      </c>
      <c r="Q26" s="758">
        <f>'Rev Req Proof Yr1'!P26</f>
        <v>0</v>
      </c>
      <c r="R26" s="156"/>
      <c r="S26" s="293">
        <f>'Rev Req Proof Yr1'!R26</f>
        <v>0</v>
      </c>
      <c r="T26" s="294"/>
      <c r="U26" s="295">
        <f>'Rev Req Proof Yr1'!T26</f>
        <v>0</v>
      </c>
      <c r="V26" s="296">
        <f>'Rev Req Proof Yr1'!U26</f>
        <v>0</v>
      </c>
      <c r="W26" s="156"/>
      <c r="X26" s="308">
        <f t="shared" ref="X26:X27" si="41">(I26*S26)</f>
        <v>0</v>
      </c>
      <c r="Y26" s="304">
        <f t="shared" ref="Y26:Y27" si="42">(L26*U26*12)</f>
        <v>0</v>
      </c>
      <c r="Z26" s="309">
        <f t="shared" ref="Z26:Z27" si="43">(T26*(N26+P26))*12</f>
        <v>0</v>
      </c>
      <c r="AA26" s="304"/>
      <c r="AB26" s="308">
        <f t="shared" ref="AB26:AB27" si="44">(J26*S26)</f>
        <v>0</v>
      </c>
      <c r="AC26" s="304">
        <f t="shared" ref="AC26:AC27" si="45">(M26*U26*12)</f>
        <v>0</v>
      </c>
      <c r="AD26" s="309">
        <f t="shared" ref="AD26:AD27" si="46">(T26*(O26+Q26))*12</f>
        <v>0</v>
      </c>
      <c r="AE26" s="304"/>
      <c r="AF26" s="308">
        <f t="shared" ref="AF26:AF27" si="47">(F26*S26)</f>
        <v>0</v>
      </c>
      <c r="AG26" s="304">
        <v>0</v>
      </c>
      <c r="AH26" s="309">
        <v>0</v>
      </c>
      <c r="AI26" s="304"/>
      <c r="AJ26" s="308">
        <f t="shared" ref="AJ26:AJ27" si="48">AB26-X26+AF26</f>
        <v>0</v>
      </c>
      <c r="AK26" s="304">
        <f t="shared" ref="AK26:AL27" si="49">AC26-Y26-AG26</f>
        <v>0</v>
      </c>
      <c r="AL26" s="309">
        <f t="shared" si="49"/>
        <v>0</v>
      </c>
      <c r="AM26" s="304"/>
      <c r="AN26" s="333"/>
      <c r="AO26" s="335" t="e">
        <f t="shared" si="16"/>
        <v>#DIV/0!</v>
      </c>
      <c r="AP26" s="304"/>
      <c r="AQ26" s="308">
        <f t="shared" ref="AQ26:AQ27" si="50">(G26*S26)</f>
        <v>0</v>
      </c>
      <c r="AR26" s="304">
        <v>0</v>
      </c>
      <c r="AS26" s="309">
        <v>0</v>
      </c>
      <c r="AT26" s="304"/>
      <c r="AU26" s="305"/>
      <c r="AV26" s="305"/>
      <c r="AW26" s="304"/>
      <c r="AX26" s="644"/>
      <c r="AY26" s="468"/>
    </row>
    <row r="27" spans="1:52" x14ac:dyDescent="0.3">
      <c r="A27" s="85">
        <f t="shared" si="4"/>
        <v>20</v>
      </c>
      <c r="B27" s="709"/>
      <c r="C27" s="710" t="s">
        <v>5</v>
      </c>
      <c r="D27" s="156"/>
      <c r="E27" s="121">
        <f>'Rates in Detail'!AC24</f>
        <v>1.9050000000000001E-2</v>
      </c>
      <c r="F27" s="121">
        <f>SUM('Rates in Detail'!AD24:AF24)</f>
        <v>-8.9200000000000008E-3</v>
      </c>
      <c r="G27" s="156"/>
      <c r="H27" s="156"/>
      <c r="I27" s="368">
        <f>'Rev Req Proof Yr2'!H27</f>
        <v>0.33180999999999999</v>
      </c>
      <c r="J27" s="758">
        <f t="shared" si="10"/>
        <v>0.35086000000000001</v>
      </c>
      <c r="K27" s="156"/>
      <c r="L27" s="154"/>
      <c r="M27" s="155"/>
      <c r="N27" s="121"/>
      <c r="O27" s="121"/>
      <c r="P27" s="121"/>
      <c r="Q27" s="758"/>
      <c r="R27" s="156"/>
      <c r="S27" s="293">
        <f>'Rev Req Proof Yr1'!R27</f>
        <v>0</v>
      </c>
      <c r="T27" s="294"/>
      <c r="U27" s="295"/>
      <c r="V27" s="296"/>
      <c r="W27" s="156"/>
      <c r="X27" s="308">
        <f t="shared" si="41"/>
        <v>0</v>
      </c>
      <c r="Y27" s="304">
        <f t="shared" si="42"/>
        <v>0</v>
      </c>
      <c r="Z27" s="309">
        <f t="shared" si="43"/>
        <v>0</v>
      </c>
      <c r="AA27" s="304"/>
      <c r="AB27" s="308">
        <f t="shared" si="44"/>
        <v>0</v>
      </c>
      <c r="AC27" s="304">
        <f t="shared" si="45"/>
        <v>0</v>
      </c>
      <c r="AD27" s="309">
        <f t="shared" si="46"/>
        <v>0</v>
      </c>
      <c r="AE27" s="304"/>
      <c r="AF27" s="308">
        <f t="shared" si="47"/>
        <v>0</v>
      </c>
      <c r="AG27" s="304">
        <v>0</v>
      </c>
      <c r="AH27" s="309">
        <v>0</v>
      </c>
      <c r="AI27" s="304"/>
      <c r="AJ27" s="308">
        <f t="shared" si="48"/>
        <v>0</v>
      </c>
      <c r="AK27" s="304">
        <f t="shared" si="49"/>
        <v>0</v>
      </c>
      <c r="AL27" s="309">
        <f t="shared" si="49"/>
        <v>0</v>
      </c>
      <c r="AM27" s="304"/>
      <c r="AN27" s="333"/>
      <c r="AO27" s="335" t="e">
        <f t="shared" si="16"/>
        <v>#DIV/0!</v>
      </c>
      <c r="AP27" s="304"/>
      <c r="AQ27" s="308">
        <f t="shared" si="50"/>
        <v>0</v>
      </c>
      <c r="AR27" s="304">
        <v>0</v>
      </c>
      <c r="AS27" s="309">
        <v>0</v>
      </c>
      <c r="AT27" s="304"/>
      <c r="AU27" s="305"/>
      <c r="AX27" s="644"/>
      <c r="AY27" s="468"/>
    </row>
    <row r="28" spans="1:52" x14ac:dyDescent="0.3">
      <c r="A28" s="85">
        <f t="shared" si="4"/>
        <v>21</v>
      </c>
      <c r="B28" s="707"/>
      <c r="C28" s="726" t="s">
        <v>76</v>
      </c>
      <c r="D28" s="152"/>
      <c r="E28" s="122"/>
      <c r="F28" s="122"/>
      <c r="G28" s="152"/>
      <c r="H28" s="152"/>
      <c r="I28" s="363"/>
      <c r="J28" s="757"/>
      <c r="K28" s="156"/>
      <c r="L28" s="154"/>
      <c r="M28" s="155"/>
      <c r="N28" s="121"/>
      <c r="O28" s="121"/>
      <c r="P28" s="121"/>
      <c r="Q28" s="758"/>
      <c r="R28" s="156"/>
      <c r="S28" s="293"/>
      <c r="T28" s="294"/>
      <c r="U28" s="295"/>
      <c r="V28" s="296"/>
      <c r="W28" s="156"/>
      <c r="X28" s="310">
        <f>SUM(X26:X27)</f>
        <v>0</v>
      </c>
      <c r="Y28" s="311">
        <f t="shared" ref="Y28:Z28" si="51">SUM(Y26:Y27)</f>
        <v>0</v>
      </c>
      <c r="Z28" s="312">
        <f t="shared" si="51"/>
        <v>0</v>
      </c>
      <c r="AA28" s="304"/>
      <c r="AB28" s="310">
        <f>SUM(AB26:AB27)</f>
        <v>0</v>
      </c>
      <c r="AC28" s="311">
        <f t="shared" ref="AC28:AD28" si="52">SUM(AC26:AC27)</f>
        <v>0</v>
      </c>
      <c r="AD28" s="312">
        <f t="shared" si="52"/>
        <v>0</v>
      </c>
      <c r="AE28" s="304"/>
      <c r="AF28" s="310">
        <f>SUM(AF26:AF27)</f>
        <v>0</v>
      </c>
      <c r="AG28" s="311">
        <f t="shared" ref="AG28:AH28" si="53">SUM(AG26:AG27)</f>
        <v>0</v>
      </c>
      <c r="AH28" s="312">
        <f t="shared" si="53"/>
        <v>0</v>
      </c>
      <c r="AI28" s="304"/>
      <c r="AJ28" s="310">
        <f>SUM(AJ26:AJ27)</f>
        <v>0</v>
      </c>
      <c r="AK28" s="311">
        <f t="shared" ref="AK28:AL28" si="54">SUM(AK26:AK27)</f>
        <v>0</v>
      </c>
      <c r="AL28" s="312">
        <f t="shared" si="54"/>
        <v>0</v>
      </c>
      <c r="AM28" s="304"/>
      <c r="AN28" s="333" t="e">
        <f>SUM(AJ28:AL28)/SUM(X28:Z28)</f>
        <v>#DIV/0!</v>
      </c>
      <c r="AO28" s="334" t="e">
        <f t="shared" si="16"/>
        <v>#DIV/0!</v>
      </c>
      <c r="AP28" s="304"/>
      <c r="AQ28" s="310">
        <f>SUM(AQ26:AQ27)</f>
        <v>0</v>
      </c>
      <c r="AR28" s="311">
        <f t="shared" ref="AR28:AS28" si="55">SUM(AR26:AR27)</f>
        <v>0</v>
      </c>
      <c r="AS28" s="312">
        <f t="shared" si="55"/>
        <v>0</v>
      </c>
      <c r="AT28" s="304"/>
      <c r="AU28" s="305"/>
      <c r="AV28" s="305"/>
      <c r="AW28" s="304"/>
      <c r="AX28" s="644"/>
      <c r="AY28" s="468"/>
    </row>
    <row r="29" spans="1:52" x14ac:dyDescent="0.3">
      <c r="A29" s="85">
        <f t="shared" si="4"/>
        <v>22</v>
      </c>
      <c r="B29" s="709" t="str">
        <f>'WA Volumes &amp; Revenues'!B27</f>
        <v>41I Interr Sales</v>
      </c>
      <c r="C29" s="710" t="s">
        <v>4</v>
      </c>
      <c r="D29" s="156"/>
      <c r="E29" s="121">
        <f>'Rates in Detail'!AC25</f>
        <v>7.1300000000000001E-3</v>
      </c>
      <c r="F29" s="121">
        <f>SUM('Rates in Detail'!AD25:AF25)</f>
        <v>-3.0499999999999998E-3</v>
      </c>
      <c r="G29" s="156"/>
      <c r="H29" s="156"/>
      <c r="I29" s="368">
        <f>'Rev Req Proof Yr2'!H29</f>
        <v>0.35626999999999998</v>
      </c>
      <c r="J29" s="758">
        <f t="shared" si="10"/>
        <v>0.3634</v>
      </c>
      <c r="K29" s="156"/>
      <c r="L29" s="154">
        <f>'Rev Req Proof Yr1'!K29</f>
        <v>250</v>
      </c>
      <c r="M29" s="155">
        <f>'Rev Req Proof Yr1'!L29</f>
        <v>250</v>
      </c>
      <c r="N29" s="121">
        <f>'Rev Req Proof Yr1'!M29</f>
        <v>0</v>
      </c>
      <c r="O29" s="121">
        <f>'Rev Req Proof Yr1'!N29</f>
        <v>0</v>
      </c>
      <c r="P29" s="121">
        <f>'Rev Req Proof Yr1'!O29</f>
        <v>0</v>
      </c>
      <c r="Q29" s="758">
        <f>'Rev Req Proof Yr1'!P29</f>
        <v>0</v>
      </c>
      <c r="R29" s="156"/>
      <c r="S29" s="293">
        <f>'Rev Req Proof Yr1'!R29</f>
        <v>0</v>
      </c>
      <c r="T29" s="294"/>
      <c r="U29" s="295">
        <f>'Rev Req Proof Yr1'!T29</f>
        <v>0</v>
      </c>
      <c r="V29" s="296">
        <f>'Rev Req Proof Yr1'!U29</f>
        <v>0</v>
      </c>
      <c r="W29" s="156"/>
      <c r="X29" s="308">
        <f t="shared" ref="X29:X30" si="56">(I29*S29)</f>
        <v>0</v>
      </c>
      <c r="Y29" s="304">
        <f t="shared" ref="Y29:Y30" si="57">(L29*U29*12)</f>
        <v>0</v>
      </c>
      <c r="Z29" s="309">
        <f t="shared" ref="Z29:Z30" si="58">(T29*(N29+P29))*12</f>
        <v>0</v>
      </c>
      <c r="AA29" s="304"/>
      <c r="AB29" s="308">
        <f t="shared" ref="AB29:AB30" si="59">(J29*S29)</f>
        <v>0</v>
      </c>
      <c r="AC29" s="304">
        <f t="shared" ref="AC29:AC30" si="60">(M29*U29*12)</f>
        <v>0</v>
      </c>
      <c r="AD29" s="309">
        <f t="shared" ref="AD29:AD30" si="61">(T29*(O29+Q29))*12</f>
        <v>0</v>
      </c>
      <c r="AE29" s="304"/>
      <c r="AF29" s="308">
        <f t="shared" ref="AF29:AF30" si="62">(F29*S29)</f>
        <v>0</v>
      </c>
      <c r="AG29" s="304">
        <v>0</v>
      </c>
      <c r="AH29" s="309">
        <v>0</v>
      </c>
      <c r="AI29" s="304"/>
      <c r="AJ29" s="308">
        <f t="shared" ref="AJ29:AJ30" si="63">AB29-X29+AF29</f>
        <v>0</v>
      </c>
      <c r="AK29" s="304">
        <f t="shared" ref="AK29:AL30" si="64">AC29-Y29-AG29</f>
        <v>0</v>
      </c>
      <c r="AL29" s="309">
        <f t="shared" si="64"/>
        <v>0</v>
      </c>
      <c r="AM29" s="304"/>
      <c r="AN29" s="333"/>
      <c r="AO29" s="335" t="e">
        <f t="shared" si="16"/>
        <v>#DIV/0!</v>
      </c>
      <c r="AP29" s="304"/>
      <c r="AQ29" s="308">
        <f t="shared" ref="AQ29:AQ30" si="65">(G29*S29)</f>
        <v>0</v>
      </c>
      <c r="AR29" s="304">
        <v>0</v>
      </c>
      <c r="AS29" s="309">
        <v>0</v>
      </c>
      <c r="AT29" s="304"/>
      <c r="AU29" s="305"/>
      <c r="AV29" s="305"/>
      <c r="AW29" s="304"/>
      <c r="AX29" s="644"/>
      <c r="AY29" s="468"/>
    </row>
    <row r="30" spans="1:52" x14ac:dyDescent="0.3">
      <c r="A30" s="85">
        <f t="shared" si="4"/>
        <v>23</v>
      </c>
      <c r="B30" s="709"/>
      <c r="C30" s="710" t="s">
        <v>5</v>
      </c>
      <c r="D30" s="156"/>
      <c r="E30" s="121">
        <f>'Rates in Detail'!AC26</f>
        <v>6.28E-3</v>
      </c>
      <c r="F30" s="121">
        <f>SUM('Rates in Detail'!AD26:AF26)</f>
        <v>-2.6899999999999997E-3</v>
      </c>
      <c r="G30" s="156"/>
      <c r="H30" s="156"/>
      <c r="I30" s="368">
        <f>'Rev Req Proof Yr2'!H30</f>
        <v>0.31389</v>
      </c>
      <c r="J30" s="758">
        <f t="shared" si="10"/>
        <v>0.32017000000000001</v>
      </c>
      <c r="K30" s="156"/>
      <c r="L30" s="154"/>
      <c r="M30" s="155"/>
      <c r="N30" s="121"/>
      <c r="O30" s="121"/>
      <c r="P30" s="121"/>
      <c r="Q30" s="758"/>
      <c r="R30" s="156"/>
      <c r="S30" s="293">
        <f>'Rev Req Proof Yr1'!R30</f>
        <v>0</v>
      </c>
      <c r="T30" s="294"/>
      <c r="U30" s="295"/>
      <c r="V30" s="296"/>
      <c r="W30" s="156"/>
      <c r="X30" s="308">
        <f t="shared" si="56"/>
        <v>0</v>
      </c>
      <c r="Y30" s="304">
        <f t="shared" si="57"/>
        <v>0</v>
      </c>
      <c r="Z30" s="309">
        <f t="shared" si="58"/>
        <v>0</v>
      </c>
      <c r="AA30" s="304"/>
      <c r="AB30" s="308">
        <f t="shared" si="59"/>
        <v>0</v>
      </c>
      <c r="AC30" s="304">
        <f t="shared" si="60"/>
        <v>0</v>
      </c>
      <c r="AD30" s="309">
        <f t="shared" si="61"/>
        <v>0</v>
      </c>
      <c r="AE30" s="304"/>
      <c r="AF30" s="308">
        <f t="shared" si="62"/>
        <v>0</v>
      </c>
      <c r="AG30" s="304">
        <v>0</v>
      </c>
      <c r="AH30" s="309">
        <v>0</v>
      </c>
      <c r="AI30" s="304"/>
      <c r="AJ30" s="308">
        <f t="shared" si="63"/>
        <v>0</v>
      </c>
      <c r="AK30" s="304">
        <f t="shared" si="64"/>
        <v>0</v>
      </c>
      <c r="AL30" s="309">
        <f t="shared" si="64"/>
        <v>0</v>
      </c>
      <c r="AM30" s="304"/>
      <c r="AN30" s="333"/>
      <c r="AO30" s="335" t="e">
        <f t="shared" si="16"/>
        <v>#DIV/0!</v>
      </c>
      <c r="AP30" s="304"/>
      <c r="AQ30" s="308">
        <f t="shared" si="65"/>
        <v>0</v>
      </c>
      <c r="AR30" s="304">
        <v>0</v>
      </c>
      <c r="AS30" s="309">
        <v>0</v>
      </c>
      <c r="AT30" s="304"/>
      <c r="AU30" s="305"/>
      <c r="AV30" s="305"/>
      <c r="AW30" s="304"/>
      <c r="AX30" s="56"/>
      <c r="AY30" s="643"/>
    </row>
    <row r="31" spans="1:52" x14ac:dyDescent="0.3">
      <c r="A31" s="85">
        <f t="shared" si="4"/>
        <v>24</v>
      </c>
      <c r="B31" s="707"/>
      <c r="C31" s="726" t="s">
        <v>76</v>
      </c>
      <c r="D31" s="152"/>
      <c r="E31" s="122"/>
      <c r="F31" s="122"/>
      <c r="G31" s="152"/>
      <c r="H31" s="152"/>
      <c r="I31" s="363"/>
      <c r="J31" s="757"/>
      <c r="K31" s="156"/>
      <c r="L31" s="154"/>
      <c r="M31" s="155"/>
      <c r="N31" s="121"/>
      <c r="O31" s="121"/>
      <c r="P31" s="121"/>
      <c r="Q31" s="758"/>
      <c r="R31" s="156"/>
      <c r="S31" s="293"/>
      <c r="T31" s="294"/>
      <c r="U31" s="295"/>
      <c r="V31" s="296"/>
      <c r="W31" s="156"/>
      <c r="X31" s="310">
        <f>SUM(X29:X30)</f>
        <v>0</v>
      </c>
      <c r="Y31" s="311">
        <f t="shared" ref="Y31:Z31" si="66">SUM(Y29:Y30)</f>
        <v>0</v>
      </c>
      <c r="Z31" s="312">
        <f t="shared" si="66"/>
        <v>0</v>
      </c>
      <c r="AA31" s="304"/>
      <c r="AB31" s="310">
        <f>SUM(AB29:AB30)</f>
        <v>0</v>
      </c>
      <c r="AC31" s="311">
        <f t="shared" ref="AC31:AD31" si="67">SUM(AC29:AC30)</f>
        <v>0</v>
      </c>
      <c r="AD31" s="312">
        <f t="shared" si="67"/>
        <v>0</v>
      </c>
      <c r="AE31" s="304"/>
      <c r="AF31" s="310">
        <f>SUM(AF29:AF30)</f>
        <v>0</v>
      </c>
      <c r="AG31" s="311">
        <f t="shared" ref="AG31:AH31" si="68">SUM(AG29:AG30)</f>
        <v>0</v>
      </c>
      <c r="AH31" s="312">
        <f t="shared" si="68"/>
        <v>0</v>
      </c>
      <c r="AI31" s="304"/>
      <c r="AJ31" s="310">
        <f>SUM(AJ29:AJ30)</f>
        <v>0</v>
      </c>
      <c r="AK31" s="311">
        <f t="shared" ref="AK31:AL31" si="69">SUM(AK29:AK30)</f>
        <v>0</v>
      </c>
      <c r="AL31" s="312">
        <f t="shared" si="69"/>
        <v>0</v>
      </c>
      <c r="AM31" s="304"/>
      <c r="AN31" s="333" t="e">
        <f>SUM(AJ31:AL31)/SUM(X31:Z31)</f>
        <v>#DIV/0!</v>
      </c>
      <c r="AO31" s="334" t="e">
        <f t="shared" si="16"/>
        <v>#DIV/0!</v>
      </c>
      <c r="AP31" s="304"/>
      <c r="AQ31" s="310">
        <f>SUM(AQ29:AQ30)</f>
        <v>0</v>
      </c>
      <c r="AR31" s="311">
        <f t="shared" ref="AR31:AS31" si="70">SUM(AR29:AR30)</f>
        <v>0</v>
      </c>
      <c r="AS31" s="312">
        <f t="shared" si="70"/>
        <v>0</v>
      </c>
      <c r="AT31" s="304"/>
      <c r="AU31" s="305"/>
      <c r="AV31" s="305"/>
      <c r="AW31" s="304"/>
    </row>
    <row r="32" spans="1:52" x14ac:dyDescent="0.3">
      <c r="A32" s="85">
        <f t="shared" si="4"/>
        <v>25</v>
      </c>
      <c r="B32" s="709" t="str">
        <f>'WA Volumes &amp; Revenues'!B29</f>
        <v>41C Firm Transpt</v>
      </c>
      <c r="C32" s="710" t="s">
        <v>4</v>
      </c>
      <c r="D32" s="156"/>
      <c r="E32" s="121">
        <f>'Rates in Detail'!AC27</f>
        <v>9.7099999999999999E-3</v>
      </c>
      <c r="F32" s="121">
        <f>SUM('Rates in Detail'!AD27:AF27)</f>
        <v>-4.1599999999999996E-3</v>
      </c>
      <c r="G32" s="156"/>
      <c r="H32" s="156"/>
      <c r="I32" s="368">
        <f>'Rev Req Proof Yr2'!H32</f>
        <v>0.36918000000000001</v>
      </c>
      <c r="J32" s="758">
        <f t="shared" si="10"/>
        <v>0.37889</v>
      </c>
      <c r="K32" s="156"/>
      <c r="L32" s="154">
        <f>'Rev Req Proof Yr1'!K32</f>
        <v>500</v>
      </c>
      <c r="M32" s="155">
        <f>'Rev Req Proof Yr1'!L32</f>
        <v>500</v>
      </c>
      <c r="N32" s="121">
        <f>'Rev Req Proof Yr1'!M32</f>
        <v>0</v>
      </c>
      <c r="O32" s="121">
        <f>'Rev Req Proof Yr1'!N32</f>
        <v>0</v>
      </c>
      <c r="P32" s="121">
        <f>'Rev Req Proof Yr1'!O32</f>
        <v>0</v>
      </c>
      <c r="Q32" s="758">
        <f>'Rev Req Proof Yr1'!P32</f>
        <v>0</v>
      </c>
      <c r="R32" s="156"/>
      <c r="S32" s="293">
        <f>'Rev Req Proof Yr1'!R32</f>
        <v>168721</v>
      </c>
      <c r="T32" s="294"/>
      <c r="U32" s="295">
        <f>'Rev Req Proof Yr1'!T32</f>
        <v>7.916666666666667</v>
      </c>
      <c r="V32" s="296">
        <f>'Rev Req Proof Yr1'!U32</f>
        <v>4648</v>
      </c>
      <c r="W32" s="156"/>
      <c r="X32" s="308">
        <f t="shared" ref="X32:X33" si="71">(I32*S32)</f>
        <v>62288.41878</v>
      </c>
      <c r="Y32" s="304">
        <f t="shared" ref="Y32:Y33" si="72">(L32*U32*12)</f>
        <v>47500</v>
      </c>
      <c r="Z32" s="309">
        <f t="shared" ref="Z32:Z33" si="73">(T32*(N32+P32))*12</f>
        <v>0</v>
      </c>
      <c r="AA32" s="304"/>
      <c r="AB32" s="308">
        <f t="shared" ref="AB32:AB33" si="74">(J32*S32)</f>
        <v>63926.699690000001</v>
      </c>
      <c r="AC32" s="304">
        <f t="shared" ref="AC32:AC33" si="75">(M32*U32*12)</f>
        <v>47500</v>
      </c>
      <c r="AD32" s="309">
        <f t="shared" ref="AD32:AD33" si="76">(T32*(O32+Q32))*12</f>
        <v>0</v>
      </c>
      <c r="AE32" s="304"/>
      <c r="AF32" s="308">
        <f t="shared" ref="AF32:AF33" si="77">(F32*S32)</f>
        <v>-701.87935999999991</v>
      </c>
      <c r="AG32" s="304">
        <v>0</v>
      </c>
      <c r="AH32" s="309">
        <v>0</v>
      </c>
      <c r="AI32" s="304"/>
      <c r="AJ32" s="308">
        <f t="shared" ref="AJ32:AJ33" si="78">AB32-X32+AF32</f>
        <v>936.40155000000141</v>
      </c>
      <c r="AK32" s="304">
        <f t="shared" ref="AK32:AL33" si="79">AC32-Y32-AG32</f>
        <v>0</v>
      </c>
      <c r="AL32" s="309">
        <f t="shared" si="79"/>
        <v>0</v>
      </c>
      <c r="AM32" s="304"/>
      <c r="AN32" s="333"/>
      <c r="AO32" s="335">
        <f t="shared" ref="AO32:AO34" si="80">SUM(AJ32)/SUM(X32)</f>
        <v>1.5033317081098674E-2</v>
      </c>
      <c r="AP32" s="304"/>
      <c r="AQ32" s="308">
        <f t="shared" ref="AQ32:AQ33" si="81">(G32*S32)</f>
        <v>0</v>
      </c>
      <c r="AR32" s="304">
        <v>0</v>
      </c>
      <c r="AS32" s="309">
        <v>0</v>
      </c>
      <c r="AT32" s="304"/>
      <c r="AU32" s="305"/>
      <c r="AV32" s="305"/>
      <c r="AW32" s="304"/>
      <c r="AX32" s="644"/>
      <c r="AY32" s="468"/>
    </row>
    <row r="33" spans="1:51" x14ac:dyDescent="0.3">
      <c r="A33" s="85">
        <f t="shared" si="4"/>
        <v>26</v>
      </c>
      <c r="B33" s="709"/>
      <c r="C33" s="710" t="s">
        <v>5</v>
      </c>
      <c r="D33" s="156"/>
      <c r="E33" s="121">
        <f>'Rates in Detail'!AC28</f>
        <v>8.5500000000000003E-3</v>
      </c>
      <c r="F33" s="121">
        <f>SUM('Rates in Detail'!AD28:AF28)</f>
        <v>-3.6700000000000001E-3</v>
      </c>
      <c r="G33" s="156"/>
      <c r="H33" s="156"/>
      <c r="I33" s="368">
        <f>'Rev Req Proof Yr2'!H33</f>
        <v>0.32527</v>
      </c>
      <c r="J33" s="758">
        <f t="shared" si="10"/>
        <v>0.33382000000000001</v>
      </c>
      <c r="K33" s="156"/>
      <c r="L33" s="154"/>
      <c r="M33" s="155"/>
      <c r="N33" s="121"/>
      <c r="O33" s="121"/>
      <c r="P33" s="121"/>
      <c r="Q33" s="758"/>
      <c r="R33" s="156"/>
      <c r="S33" s="293">
        <f>'Rev Req Proof Yr1'!R33</f>
        <v>272866</v>
      </c>
      <c r="T33" s="294"/>
      <c r="U33" s="295"/>
      <c r="V33" s="296"/>
      <c r="W33" s="156"/>
      <c r="X33" s="308">
        <f t="shared" si="71"/>
        <v>88755.123820000008</v>
      </c>
      <c r="Y33" s="304">
        <f t="shared" si="72"/>
        <v>0</v>
      </c>
      <c r="Z33" s="309">
        <f t="shared" si="73"/>
        <v>0</v>
      </c>
      <c r="AA33" s="304"/>
      <c r="AB33" s="308">
        <f t="shared" si="74"/>
        <v>91088.128120000008</v>
      </c>
      <c r="AC33" s="304">
        <f t="shared" si="75"/>
        <v>0</v>
      </c>
      <c r="AD33" s="309">
        <f t="shared" si="76"/>
        <v>0</v>
      </c>
      <c r="AE33" s="304"/>
      <c r="AF33" s="308">
        <f t="shared" si="77"/>
        <v>-1001.41822</v>
      </c>
      <c r="AG33" s="304">
        <v>0</v>
      </c>
      <c r="AH33" s="309">
        <v>0</v>
      </c>
      <c r="AI33" s="304"/>
      <c r="AJ33" s="308">
        <f t="shared" si="78"/>
        <v>1331.5860800000005</v>
      </c>
      <c r="AK33" s="304">
        <f t="shared" si="79"/>
        <v>0</v>
      </c>
      <c r="AL33" s="309">
        <f t="shared" si="79"/>
        <v>0</v>
      </c>
      <c r="AM33" s="304"/>
      <c r="AN33" s="333"/>
      <c r="AO33" s="335">
        <f t="shared" si="80"/>
        <v>1.5002920650536482E-2</v>
      </c>
      <c r="AP33" s="304"/>
      <c r="AQ33" s="308">
        <f t="shared" si="81"/>
        <v>0</v>
      </c>
      <c r="AR33" s="304">
        <v>0</v>
      </c>
      <c r="AS33" s="309">
        <v>0</v>
      </c>
      <c r="AT33" s="304"/>
      <c r="AU33" s="305"/>
      <c r="AV33" s="305"/>
      <c r="AW33" s="304"/>
      <c r="AX33" s="56"/>
      <c r="AY33" s="643"/>
    </row>
    <row r="34" spans="1:51" x14ac:dyDescent="0.3">
      <c r="A34" s="85">
        <f t="shared" si="4"/>
        <v>27</v>
      </c>
      <c r="B34" s="707"/>
      <c r="C34" s="726" t="s">
        <v>76</v>
      </c>
      <c r="D34" s="152"/>
      <c r="E34" s="122"/>
      <c r="F34" s="122"/>
      <c r="G34" s="152"/>
      <c r="H34" s="152"/>
      <c r="I34" s="363"/>
      <c r="J34" s="757"/>
      <c r="K34" s="156"/>
      <c r="L34" s="154"/>
      <c r="M34" s="155"/>
      <c r="N34" s="121"/>
      <c r="O34" s="121"/>
      <c r="P34" s="121"/>
      <c r="Q34" s="758"/>
      <c r="R34" s="156"/>
      <c r="S34" s="293"/>
      <c r="T34" s="294"/>
      <c r="U34" s="295"/>
      <c r="V34" s="296"/>
      <c r="W34" s="156"/>
      <c r="X34" s="310">
        <f>SUM(X32:X33)</f>
        <v>151043.54260000002</v>
      </c>
      <c r="Y34" s="311">
        <f t="shared" ref="Y34:Z34" si="82">SUM(Y32:Y33)</f>
        <v>47500</v>
      </c>
      <c r="Z34" s="312">
        <f t="shared" si="82"/>
        <v>0</v>
      </c>
      <c r="AA34" s="304"/>
      <c r="AB34" s="310">
        <f>SUM(AB32:AB33)</f>
        <v>155014.82781000002</v>
      </c>
      <c r="AC34" s="311">
        <f t="shared" ref="AC34:AD34" si="83">SUM(AC32:AC33)</f>
        <v>47500</v>
      </c>
      <c r="AD34" s="312">
        <f t="shared" si="83"/>
        <v>0</v>
      </c>
      <c r="AE34" s="304"/>
      <c r="AF34" s="310">
        <f>SUM(AF32:AF33)</f>
        <v>-1703.2975799999999</v>
      </c>
      <c r="AG34" s="311">
        <f t="shared" ref="AG34:AH34" si="84">SUM(AG32:AG33)</f>
        <v>0</v>
      </c>
      <c r="AH34" s="312">
        <f t="shared" si="84"/>
        <v>0</v>
      </c>
      <c r="AI34" s="304"/>
      <c r="AJ34" s="310">
        <f>SUM(AJ32:AJ33)</f>
        <v>2267.9876300000019</v>
      </c>
      <c r="AK34" s="311">
        <f t="shared" ref="AK34:AL34" si="85">SUM(AK32:AK33)</f>
        <v>0</v>
      </c>
      <c r="AL34" s="312">
        <f t="shared" si="85"/>
        <v>0</v>
      </c>
      <c r="AM34" s="304"/>
      <c r="AN34" s="333">
        <f>SUM(AJ34:AL34)/SUM(X34:Z34)</f>
        <v>1.1423124621933697E-2</v>
      </c>
      <c r="AO34" s="334">
        <f t="shared" si="80"/>
        <v>1.5015455748453834E-2</v>
      </c>
      <c r="AP34" s="304"/>
      <c r="AQ34" s="310">
        <f>SUM(AQ32:AQ33)</f>
        <v>0</v>
      </c>
      <c r="AR34" s="311">
        <f t="shared" ref="AR34:AS34" si="86">SUM(AR32:AR33)</f>
        <v>0</v>
      </c>
      <c r="AS34" s="312">
        <f t="shared" si="86"/>
        <v>0</v>
      </c>
      <c r="AT34" s="304"/>
      <c r="AU34" s="305"/>
      <c r="AV34" s="305"/>
      <c r="AW34" s="304"/>
    </row>
    <row r="35" spans="1:51" x14ac:dyDescent="0.3">
      <c r="A35" s="85">
        <f t="shared" si="4"/>
        <v>28</v>
      </c>
      <c r="B35" s="709" t="str">
        <f>'WA Volumes &amp; Revenues'!B31</f>
        <v>41I Firm Transpt</v>
      </c>
      <c r="C35" s="710" t="s">
        <v>4</v>
      </c>
      <c r="D35" s="156"/>
      <c r="E35" s="121">
        <f>'Rates in Detail'!AC29</f>
        <v>7.2100000000000003E-3</v>
      </c>
      <c r="F35" s="121">
        <f>SUM('Rates in Detail'!AD29:AF29)</f>
        <v>-3.0999999999999999E-3</v>
      </c>
      <c r="G35" s="156"/>
      <c r="H35" s="156"/>
      <c r="I35" s="368">
        <f>'Rev Req Proof Yr2'!H35</f>
        <v>0.36059999999999998</v>
      </c>
      <c r="J35" s="758">
        <f t="shared" si="10"/>
        <v>0.36780999999999997</v>
      </c>
      <c r="K35" s="156"/>
      <c r="L35" s="154">
        <f>'Rev Req Proof Yr1'!K35</f>
        <v>500</v>
      </c>
      <c r="M35" s="155">
        <f>'Rev Req Proof Yr1'!L35</f>
        <v>500</v>
      </c>
      <c r="N35" s="121">
        <f>'Rev Req Proof Yr1'!M35</f>
        <v>0</v>
      </c>
      <c r="O35" s="121">
        <f>'Rev Req Proof Yr1'!N35</f>
        <v>0</v>
      </c>
      <c r="P35" s="121">
        <f>'Rev Req Proof Yr1'!O35</f>
        <v>0</v>
      </c>
      <c r="Q35" s="758">
        <f>'Rev Req Proof Yr1'!P35</f>
        <v>0</v>
      </c>
      <c r="R35" s="156"/>
      <c r="S35" s="293">
        <f>'Rev Req Proof Yr1'!R35</f>
        <v>0</v>
      </c>
      <c r="T35" s="294"/>
      <c r="U35" s="295">
        <f>'Rev Req Proof Yr1'!T35</f>
        <v>0</v>
      </c>
      <c r="V35" s="296">
        <f>'Rev Req Proof Yr1'!U35</f>
        <v>0</v>
      </c>
      <c r="W35" s="156"/>
      <c r="X35" s="308">
        <f t="shared" ref="X35:X36" si="87">(I35*S35)</f>
        <v>0</v>
      </c>
      <c r="Y35" s="304">
        <f t="shared" ref="Y35:Y36" si="88">(L35*U35*12)</f>
        <v>0</v>
      </c>
      <c r="Z35" s="309">
        <f t="shared" ref="Z35:Z36" si="89">(T35*(N35+P35))*12</f>
        <v>0</v>
      </c>
      <c r="AA35" s="304"/>
      <c r="AB35" s="308">
        <f t="shared" ref="AB35:AB36" si="90">(J35*S35)</f>
        <v>0</v>
      </c>
      <c r="AC35" s="304">
        <f t="shared" ref="AC35:AC36" si="91">(M35*U35*12)</f>
        <v>0</v>
      </c>
      <c r="AD35" s="309">
        <f t="shared" ref="AD35:AD36" si="92">(T35*(O35+Q35))*12</f>
        <v>0</v>
      </c>
      <c r="AE35" s="304"/>
      <c r="AF35" s="308">
        <f t="shared" ref="AF35:AF36" si="93">(F35*S35)</f>
        <v>0</v>
      </c>
      <c r="AG35" s="304">
        <v>0</v>
      </c>
      <c r="AH35" s="309">
        <v>0</v>
      </c>
      <c r="AI35" s="304"/>
      <c r="AJ35" s="308">
        <f t="shared" ref="AJ35:AJ36" si="94">AB35-X35+AF35</f>
        <v>0</v>
      </c>
      <c r="AK35" s="304">
        <f t="shared" ref="AK35:AL36" si="95">AC35-Y35-AG35</f>
        <v>0</v>
      </c>
      <c r="AL35" s="309">
        <f t="shared" si="95"/>
        <v>0</v>
      </c>
      <c r="AM35" s="304"/>
      <c r="AN35" s="333"/>
      <c r="AO35" s="335" t="e">
        <f t="shared" si="16"/>
        <v>#DIV/0!</v>
      </c>
      <c r="AP35" s="304"/>
      <c r="AQ35" s="308">
        <f t="shared" ref="AQ35:AQ36" si="96">(G35*S35)</f>
        <v>0</v>
      </c>
      <c r="AR35" s="304">
        <v>0</v>
      </c>
      <c r="AS35" s="309">
        <v>0</v>
      </c>
      <c r="AT35" s="304"/>
      <c r="AU35" s="305"/>
      <c r="AV35" s="305"/>
      <c r="AW35" s="304"/>
    </row>
    <row r="36" spans="1:51" x14ac:dyDescent="0.3">
      <c r="A36" s="85">
        <f t="shared" si="4"/>
        <v>29</v>
      </c>
      <c r="B36" s="709"/>
      <c r="C36" s="710" t="s">
        <v>5</v>
      </c>
      <c r="D36" s="156"/>
      <c r="E36" s="121">
        <f>'Rates in Detail'!AC30</f>
        <v>6.3499999999999997E-3</v>
      </c>
      <c r="F36" s="121">
        <f>SUM('Rates in Detail'!AD30:AF30)</f>
        <v>-2.7200000000000002E-3</v>
      </c>
      <c r="G36" s="156"/>
      <c r="H36" s="156"/>
      <c r="I36" s="368">
        <f>'Rev Req Proof Yr2'!H36</f>
        <v>0.31770999999999999</v>
      </c>
      <c r="J36" s="758">
        <f t="shared" si="10"/>
        <v>0.32406000000000001</v>
      </c>
      <c r="K36" s="156"/>
      <c r="L36" s="268"/>
      <c r="M36" s="54"/>
      <c r="N36" s="121"/>
      <c r="O36" s="121"/>
      <c r="P36" s="121"/>
      <c r="Q36" s="758"/>
      <c r="R36" s="156"/>
      <c r="S36" s="293">
        <f>'Rev Req Proof Yr1'!R36</f>
        <v>0</v>
      </c>
      <c r="T36" s="294"/>
      <c r="U36" s="295"/>
      <c r="V36" s="296"/>
      <c r="W36" s="156"/>
      <c r="X36" s="308">
        <f t="shared" si="87"/>
        <v>0</v>
      </c>
      <c r="Y36" s="304">
        <f t="shared" si="88"/>
        <v>0</v>
      </c>
      <c r="Z36" s="309">
        <f t="shared" si="89"/>
        <v>0</v>
      </c>
      <c r="AA36" s="304"/>
      <c r="AB36" s="308">
        <f t="shared" si="90"/>
        <v>0</v>
      </c>
      <c r="AC36" s="304">
        <f t="shared" si="91"/>
        <v>0</v>
      </c>
      <c r="AD36" s="309">
        <f t="shared" si="92"/>
        <v>0</v>
      </c>
      <c r="AE36" s="304"/>
      <c r="AF36" s="308">
        <f t="shared" si="93"/>
        <v>0</v>
      </c>
      <c r="AG36" s="304">
        <v>0</v>
      </c>
      <c r="AH36" s="309">
        <v>0</v>
      </c>
      <c r="AI36" s="304"/>
      <c r="AJ36" s="308">
        <f t="shared" si="94"/>
        <v>0</v>
      </c>
      <c r="AK36" s="304">
        <f t="shared" si="95"/>
        <v>0</v>
      </c>
      <c r="AL36" s="309">
        <f t="shared" si="95"/>
        <v>0</v>
      </c>
      <c r="AM36" s="304"/>
      <c r="AN36" s="333"/>
      <c r="AO36" s="335" t="e">
        <f t="shared" si="16"/>
        <v>#DIV/0!</v>
      </c>
      <c r="AP36" s="304"/>
      <c r="AQ36" s="308">
        <f t="shared" si="96"/>
        <v>0</v>
      </c>
      <c r="AR36" s="304">
        <v>0</v>
      </c>
      <c r="AS36" s="309">
        <v>0</v>
      </c>
      <c r="AT36" s="304"/>
      <c r="AU36" s="305"/>
      <c r="AV36" s="305"/>
      <c r="AW36" s="304"/>
    </row>
    <row r="37" spans="1:51" x14ac:dyDescent="0.3">
      <c r="A37" s="85">
        <f t="shared" si="4"/>
        <v>30</v>
      </c>
      <c r="B37" s="707"/>
      <c r="C37" s="726" t="s">
        <v>76</v>
      </c>
      <c r="D37" s="152"/>
      <c r="E37" s="122"/>
      <c r="F37" s="122"/>
      <c r="G37" s="152"/>
      <c r="H37" s="152"/>
      <c r="I37" s="363"/>
      <c r="J37" s="757"/>
      <c r="K37" s="156"/>
      <c r="L37" s="268"/>
      <c r="M37" s="54"/>
      <c r="N37" s="121"/>
      <c r="O37" s="121"/>
      <c r="P37" s="121"/>
      <c r="Q37" s="758"/>
      <c r="R37" s="156"/>
      <c r="S37" s="293"/>
      <c r="T37" s="294"/>
      <c r="U37" s="295"/>
      <c r="V37" s="296"/>
      <c r="W37" s="156"/>
      <c r="X37" s="310">
        <f>SUM(X35:X36)</f>
        <v>0</v>
      </c>
      <c r="Y37" s="311">
        <f t="shared" ref="Y37:Z37" si="97">SUM(Y35:Y36)</f>
        <v>0</v>
      </c>
      <c r="Z37" s="312">
        <f t="shared" si="97"/>
        <v>0</v>
      </c>
      <c r="AA37" s="304"/>
      <c r="AB37" s="310">
        <f>SUM(AB35:AB36)</f>
        <v>0</v>
      </c>
      <c r="AC37" s="311">
        <f t="shared" ref="AC37:AD37" si="98">SUM(AC35:AC36)</f>
        <v>0</v>
      </c>
      <c r="AD37" s="312">
        <f t="shared" si="98"/>
        <v>0</v>
      </c>
      <c r="AE37" s="304"/>
      <c r="AF37" s="310">
        <f>SUM(AF35:AF36)</f>
        <v>0</v>
      </c>
      <c r="AG37" s="311">
        <f t="shared" ref="AG37:AH37" si="99">SUM(AG35:AG36)</f>
        <v>0</v>
      </c>
      <c r="AH37" s="312">
        <f t="shared" si="99"/>
        <v>0</v>
      </c>
      <c r="AI37" s="304"/>
      <c r="AJ37" s="310">
        <f>SUM(AJ35:AJ36)</f>
        <v>0</v>
      </c>
      <c r="AK37" s="311">
        <f t="shared" ref="AK37:AL37" si="100">SUM(AK35:AK36)</f>
        <v>0</v>
      </c>
      <c r="AL37" s="312">
        <f t="shared" si="100"/>
        <v>0</v>
      </c>
      <c r="AM37" s="304"/>
      <c r="AN37" s="333" t="e">
        <f>SUM(AJ37:AL37)/SUM(X37:Z37)</f>
        <v>#DIV/0!</v>
      </c>
      <c r="AO37" s="334" t="e">
        <f t="shared" si="16"/>
        <v>#DIV/0!</v>
      </c>
      <c r="AP37" s="304"/>
      <c r="AQ37" s="310">
        <f>SUM(AQ35:AQ36)</f>
        <v>0</v>
      </c>
      <c r="AR37" s="311">
        <f t="shared" ref="AR37:AS37" si="101">SUM(AR35:AR36)</f>
        <v>0</v>
      </c>
      <c r="AS37" s="312">
        <f t="shared" si="101"/>
        <v>0</v>
      </c>
      <c r="AT37" s="304"/>
      <c r="AU37" s="305"/>
      <c r="AV37" s="305"/>
      <c r="AW37" s="304"/>
    </row>
    <row r="38" spans="1:51" x14ac:dyDescent="0.3">
      <c r="A38" s="85">
        <f t="shared" si="4"/>
        <v>31</v>
      </c>
      <c r="B38" s="709" t="str">
        <f>'WA Volumes &amp; Revenues'!B33</f>
        <v>42C Firm Sales</v>
      </c>
      <c r="C38" s="710" t="s">
        <v>4</v>
      </c>
      <c r="D38" s="156"/>
      <c r="E38" s="121">
        <f>'Rates in Detail'!AC31</f>
        <v>2.095E-2</v>
      </c>
      <c r="F38" s="121">
        <f>SUM('Rates in Detail'!AD31:AF31)</f>
        <v>-8.77E-3</v>
      </c>
      <c r="G38" s="156"/>
      <c r="H38" s="156"/>
      <c r="I38" s="368">
        <f>'Rev Req Proof Yr2'!H38</f>
        <v>0.18714</v>
      </c>
      <c r="J38" s="758">
        <f t="shared" si="10"/>
        <v>0.20809</v>
      </c>
      <c r="K38" s="156"/>
      <c r="L38" s="154">
        <f>'Rev Req Proof Yr1'!K38</f>
        <v>1300</v>
      </c>
      <c r="M38" s="155">
        <f>'Rev Req Proof Yr1'!L38</f>
        <v>1300</v>
      </c>
      <c r="N38" s="121">
        <f>'Rev Req Proof Yr1'!M38</f>
        <v>0.15748000000000001</v>
      </c>
      <c r="O38" s="121">
        <f>'Rev Req Proof Yr1'!N38</f>
        <v>0.15748000000000001</v>
      </c>
      <c r="P38" s="121">
        <f>'Rev Req Proof Yr1'!O38</f>
        <v>0.20415</v>
      </c>
      <c r="Q38" s="758">
        <f>'Rev Req Proof Yr1'!P38</f>
        <v>0.20415</v>
      </c>
      <c r="R38" s="156"/>
      <c r="S38" s="293">
        <f>'Rev Req Proof Yr1'!R38</f>
        <v>350769.66174469434</v>
      </c>
      <c r="T38" s="294">
        <f>'Rev Req Proof Yr1'!S38</f>
        <v>6761</v>
      </c>
      <c r="U38" s="295">
        <f>'Rev Req Proof Yr1'!T38</f>
        <v>5</v>
      </c>
      <c r="V38" s="296">
        <f>'Rev Req Proof Yr1'!U38</f>
        <v>11949</v>
      </c>
      <c r="W38" s="156"/>
      <c r="X38" s="308">
        <f t="shared" ref="X38:X43" si="102">(I38*S38)</f>
        <v>65643.034498902096</v>
      </c>
      <c r="Y38" s="304">
        <f t="shared" ref="Y38:Y43" si="103">(L38*U38*12)</f>
        <v>78000</v>
      </c>
      <c r="Z38" s="309">
        <f t="shared" ref="Z38:Z43" si="104">(T38*(N38+P38))*12</f>
        <v>29339.765160000003</v>
      </c>
      <c r="AA38" s="304"/>
      <c r="AB38" s="308">
        <f t="shared" ref="AB38:AB43" si="105">(J38*S38)</f>
        <v>72991.658912453451</v>
      </c>
      <c r="AC38" s="304">
        <f t="shared" ref="AC38:AC43" si="106">(M38*U38*12)</f>
        <v>78000</v>
      </c>
      <c r="AD38" s="309">
        <f t="shared" ref="AD38:AD43" si="107">(T38*(O38+Q38))*12</f>
        <v>29339.765160000003</v>
      </c>
      <c r="AE38" s="304"/>
      <c r="AF38" s="308">
        <f t="shared" ref="AF38:AF43" si="108">(F38*S38)</f>
        <v>-3076.2499335009693</v>
      </c>
      <c r="AG38" s="304">
        <v>0</v>
      </c>
      <c r="AH38" s="309">
        <v>0</v>
      </c>
      <c r="AI38" s="304"/>
      <c r="AJ38" s="308">
        <f t="shared" ref="AJ38:AJ43" si="109">AB38-X38+AF38</f>
        <v>4272.3744800503864</v>
      </c>
      <c r="AK38" s="304">
        <f t="shared" ref="AK38:AL43" si="110">AC38-Y38-AG38</f>
        <v>0</v>
      </c>
      <c r="AL38" s="309">
        <f t="shared" si="110"/>
        <v>0</v>
      </c>
      <c r="AM38" s="304"/>
      <c r="AN38" s="333"/>
      <c r="AO38" s="335">
        <f t="shared" si="16"/>
        <v>6.5084963129208223E-2</v>
      </c>
      <c r="AP38" s="304"/>
      <c r="AQ38" s="308">
        <f t="shared" ref="AQ38:AQ43" si="111">(G38*S38)</f>
        <v>0</v>
      </c>
      <c r="AR38" s="304">
        <v>0</v>
      </c>
      <c r="AS38" s="309">
        <v>0</v>
      </c>
      <c r="AT38" s="304"/>
      <c r="AU38" s="305"/>
      <c r="AV38" s="305"/>
      <c r="AW38" s="304"/>
    </row>
    <row r="39" spans="1:51" x14ac:dyDescent="0.3">
      <c r="A39" s="85">
        <f t="shared" si="4"/>
        <v>32</v>
      </c>
      <c r="B39" s="709"/>
      <c r="C39" s="710" t="s">
        <v>5</v>
      </c>
      <c r="D39" s="156"/>
      <c r="E39" s="121">
        <f>'Rates in Detail'!AC32</f>
        <v>1.8749999999999999E-2</v>
      </c>
      <c r="F39" s="121">
        <f>SUM('Rates in Detail'!AD32:AF32)</f>
        <v>-7.8600000000000007E-3</v>
      </c>
      <c r="G39" s="156"/>
      <c r="H39" s="156"/>
      <c r="I39" s="368">
        <f>'Rev Req Proof Yr2'!H39</f>
        <v>0.16750999999999999</v>
      </c>
      <c r="J39" s="758">
        <f t="shared" si="10"/>
        <v>0.18625999999999998</v>
      </c>
      <c r="K39" s="156"/>
      <c r="L39" s="154"/>
      <c r="M39" s="155"/>
      <c r="N39" s="121"/>
      <c r="O39" s="121"/>
      <c r="P39" s="121"/>
      <c r="Q39" s="758"/>
      <c r="R39" s="156"/>
      <c r="S39" s="293">
        <f>'Rev Req Proof Yr1'!R39</f>
        <v>303088.75426472601</v>
      </c>
      <c r="T39" s="294"/>
      <c r="U39" s="295"/>
      <c r="V39" s="296"/>
      <c r="W39" s="156"/>
      <c r="X39" s="308">
        <f t="shared" si="102"/>
        <v>50770.397226884255</v>
      </c>
      <c r="Y39" s="304">
        <f t="shared" si="103"/>
        <v>0</v>
      </c>
      <c r="Z39" s="309">
        <f t="shared" si="104"/>
        <v>0</v>
      </c>
      <c r="AA39" s="304"/>
      <c r="AB39" s="308">
        <f t="shared" si="105"/>
        <v>56453.311369347859</v>
      </c>
      <c r="AC39" s="304">
        <f t="shared" si="106"/>
        <v>0</v>
      </c>
      <c r="AD39" s="309">
        <f t="shared" si="107"/>
        <v>0</v>
      </c>
      <c r="AE39" s="304"/>
      <c r="AF39" s="308">
        <f t="shared" si="108"/>
        <v>-2382.2776085207465</v>
      </c>
      <c r="AG39" s="304">
        <v>0</v>
      </c>
      <c r="AH39" s="309">
        <v>0</v>
      </c>
      <c r="AI39" s="304"/>
      <c r="AJ39" s="308">
        <f t="shared" si="109"/>
        <v>3300.6365339428571</v>
      </c>
      <c r="AK39" s="304">
        <f t="shared" si="110"/>
        <v>0</v>
      </c>
      <c r="AL39" s="309">
        <f t="shared" si="110"/>
        <v>0</v>
      </c>
      <c r="AM39" s="304"/>
      <c r="AN39" s="333"/>
      <c r="AO39" s="335">
        <f t="shared" si="16"/>
        <v>6.501104411676896E-2</v>
      </c>
      <c r="AP39" s="304"/>
      <c r="AQ39" s="308">
        <f t="shared" si="111"/>
        <v>0</v>
      </c>
      <c r="AR39" s="304">
        <v>0</v>
      </c>
      <c r="AS39" s="309">
        <v>0</v>
      </c>
      <c r="AT39" s="304"/>
      <c r="AU39" s="305"/>
      <c r="AV39" s="305"/>
      <c r="AW39" s="304"/>
    </row>
    <row r="40" spans="1:51" x14ac:dyDescent="0.3">
      <c r="A40" s="85">
        <f t="shared" si="4"/>
        <v>33</v>
      </c>
      <c r="B40" s="709"/>
      <c r="C40" s="710" t="s">
        <v>6</v>
      </c>
      <c r="D40" s="156"/>
      <c r="E40" s="121">
        <f>'Rates in Detail'!AC33</f>
        <v>1.438E-2</v>
      </c>
      <c r="F40" s="121">
        <f>SUM('Rates in Detail'!AD33:AF33)</f>
        <v>-6.0299999999999998E-3</v>
      </c>
      <c r="G40" s="156"/>
      <c r="H40" s="156"/>
      <c r="I40" s="368">
        <f>'Rev Req Proof Yr2'!H40</f>
        <v>0.12848000000000001</v>
      </c>
      <c r="J40" s="758">
        <f t="shared" si="10"/>
        <v>0.14286000000000001</v>
      </c>
      <c r="K40" s="156"/>
      <c r="L40" s="268"/>
      <c r="M40" s="54"/>
      <c r="N40" s="121"/>
      <c r="O40" s="121"/>
      <c r="P40" s="121"/>
      <c r="Q40" s="758"/>
      <c r="R40" s="156"/>
      <c r="S40" s="293">
        <f>'Rev Req Proof Yr1'!R40</f>
        <v>59441.942130257296</v>
      </c>
      <c r="T40" s="294"/>
      <c r="U40" s="295"/>
      <c r="V40" s="296"/>
      <c r="W40" s="156"/>
      <c r="X40" s="308">
        <f t="shared" si="102"/>
        <v>7637.1007248954584</v>
      </c>
      <c r="Y40" s="304">
        <f t="shared" si="103"/>
        <v>0</v>
      </c>
      <c r="Z40" s="309">
        <f t="shared" si="104"/>
        <v>0</v>
      </c>
      <c r="AA40" s="304"/>
      <c r="AB40" s="308">
        <f t="shared" si="105"/>
        <v>8491.8758527285572</v>
      </c>
      <c r="AC40" s="304">
        <f t="shared" si="106"/>
        <v>0</v>
      </c>
      <c r="AD40" s="309">
        <f t="shared" si="107"/>
        <v>0</v>
      </c>
      <c r="AE40" s="304"/>
      <c r="AF40" s="308">
        <f t="shared" si="108"/>
        <v>-358.43491104545149</v>
      </c>
      <c r="AG40" s="304">
        <v>0</v>
      </c>
      <c r="AH40" s="309">
        <v>0</v>
      </c>
      <c r="AI40" s="304"/>
      <c r="AJ40" s="308">
        <f t="shared" si="109"/>
        <v>496.34021678764736</v>
      </c>
      <c r="AK40" s="304">
        <f t="shared" si="110"/>
        <v>0</v>
      </c>
      <c r="AL40" s="309">
        <f t="shared" si="110"/>
        <v>0</v>
      </c>
      <c r="AM40" s="304"/>
      <c r="AN40" s="333"/>
      <c r="AO40" s="335">
        <f t="shared" si="16"/>
        <v>6.4990660024906458E-2</v>
      </c>
      <c r="AP40" s="304"/>
      <c r="AQ40" s="308">
        <f t="shared" si="111"/>
        <v>0</v>
      </c>
      <c r="AR40" s="304">
        <v>0</v>
      </c>
      <c r="AS40" s="309">
        <v>0</v>
      </c>
      <c r="AT40" s="304"/>
      <c r="AU40" s="305"/>
      <c r="AV40" s="305"/>
      <c r="AW40" s="304"/>
    </row>
    <row r="41" spans="1:51" x14ac:dyDescent="0.3">
      <c r="A41" s="85">
        <f t="shared" si="4"/>
        <v>34</v>
      </c>
      <c r="B41" s="709"/>
      <c r="C41" s="710" t="s">
        <v>7</v>
      </c>
      <c r="D41" s="156"/>
      <c r="E41" s="121">
        <f>'Rates in Detail'!AC34</f>
        <v>1.1509999999999999E-2</v>
      </c>
      <c r="F41" s="121">
        <f>SUM('Rates in Detail'!AD34:AF34)</f>
        <v>-4.8199999999999996E-3</v>
      </c>
      <c r="G41" s="156"/>
      <c r="H41" s="156"/>
      <c r="I41" s="368">
        <f>'Rev Req Proof Yr2'!H41</f>
        <v>0.10277</v>
      </c>
      <c r="J41" s="758">
        <f t="shared" si="10"/>
        <v>0.11427999999999999</v>
      </c>
      <c r="K41" s="156"/>
      <c r="L41" s="154"/>
      <c r="M41" s="155"/>
      <c r="N41" s="121"/>
      <c r="O41" s="121"/>
      <c r="P41" s="121"/>
      <c r="Q41" s="758"/>
      <c r="R41" s="156"/>
      <c r="S41" s="293">
        <f>'Rev Req Proof Yr1'!R41</f>
        <v>3614.6071898605187</v>
      </c>
      <c r="T41" s="294"/>
      <c r="U41" s="295"/>
      <c r="V41" s="296"/>
      <c r="W41" s="156"/>
      <c r="X41" s="308">
        <f t="shared" si="102"/>
        <v>371.47318090196552</v>
      </c>
      <c r="Y41" s="304">
        <f t="shared" si="103"/>
        <v>0</v>
      </c>
      <c r="Z41" s="309">
        <f t="shared" si="104"/>
        <v>0</v>
      </c>
      <c r="AA41" s="304"/>
      <c r="AB41" s="308">
        <f t="shared" si="105"/>
        <v>413.07730965726006</v>
      </c>
      <c r="AC41" s="304">
        <f t="shared" si="106"/>
        <v>0</v>
      </c>
      <c r="AD41" s="309">
        <f t="shared" si="107"/>
        <v>0</v>
      </c>
      <c r="AE41" s="304"/>
      <c r="AF41" s="308">
        <f t="shared" si="108"/>
        <v>-17.422406655127698</v>
      </c>
      <c r="AG41" s="304">
        <v>0</v>
      </c>
      <c r="AH41" s="309">
        <v>0</v>
      </c>
      <c r="AI41" s="304"/>
      <c r="AJ41" s="308">
        <f t="shared" si="109"/>
        <v>24.181722100166841</v>
      </c>
      <c r="AK41" s="304">
        <f t="shared" si="110"/>
        <v>0</v>
      </c>
      <c r="AL41" s="309">
        <f t="shared" si="110"/>
        <v>0</v>
      </c>
      <c r="AM41" s="304"/>
      <c r="AN41" s="333"/>
      <c r="AO41" s="335">
        <f t="shared" si="16"/>
        <v>6.5096818137588705E-2</v>
      </c>
      <c r="AP41" s="304"/>
      <c r="AQ41" s="308">
        <f t="shared" si="111"/>
        <v>0</v>
      </c>
      <c r="AR41" s="304">
        <v>0</v>
      </c>
      <c r="AS41" s="309">
        <v>0</v>
      </c>
      <c r="AT41" s="304"/>
      <c r="AU41" s="305"/>
      <c r="AV41" s="305"/>
      <c r="AW41" s="304"/>
    </row>
    <row r="42" spans="1:51" x14ac:dyDescent="0.3">
      <c r="A42" s="85">
        <f t="shared" si="4"/>
        <v>35</v>
      </c>
      <c r="B42" s="709"/>
      <c r="C42" s="710" t="s">
        <v>8</v>
      </c>
      <c r="D42" s="156"/>
      <c r="E42" s="121">
        <f>'Rates in Detail'!AC35</f>
        <v>7.6699999999999997E-3</v>
      </c>
      <c r="F42" s="121">
        <f>SUM('Rates in Detail'!AD35:AF35)</f>
        <v>-3.2100000000000002E-3</v>
      </c>
      <c r="G42" s="156"/>
      <c r="H42" s="156"/>
      <c r="I42" s="368">
        <f>'Rev Req Proof Yr2'!H42</f>
        <v>6.8510000000000001E-2</v>
      </c>
      <c r="J42" s="758">
        <f t="shared" si="10"/>
        <v>7.6179999999999998E-2</v>
      </c>
      <c r="K42" s="156"/>
      <c r="L42" s="154"/>
      <c r="M42" s="155"/>
      <c r="N42" s="121"/>
      <c r="O42" s="121"/>
      <c r="P42" s="121"/>
      <c r="Q42" s="758"/>
      <c r="R42" s="156"/>
      <c r="S42" s="293">
        <f>'Rev Req Proof Yr1'!R42</f>
        <v>0</v>
      </c>
      <c r="T42" s="294"/>
      <c r="U42" s="295"/>
      <c r="V42" s="296"/>
      <c r="W42" s="156"/>
      <c r="X42" s="308">
        <f t="shared" si="102"/>
        <v>0</v>
      </c>
      <c r="Y42" s="304">
        <f t="shared" si="103"/>
        <v>0</v>
      </c>
      <c r="Z42" s="309">
        <f t="shared" si="104"/>
        <v>0</v>
      </c>
      <c r="AA42" s="304"/>
      <c r="AB42" s="308">
        <f t="shared" si="105"/>
        <v>0</v>
      </c>
      <c r="AC42" s="304">
        <f t="shared" si="106"/>
        <v>0</v>
      </c>
      <c r="AD42" s="309">
        <f t="shared" si="107"/>
        <v>0</v>
      </c>
      <c r="AE42" s="304"/>
      <c r="AF42" s="308">
        <f t="shared" si="108"/>
        <v>0</v>
      </c>
      <c r="AG42" s="304">
        <v>0</v>
      </c>
      <c r="AH42" s="309">
        <v>0</v>
      </c>
      <c r="AI42" s="304"/>
      <c r="AJ42" s="308">
        <f t="shared" si="109"/>
        <v>0</v>
      </c>
      <c r="AK42" s="304">
        <f t="shared" si="110"/>
        <v>0</v>
      </c>
      <c r="AL42" s="309">
        <f t="shared" si="110"/>
        <v>0</v>
      </c>
      <c r="AM42" s="304"/>
      <c r="AN42" s="333"/>
      <c r="AO42" s="335">
        <f>AO41</f>
        <v>6.5096818137588705E-2</v>
      </c>
      <c r="AP42" s="304"/>
      <c r="AQ42" s="308">
        <f t="shared" si="111"/>
        <v>0</v>
      </c>
      <c r="AR42" s="304">
        <v>0</v>
      </c>
      <c r="AS42" s="309">
        <v>0</v>
      </c>
      <c r="AT42" s="304"/>
      <c r="AU42" s="305"/>
      <c r="AV42" s="305"/>
      <c r="AW42" s="304"/>
    </row>
    <row r="43" spans="1:51" x14ac:dyDescent="0.3">
      <c r="A43" s="85">
        <f t="shared" si="4"/>
        <v>36</v>
      </c>
      <c r="B43" s="709"/>
      <c r="C43" s="710" t="s">
        <v>9</v>
      </c>
      <c r="D43" s="156"/>
      <c r="E43" s="121">
        <f>'Rates in Detail'!AC36</f>
        <v>2.8800000000000002E-3</v>
      </c>
      <c r="F43" s="121">
        <f>SUM('Rates in Detail'!AD36:AF36)</f>
        <v>-1.2000000000000001E-3</v>
      </c>
      <c r="G43" s="156"/>
      <c r="H43" s="156"/>
      <c r="I43" s="368">
        <f>'Rev Req Proof Yr2'!H43</f>
        <v>2.5680000000000001E-2</v>
      </c>
      <c r="J43" s="758">
        <f t="shared" si="10"/>
        <v>2.8560000000000002E-2</v>
      </c>
      <c r="K43" s="156"/>
      <c r="L43" s="268"/>
      <c r="M43" s="54"/>
      <c r="N43" s="121"/>
      <c r="O43" s="121"/>
      <c r="P43" s="121"/>
      <c r="Q43" s="758"/>
      <c r="R43" s="156"/>
      <c r="S43" s="293">
        <f>'Rev Req Proof Yr1'!R43</f>
        <v>0</v>
      </c>
      <c r="T43" s="294"/>
      <c r="U43" s="295"/>
      <c r="V43" s="296"/>
      <c r="W43" s="156"/>
      <c r="X43" s="308">
        <f t="shared" si="102"/>
        <v>0</v>
      </c>
      <c r="Y43" s="304">
        <f t="shared" si="103"/>
        <v>0</v>
      </c>
      <c r="Z43" s="309">
        <f t="shared" si="104"/>
        <v>0</v>
      </c>
      <c r="AA43" s="304"/>
      <c r="AB43" s="308">
        <f t="shared" si="105"/>
        <v>0</v>
      </c>
      <c r="AC43" s="304">
        <f t="shared" si="106"/>
        <v>0</v>
      </c>
      <c r="AD43" s="309">
        <f t="shared" si="107"/>
        <v>0</v>
      </c>
      <c r="AE43" s="304"/>
      <c r="AF43" s="308">
        <f t="shared" si="108"/>
        <v>0</v>
      </c>
      <c r="AG43" s="304">
        <v>0</v>
      </c>
      <c r="AH43" s="309">
        <v>0</v>
      </c>
      <c r="AI43" s="304"/>
      <c r="AJ43" s="308">
        <f t="shared" si="109"/>
        <v>0</v>
      </c>
      <c r="AK43" s="304">
        <f t="shared" si="110"/>
        <v>0</v>
      </c>
      <c r="AL43" s="309">
        <f t="shared" si="110"/>
        <v>0</v>
      </c>
      <c r="AM43" s="304"/>
      <c r="AN43" s="333"/>
      <c r="AO43" s="335">
        <f>AO42</f>
        <v>6.5096818137588705E-2</v>
      </c>
      <c r="AP43" s="304"/>
      <c r="AQ43" s="308">
        <f t="shared" si="111"/>
        <v>0</v>
      </c>
      <c r="AR43" s="304">
        <v>0</v>
      </c>
      <c r="AS43" s="309">
        <v>0</v>
      </c>
      <c r="AT43" s="304"/>
      <c r="AU43" s="305"/>
      <c r="AV43" s="305"/>
      <c r="AW43" s="304"/>
    </row>
    <row r="44" spans="1:51" x14ac:dyDescent="0.3">
      <c r="A44" s="85">
        <f t="shared" si="4"/>
        <v>37</v>
      </c>
      <c r="B44" s="707"/>
      <c r="C44" s="726" t="s">
        <v>76</v>
      </c>
      <c r="D44" s="152"/>
      <c r="E44" s="122"/>
      <c r="F44" s="122"/>
      <c r="G44" s="152"/>
      <c r="H44" s="152"/>
      <c r="I44" s="363"/>
      <c r="J44" s="757"/>
      <c r="K44" s="156"/>
      <c r="L44" s="268"/>
      <c r="M44" s="54"/>
      <c r="N44" s="121"/>
      <c r="O44" s="121"/>
      <c r="P44" s="121"/>
      <c r="Q44" s="758"/>
      <c r="R44" s="156"/>
      <c r="S44" s="293"/>
      <c r="T44" s="294"/>
      <c r="U44" s="295"/>
      <c r="V44" s="296"/>
      <c r="W44" s="156"/>
      <c r="X44" s="310">
        <f>SUM(X38:X43)</f>
        <v>124422.00563158379</v>
      </c>
      <c r="Y44" s="311">
        <f>SUM(Y38:Y43)</f>
        <v>78000</v>
      </c>
      <c r="Z44" s="312">
        <f>SUM(Z38:Z43)</f>
        <v>29339.765160000003</v>
      </c>
      <c r="AA44" s="304"/>
      <c r="AB44" s="310">
        <f>SUM(AB38:AB43)</f>
        <v>138349.92344418712</v>
      </c>
      <c r="AC44" s="311">
        <f>SUM(AC38:AC43)</f>
        <v>78000</v>
      </c>
      <c r="AD44" s="312">
        <f>SUM(AD38:AD43)</f>
        <v>29339.765160000003</v>
      </c>
      <c r="AE44" s="304"/>
      <c r="AF44" s="310">
        <f>SUM(AF38:AF43)</f>
        <v>-5834.384859722295</v>
      </c>
      <c r="AG44" s="311">
        <f>SUM(AG38:AG43)</f>
        <v>0</v>
      </c>
      <c r="AH44" s="312">
        <f>SUM(AH38:AH43)</f>
        <v>0</v>
      </c>
      <c r="AI44" s="304"/>
      <c r="AJ44" s="310">
        <f>SUM(AJ38:AJ43)</f>
        <v>8093.532952881058</v>
      </c>
      <c r="AK44" s="311">
        <f>SUM(AK38:AK43)</f>
        <v>0</v>
      </c>
      <c r="AL44" s="312">
        <f>SUM(AL38:AL43)</f>
        <v>0</v>
      </c>
      <c r="AM44" s="304"/>
      <c r="AN44" s="333">
        <f>SUM(AJ44:AL44)/SUM(X44:Z44)</f>
        <v>3.4921777328666172E-2</v>
      </c>
      <c r="AO44" s="334">
        <f>SUM(AJ44)/SUM(X44)</f>
        <v>6.5049047487999681E-2</v>
      </c>
      <c r="AP44" s="304"/>
      <c r="AQ44" s="310">
        <f>SUM(AQ38:AQ43)</f>
        <v>0</v>
      </c>
      <c r="AR44" s="311">
        <f>SUM(AR38:AR43)</f>
        <v>0</v>
      </c>
      <c r="AS44" s="312">
        <f>SUM(AS38:AS43)</f>
        <v>0</v>
      </c>
      <c r="AT44" s="304"/>
      <c r="AU44" s="305"/>
      <c r="AV44" s="305"/>
      <c r="AW44" s="304"/>
    </row>
    <row r="45" spans="1:51" x14ac:dyDescent="0.3">
      <c r="A45" s="85">
        <f t="shared" si="4"/>
        <v>38</v>
      </c>
      <c r="B45" s="709" t="str">
        <f>'WA Volumes &amp; Revenues'!B39</f>
        <v>42I Firm Sales</v>
      </c>
      <c r="C45" s="710" t="s">
        <v>4</v>
      </c>
      <c r="D45" s="156"/>
      <c r="E45" s="121">
        <f>'Rates in Detail'!AC37</f>
        <v>6.1399999999999996E-3</v>
      </c>
      <c r="F45" s="121">
        <f>SUM('Rates in Detail'!AD37:AF37)</f>
        <v>-2.6300000000000004E-3</v>
      </c>
      <c r="G45" s="156"/>
      <c r="H45" s="156"/>
      <c r="I45" s="368">
        <f>'Rev Req Proof Yr2'!H45</f>
        <v>0.16067999999999999</v>
      </c>
      <c r="J45" s="758">
        <f t="shared" si="10"/>
        <v>0.16682</v>
      </c>
      <c r="K45" s="156"/>
      <c r="L45" s="154">
        <f>'Rev Req Proof Yr1'!K45</f>
        <v>1300</v>
      </c>
      <c r="M45" s="155">
        <f>'Rev Req Proof Yr1'!L45</f>
        <v>1300</v>
      </c>
      <c r="N45" s="121">
        <f>'Rev Req Proof Yr1'!M45</f>
        <v>0.15748000000000001</v>
      </c>
      <c r="O45" s="121">
        <f>'Rev Req Proof Yr1'!N45</f>
        <v>0.15748000000000001</v>
      </c>
      <c r="P45" s="121">
        <f>'Rev Req Proof Yr1'!O45</f>
        <v>0.20415</v>
      </c>
      <c r="Q45" s="758">
        <f>'Rev Req Proof Yr1'!P45</f>
        <v>0.20415</v>
      </c>
      <c r="R45" s="156"/>
      <c r="S45" s="293">
        <f>'Rev Req Proof Yr1'!R45</f>
        <v>1093724.2000000002</v>
      </c>
      <c r="T45" s="294">
        <f>'Rev Req Proof Yr1'!S45</f>
        <v>9556</v>
      </c>
      <c r="U45" s="295">
        <f>'Rev Req Proof Yr1'!T45</f>
        <v>11.916666666666666</v>
      </c>
      <c r="V45" s="296">
        <f>'Rev Req Proof Yr1'!U45</f>
        <v>12869</v>
      </c>
      <c r="W45" s="156"/>
      <c r="X45" s="308">
        <f t="shared" ref="X45:X50" si="112">(I45*S45)</f>
        <v>175739.60445600003</v>
      </c>
      <c r="Y45" s="304">
        <f t="shared" ref="Y45:Y50" si="113">(L45*U45*12)</f>
        <v>185900</v>
      </c>
      <c r="Z45" s="309">
        <f t="shared" ref="Z45:Z50" si="114">(T45*(N45+P45))*12</f>
        <v>41468.835359999997</v>
      </c>
      <c r="AA45" s="304"/>
      <c r="AB45" s="308">
        <f t="shared" ref="AB45:AB50" si="115">(J45*S45)</f>
        <v>182455.07104400004</v>
      </c>
      <c r="AC45" s="304">
        <f t="shared" ref="AC45:AC50" si="116">(M45*U45*12)</f>
        <v>185900</v>
      </c>
      <c r="AD45" s="309">
        <f t="shared" ref="AD45:AD50" si="117">(T45*(O45+Q45))*12</f>
        <v>41468.835359999997</v>
      </c>
      <c r="AE45" s="304"/>
      <c r="AF45" s="308">
        <f t="shared" ref="AF45:AF50" si="118">(F45*S45)</f>
        <v>-2876.494646000001</v>
      </c>
      <c r="AG45" s="304">
        <v>0</v>
      </c>
      <c r="AH45" s="309">
        <v>0</v>
      </c>
      <c r="AI45" s="304"/>
      <c r="AJ45" s="308">
        <f t="shared" ref="AJ45:AJ50" si="119">AB45-X45+AF45</f>
        <v>3838.9719420000092</v>
      </c>
      <c r="AK45" s="304">
        <f t="shared" ref="AK45:AL50" si="120">AC45-Y45-AG45</f>
        <v>0</v>
      </c>
      <c r="AL45" s="309">
        <f t="shared" si="120"/>
        <v>0</v>
      </c>
      <c r="AM45" s="304"/>
      <c r="AN45" s="333"/>
      <c r="AO45" s="335">
        <f>SUM(AJ45)/SUM(X45)</f>
        <v>2.1844660194174807E-2</v>
      </c>
      <c r="AP45" s="304"/>
      <c r="AQ45" s="308">
        <f t="shared" ref="AQ45:AQ50" si="121">(G45*S45)</f>
        <v>0</v>
      </c>
      <c r="AR45" s="304">
        <v>0</v>
      </c>
      <c r="AS45" s="309">
        <v>0</v>
      </c>
      <c r="AT45" s="304"/>
      <c r="AU45" s="305"/>
      <c r="AV45" s="305"/>
      <c r="AW45" s="304"/>
    </row>
    <row r="46" spans="1:51" x14ac:dyDescent="0.3">
      <c r="A46" s="85">
        <f t="shared" si="4"/>
        <v>39</v>
      </c>
      <c r="B46" s="709"/>
      <c r="C46" s="710" t="s">
        <v>5</v>
      </c>
      <c r="D46" s="156"/>
      <c r="E46" s="121">
        <f>'Rates in Detail'!AC38</f>
        <v>5.4999999999999997E-3</v>
      </c>
      <c r="F46" s="121">
        <f>SUM('Rates in Detail'!AD38:AF38)</f>
        <v>-2.3600000000000001E-3</v>
      </c>
      <c r="G46" s="156"/>
      <c r="H46" s="156"/>
      <c r="I46" s="368">
        <f>'Rev Req Proof Yr2'!H46</f>
        <v>0.14383000000000001</v>
      </c>
      <c r="J46" s="758">
        <f t="shared" si="10"/>
        <v>0.14933000000000002</v>
      </c>
      <c r="K46" s="156"/>
      <c r="L46" s="154"/>
      <c r="M46" s="155"/>
      <c r="N46" s="121"/>
      <c r="O46" s="121"/>
      <c r="P46" s="121"/>
      <c r="Q46" s="758"/>
      <c r="R46" s="156"/>
      <c r="S46" s="293">
        <f>'Rev Req Proof Yr1'!R46</f>
        <v>655939.80000000005</v>
      </c>
      <c r="T46" s="294"/>
      <c r="U46" s="295"/>
      <c r="V46" s="296"/>
      <c r="W46" s="156"/>
      <c r="X46" s="308">
        <f t="shared" si="112"/>
        <v>94343.821434000012</v>
      </c>
      <c r="Y46" s="304">
        <f t="shared" si="113"/>
        <v>0</v>
      </c>
      <c r="Z46" s="309">
        <f t="shared" si="114"/>
        <v>0</v>
      </c>
      <c r="AA46" s="304"/>
      <c r="AB46" s="308">
        <f t="shared" si="115"/>
        <v>97951.490334000016</v>
      </c>
      <c r="AC46" s="304">
        <f t="shared" si="116"/>
        <v>0</v>
      </c>
      <c r="AD46" s="309">
        <f t="shared" si="117"/>
        <v>0</v>
      </c>
      <c r="AE46" s="304"/>
      <c r="AF46" s="308">
        <f t="shared" si="118"/>
        <v>-1548.0179280000002</v>
      </c>
      <c r="AG46" s="304">
        <v>0</v>
      </c>
      <c r="AH46" s="309">
        <v>0</v>
      </c>
      <c r="AI46" s="304"/>
      <c r="AJ46" s="308">
        <f t="shared" si="119"/>
        <v>2059.650972000004</v>
      </c>
      <c r="AK46" s="304">
        <f t="shared" si="120"/>
        <v>0</v>
      </c>
      <c r="AL46" s="309">
        <f t="shared" si="120"/>
        <v>0</v>
      </c>
      <c r="AM46" s="304"/>
      <c r="AN46" s="333"/>
      <c r="AO46" s="335">
        <f>SUM(AJ46)/SUM(X46)</f>
        <v>2.183132865188073E-2</v>
      </c>
      <c r="AP46" s="304"/>
      <c r="AQ46" s="308">
        <f t="shared" si="121"/>
        <v>0</v>
      </c>
      <c r="AR46" s="304">
        <v>0</v>
      </c>
      <c r="AS46" s="309">
        <v>0</v>
      </c>
      <c r="AT46" s="304"/>
      <c r="AU46" s="305"/>
      <c r="AV46" s="305"/>
      <c r="AW46" s="304"/>
    </row>
    <row r="47" spans="1:51" x14ac:dyDescent="0.3">
      <c r="A47" s="85">
        <f t="shared" si="4"/>
        <v>40</v>
      </c>
      <c r="B47" s="709"/>
      <c r="C47" s="710" t="s">
        <v>6</v>
      </c>
      <c r="D47" s="156"/>
      <c r="E47" s="121">
        <f>'Rates in Detail'!AC39</f>
        <v>4.2199999999999998E-3</v>
      </c>
      <c r="F47" s="121">
        <f>SUM('Rates in Detail'!AD39:AF39)</f>
        <v>-1.81E-3</v>
      </c>
      <c r="G47" s="156"/>
      <c r="H47" s="156"/>
      <c r="I47" s="368">
        <f>'Rev Req Proof Yr2'!H47</f>
        <v>0.11029</v>
      </c>
      <c r="J47" s="758">
        <f t="shared" si="10"/>
        <v>0.11451</v>
      </c>
      <c r="K47" s="156"/>
      <c r="L47" s="154"/>
      <c r="M47" s="155"/>
      <c r="N47" s="121"/>
      <c r="O47" s="121"/>
      <c r="P47" s="121"/>
      <c r="Q47" s="758"/>
      <c r="R47" s="156"/>
      <c r="S47" s="293">
        <f>'Rev Req Proof Yr1'!R47</f>
        <v>81241.3</v>
      </c>
      <c r="T47" s="294"/>
      <c r="U47" s="295"/>
      <c r="V47" s="296"/>
      <c r="W47" s="156"/>
      <c r="X47" s="308">
        <f t="shared" si="112"/>
        <v>8960.1029770000005</v>
      </c>
      <c r="Y47" s="304">
        <f t="shared" si="113"/>
        <v>0</v>
      </c>
      <c r="Z47" s="309">
        <f t="shared" si="114"/>
        <v>0</v>
      </c>
      <c r="AA47" s="304"/>
      <c r="AB47" s="308">
        <f t="shared" si="115"/>
        <v>9302.9412630000006</v>
      </c>
      <c r="AC47" s="304">
        <f t="shared" si="116"/>
        <v>0</v>
      </c>
      <c r="AD47" s="309">
        <f t="shared" si="117"/>
        <v>0</v>
      </c>
      <c r="AE47" s="304"/>
      <c r="AF47" s="308">
        <f t="shared" si="118"/>
        <v>-147.046753</v>
      </c>
      <c r="AG47" s="304">
        <v>0</v>
      </c>
      <c r="AH47" s="309">
        <v>0</v>
      </c>
      <c r="AI47" s="304"/>
      <c r="AJ47" s="308">
        <f t="shared" si="119"/>
        <v>195.79153300000016</v>
      </c>
      <c r="AK47" s="304">
        <f t="shared" si="120"/>
        <v>0</v>
      </c>
      <c r="AL47" s="309">
        <f t="shared" si="120"/>
        <v>0</v>
      </c>
      <c r="AM47" s="304"/>
      <c r="AN47" s="333"/>
      <c r="AO47" s="335">
        <f>SUM(AJ47)/SUM(X47)</f>
        <v>2.1851482455345017E-2</v>
      </c>
      <c r="AP47" s="304"/>
      <c r="AQ47" s="308">
        <f t="shared" si="121"/>
        <v>0</v>
      </c>
      <c r="AR47" s="304">
        <v>0</v>
      </c>
      <c r="AS47" s="309">
        <v>0</v>
      </c>
      <c r="AT47" s="304"/>
      <c r="AU47" s="305"/>
      <c r="AV47" s="305"/>
      <c r="AW47" s="304"/>
    </row>
    <row r="48" spans="1:51" x14ac:dyDescent="0.3">
      <c r="A48" s="85">
        <f t="shared" si="4"/>
        <v>41</v>
      </c>
      <c r="B48" s="709"/>
      <c r="C48" s="710" t="s">
        <v>7</v>
      </c>
      <c r="D48" s="156"/>
      <c r="E48" s="121">
        <f>'Rates in Detail'!AC40</f>
        <v>3.3700000000000002E-3</v>
      </c>
      <c r="F48" s="121">
        <f>SUM('Rates in Detail'!AD40:AF40)</f>
        <v>-1.4399999999999999E-3</v>
      </c>
      <c r="G48" s="156"/>
      <c r="H48" s="156"/>
      <c r="I48" s="368">
        <f>'Rev Req Proof Yr2'!H48</f>
        <v>8.8239999999999999E-2</v>
      </c>
      <c r="J48" s="758">
        <f t="shared" si="10"/>
        <v>9.1609999999999997E-2</v>
      </c>
      <c r="K48" s="156"/>
      <c r="L48" s="154"/>
      <c r="M48" s="155"/>
      <c r="N48" s="121"/>
      <c r="O48" s="121"/>
      <c r="P48" s="121"/>
      <c r="Q48" s="758"/>
      <c r="R48" s="156"/>
      <c r="S48" s="293">
        <f>'Rev Req Proof Yr1'!R48</f>
        <v>9320.1</v>
      </c>
      <c r="T48" s="294"/>
      <c r="U48" s="295"/>
      <c r="V48" s="296"/>
      <c r="W48" s="156"/>
      <c r="X48" s="308">
        <f t="shared" si="112"/>
        <v>822.40562399999999</v>
      </c>
      <c r="Y48" s="304">
        <f t="shared" si="113"/>
        <v>0</v>
      </c>
      <c r="Z48" s="309">
        <f t="shared" si="114"/>
        <v>0</v>
      </c>
      <c r="AA48" s="304"/>
      <c r="AB48" s="308">
        <f t="shared" si="115"/>
        <v>853.81436099999996</v>
      </c>
      <c r="AC48" s="304">
        <f t="shared" si="116"/>
        <v>0</v>
      </c>
      <c r="AD48" s="309">
        <f t="shared" si="117"/>
        <v>0</v>
      </c>
      <c r="AE48" s="304"/>
      <c r="AF48" s="308">
        <f t="shared" si="118"/>
        <v>-13.420943999999999</v>
      </c>
      <c r="AG48" s="304">
        <v>0</v>
      </c>
      <c r="AH48" s="309">
        <v>0</v>
      </c>
      <c r="AI48" s="304"/>
      <c r="AJ48" s="308">
        <f t="shared" si="119"/>
        <v>17.987792999999975</v>
      </c>
      <c r="AK48" s="304">
        <f t="shared" si="120"/>
        <v>0</v>
      </c>
      <c r="AL48" s="309">
        <f t="shared" si="120"/>
        <v>0</v>
      </c>
      <c r="AM48" s="304"/>
      <c r="AN48" s="333"/>
      <c r="AO48" s="335">
        <f>SUM(AJ48)/SUM(X48)</f>
        <v>2.1872166817769687E-2</v>
      </c>
      <c r="AP48" s="304"/>
      <c r="AQ48" s="308">
        <f t="shared" si="121"/>
        <v>0</v>
      </c>
      <c r="AR48" s="304">
        <v>0</v>
      </c>
      <c r="AS48" s="309">
        <v>0</v>
      </c>
      <c r="AT48" s="304"/>
      <c r="AU48" s="305"/>
      <c r="AV48" s="305"/>
      <c r="AW48" s="304"/>
    </row>
    <row r="49" spans="1:49" x14ac:dyDescent="0.3">
      <c r="A49" s="85">
        <f t="shared" si="4"/>
        <v>42</v>
      </c>
      <c r="B49" s="709"/>
      <c r="C49" s="710" t="s">
        <v>8</v>
      </c>
      <c r="D49" s="156"/>
      <c r="E49" s="121">
        <f>'Rates in Detail'!AC41</f>
        <v>2.2499999999999998E-3</v>
      </c>
      <c r="F49" s="121">
        <f>SUM('Rates in Detail'!AD41:AF41)</f>
        <v>-9.7000000000000005E-4</v>
      </c>
      <c r="G49" s="156"/>
      <c r="H49" s="156"/>
      <c r="I49" s="368">
        <f>'Rev Req Proof Yr2'!H49</f>
        <v>5.8840000000000003E-2</v>
      </c>
      <c r="J49" s="758">
        <f t="shared" si="10"/>
        <v>6.1090000000000005E-2</v>
      </c>
      <c r="K49" s="156"/>
      <c r="L49" s="154"/>
      <c r="M49" s="155"/>
      <c r="N49" s="121"/>
      <c r="O49" s="121"/>
      <c r="P49" s="121"/>
      <c r="Q49" s="758"/>
      <c r="R49" s="156"/>
      <c r="S49" s="293">
        <f>'Rev Req Proof Yr1'!R49</f>
        <v>0</v>
      </c>
      <c r="T49" s="294"/>
      <c r="U49" s="295"/>
      <c r="V49" s="296"/>
      <c r="W49" s="156"/>
      <c r="X49" s="308">
        <f t="shared" si="112"/>
        <v>0</v>
      </c>
      <c r="Y49" s="304">
        <f t="shared" si="113"/>
        <v>0</v>
      </c>
      <c r="Z49" s="309">
        <f t="shared" si="114"/>
        <v>0</v>
      </c>
      <c r="AA49" s="304"/>
      <c r="AB49" s="308">
        <f t="shared" si="115"/>
        <v>0</v>
      </c>
      <c r="AC49" s="304">
        <f t="shared" si="116"/>
        <v>0</v>
      </c>
      <c r="AD49" s="309">
        <f t="shared" si="117"/>
        <v>0</v>
      </c>
      <c r="AE49" s="304"/>
      <c r="AF49" s="308">
        <f t="shared" si="118"/>
        <v>0</v>
      </c>
      <c r="AG49" s="304">
        <v>0</v>
      </c>
      <c r="AH49" s="309">
        <v>0</v>
      </c>
      <c r="AI49" s="304"/>
      <c r="AJ49" s="308">
        <f t="shared" si="119"/>
        <v>0</v>
      </c>
      <c r="AK49" s="304">
        <f t="shared" si="120"/>
        <v>0</v>
      </c>
      <c r="AL49" s="309">
        <f t="shared" si="120"/>
        <v>0</v>
      </c>
      <c r="AM49" s="304"/>
      <c r="AN49" s="333"/>
      <c r="AO49" s="335">
        <f>AO48</f>
        <v>2.1872166817769687E-2</v>
      </c>
      <c r="AP49" s="304"/>
      <c r="AQ49" s="308">
        <f t="shared" si="121"/>
        <v>0</v>
      </c>
      <c r="AR49" s="304">
        <v>0</v>
      </c>
      <c r="AS49" s="309">
        <v>0</v>
      </c>
      <c r="AT49" s="304"/>
      <c r="AU49" s="305"/>
      <c r="AV49" s="305"/>
      <c r="AW49" s="304"/>
    </row>
    <row r="50" spans="1:49" x14ac:dyDescent="0.3">
      <c r="A50" s="85">
        <f t="shared" si="4"/>
        <v>43</v>
      </c>
      <c r="B50" s="709"/>
      <c r="C50" s="710" t="s">
        <v>9</v>
      </c>
      <c r="D50" s="156"/>
      <c r="E50" s="121">
        <f>'Rates in Detail'!AC42</f>
        <v>8.4000000000000003E-4</v>
      </c>
      <c r="F50" s="121">
        <f>SUM('Rates in Detail'!AD42:AF42)</f>
        <v>-3.6000000000000002E-4</v>
      </c>
      <c r="G50" s="156"/>
      <c r="H50" s="156"/>
      <c r="I50" s="368">
        <f>'Rev Req Proof Yr2'!H50</f>
        <v>2.205E-2</v>
      </c>
      <c r="J50" s="758">
        <f t="shared" si="10"/>
        <v>2.2890000000000001E-2</v>
      </c>
      <c r="K50" s="156"/>
      <c r="L50" s="154"/>
      <c r="M50" s="155"/>
      <c r="N50" s="121"/>
      <c r="O50" s="121"/>
      <c r="P50" s="121"/>
      <c r="Q50" s="758"/>
      <c r="R50" s="156"/>
      <c r="S50" s="293">
        <f>'Rev Req Proof Yr1'!R50</f>
        <v>0</v>
      </c>
      <c r="T50" s="294"/>
      <c r="U50" s="295"/>
      <c r="V50" s="296"/>
      <c r="W50" s="156"/>
      <c r="X50" s="308">
        <f t="shared" si="112"/>
        <v>0</v>
      </c>
      <c r="Y50" s="304">
        <f t="shared" si="113"/>
        <v>0</v>
      </c>
      <c r="Z50" s="309">
        <f t="shared" si="114"/>
        <v>0</v>
      </c>
      <c r="AA50" s="304"/>
      <c r="AB50" s="308">
        <f t="shared" si="115"/>
        <v>0</v>
      </c>
      <c r="AC50" s="304">
        <f t="shared" si="116"/>
        <v>0</v>
      </c>
      <c r="AD50" s="309">
        <f t="shared" si="117"/>
        <v>0</v>
      </c>
      <c r="AE50" s="304"/>
      <c r="AF50" s="308">
        <f t="shared" si="118"/>
        <v>0</v>
      </c>
      <c r="AG50" s="304">
        <v>0</v>
      </c>
      <c r="AH50" s="309">
        <v>0</v>
      </c>
      <c r="AI50" s="304"/>
      <c r="AJ50" s="308">
        <f t="shared" si="119"/>
        <v>0</v>
      </c>
      <c r="AK50" s="304">
        <f t="shared" si="120"/>
        <v>0</v>
      </c>
      <c r="AL50" s="309">
        <f t="shared" si="120"/>
        <v>0</v>
      </c>
      <c r="AM50" s="304"/>
      <c r="AN50" s="333"/>
      <c r="AO50" s="335">
        <f>AO49</f>
        <v>2.1872166817769687E-2</v>
      </c>
      <c r="AP50" s="304"/>
      <c r="AQ50" s="308">
        <f t="shared" si="121"/>
        <v>0</v>
      </c>
      <c r="AR50" s="304">
        <v>0</v>
      </c>
      <c r="AS50" s="309">
        <v>0</v>
      </c>
      <c r="AT50" s="304"/>
      <c r="AU50" s="305"/>
      <c r="AV50" s="305"/>
      <c r="AW50" s="304"/>
    </row>
    <row r="51" spans="1:49" x14ac:dyDescent="0.3">
      <c r="A51" s="85">
        <f t="shared" si="4"/>
        <v>44</v>
      </c>
      <c r="B51" s="707"/>
      <c r="C51" s="726" t="s">
        <v>76</v>
      </c>
      <c r="D51" s="152"/>
      <c r="E51" s="122"/>
      <c r="F51" s="122"/>
      <c r="G51" s="152"/>
      <c r="H51" s="152"/>
      <c r="I51" s="363"/>
      <c r="J51" s="757"/>
      <c r="K51" s="156"/>
      <c r="L51" s="154"/>
      <c r="M51" s="155"/>
      <c r="N51" s="121"/>
      <c r="O51" s="121"/>
      <c r="P51" s="121"/>
      <c r="Q51" s="758"/>
      <c r="R51" s="156"/>
      <c r="S51" s="293"/>
      <c r="T51" s="294"/>
      <c r="U51" s="295"/>
      <c r="V51" s="296"/>
      <c r="W51" s="156"/>
      <c r="X51" s="310">
        <f>SUM(X45:X50)</f>
        <v>279865.93449100008</v>
      </c>
      <c r="Y51" s="311">
        <f>SUM(Y45:Y50)</f>
        <v>185900</v>
      </c>
      <c r="Z51" s="312">
        <f>SUM(Z45:Z50)</f>
        <v>41468.835359999997</v>
      </c>
      <c r="AA51" s="304"/>
      <c r="AB51" s="310">
        <f>SUM(AB45:AB50)</f>
        <v>290563.31700200011</v>
      </c>
      <c r="AC51" s="311">
        <f>SUM(AC45:AC50)</f>
        <v>185900</v>
      </c>
      <c r="AD51" s="312">
        <f>SUM(AD45:AD50)</f>
        <v>41468.835359999997</v>
      </c>
      <c r="AE51" s="304"/>
      <c r="AF51" s="310">
        <f>SUM(AF45:AF50)</f>
        <v>-4584.9802710000013</v>
      </c>
      <c r="AG51" s="311">
        <f>SUM(AG45:AG50)</f>
        <v>0</v>
      </c>
      <c r="AH51" s="312">
        <f>SUM(AH45:AH50)</f>
        <v>0</v>
      </c>
      <c r="AI51" s="304"/>
      <c r="AJ51" s="310">
        <f>SUM(AJ45:AJ50)</f>
        <v>6112.402240000014</v>
      </c>
      <c r="AK51" s="311">
        <f>SUM(AK45:AK50)</f>
        <v>0</v>
      </c>
      <c r="AL51" s="312">
        <f>SUM(AL45:AL50)</f>
        <v>0</v>
      </c>
      <c r="AM51" s="304"/>
      <c r="AN51" s="333">
        <f>SUM(AJ51:AL51)/SUM(X51:Z51)</f>
        <v>1.2050440157711445E-2</v>
      </c>
      <c r="AO51" s="334">
        <f t="shared" ref="AO51:AO56" si="122">SUM(AJ51)/SUM(X51)</f>
        <v>2.1840465332505755E-2</v>
      </c>
      <c r="AP51" s="304"/>
      <c r="AQ51" s="310">
        <f>SUM(AQ45:AQ50)</f>
        <v>0</v>
      </c>
      <c r="AR51" s="311">
        <f>SUM(AR45:AR50)</f>
        <v>0</v>
      </c>
      <c r="AS51" s="312">
        <f>SUM(AS45:AS50)</f>
        <v>0</v>
      </c>
      <c r="AT51" s="304"/>
      <c r="AU51" s="305"/>
      <c r="AV51" s="305"/>
      <c r="AW51" s="304"/>
    </row>
    <row r="52" spans="1:49" x14ac:dyDescent="0.3">
      <c r="A52" s="85">
        <f t="shared" si="4"/>
        <v>45</v>
      </c>
      <c r="B52" s="709" t="str">
        <f>'WA Volumes &amp; Revenues'!B45</f>
        <v>42C Firm Transpt</v>
      </c>
      <c r="C52" s="710" t="s">
        <v>4</v>
      </c>
      <c r="D52" s="156"/>
      <c r="E52" s="121">
        <f>'Rates in Detail'!AC43</f>
        <v>5.94E-3</v>
      </c>
      <c r="F52" s="121">
        <f>SUM('Rates in Detail'!AD43:AF43)</f>
        <v>-1.72E-3</v>
      </c>
      <c r="G52" s="156"/>
      <c r="H52" s="156"/>
      <c r="I52" s="368">
        <f>'Rev Req Proof Yr2'!H52</f>
        <v>0.14912</v>
      </c>
      <c r="J52" s="758">
        <f t="shared" si="10"/>
        <v>0.15506</v>
      </c>
      <c r="K52" s="156"/>
      <c r="L52" s="154">
        <f>'Rev Req Proof Yr1'!K52</f>
        <v>1550</v>
      </c>
      <c r="M52" s="155">
        <f>'Rev Req Proof Yr1'!L52</f>
        <v>1550</v>
      </c>
      <c r="N52" s="121">
        <f>'Rev Req Proof Yr1'!M52</f>
        <v>0.15748000000000001</v>
      </c>
      <c r="O52" s="121">
        <f>'Rev Req Proof Yr1'!N52</f>
        <v>0.15748000000000001</v>
      </c>
      <c r="P52" s="121">
        <f>'Rev Req Proof Yr1'!O52</f>
        <v>0</v>
      </c>
      <c r="Q52" s="758">
        <f>'Rev Req Proof Yr1'!P52</f>
        <v>0</v>
      </c>
      <c r="R52" s="156"/>
      <c r="S52" s="293">
        <f>'Rev Req Proof Yr1'!R52</f>
        <v>480000</v>
      </c>
      <c r="T52" s="294">
        <f>'Rev Req Proof Yr1'!S52</f>
        <v>10479</v>
      </c>
      <c r="U52" s="295">
        <f>'Rev Req Proof Yr1'!T52</f>
        <v>4</v>
      </c>
      <c r="V52" s="296">
        <f>'Rev Req Proof Yr1'!U52</f>
        <v>51470</v>
      </c>
      <c r="W52" s="156"/>
      <c r="X52" s="308">
        <f t="shared" ref="X52:X57" si="123">(I52*S52)</f>
        <v>71577.600000000006</v>
      </c>
      <c r="Y52" s="304">
        <f t="shared" ref="Y52:Y57" si="124">(L52*U52*12)</f>
        <v>74400</v>
      </c>
      <c r="Z52" s="309">
        <f t="shared" ref="Z52:Z57" si="125">(T52*(N52+P52))*12</f>
        <v>19802.795040000001</v>
      </c>
      <c r="AA52" s="304"/>
      <c r="AB52" s="308">
        <f t="shared" ref="AB52:AB57" si="126">(J52*S52)</f>
        <v>74428.800000000003</v>
      </c>
      <c r="AC52" s="304">
        <f t="shared" ref="AC52:AC57" si="127">(M52*U52*12)</f>
        <v>74400</v>
      </c>
      <c r="AD52" s="309">
        <f t="shared" ref="AD52:AD57" si="128">(T52*(O52+Q52))*12</f>
        <v>19802.795040000001</v>
      </c>
      <c r="AE52" s="304"/>
      <c r="AF52" s="308">
        <f t="shared" ref="AF52:AF57" si="129">(F52*S52)</f>
        <v>-825.6</v>
      </c>
      <c r="AG52" s="304">
        <v>0</v>
      </c>
      <c r="AH52" s="309">
        <v>0</v>
      </c>
      <c r="AI52" s="304"/>
      <c r="AJ52" s="308">
        <f t="shared" ref="AJ52:AJ57" si="130">AB52-X52+AF52</f>
        <v>2025.5999999999972</v>
      </c>
      <c r="AK52" s="304">
        <f t="shared" ref="AK52:AL57" si="131">AC52-Y52-AG52</f>
        <v>0</v>
      </c>
      <c r="AL52" s="309">
        <f t="shared" si="131"/>
        <v>0</v>
      </c>
      <c r="AM52" s="304"/>
      <c r="AN52" s="333"/>
      <c r="AO52" s="335">
        <f t="shared" si="122"/>
        <v>2.8299356223175923E-2</v>
      </c>
      <c r="AP52" s="304"/>
      <c r="AQ52" s="308">
        <f t="shared" ref="AQ52:AQ57" si="132">(G52*S52)</f>
        <v>0</v>
      </c>
      <c r="AR52" s="304">
        <v>0</v>
      </c>
      <c r="AS52" s="309">
        <v>0</v>
      </c>
      <c r="AT52" s="304"/>
      <c r="AU52" s="305"/>
      <c r="AV52" s="305"/>
      <c r="AW52" s="304"/>
    </row>
    <row r="53" spans="1:49" x14ac:dyDescent="0.3">
      <c r="A53" s="85">
        <f t="shared" si="4"/>
        <v>46</v>
      </c>
      <c r="B53" s="709"/>
      <c r="C53" s="710" t="s">
        <v>5</v>
      </c>
      <c r="D53" s="156"/>
      <c r="E53" s="121">
        <f>'Rates in Detail'!AC44</f>
        <v>5.3099999999999996E-3</v>
      </c>
      <c r="F53" s="121">
        <f>SUM('Rates in Detail'!AD44:AF44)</f>
        <v>-1.5299999999999999E-3</v>
      </c>
      <c r="G53" s="156"/>
      <c r="H53" s="156"/>
      <c r="I53" s="368">
        <f>'Rev Req Proof Yr2'!H53</f>
        <v>0.13349</v>
      </c>
      <c r="J53" s="758">
        <f t="shared" si="10"/>
        <v>0.13880000000000001</v>
      </c>
      <c r="K53" s="156"/>
      <c r="L53" s="154"/>
      <c r="M53" s="155"/>
      <c r="N53" s="121"/>
      <c r="O53" s="121"/>
      <c r="P53" s="121"/>
      <c r="Q53" s="758"/>
      <c r="R53" s="156"/>
      <c r="S53" s="293">
        <f>'Rev Req Proof Yr1'!R53</f>
        <v>807846</v>
      </c>
      <c r="T53" s="294"/>
      <c r="U53" s="295"/>
      <c r="V53" s="296"/>
      <c r="W53" s="156"/>
      <c r="X53" s="308">
        <f t="shared" si="123"/>
        <v>107839.36254</v>
      </c>
      <c r="Y53" s="304">
        <f t="shared" si="124"/>
        <v>0</v>
      </c>
      <c r="Z53" s="309">
        <f t="shared" si="125"/>
        <v>0</v>
      </c>
      <c r="AA53" s="304"/>
      <c r="AB53" s="308">
        <f t="shared" si="126"/>
        <v>112129.0248</v>
      </c>
      <c r="AC53" s="304">
        <f t="shared" si="127"/>
        <v>0</v>
      </c>
      <c r="AD53" s="309">
        <f t="shared" si="128"/>
        <v>0</v>
      </c>
      <c r="AE53" s="304"/>
      <c r="AF53" s="308">
        <f t="shared" si="129"/>
        <v>-1236.0043799999999</v>
      </c>
      <c r="AG53" s="304">
        <v>0</v>
      </c>
      <c r="AH53" s="309">
        <v>0</v>
      </c>
      <c r="AI53" s="304"/>
      <c r="AJ53" s="308">
        <f t="shared" si="130"/>
        <v>3053.6578799999975</v>
      </c>
      <c r="AK53" s="304">
        <f t="shared" si="131"/>
        <v>0</v>
      </c>
      <c r="AL53" s="309">
        <f t="shared" si="131"/>
        <v>0</v>
      </c>
      <c r="AM53" s="304"/>
      <c r="AN53" s="333"/>
      <c r="AO53" s="335">
        <f t="shared" si="122"/>
        <v>2.8316727844782359E-2</v>
      </c>
      <c r="AP53" s="304"/>
      <c r="AQ53" s="308">
        <f t="shared" si="132"/>
        <v>0</v>
      </c>
      <c r="AR53" s="304">
        <v>0</v>
      </c>
      <c r="AS53" s="309">
        <v>0</v>
      </c>
      <c r="AT53" s="304"/>
      <c r="AU53" s="305"/>
      <c r="AV53" s="305"/>
      <c r="AW53" s="304"/>
    </row>
    <row r="54" spans="1:49" x14ac:dyDescent="0.3">
      <c r="A54" s="85">
        <f t="shared" si="4"/>
        <v>47</v>
      </c>
      <c r="B54" s="709"/>
      <c r="C54" s="710" t="s">
        <v>6</v>
      </c>
      <c r="D54" s="156"/>
      <c r="E54" s="121">
        <f>'Rates in Detail'!AC45</f>
        <v>4.0699999999999998E-3</v>
      </c>
      <c r="F54" s="121">
        <f>SUM('Rates in Detail'!AD45:AF45)</f>
        <v>-1.1800000000000001E-3</v>
      </c>
      <c r="G54" s="156"/>
      <c r="H54" s="156"/>
      <c r="I54" s="368">
        <f>'Rev Req Proof Yr2'!H54</f>
        <v>0.10236000000000001</v>
      </c>
      <c r="J54" s="758">
        <f t="shared" si="10"/>
        <v>0.10643000000000001</v>
      </c>
      <c r="K54" s="156"/>
      <c r="L54" s="154"/>
      <c r="M54" s="155"/>
      <c r="N54" s="121"/>
      <c r="O54" s="121"/>
      <c r="P54" s="121"/>
      <c r="Q54" s="758"/>
      <c r="R54" s="156"/>
      <c r="S54" s="293">
        <f>'Rev Req Proof Yr1'!R54</f>
        <v>583779</v>
      </c>
      <c r="T54" s="294"/>
      <c r="U54" s="295"/>
      <c r="V54" s="296"/>
      <c r="W54" s="156"/>
      <c r="X54" s="308">
        <f t="shared" si="123"/>
        <v>59755.618440000006</v>
      </c>
      <c r="Y54" s="304">
        <f t="shared" si="124"/>
        <v>0</v>
      </c>
      <c r="Z54" s="309">
        <f t="shared" si="125"/>
        <v>0</v>
      </c>
      <c r="AA54" s="304"/>
      <c r="AB54" s="308">
        <f t="shared" si="126"/>
        <v>62131.598970000006</v>
      </c>
      <c r="AC54" s="304">
        <f t="shared" si="127"/>
        <v>0</v>
      </c>
      <c r="AD54" s="309">
        <f t="shared" si="128"/>
        <v>0</v>
      </c>
      <c r="AE54" s="304"/>
      <c r="AF54" s="308">
        <f t="shared" si="129"/>
        <v>-688.85922000000005</v>
      </c>
      <c r="AG54" s="304">
        <v>0</v>
      </c>
      <c r="AH54" s="309">
        <v>0</v>
      </c>
      <c r="AI54" s="304"/>
      <c r="AJ54" s="308">
        <f t="shared" si="130"/>
        <v>1687.1213100000007</v>
      </c>
      <c r="AK54" s="304">
        <f t="shared" si="131"/>
        <v>0</v>
      </c>
      <c r="AL54" s="309">
        <f t="shared" si="131"/>
        <v>0</v>
      </c>
      <c r="AM54" s="304"/>
      <c r="AN54" s="333"/>
      <c r="AO54" s="335">
        <f t="shared" si="122"/>
        <v>2.8233685033216108E-2</v>
      </c>
      <c r="AP54" s="304"/>
      <c r="AQ54" s="308">
        <f t="shared" si="132"/>
        <v>0</v>
      </c>
      <c r="AR54" s="304">
        <v>0</v>
      </c>
      <c r="AS54" s="309">
        <v>0</v>
      </c>
      <c r="AT54" s="304"/>
      <c r="AU54" s="305"/>
      <c r="AV54" s="305"/>
      <c r="AW54" s="304"/>
    </row>
    <row r="55" spans="1:49" x14ac:dyDescent="0.3">
      <c r="A55" s="85">
        <f t="shared" si="4"/>
        <v>48</v>
      </c>
      <c r="B55" s="709"/>
      <c r="C55" s="710" t="s">
        <v>7</v>
      </c>
      <c r="D55" s="156"/>
      <c r="E55" s="121">
        <f>'Rates in Detail'!AC46</f>
        <v>3.2599999999999999E-3</v>
      </c>
      <c r="F55" s="121">
        <f>SUM('Rates in Detail'!AD46:AF46)</f>
        <v>-9.3999999999999997E-4</v>
      </c>
      <c r="G55" s="156"/>
      <c r="H55" s="156"/>
      <c r="I55" s="368">
        <f>'Rev Req Proof Yr2'!H55</f>
        <v>8.1900000000000001E-2</v>
      </c>
      <c r="J55" s="758">
        <f t="shared" si="10"/>
        <v>8.516E-2</v>
      </c>
      <c r="K55" s="156"/>
      <c r="L55" s="154"/>
      <c r="M55" s="155"/>
      <c r="N55" s="121"/>
      <c r="O55" s="121"/>
      <c r="P55" s="121"/>
      <c r="Q55" s="758"/>
      <c r="R55" s="156"/>
      <c r="S55" s="293">
        <f>'Rev Req Proof Yr1'!R55</f>
        <v>598933</v>
      </c>
      <c r="T55" s="294"/>
      <c r="U55" s="295"/>
      <c r="V55" s="296"/>
      <c r="W55" s="156"/>
      <c r="X55" s="308">
        <f t="shared" si="123"/>
        <v>49052.612699999998</v>
      </c>
      <c r="Y55" s="304">
        <f t="shared" si="124"/>
        <v>0</v>
      </c>
      <c r="Z55" s="309">
        <f t="shared" si="125"/>
        <v>0</v>
      </c>
      <c r="AA55" s="304"/>
      <c r="AB55" s="308">
        <f t="shared" si="126"/>
        <v>51005.134279999998</v>
      </c>
      <c r="AC55" s="304">
        <f t="shared" si="127"/>
        <v>0</v>
      </c>
      <c r="AD55" s="309">
        <f t="shared" si="128"/>
        <v>0</v>
      </c>
      <c r="AE55" s="304"/>
      <c r="AF55" s="308">
        <f t="shared" si="129"/>
        <v>-562.99702000000002</v>
      </c>
      <c r="AG55" s="304">
        <v>0</v>
      </c>
      <c r="AH55" s="309">
        <v>0</v>
      </c>
      <c r="AI55" s="304"/>
      <c r="AJ55" s="308">
        <f t="shared" si="130"/>
        <v>1389.5245600000005</v>
      </c>
      <c r="AK55" s="304">
        <f t="shared" si="131"/>
        <v>0</v>
      </c>
      <c r="AL55" s="309">
        <f t="shared" si="131"/>
        <v>0</v>
      </c>
      <c r="AM55" s="304"/>
      <c r="AN55" s="333"/>
      <c r="AO55" s="335">
        <f t="shared" si="122"/>
        <v>2.8327228327228338E-2</v>
      </c>
      <c r="AP55" s="304"/>
      <c r="AQ55" s="308">
        <f t="shared" si="132"/>
        <v>0</v>
      </c>
      <c r="AR55" s="304">
        <v>0</v>
      </c>
      <c r="AS55" s="309">
        <v>0</v>
      </c>
      <c r="AT55" s="304"/>
      <c r="AU55" s="305"/>
      <c r="AV55" s="305"/>
      <c r="AW55" s="304"/>
    </row>
    <row r="56" spans="1:49" x14ac:dyDescent="0.3">
      <c r="A56" s="85">
        <f t="shared" si="4"/>
        <v>49</v>
      </c>
      <c r="B56" s="709"/>
      <c r="C56" s="710" t="s">
        <v>8</v>
      </c>
      <c r="D56" s="156"/>
      <c r="E56" s="121">
        <f>'Rates in Detail'!AC47</f>
        <v>2.1700000000000001E-3</v>
      </c>
      <c r="F56" s="121">
        <f>SUM('Rates in Detail'!AD47:AF47)</f>
        <v>-6.3000000000000003E-4</v>
      </c>
      <c r="G56" s="156"/>
      <c r="H56" s="156"/>
      <c r="I56" s="368">
        <f>'Rev Req Proof Yr2'!H56</f>
        <v>5.4600000000000003E-2</v>
      </c>
      <c r="J56" s="758">
        <f t="shared" si="10"/>
        <v>5.6770000000000001E-2</v>
      </c>
      <c r="K56" s="156"/>
      <c r="L56" s="154"/>
      <c r="M56" s="155"/>
      <c r="N56" s="121"/>
      <c r="O56" s="121"/>
      <c r="P56" s="121"/>
      <c r="Q56" s="758"/>
      <c r="R56" s="156"/>
      <c r="S56" s="293">
        <f>'Rev Req Proof Yr1'!R56</f>
        <v>0</v>
      </c>
      <c r="T56" s="294"/>
      <c r="U56" s="295"/>
      <c r="V56" s="296"/>
      <c r="W56" s="156"/>
      <c r="X56" s="308">
        <f t="shared" si="123"/>
        <v>0</v>
      </c>
      <c r="Y56" s="304">
        <f t="shared" si="124"/>
        <v>0</v>
      </c>
      <c r="Z56" s="309">
        <f t="shared" si="125"/>
        <v>0</v>
      </c>
      <c r="AA56" s="304"/>
      <c r="AB56" s="308">
        <f t="shared" si="126"/>
        <v>0</v>
      </c>
      <c r="AC56" s="304">
        <f t="shared" si="127"/>
        <v>0</v>
      </c>
      <c r="AD56" s="309">
        <f t="shared" si="128"/>
        <v>0</v>
      </c>
      <c r="AE56" s="304"/>
      <c r="AF56" s="308">
        <f t="shared" si="129"/>
        <v>0</v>
      </c>
      <c r="AG56" s="304">
        <v>0</v>
      </c>
      <c r="AH56" s="309">
        <v>0</v>
      </c>
      <c r="AI56" s="304"/>
      <c r="AJ56" s="308">
        <f t="shared" si="130"/>
        <v>0</v>
      </c>
      <c r="AK56" s="304">
        <f t="shared" si="131"/>
        <v>0</v>
      </c>
      <c r="AL56" s="309">
        <f t="shared" si="131"/>
        <v>0</v>
      </c>
      <c r="AM56" s="304"/>
      <c r="AN56" s="333"/>
      <c r="AO56" s="335" t="e">
        <f t="shared" si="122"/>
        <v>#DIV/0!</v>
      </c>
      <c r="AP56" s="304"/>
      <c r="AQ56" s="308">
        <f t="shared" si="132"/>
        <v>0</v>
      </c>
      <c r="AR56" s="304">
        <v>0</v>
      </c>
      <c r="AS56" s="309">
        <v>0</v>
      </c>
      <c r="AT56" s="304"/>
      <c r="AU56" s="305"/>
      <c r="AV56" s="305"/>
      <c r="AW56" s="304"/>
    </row>
    <row r="57" spans="1:49" x14ac:dyDescent="0.3">
      <c r="A57" s="85">
        <f t="shared" si="4"/>
        <v>50</v>
      </c>
      <c r="B57" s="709"/>
      <c r="C57" s="710" t="s">
        <v>9</v>
      </c>
      <c r="D57" s="156"/>
      <c r="E57" s="121">
        <f>'Rates in Detail'!AC48</f>
        <v>8.0999999999999996E-4</v>
      </c>
      <c r="F57" s="121">
        <f>SUM('Rates in Detail'!AD48:AF48)</f>
        <v>-2.3000000000000001E-4</v>
      </c>
      <c r="G57" s="156"/>
      <c r="H57" s="156"/>
      <c r="I57" s="368">
        <f>'Rev Req Proof Yr2'!H57</f>
        <v>2.0469999999999999E-2</v>
      </c>
      <c r="J57" s="758">
        <f t="shared" si="10"/>
        <v>2.128E-2</v>
      </c>
      <c r="K57" s="156"/>
      <c r="L57" s="154"/>
      <c r="M57" s="155"/>
      <c r="N57" s="121"/>
      <c r="O57" s="121"/>
      <c r="P57" s="121"/>
      <c r="Q57" s="758"/>
      <c r="R57" s="156"/>
      <c r="S57" s="293">
        <f>'Rev Req Proof Yr1'!R57</f>
        <v>0</v>
      </c>
      <c r="T57" s="294"/>
      <c r="U57" s="295"/>
      <c r="V57" s="296"/>
      <c r="W57" s="156"/>
      <c r="X57" s="308">
        <f t="shared" si="123"/>
        <v>0</v>
      </c>
      <c r="Y57" s="304">
        <f t="shared" si="124"/>
        <v>0</v>
      </c>
      <c r="Z57" s="309">
        <f t="shared" si="125"/>
        <v>0</v>
      </c>
      <c r="AA57" s="304"/>
      <c r="AB57" s="308">
        <f t="shared" si="126"/>
        <v>0</v>
      </c>
      <c r="AC57" s="304">
        <f t="shared" si="127"/>
        <v>0</v>
      </c>
      <c r="AD57" s="309">
        <f t="shared" si="128"/>
        <v>0</v>
      </c>
      <c r="AE57" s="304"/>
      <c r="AF57" s="308">
        <f t="shared" si="129"/>
        <v>0</v>
      </c>
      <c r="AG57" s="304">
        <v>0</v>
      </c>
      <c r="AH57" s="309">
        <v>0</v>
      </c>
      <c r="AI57" s="304"/>
      <c r="AJ57" s="308">
        <f t="shared" si="130"/>
        <v>0</v>
      </c>
      <c r="AK57" s="304">
        <f t="shared" si="131"/>
        <v>0</v>
      </c>
      <c r="AL57" s="309">
        <f t="shared" si="131"/>
        <v>0</v>
      </c>
      <c r="AM57" s="304"/>
      <c r="AN57" s="333"/>
      <c r="AO57" s="335" t="e">
        <f>AO56</f>
        <v>#DIV/0!</v>
      </c>
      <c r="AP57" s="304"/>
      <c r="AQ57" s="308">
        <f t="shared" si="132"/>
        <v>0</v>
      </c>
      <c r="AR57" s="304">
        <v>0</v>
      </c>
      <c r="AS57" s="309">
        <v>0</v>
      </c>
      <c r="AT57" s="304"/>
      <c r="AU57" s="313"/>
      <c r="AV57" s="305"/>
      <c r="AW57" s="304"/>
    </row>
    <row r="58" spans="1:49" x14ac:dyDescent="0.3">
      <c r="A58" s="85">
        <f t="shared" si="4"/>
        <v>51</v>
      </c>
      <c r="B58" s="707"/>
      <c r="C58" s="726" t="s">
        <v>76</v>
      </c>
      <c r="D58" s="152"/>
      <c r="E58" s="122"/>
      <c r="F58" s="122"/>
      <c r="G58" s="152"/>
      <c r="H58" s="152"/>
      <c r="I58" s="363"/>
      <c r="J58" s="757"/>
      <c r="K58" s="156"/>
      <c r="L58" s="154"/>
      <c r="M58" s="155"/>
      <c r="N58" s="121"/>
      <c r="O58" s="121"/>
      <c r="P58" s="121"/>
      <c r="Q58" s="758"/>
      <c r="R58" s="156"/>
      <c r="S58" s="293"/>
      <c r="T58" s="294"/>
      <c r="U58" s="295"/>
      <c r="V58" s="296"/>
      <c r="W58" s="156"/>
      <c r="X58" s="310">
        <f>SUM(X52:X57)</f>
        <v>288225.19368000003</v>
      </c>
      <c r="Y58" s="311">
        <f>SUM(Y52:Y57)</f>
        <v>74400</v>
      </c>
      <c r="Z58" s="312">
        <f>SUM(Z52:Z57)</f>
        <v>19802.795040000001</v>
      </c>
      <c r="AA58" s="304"/>
      <c r="AB58" s="310">
        <f>SUM(AB52:AB57)</f>
        <v>299694.55804999999</v>
      </c>
      <c r="AC58" s="311">
        <f>SUM(AC52:AC57)</f>
        <v>74400</v>
      </c>
      <c r="AD58" s="312">
        <f>SUM(AD52:AD57)</f>
        <v>19802.795040000001</v>
      </c>
      <c r="AE58" s="304"/>
      <c r="AF58" s="310">
        <f>SUM(AF52:AF57)</f>
        <v>-3313.4606199999998</v>
      </c>
      <c r="AG58" s="311">
        <f>SUM(AG52:AG57)</f>
        <v>0</v>
      </c>
      <c r="AH58" s="312">
        <f>SUM(AH52:AH57)</f>
        <v>0</v>
      </c>
      <c r="AI58" s="304"/>
      <c r="AJ58" s="310">
        <f>SUM(AJ52:AJ57)</f>
        <v>8155.9037499999959</v>
      </c>
      <c r="AK58" s="311">
        <f>SUM(AK52:AK57)</f>
        <v>0</v>
      </c>
      <c r="AL58" s="312">
        <f>SUM(AL52:AL57)</f>
        <v>0</v>
      </c>
      <c r="AM58" s="304"/>
      <c r="AN58" s="333">
        <f>SUM(AJ58:AL58)/SUM(X58:Z58)</f>
        <v>2.132663923814283E-2</v>
      </c>
      <c r="AO58" s="334">
        <f t="shared" ref="AO58:AO70" si="133">SUM(AJ58)/SUM(X58)</f>
        <v>2.8296984194431767E-2</v>
      </c>
      <c r="AP58" s="304"/>
      <c r="AQ58" s="310">
        <f>SUM(AQ52:AQ57)</f>
        <v>0</v>
      </c>
      <c r="AR58" s="311">
        <f>SUM(AR52:AR57)</f>
        <v>0</v>
      </c>
      <c r="AS58" s="312">
        <f>SUM(AS52:AS57)</f>
        <v>0</v>
      </c>
      <c r="AT58" s="304"/>
      <c r="AU58" s="305"/>
      <c r="AV58" s="305"/>
      <c r="AW58" s="304"/>
    </row>
    <row r="59" spans="1:49" x14ac:dyDescent="0.3">
      <c r="A59" s="85">
        <f t="shared" si="4"/>
        <v>52</v>
      </c>
      <c r="B59" s="709" t="str">
        <f>'WA Volumes &amp; Revenues'!B51</f>
        <v>42I Firm Transpt</v>
      </c>
      <c r="C59" s="710" t="s">
        <v>4</v>
      </c>
      <c r="D59" s="156"/>
      <c r="E59" s="121">
        <f>'Rates in Detail'!AC49</f>
        <v>3.96E-3</v>
      </c>
      <c r="F59" s="121">
        <f>SUM('Rates in Detail'!AD49:AF49)</f>
        <v>-1.6999999999999999E-3</v>
      </c>
      <c r="G59" s="156"/>
      <c r="H59" s="156"/>
      <c r="I59" s="368">
        <f>'Rev Req Proof Yr2'!H59</f>
        <v>0.14807999999999999</v>
      </c>
      <c r="J59" s="758">
        <f t="shared" si="10"/>
        <v>0.15203999999999998</v>
      </c>
      <c r="K59" s="156"/>
      <c r="L59" s="154">
        <f>'Rev Req Proof Yr1'!K59</f>
        <v>1550</v>
      </c>
      <c r="M59" s="155">
        <f>'Rev Req Proof Yr1'!L59</f>
        <v>1550</v>
      </c>
      <c r="N59" s="121">
        <f>'Rev Req Proof Yr1'!M59</f>
        <v>0.15748000000000001</v>
      </c>
      <c r="O59" s="121">
        <f>'Rev Req Proof Yr1'!N59</f>
        <v>0.15748000000000001</v>
      </c>
      <c r="P59" s="121">
        <f>'Rev Req Proof Yr1'!O59</f>
        <v>0</v>
      </c>
      <c r="Q59" s="758">
        <f>'Rev Req Proof Yr1'!P59</f>
        <v>0</v>
      </c>
      <c r="R59" s="156"/>
      <c r="S59" s="293">
        <f>'Rev Req Proof Yr1'!R59</f>
        <v>924395</v>
      </c>
      <c r="T59" s="294">
        <f>'Rev Req Proof Yr1'!S59</f>
        <v>26810</v>
      </c>
      <c r="U59" s="295">
        <f>'Rev Req Proof Yr1'!T59</f>
        <v>8.9166666666666661</v>
      </c>
      <c r="V59" s="296">
        <f>'Rev Req Proof Yr1'!U59</f>
        <v>63374</v>
      </c>
      <c r="W59" s="156"/>
      <c r="X59" s="308">
        <f t="shared" ref="X59:X64" si="134">(I59*S59)</f>
        <v>136884.41159999999</v>
      </c>
      <c r="Y59" s="304">
        <f t="shared" ref="Y59:Y64" si="135">(L59*U59*12)</f>
        <v>165850</v>
      </c>
      <c r="Z59" s="309">
        <f t="shared" ref="Z59:Z64" si="136">(T59*(N59+P59))*12</f>
        <v>50664.465600000003</v>
      </c>
      <c r="AA59" s="304"/>
      <c r="AB59" s="308">
        <f t="shared" ref="AB59:AB64" si="137">(J59*S59)</f>
        <v>140545.01579999999</v>
      </c>
      <c r="AC59" s="304">
        <f t="shared" ref="AC59:AC64" si="138">(M59*U59*12)</f>
        <v>165850</v>
      </c>
      <c r="AD59" s="309">
        <f t="shared" ref="AD59:AD64" si="139">(T59*(O59+Q59))*12</f>
        <v>50664.465600000003</v>
      </c>
      <c r="AE59" s="304"/>
      <c r="AF59" s="308">
        <f t="shared" ref="AF59:AF64" si="140">(F59*S59)</f>
        <v>-1571.4714999999999</v>
      </c>
      <c r="AG59" s="304">
        <v>0</v>
      </c>
      <c r="AH59" s="309">
        <v>0</v>
      </c>
      <c r="AI59" s="304"/>
      <c r="AJ59" s="308">
        <f t="shared" ref="AJ59:AJ64" si="141">AB59-X59+AF59</f>
        <v>2089.1327000000019</v>
      </c>
      <c r="AK59" s="304">
        <f t="shared" ref="AK59:AL64" si="142">AC59-Y59-AG59</f>
        <v>0</v>
      </c>
      <c r="AL59" s="309">
        <f t="shared" si="142"/>
        <v>0</v>
      </c>
      <c r="AM59" s="304"/>
      <c r="AN59" s="333"/>
      <c r="AO59" s="335">
        <f t="shared" si="133"/>
        <v>1.526202052944356E-2</v>
      </c>
      <c r="AP59" s="304"/>
      <c r="AQ59" s="308">
        <f t="shared" ref="AQ59:AQ64" si="143">(G59*S59)</f>
        <v>0</v>
      </c>
      <c r="AR59" s="304">
        <v>0</v>
      </c>
      <c r="AS59" s="309">
        <v>0</v>
      </c>
      <c r="AT59" s="304"/>
      <c r="AU59" s="305"/>
      <c r="AV59" s="305"/>
      <c r="AW59" s="304"/>
    </row>
    <row r="60" spans="1:49" x14ac:dyDescent="0.3">
      <c r="A60" s="85">
        <f t="shared" si="4"/>
        <v>53</v>
      </c>
      <c r="B60" s="709"/>
      <c r="C60" s="710" t="s">
        <v>5</v>
      </c>
      <c r="D60" s="156"/>
      <c r="E60" s="121">
        <f>'Rates in Detail'!AC50</f>
        <v>3.5400000000000002E-3</v>
      </c>
      <c r="F60" s="121">
        <f>SUM('Rates in Detail'!AD50:AF50)</f>
        <v>-1.5199999999999999E-3</v>
      </c>
      <c r="G60" s="156"/>
      <c r="H60" s="156"/>
      <c r="I60" s="368">
        <f>'Rev Req Proof Yr2'!H60</f>
        <v>0.13255</v>
      </c>
      <c r="J60" s="758">
        <f t="shared" si="10"/>
        <v>0.13608999999999999</v>
      </c>
      <c r="K60" s="156"/>
      <c r="L60" s="154"/>
      <c r="M60" s="155"/>
      <c r="N60" s="121"/>
      <c r="O60" s="121"/>
      <c r="P60" s="121"/>
      <c r="Q60" s="758"/>
      <c r="R60" s="156"/>
      <c r="S60" s="293">
        <f>'Rev Req Proof Yr1'!R60</f>
        <v>1036796</v>
      </c>
      <c r="T60" s="294"/>
      <c r="U60" s="295"/>
      <c r="V60" s="296"/>
      <c r="W60" s="156"/>
      <c r="X60" s="308">
        <f t="shared" si="134"/>
        <v>137427.30979999999</v>
      </c>
      <c r="Y60" s="304">
        <f t="shared" si="135"/>
        <v>0</v>
      </c>
      <c r="Z60" s="309">
        <f t="shared" si="136"/>
        <v>0</v>
      </c>
      <c r="AA60" s="304"/>
      <c r="AB60" s="308">
        <f t="shared" si="137"/>
        <v>141097.56763999999</v>
      </c>
      <c r="AC60" s="304">
        <f t="shared" si="138"/>
        <v>0</v>
      </c>
      <c r="AD60" s="309">
        <f t="shared" si="139"/>
        <v>0</v>
      </c>
      <c r="AE60" s="304"/>
      <c r="AF60" s="308">
        <f t="shared" si="140"/>
        <v>-1575.9299199999998</v>
      </c>
      <c r="AG60" s="304">
        <v>0</v>
      </c>
      <c r="AH60" s="309">
        <v>0</v>
      </c>
      <c r="AI60" s="304"/>
      <c r="AJ60" s="308">
        <f t="shared" si="141"/>
        <v>2094.3279200000061</v>
      </c>
      <c r="AK60" s="304">
        <f t="shared" si="142"/>
        <v>0</v>
      </c>
      <c r="AL60" s="309">
        <f t="shared" si="142"/>
        <v>0</v>
      </c>
      <c r="AM60" s="304"/>
      <c r="AN60" s="333"/>
      <c r="AO60" s="335">
        <f t="shared" si="133"/>
        <v>1.523953225198043E-2</v>
      </c>
      <c r="AP60" s="304"/>
      <c r="AQ60" s="308">
        <f t="shared" si="143"/>
        <v>0</v>
      </c>
      <c r="AR60" s="304">
        <v>0</v>
      </c>
      <c r="AS60" s="309">
        <v>0</v>
      </c>
      <c r="AT60" s="304"/>
      <c r="AU60" s="305"/>
      <c r="AV60" s="305"/>
      <c r="AW60" s="304"/>
    </row>
    <row r="61" spans="1:49" x14ac:dyDescent="0.3">
      <c r="A61" s="85">
        <f t="shared" si="4"/>
        <v>54</v>
      </c>
      <c r="B61" s="709"/>
      <c r="C61" s="710" t="s">
        <v>6</v>
      </c>
      <c r="D61" s="156"/>
      <c r="E61" s="121">
        <f>'Rates in Detail'!AC51</f>
        <v>2.7200000000000002E-3</v>
      </c>
      <c r="F61" s="121">
        <f>SUM('Rates in Detail'!AD51:AF51)</f>
        <v>-1.17E-3</v>
      </c>
      <c r="G61" s="156"/>
      <c r="H61" s="156"/>
      <c r="I61" s="368">
        <f>'Rev Req Proof Yr2'!H61</f>
        <v>0.10163999999999999</v>
      </c>
      <c r="J61" s="758">
        <f t="shared" si="10"/>
        <v>0.10435999999999999</v>
      </c>
      <c r="K61" s="156"/>
      <c r="L61" s="154"/>
      <c r="M61" s="155"/>
      <c r="N61" s="121"/>
      <c r="O61" s="121"/>
      <c r="P61" s="121"/>
      <c r="Q61" s="758"/>
      <c r="R61" s="156"/>
      <c r="S61" s="293">
        <f>'Rev Req Proof Yr1'!R61</f>
        <v>937215</v>
      </c>
      <c r="T61" s="294"/>
      <c r="U61" s="295"/>
      <c r="V61" s="296"/>
      <c r="W61" s="156"/>
      <c r="X61" s="308">
        <f t="shared" si="134"/>
        <v>95258.532599999991</v>
      </c>
      <c r="Y61" s="304">
        <f t="shared" si="135"/>
        <v>0</v>
      </c>
      <c r="Z61" s="309">
        <f t="shared" si="136"/>
        <v>0</v>
      </c>
      <c r="AA61" s="304"/>
      <c r="AB61" s="308">
        <f t="shared" si="137"/>
        <v>97807.757399999988</v>
      </c>
      <c r="AC61" s="304">
        <f t="shared" si="138"/>
        <v>0</v>
      </c>
      <c r="AD61" s="309">
        <f t="shared" si="139"/>
        <v>0</v>
      </c>
      <c r="AE61" s="304"/>
      <c r="AF61" s="308">
        <f t="shared" si="140"/>
        <v>-1096.5415500000001</v>
      </c>
      <c r="AG61" s="304">
        <v>0</v>
      </c>
      <c r="AH61" s="309">
        <v>0</v>
      </c>
      <c r="AI61" s="304"/>
      <c r="AJ61" s="308">
        <f t="shared" si="141"/>
        <v>1452.6832499999962</v>
      </c>
      <c r="AK61" s="304">
        <f t="shared" si="142"/>
        <v>0</v>
      </c>
      <c r="AL61" s="309">
        <f t="shared" si="142"/>
        <v>0</v>
      </c>
      <c r="AM61" s="304"/>
      <c r="AN61" s="333"/>
      <c r="AO61" s="335">
        <f t="shared" si="133"/>
        <v>1.5249901613537939E-2</v>
      </c>
      <c r="AP61" s="304"/>
      <c r="AQ61" s="308">
        <f t="shared" si="143"/>
        <v>0</v>
      </c>
      <c r="AR61" s="304">
        <v>0</v>
      </c>
      <c r="AS61" s="309">
        <v>0</v>
      </c>
      <c r="AT61" s="304"/>
      <c r="AU61" s="305"/>
      <c r="AV61" s="305"/>
      <c r="AW61" s="304"/>
    </row>
    <row r="62" spans="1:49" x14ac:dyDescent="0.3">
      <c r="A62" s="85">
        <f t="shared" si="4"/>
        <v>55</v>
      </c>
      <c r="B62" s="709"/>
      <c r="C62" s="710" t="s">
        <v>7</v>
      </c>
      <c r="D62" s="156"/>
      <c r="E62" s="121">
        <f>'Rates in Detail'!AC52</f>
        <v>2.1700000000000001E-3</v>
      </c>
      <c r="F62" s="121">
        <f>SUM('Rates in Detail'!AD52:AF52)</f>
        <v>-9.3999999999999997E-4</v>
      </c>
      <c r="G62" s="156"/>
      <c r="H62" s="156"/>
      <c r="I62" s="368">
        <f>'Rev Req Proof Yr2'!H62</f>
        <v>8.1320000000000003E-2</v>
      </c>
      <c r="J62" s="758">
        <f t="shared" si="10"/>
        <v>8.3490000000000009E-2</v>
      </c>
      <c r="K62" s="156"/>
      <c r="L62" s="154"/>
      <c r="M62" s="155"/>
      <c r="N62" s="121"/>
      <c r="O62" s="121"/>
      <c r="P62" s="121"/>
      <c r="Q62" s="758"/>
      <c r="R62" s="156"/>
      <c r="S62" s="293">
        <f>'Rev Req Proof Yr1'!R62</f>
        <v>2390318</v>
      </c>
      <c r="T62" s="294"/>
      <c r="U62" s="295"/>
      <c r="V62" s="296"/>
      <c r="W62" s="156"/>
      <c r="X62" s="308">
        <f t="shared" si="134"/>
        <v>194380.65976000001</v>
      </c>
      <c r="Y62" s="304">
        <f t="shared" si="135"/>
        <v>0</v>
      </c>
      <c r="Z62" s="309">
        <f t="shared" si="136"/>
        <v>0</v>
      </c>
      <c r="AA62" s="304"/>
      <c r="AB62" s="308">
        <f t="shared" si="137"/>
        <v>199567.64982000002</v>
      </c>
      <c r="AC62" s="304">
        <f t="shared" si="138"/>
        <v>0</v>
      </c>
      <c r="AD62" s="309">
        <f t="shared" si="139"/>
        <v>0</v>
      </c>
      <c r="AE62" s="304"/>
      <c r="AF62" s="308">
        <f t="shared" si="140"/>
        <v>-2246.8989200000001</v>
      </c>
      <c r="AG62" s="304">
        <v>0</v>
      </c>
      <c r="AH62" s="309">
        <v>0</v>
      </c>
      <c r="AI62" s="304"/>
      <c r="AJ62" s="308">
        <f t="shared" si="141"/>
        <v>2940.0911400000109</v>
      </c>
      <c r="AK62" s="304">
        <f t="shared" si="142"/>
        <v>0</v>
      </c>
      <c r="AL62" s="309">
        <f t="shared" si="142"/>
        <v>0</v>
      </c>
      <c r="AM62" s="304"/>
      <c r="AN62" s="333"/>
      <c r="AO62" s="335">
        <f t="shared" si="133"/>
        <v>1.5125430398426027E-2</v>
      </c>
      <c r="AP62" s="304"/>
      <c r="AQ62" s="308">
        <f t="shared" si="143"/>
        <v>0</v>
      </c>
      <c r="AR62" s="304">
        <v>0</v>
      </c>
      <c r="AS62" s="309">
        <v>0</v>
      </c>
      <c r="AT62" s="304"/>
      <c r="AU62" s="305"/>
      <c r="AV62" s="305"/>
      <c r="AW62" s="304"/>
    </row>
    <row r="63" spans="1:49" x14ac:dyDescent="0.3">
      <c r="A63" s="85">
        <f t="shared" si="4"/>
        <v>56</v>
      </c>
      <c r="B63" s="709"/>
      <c r="C63" s="710" t="s">
        <v>8</v>
      </c>
      <c r="D63" s="156"/>
      <c r="E63" s="121">
        <f>'Rates in Detail'!AC53</f>
        <v>1.4499999999999999E-3</v>
      </c>
      <c r="F63" s="121">
        <f>SUM('Rates in Detail'!AD53:AF53)</f>
        <v>-6.2E-4</v>
      </c>
      <c r="G63" s="156"/>
      <c r="H63" s="156"/>
      <c r="I63" s="368">
        <f>'Rev Req Proof Yr2'!H63</f>
        <v>5.4210000000000001E-2</v>
      </c>
      <c r="J63" s="758">
        <f t="shared" si="10"/>
        <v>5.5660000000000001E-2</v>
      </c>
      <c r="K63" s="156"/>
      <c r="L63" s="154"/>
      <c r="M63" s="155"/>
      <c r="N63" s="121"/>
      <c r="O63" s="121"/>
      <c r="P63" s="121"/>
      <c r="Q63" s="758"/>
      <c r="R63" s="156"/>
      <c r="S63" s="293">
        <f>'Rev Req Proof Yr1'!R63</f>
        <v>1492257</v>
      </c>
      <c r="T63" s="294"/>
      <c r="U63" s="295"/>
      <c r="V63" s="296"/>
      <c r="W63" s="156"/>
      <c r="X63" s="308">
        <f t="shared" si="134"/>
        <v>80895.251969999998</v>
      </c>
      <c r="Y63" s="304">
        <f t="shared" si="135"/>
        <v>0</v>
      </c>
      <c r="Z63" s="309">
        <f t="shared" si="136"/>
        <v>0</v>
      </c>
      <c r="AA63" s="304"/>
      <c r="AB63" s="308">
        <f t="shared" si="137"/>
        <v>83059.024619999997</v>
      </c>
      <c r="AC63" s="304">
        <f t="shared" si="138"/>
        <v>0</v>
      </c>
      <c r="AD63" s="309">
        <f t="shared" si="139"/>
        <v>0</v>
      </c>
      <c r="AE63" s="304"/>
      <c r="AF63" s="308">
        <f t="shared" si="140"/>
        <v>-925.19934000000001</v>
      </c>
      <c r="AG63" s="304">
        <v>0</v>
      </c>
      <c r="AH63" s="309">
        <v>0</v>
      </c>
      <c r="AI63" s="304"/>
      <c r="AJ63" s="308">
        <f t="shared" si="141"/>
        <v>1238.5733099999989</v>
      </c>
      <c r="AK63" s="304">
        <f t="shared" si="142"/>
        <v>0</v>
      </c>
      <c r="AL63" s="309">
        <f t="shared" si="142"/>
        <v>0</v>
      </c>
      <c r="AM63" s="304"/>
      <c r="AN63" s="333"/>
      <c r="AO63" s="335">
        <f t="shared" si="133"/>
        <v>1.5310828260468534E-2</v>
      </c>
      <c r="AP63" s="304"/>
      <c r="AQ63" s="308">
        <f t="shared" si="143"/>
        <v>0</v>
      </c>
      <c r="AR63" s="304">
        <v>0</v>
      </c>
      <c r="AS63" s="309">
        <v>0</v>
      </c>
      <c r="AT63" s="304"/>
      <c r="AU63" s="305"/>
      <c r="AV63" s="305"/>
      <c r="AW63" s="304"/>
    </row>
    <row r="64" spans="1:49" x14ac:dyDescent="0.3">
      <c r="A64" s="85">
        <f t="shared" si="4"/>
        <v>57</v>
      </c>
      <c r="B64" s="709"/>
      <c r="C64" s="710" t="s">
        <v>9</v>
      </c>
      <c r="D64" s="156"/>
      <c r="E64" s="121">
        <f>'Rates in Detail'!AC54</f>
        <v>5.4000000000000001E-4</v>
      </c>
      <c r="F64" s="121">
        <f>SUM('Rates in Detail'!AD54:AF54)</f>
        <v>-2.3000000000000001E-4</v>
      </c>
      <c r="G64" s="156"/>
      <c r="H64" s="156"/>
      <c r="I64" s="368">
        <f>'Rev Req Proof Yr2'!H64</f>
        <v>2.0330000000000001E-2</v>
      </c>
      <c r="J64" s="758">
        <f t="shared" si="10"/>
        <v>2.087E-2</v>
      </c>
      <c r="K64" s="156"/>
      <c r="L64" s="154"/>
      <c r="M64" s="155"/>
      <c r="N64" s="121"/>
      <c r="O64" s="121"/>
      <c r="P64" s="121"/>
      <c r="Q64" s="758"/>
      <c r="R64" s="156"/>
      <c r="S64" s="293">
        <f>'Rev Req Proof Yr1'!R64</f>
        <v>0</v>
      </c>
      <c r="T64" s="294"/>
      <c r="U64" s="295"/>
      <c r="V64" s="296"/>
      <c r="W64" s="156"/>
      <c r="X64" s="308">
        <f t="shared" si="134"/>
        <v>0</v>
      </c>
      <c r="Y64" s="304">
        <f t="shared" si="135"/>
        <v>0</v>
      </c>
      <c r="Z64" s="309">
        <f t="shared" si="136"/>
        <v>0</v>
      </c>
      <c r="AA64" s="304"/>
      <c r="AB64" s="308">
        <f t="shared" si="137"/>
        <v>0</v>
      </c>
      <c r="AC64" s="304">
        <f t="shared" si="138"/>
        <v>0</v>
      </c>
      <c r="AD64" s="309">
        <f t="shared" si="139"/>
        <v>0</v>
      </c>
      <c r="AE64" s="304"/>
      <c r="AF64" s="308">
        <f t="shared" si="140"/>
        <v>0</v>
      </c>
      <c r="AG64" s="304">
        <v>0</v>
      </c>
      <c r="AH64" s="309">
        <v>0</v>
      </c>
      <c r="AI64" s="304"/>
      <c r="AJ64" s="308">
        <f t="shared" si="141"/>
        <v>0</v>
      </c>
      <c r="AK64" s="304">
        <f t="shared" si="142"/>
        <v>0</v>
      </c>
      <c r="AL64" s="309">
        <f t="shared" si="142"/>
        <v>0</v>
      </c>
      <c r="AM64" s="304"/>
      <c r="AN64" s="333"/>
      <c r="AO64" s="335" t="e">
        <f t="shared" si="133"/>
        <v>#DIV/0!</v>
      </c>
      <c r="AP64" s="304"/>
      <c r="AQ64" s="308">
        <f t="shared" si="143"/>
        <v>0</v>
      </c>
      <c r="AR64" s="304">
        <v>0</v>
      </c>
      <c r="AS64" s="309">
        <v>0</v>
      </c>
      <c r="AT64" s="304"/>
      <c r="AU64" s="305"/>
      <c r="AV64" s="305"/>
      <c r="AW64" s="304"/>
    </row>
    <row r="65" spans="1:49" x14ac:dyDescent="0.3">
      <c r="A65" s="85">
        <f t="shared" si="4"/>
        <v>58</v>
      </c>
      <c r="B65" s="707"/>
      <c r="C65" s="726" t="s">
        <v>76</v>
      </c>
      <c r="D65" s="152"/>
      <c r="E65" s="122"/>
      <c r="F65" s="122"/>
      <c r="G65" s="152"/>
      <c r="H65" s="152"/>
      <c r="I65" s="363"/>
      <c r="J65" s="757"/>
      <c r="K65" s="156"/>
      <c r="L65" s="154"/>
      <c r="M65" s="155"/>
      <c r="N65" s="121"/>
      <c r="O65" s="121"/>
      <c r="P65" s="121"/>
      <c r="Q65" s="758"/>
      <c r="R65" s="156"/>
      <c r="S65" s="293"/>
      <c r="T65" s="294"/>
      <c r="U65" s="295"/>
      <c r="V65" s="296"/>
      <c r="W65" s="156"/>
      <c r="X65" s="310">
        <f>SUM(X59:X64)</f>
        <v>644846.16572999989</v>
      </c>
      <c r="Y65" s="311">
        <f>SUM(Y59:Y64)</f>
        <v>165850</v>
      </c>
      <c r="Z65" s="312">
        <f>SUM(Z59:Z64)</f>
        <v>50664.465600000003</v>
      </c>
      <c r="AA65" s="304"/>
      <c r="AB65" s="310">
        <f>SUM(AB59:AB64)</f>
        <v>662077.01528000005</v>
      </c>
      <c r="AC65" s="311">
        <f>SUM(AC59:AC64)</f>
        <v>165850</v>
      </c>
      <c r="AD65" s="312">
        <f>SUM(AD59:AD64)</f>
        <v>50664.465600000003</v>
      </c>
      <c r="AE65" s="304"/>
      <c r="AF65" s="310">
        <f>SUM(AF59:AF64)</f>
        <v>-7416.0412299999998</v>
      </c>
      <c r="AG65" s="311">
        <f>SUM(AG59:AG64)</f>
        <v>0</v>
      </c>
      <c r="AH65" s="312">
        <f>SUM(AH59:AH64)</f>
        <v>0</v>
      </c>
      <c r="AI65" s="304"/>
      <c r="AJ65" s="310">
        <f>SUM(AJ59:AJ64)</f>
        <v>9814.8083200000146</v>
      </c>
      <c r="AK65" s="311">
        <f>SUM(AK59:AK64)</f>
        <v>0</v>
      </c>
      <c r="AL65" s="312">
        <f>SUM(AL59:AL64)</f>
        <v>0</v>
      </c>
      <c r="AM65" s="304"/>
      <c r="AN65" s="333">
        <f>SUM(AJ65:AL65)/SUM(X65:Z65)</f>
        <v>1.1394540176331576E-2</v>
      </c>
      <c r="AO65" s="334">
        <f t="shared" si="133"/>
        <v>1.5220387189383585E-2</v>
      </c>
      <c r="AP65" s="304"/>
      <c r="AQ65" s="310">
        <f>SUM(AQ59:AQ64)</f>
        <v>0</v>
      </c>
      <c r="AR65" s="311">
        <f>SUM(AR59:AR64)</f>
        <v>0</v>
      </c>
      <c r="AS65" s="312">
        <f>SUM(AS59:AS64)</f>
        <v>0</v>
      </c>
      <c r="AT65" s="304"/>
      <c r="AU65" s="305"/>
      <c r="AV65" s="305"/>
      <c r="AW65" s="304"/>
    </row>
    <row r="66" spans="1:49" x14ac:dyDescent="0.3">
      <c r="A66" s="85">
        <f t="shared" si="4"/>
        <v>59</v>
      </c>
      <c r="B66" s="709" t="str">
        <f>'WA Volumes &amp; Revenues'!B57</f>
        <v>42C Interr Sales</v>
      </c>
      <c r="C66" s="710" t="s">
        <v>4</v>
      </c>
      <c r="D66" s="156"/>
      <c r="E66" s="121">
        <f>'Rates in Detail'!AC55</f>
        <v>1.2449999999999999E-2</v>
      </c>
      <c r="F66" s="121">
        <f>SUM('Rates in Detail'!AD55:AF55)</f>
        <v>-5.2100000000000002E-3</v>
      </c>
      <c r="G66" s="156"/>
      <c r="H66" s="156"/>
      <c r="I66" s="368">
        <f>'Rev Req Proof Yr2'!H66</f>
        <v>0.15742</v>
      </c>
      <c r="J66" s="758">
        <f t="shared" si="10"/>
        <v>0.16986999999999999</v>
      </c>
      <c r="K66" s="156"/>
      <c r="L66" s="154">
        <f>'Rev Req Proof Yr1'!K66</f>
        <v>1300</v>
      </c>
      <c r="M66" s="155">
        <f>'Rev Req Proof Yr1'!L66</f>
        <v>1300</v>
      </c>
      <c r="N66" s="121">
        <f>'Rev Req Proof Yr1'!M66</f>
        <v>0</v>
      </c>
      <c r="O66" s="121">
        <f>'Rev Req Proof Yr1'!N66</f>
        <v>0</v>
      </c>
      <c r="P66" s="121">
        <f>'Rev Req Proof Yr1'!O66</f>
        <v>0</v>
      </c>
      <c r="Q66" s="758">
        <f>'Rev Req Proof Yr1'!P66</f>
        <v>0</v>
      </c>
      <c r="R66" s="156"/>
      <c r="S66" s="293">
        <f>'Rev Req Proof Yr1'!R66</f>
        <v>240000</v>
      </c>
      <c r="T66" s="294">
        <f>'Rev Req Proof Yr1'!S66</f>
        <v>4620</v>
      </c>
      <c r="U66" s="295">
        <f>'Rev Req Proof Yr1'!T66</f>
        <v>2</v>
      </c>
      <c r="V66" s="296">
        <f>'Rev Req Proof Yr1'!U66</f>
        <v>39322</v>
      </c>
      <c r="W66" s="156"/>
      <c r="X66" s="308">
        <f t="shared" ref="X66:X71" si="144">(I66*S66)</f>
        <v>37780.800000000003</v>
      </c>
      <c r="Y66" s="304">
        <f t="shared" ref="Y66:Y71" si="145">(L66*U66*12)</f>
        <v>31200</v>
      </c>
      <c r="Z66" s="309">
        <f t="shared" ref="Z66:Z71" si="146">(T66*(N66+P66))*12</f>
        <v>0</v>
      </c>
      <c r="AA66" s="304"/>
      <c r="AB66" s="308">
        <f t="shared" ref="AB66:AB71" si="147">(J66*S66)</f>
        <v>40768.799999999996</v>
      </c>
      <c r="AC66" s="304">
        <f t="shared" ref="AC66:AC71" si="148">(M66*U66*12)</f>
        <v>31200</v>
      </c>
      <c r="AD66" s="309">
        <f t="shared" ref="AD66:AD71" si="149">(T66*(O66+Q66))*12</f>
        <v>0</v>
      </c>
      <c r="AE66" s="304"/>
      <c r="AF66" s="308">
        <f t="shared" ref="AF66:AF71" si="150">(F66*S66)</f>
        <v>-1250.4000000000001</v>
      </c>
      <c r="AG66" s="304">
        <v>0</v>
      </c>
      <c r="AH66" s="309">
        <v>0</v>
      </c>
      <c r="AI66" s="304"/>
      <c r="AJ66" s="308">
        <f t="shared" ref="AJ66:AJ71" si="151">AB66-X66+AF66</f>
        <v>1737.5999999999926</v>
      </c>
      <c r="AK66" s="304">
        <f t="shared" ref="AK66:AL71" si="152">AC66-Y66-AG66</f>
        <v>0</v>
      </c>
      <c r="AL66" s="309">
        <f t="shared" si="152"/>
        <v>0</v>
      </c>
      <c r="AM66" s="304"/>
      <c r="AN66" s="333"/>
      <c r="AO66" s="335">
        <f t="shared" si="133"/>
        <v>4.599161478846378E-2</v>
      </c>
      <c r="AP66" s="304"/>
      <c r="AQ66" s="308">
        <f t="shared" ref="AQ66:AQ71" si="153">(G66*S66)</f>
        <v>0</v>
      </c>
      <c r="AR66" s="304">
        <v>0</v>
      </c>
      <c r="AS66" s="309">
        <v>0</v>
      </c>
      <c r="AT66" s="304"/>
      <c r="AU66" s="305"/>
      <c r="AV66" s="305"/>
      <c r="AW66" s="304"/>
    </row>
    <row r="67" spans="1:49" x14ac:dyDescent="0.3">
      <c r="A67" s="85">
        <f t="shared" si="4"/>
        <v>60</v>
      </c>
      <c r="B67" s="709"/>
      <c r="C67" s="710" t="s">
        <v>5</v>
      </c>
      <c r="D67" s="156"/>
      <c r="E67" s="121">
        <f>'Rates in Detail'!AC56</f>
        <v>1.1140000000000001E-2</v>
      </c>
      <c r="F67" s="121">
        <f>SUM('Rates in Detail'!AD56:AF56)</f>
        <v>-4.6699999999999997E-3</v>
      </c>
      <c r="G67" s="156"/>
      <c r="H67" s="156"/>
      <c r="I67" s="368">
        <f>'Rev Req Proof Yr2'!H67</f>
        <v>0.14091999999999999</v>
      </c>
      <c r="J67" s="758">
        <f t="shared" si="10"/>
        <v>0.15206</v>
      </c>
      <c r="K67" s="156"/>
      <c r="L67" s="268"/>
      <c r="M67" s="54"/>
      <c r="N67" s="121"/>
      <c r="O67" s="121"/>
      <c r="P67" s="121"/>
      <c r="Q67" s="758"/>
      <c r="R67" s="156"/>
      <c r="S67" s="293">
        <f>'Rev Req Proof Yr1'!R67</f>
        <v>467511</v>
      </c>
      <c r="T67" s="294"/>
      <c r="U67" s="295"/>
      <c r="V67" s="296"/>
      <c r="W67" s="156"/>
      <c r="X67" s="308">
        <f t="shared" si="144"/>
        <v>65881.650119999991</v>
      </c>
      <c r="Y67" s="304">
        <f t="shared" si="145"/>
        <v>0</v>
      </c>
      <c r="Z67" s="309">
        <f t="shared" si="146"/>
        <v>0</v>
      </c>
      <c r="AA67" s="304"/>
      <c r="AB67" s="308">
        <f t="shared" si="147"/>
        <v>71089.722659999999</v>
      </c>
      <c r="AC67" s="304">
        <f t="shared" si="148"/>
        <v>0</v>
      </c>
      <c r="AD67" s="309">
        <f t="shared" si="149"/>
        <v>0</v>
      </c>
      <c r="AE67" s="304"/>
      <c r="AF67" s="308">
        <f t="shared" si="150"/>
        <v>-2183.27637</v>
      </c>
      <c r="AG67" s="304">
        <v>0</v>
      </c>
      <c r="AH67" s="309">
        <v>0</v>
      </c>
      <c r="AI67" s="304"/>
      <c r="AJ67" s="308">
        <f t="shared" si="151"/>
        <v>3024.7961700000083</v>
      </c>
      <c r="AK67" s="304">
        <f t="shared" si="152"/>
        <v>0</v>
      </c>
      <c r="AL67" s="309">
        <f t="shared" si="152"/>
        <v>0</v>
      </c>
      <c r="AM67" s="304"/>
      <c r="AN67" s="333"/>
      <c r="AO67" s="335">
        <f t="shared" si="133"/>
        <v>4.5912574510360619E-2</v>
      </c>
      <c r="AP67" s="304"/>
      <c r="AQ67" s="308">
        <f t="shared" si="153"/>
        <v>0</v>
      </c>
      <c r="AR67" s="304">
        <v>0</v>
      </c>
      <c r="AS67" s="309">
        <v>0</v>
      </c>
      <c r="AT67" s="304"/>
      <c r="AU67" s="305"/>
      <c r="AV67" s="305"/>
      <c r="AW67" s="304"/>
    </row>
    <row r="68" spans="1:49" x14ac:dyDescent="0.3">
      <c r="A68" s="85">
        <f t="shared" si="4"/>
        <v>61</v>
      </c>
      <c r="B68" s="709"/>
      <c r="C68" s="710" t="s">
        <v>6</v>
      </c>
      <c r="D68" s="156"/>
      <c r="E68" s="121">
        <f>'Rates in Detail'!AC57</f>
        <v>8.5400000000000007E-3</v>
      </c>
      <c r="F68" s="121">
        <f>SUM('Rates in Detail'!AD57:AF57)</f>
        <v>-3.5699999999999994E-3</v>
      </c>
      <c r="G68" s="156"/>
      <c r="H68" s="156"/>
      <c r="I68" s="368">
        <f>'Rev Req Proof Yr2'!H68</f>
        <v>0.10804999999999999</v>
      </c>
      <c r="J68" s="758">
        <f t="shared" si="10"/>
        <v>0.11659</v>
      </c>
      <c r="K68" s="156"/>
      <c r="L68" s="154"/>
      <c r="M68" s="155"/>
      <c r="N68" s="121"/>
      <c r="O68" s="121"/>
      <c r="P68" s="121"/>
      <c r="Q68" s="758"/>
      <c r="R68" s="156"/>
      <c r="S68" s="293">
        <f>'Rev Req Proof Yr1'!R68</f>
        <v>218004</v>
      </c>
      <c r="T68" s="294"/>
      <c r="U68" s="295"/>
      <c r="V68" s="296"/>
      <c r="W68" s="156"/>
      <c r="X68" s="308">
        <f t="shared" si="144"/>
        <v>23555.332199999997</v>
      </c>
      <c r="Y68" s="304">
        <f t="shared" si="145"/>
        <v>0</v>
      </c>
      <c r="Z68" s="309">
        <f t="shared" si="146"/>
        <v>0</v>
      </c>
      <c r="AA68" s="304"/>
      <c r="AB68" s="308">
        <f t="shared" si="147"/>
        <v>25417.086360000001</v>
      </c>
      <c r="AC68" s="304">
        <f t="shared" si="148"/>
        <v>0</v>
      </c>
      <c r="AD68" s="309">
        <f t="shared" si="149"/>
        <v>0</v>
      </c>
      <c r="AE68" s="304"/>
      <c r="AF68" s="308">
        <f t="shared" si="150"/>
        <v>-778.27427999999986</v>
      </c>
      <c r="AG68" s="304">
        <v>0</v>
      </c>
      <c r="AH68" s="309">
        <v>0</v>
      </c>
      <c r="AI68" s="304"/>
      <c r="AJ68" s="308">
        <f t="shared" si="151"/>
        <v>1083.4798800000042</v>
      </c>
      <c r="AK68" s="304">
        <f t="shared" si="152"/>
        <v>0</v>
      </c>
      <c r="AL68" s="309">
        <f t="shared" si="152"/>
        <v>0</v>
      </c>
      <c r="AM68" s="304"/>
      <c r="AN68" s="333"/>
      <c r="AO68" s="335">
        <f t="shared" si="133"/>
        <v>4.5997223507635535E-2</v>
      </c>
      <c r="AP68" s="304"/>
      <c r="AQ68" s="308">
        <f t="shared" si="153"/>
        <v>0</v>
      </c>
      <c r="AR68" s="304">
        <v>0</v>
      </c>
      <c r="AS68" s="309">
        <v>0</v>
      </c>
      <c r="AT68" s="304"/>
      <c r="AU68" s="305"/>
      <c r="AV68" s="305"/>
      <c r="AW68" s="304"/>
    </row>
    <row r="69" spans="1:49" x14ac:dyDescent="0.3">
      <c r="A69" s="85">
        <f t="shared" si="4"/>
        <v>62</v>
      </c>
      <c r="B69" s="709"/>
      <c r="C69" s="710" t="s">
        <v>7</v>
      </c>
      <c r="D69" s="156"/>
      <c r="E69" s="121">
        <f>'Rates in Detail'!AC58</f>
        <v>6.8300000000000001E-3</v>
      </c>
      <c r="F69" s="121">
        <f>SUM('Rates in Detail'!AD58:AF58)</f>
        <v>-2.8600000000000001E-3</v>
      </c>
      <c r="G69" s="156"/>
      <c r="H69" s="156"/>
      <c r="I69" s="368">
        <f>'Rev Req Proof Yr2'!H69</f>
        <v>8.6440000000000003E-2</v>
      </c>
      <c r="J69" s="758">
        <f t="shared" si="10"/>
        <v>9.3270000000000006E-2</v>
      </c>
      <c r="K69" s="156"/>
      <c r="L69" s="154"/>
      <c r="M69" s="155"/>
      <c r="N69" s="121"/>
      <c r="O69" s="121"/>
      <c r="P69" s="121"/>
      <c r="Q69" s="758"/>
      <c r="R69" s="156"/>
      <c r="S69" s="293">
        <f>'Rev Req Proof Yr1'!R69</f>
        <v>18208</v>
      </c>
      <c r="T69" s="294"/>
      <c r="U69" s="295"/>
      <c r="V69" s="296"/>
      <c r="W69" s="156"/>
      <c r="X69" s="308">
        <f t="shared" si="144"/>
        <v>1573.8995200000002</v>
      </c>
      <c r="Y69" s="304">
        <f t="shared" si="145"/>
        <v>0</v>
      </c>
      <c r="Z69" s="309">
        <f t="shared" si="146"/>
        <v>0</v>
      </c>
      <c r="AA69" s="304"/>
      <c r="AB69" s="308">
        <f t="shared" si="147"/>
        <v>1698.26016</v>
      </c>
      <c r="AC69" s="304">
        <f t="shared" si="148"/>
        <v>0</v>
      </c>
      <c r="AD69" s="309">
        <f t="shared" si="149"/>
        <v>0</v>
      </c>
      <c r="AE69" s="304"/>
      <c r="AF69" s="308">
        <f t="shared" si="150"/>
        <v>-52.07488</v>
      </c>
      <c r="AG69" s="304">
        <v>0</v>
      </c>
      <c r="AH69" s="309">
        <v>0</v>
      </c>
      <c r="AI69" s="304"/>
      <c r="AJ69" s="308">
        <f t="shared" si="151"/>
        <v>72.285759999999868</v>
      </c>
      <c r="AK69" s="304">
        <f t="shared" si="152"/>
        <v>0</v>
      </c>
      <c r="AL69" s="309">
        <f t="shared" si="152"/>
        <v>0</v>
      </c>
      <c r="AM69" s="304"/>
      <c r="AN69" s="333"/>
      <c r="AO69" s="335">
        <f t="shared" si="133"/>
        <v>4.5927811198519117E-2</v>
      </c>
      <c r="AP69" s="304"/>
      <c r="AQ69" s="308">
        <f t="shared" si="153"/>
        <v>0</v>
      </c>
      <c r="AR69" s="304">
        <v>0</v>
      </c>
      <c r="AS69" s="309">
        <v>0</v>
      </c>
      <c r="AT69" s="304"/>
      <c r="AU69" s="305"/>
      <c r="AV69" s="305"/>
      <c r="AW69" s="304"/>
    </row>
    <row r="70" spans="1:49" x14ac:dyDescent="0.3">
      <c r="A70" s="85">
        <f t="shared" si="4"/>
        <v>63</v>
      </c>
      <c r="B70" s="709"/>
      <c r="C70" s="710" t="s">
        <v>8</v>
      </c>
      <c r="D70" s="156"/>
      <c r="E70" s="121">
        <f>'Rates in Detail'!AC59</f>
        <v>4.5599999999999998E-3</v>
      </c>
      <c r="F70" s="121">
        <f>SUM('Rates in Detail'!AD59:AF59)</f>
        <v>-1.9099999999999998E-3</v>
      </c>
      <c r="G70" s="156"/>
      <c r="H70" s="156"/>
      <c r="I70" s="368">
        <f>'Rev Req Proof Yr2'!H70</f>
        <v>5.7639999999999997E-2</v>
      </c>
      <c r="J70" s="758">
        <f t="shared" si="10"/>
        <v>6.2199999999999998E-2</v>
      </c>
      <c r="K70" s="156"/>
      <c r="L70" s="154"/>
      <c r="M70" s="155"/>
      <c r="N70" s="121"/>
      <c r="O70" s="121"/>
      <c r="P70" s="121"/>
      <c r="Q70" s="758"/>
      <c r="R70" s="156"/>
      <c r="S70" s="293">
        <f>'Rev Req Proof Yr1'!R70</f>
        <v>0</v>
      </c>
      <c r="T70" s="294"/>
      <c r="U70" s="295"/>
      <c r="V70" s="296"/>
      <c r="W70" s="156"/>
      <c r="X70" s="308">
        <f t="shared" si="144"/>
        <v>0</v>
      </c>
      <c r="Y70" s="304">
        <f t="shared" si="145"/>
        <v>0</v>
      </c>
      <c r="Z70" s="309">
        <f t="shared" si="146"/>
        <v>0</v>
      </c>
      <c r="AA70" s="304"/>
      <c r="AB70" s="308">
        <f t="shared" si="147"/>
        <v>0</v>
      </c>
      <c r="AC70" s="304">
        <f t="shared" si="148"/>
        <v>0</v>
      </c>
      <c r="AD70" s="309">
        <f t="shared" si="149"/>
        <v>0</v>
      </c>
      <c r="AE70" s="304"/>
      <c r="AF70" s="308">
        <f t="shared" si="150"/>
        <v>0</v>
      </c>
      <c r="AG70" s="304">
        <v>0</v>
      </c>
      <c r="AH70" s="309">
        <v>0</v>
      </c>
      <c r="AI70" s="304"/>
      <c r="AJ70" s="308">
        <f t="shared" si="151"/>
        <v>0</v>
      </c>
      <c r="AK70" s="304">
        <f t="shared" si="152"/>
        <v>0</v>
      </c>
      <c r="AL70" s="309">
        <f t="shared" si="152"/>
        <v>0</v>
      </c>
      <c r="AM70" s="304"/>
      <c r="AN70" s="333"/>
      <c r="AO70" s="335" t="e">
        <f t="shared" si="133"/>
        <v>#DIV/0!</v>
      </c>
      <c r="AP70" s="304"/>
      <c r="AQ70" s="308">
        <f t="shared" si="153"/>
        <v>0</v>
      </c>
      <c r="AR70" s="304">
        <v>0</v>
      </c>
      <c r="AS70" s="309">
        <v>0</v>
      </c>
      <c r="AT70" s="304"/>
      <c r="AU70" s="305"/>
      <c r="AV70" s="305"/>
      <c r="AW70" s="304"/>
    </row>
    <row r="71" spans="1:49" x14ac:dyDescent="0.3">
      <c r="A71" s="85">
        <f t="shared" si="4"/>
        <v>64</v>
      </c>
      <c r="B71" s="709"/>
      <c r="C71" s="710" t="s">
        <v>9</v>
      </c>
      <c r="D71" s="156"/>
      <c r="E71" s="121">
        <f>'Rates in Detail'!AC60</f>
        <v>1.7099999999999999E-3</v>
      </c>
      <c r="F71" s="121">
        <f>SUM('Rates in Detail'!AD60:AF60)</f>
        <v>-7.1000000000000002E-4</v>
      </c>
      <c r="G71" s="156"/>
      <c r="H71" s="156"/>
      <c r="I71" s="368">
        <f>'Rev Req Proof Yr2'!H71</f>
        <v>2.162E-2</v>
      </c>
      <c r="J71" s="758">
        <f t="shared" si="10"/>
        <v>2.333E-2</v>
      </c>
      <c r="K71" s="156"/>
      <c r="L71" s="154"/>
      <c r="M71" s="155"/>
      <c r="N71" s="121"/>
      <c r="O71" s="121"/>
      <c r="P71" s="121"/>
      <c r="Q71" s="758"/>
      <c r="R71" s="156"/>
      <c r="S71" s="293">
        <f>'Rev Req Proof Yr1'!R71</f>
        <v>0</v>
      </c>
      <c r="T71" s="294"/>
      <c r="U71" s="295"/>
      <c r="V71" s="296"/>
      <c r="W71" s="156"/>
      <c r="X71" s="308">
        <f t="shared" si="144"/>
        <v>0</v>
      </c>
      <c r="Y71" s="304">
        <f t="shared" si="145"/>
        <v>0</v>
      </c>
      <c r="Z71" s="309">
        <f t="shared" si="146"/>
        <v>0</v>
      </c>
      <c r="AA71" s="304"/>
      <c r="AB71" s="308">
        <f t="shared" si="147"/>
        <v>0</v>
      </c>
      <c r="AC71" s="304">
        <f t="shared" si="148"/>
        <v>0</v>
      </c>
      <c r="AD71" s="309">
        <f t="shared" si="149"/>
        <v>0</v>
      </c>
      <c r="AE71" s="304"/>
      <c r="AF71" s="308">
        <f t="shared" si="150"/>
        <v>0</v>
      </c>
      <c r="AG71" s="304">
        <v>0</v>
      </c>
      <c r="AH71" s="309">
        <v>0</v>
      </c>
      <c r="AI71" s="304"/>
      <c r="AJ71" s="308">
        <f t="shared" si="151"/>
        <v>0</v>
      </c>
      <c r="AK71" s="304">
        <f t="shared" si="152"/>
        <v>0</v>
      </c>
      <c r="AL71" s="309">
        <f t="shared" si="152"/>
        <v>0</v>
      </c>
      <c r="AM71" s="304"/>
      <c r="AN71" s="333"/>
      <c r="AO71" s="335" t="e">
        <f>AO70</f>
        <v>#DIV/0!</v>
      </c>
      <c r="AP71" s="304"/>
      <c r="AQ71" s="308">
        <f t="shared" si="153"/>
        <v>0</v>
      </c>
      <c r="AR71" s="304">
        <v>0</v>
      </c>
      <c r="AS71" s="309">
        <v>0</v>
      </c>
      <c r="AT71" s="304"/>
      <c r="AU71" s="305"/>
      <c r="AV71" s="305"/>
      <c r="AW71" s="304"/>
    </row>
    <row r="72" spans="1:49" x14ac:dyDescent="0.3">
      <c r="A72" s="85">
        <f t="shared" si="4"/>
        <v>65</v>
      </c>
      <c r="B72" s="707"/>
      <c r="C72" s="726" t="s">
        <v>76</v>
      </c>
      <c r="D72" s="152"/>
      <c r="E72" s="122"/>
      <c r="F72" s="122"/>
      <c r="G72" s="152"/>
      <c r="H72" s="152"/>
      <c r="I72" s="363"/>
      <c r="J72" s="757"/>
      <c r="K72" s="156"/>
      <c r="L72" s="154"/>
      <c r="M72" s="155"/>
      <c r="N72" s="121"/>
      <c r="O72" s="121"/>
      <c r="P72" s="121"/>
      <c r="Q72" s="758"/>
      <c r="R72" s="156"/>
      <c r="S72" s="293"/>
      <c r="T72" s="294"/>
      <c r="U72" s="295"/>
      <c r="V72" s="296"/>
      <c r="W72" s="156"/>
      <c r="X72" s="310">
        <f>SUM(X66:X71)</f>
        <v>128791.68184</v>
      </c>
      <c r="Y72" s="311">
        <f>SUM(Y66:Y71)</f>
        <v>31200</v>
      </c>
      <c r="Z72" s="312">
        <f>SUM(Z66:Z71)</f>
        <v>0</v>
      </c>
      <c r="AA72" s="304"/>
      <c r="AB72" s="310">
        <f>SUM(AB66:AB71)</f>
        <v>138973.86917999998</v>
      </c>
      <c r="AC72" s="311">
        <f>SUM(AC66:AC71)</f>
        <v>31200</v>
      </c>
      <c r="AD72" s="312">
        <f>SUM(AD66:AD71)</f>
        <v>0</v>
      </c>
      <c r="AE72" s="304"/>
      <c r="AF72" s="310">
        <f>SUM(AF66:AF71)</f>
        <v>-4264.0255299999999</v>
      </c>
      <c r="AG72" s="311">
        <f>SUM(AG66:AG71)</f>
        <v>0</v>
      </c>
      <c r="AH72" s="312">
        <f>SUM(AH66:AH71)</f>
        <v>0</v>
      </c>
      <c r="AI72" s="304"/>
      <c r="AJ72" s="310">
        <f>SUM(AJ66:AJ71)</f>
        <v>5918.1618100000051</v>
      </c>
      <c r="AK72" s="311">
        <f>SUM(AK66:AK71)</f>
        <v>0</v>
      </c>
      <c r="AL72" s="312">
        <f>SUM(AL66:AL71)</f>
        <v>0</v>
      </c>
      <c r="AM72" s="304"/>
      <c r="AN72" s="333">
        <f>SUM(AJ72:AL72)/SUM(X72:Z72)</f>
        <v>3.6990434389698297E-2</v>
      </c>
      <c r="AO72" s="334">
        <f t="shared" ref="AO72:AO77" si="154">SUM(AJ72)/SUM(X72)</f>
        <v>4.5951428892373913E-2</v>
      </c>
      <c r="AP72" s="304"/>
      <c r="AQ72" s="310">
        <f>SUM(AQ66:AQ71)</f>
        <v>0</v>
      </c>
      <c r="AR72" s="311">
        <f>SUM(AR66:AR71)</f>
        <v>0</v>
      </c>
      <c r="AS72" s="312">
        <f>SUM(AS66:AS71)</f>
        <v>0</v>
      </c>
      <c r="AT72" s="304"/>
      <c r="AU72" s="314"/>
      <c r="AV72" s="305"/>
      <c r="AW72" s="304"/>
    </row>
    <row r="73" spans="1:49" x14ac:dyDescent="0.3">
      <c r="A73" s="85">
        <f t="shared" si="4"/>
        <v>66</v>
      </c>
      <c r="B73" s="709" t="str">
        <f>'WA Volumes &amp; Revenues'!B63</f>
        <v>42I Interr Sales</v>
      </c>
      <c r="C73" s="710" t="s">
        <v>4</v>
      </c>
      <c r="D73" s="156"/>
      <c r="E73" s="121">
        <f>'Rates in Detail'!AC61</f>
        <v>5.6600000000000001E-3</v>
      </c>
      <c r="F73" s="121">
        <f>SUM('Rates in Detail'!AD61:AF61)</f>
        <v>-2.4300000000000003E-3</v>
      </c>
      <c r="G73" s="156"/>
      <c r="H73" s="156"/>
      <c r="I73" s="368">
        <f>'Rev Req Proof Yr2'!H73</f>
        <v>0.15825</v>
      </c>
      <c r="J73" s="758">
        <f t="shared" si="10"/>
        <v>0.16391</v>
      </c>
      <c r="K73" s="156"/>
      <c r="L73" s="154">
        <f>'Rev Req Proof Yr1'!K73</f>
        <v>1300</v>
      </c>
      <c r="M73" s="155">
        <f>'Rev Req Proof Yr1'!L73</f>
        <v>1300</v>
      </c>
      <c r="N73" s="121">
        <f>'Rev Req Proof Yr1'!M73</f>
        <v>0</v>
      </c>
      <c r="O73" s="121">
        <f>'Rev Req Proof Yr1'!N73</f>
        <v>0</v>
      </c>
      <c r="P73" s="121">
        <f>'Rev Req Proof Yr1'!O73</f>
        <v>0</v>
      </c>
      <c r="Q73" s="758">
        <f>'Rev Req Proof Yr1'!P73</f>
        <v>0</v>
      </c>
      <c r="R73" s="156"/>
      <c r="S73" s="293">
        <f>'Rev Req Proof Yr1'!R73</f>
        <v>156740</v>
      </c>
      <c r="T73" s="294">
        <f>'Rev Req Proof Yr1'!S73</f>
        <v>2934</v>
      </c>
      <c r="U73" s="295">
        <f>'Rev Req Proof Yr1'!T73</f>
        <v>1.9166666666666701</v>
      </c>
      <c r="V73" s="296">
        <f>'Rev Req Proof Yr1'!U73</f>
        <v>13758</v>
      </c>
      <c r="W73" s="156"/>
      <c r="X73" s="308">
        <f t="shared" ref="X73:X78" si="155">(I73*S73)</f>
        <v>24804.105</v>
      </c>
      <c r="Y73" s="304">
        <f t="shared" ref="Y73:Y78" si="156">(L73*U73*12)</f>
        <v>29900.000000000051</v>
      </c>
      <c r="Z73" s="309">
        <f t="shared" ref="Z73:Z78" si="157">(T73*(N73+P73))*12</f>
        <v>0</v>
      </c>
      <c r="AA73" s="304"/>
      <c r="AB73" s="308">
        <f t="shared" ref="AB73:AB78" si="158">(J73*S73)</f>
        <v>25691.253400000001</v>
      </c>
      <c r="AC73" s="304">
        <f t="shared" ref="AC73:AC78" si="159">(M73*U73*12)</f>
        <v>29900.000000000051</v>
      </c>
      <c r="AD73" s="309">
        <f t="shared" ref="AD73:AD78" si="160">(T73*(O73+Q73))*12</f>
        <v>0</v>
      </c>
      <c r="AE73" s="304"/>
      <c r="AF73" s="308">
        <f t="shared" ref="AF73:AF78" si="161">(F73*S73)</f>
        <v>-380.87820000000005</v>
      </c>
      <c r="AG73" s="304">
        <v>0</v>
      </c>
      <c r="AH73" s="309">
        <v>0</v>
      </c>
      <c r="AI73" s="304"/>
      <c r="AJ73" s="308">
        <f t="shared" ref="AJ73:AJ78" si="162">AB73-X73+AF73</f>
        <v>506.27020000000181</v>
      </c>
      <c r="AK73" s="304">
        <f t="shared" ref="AK73:AL78" si="163">AC73-Y73-AG73</f>
        <v>0</v>
      </c>
      <c r="AL73" s="309">
        <f t="shared" si="163"/>
        <v>0</v>
      </c>
      <c r="AM73" s="304"/>
      <c r="AN73" s="333"/>
      <c r="AO73" s="335">
        <f t="shared" si="154"/>
        <v>2.0410742496050627E-2</v>
      </c>
      <c r="AP73" s="304"/>
      <c r="AQ73" s="308">
        <f t="shared" ref="AQ73:AQ78" si="164">(G73*S73)</f>
        <v>0</v>
      </c>
      <c r="AR73" s="304">
        <v>0</v>
      </c>
      <c r="AS73" s="309">
        <v>0</v>
      </c>
      <c r="AT73" s="304"/>
      <c r="AU73" s="305"/>
      <c r="AV73" s="305"/>
      <c r="AW73" s="304"/>
    </row>
    <row r="74" spans="1:49" x14ac:dyDescent="0.3">
      <c r="A74" s="85">
        <f t="shared" ref="A74:A102" si="165">+A73+1</f>
        <v>67</v>
      </c>
      <c r="B74" s="709"/>
      <c r="C74" s="710" t="s">
        <v>5</v>
      </c>
      <c r="D74" s="156"/>
      <c r="E74" s="121">
        <f>'Rates in Detail'!AC62</f>
        <v>5.0699999999999999E-3</v>
      </c>
      <c r="F74" s="121">
        <f>SUM('Rates in Detail'!AD62:AF62)</f>
        <v>-2.1700000000000001E-3</v>
      </c>
      <c r="G74" s="156"/>
      <c r="H74" s="156"/>
      <c r="I74" s="368">
        <f>'Rev Req Proof Yr2'!H74</f>
        <v>0.14166000000000001</v>
      </c>
      <c r="J74" s="758">
        <f t="shared" si="10"/>
        <v>0.14673</v>
      </c>
      <c r="K74" s="156"/>
      <c r="L74" s="154"/>
      <c r="M74" s="155"/>
      <c r="N74" s="121"/>
      <c r="O74" s="121"/>
      <c r="P74" s="121"/>
      <c r="Q74" s="758"/>
      <c r="R74" s="156"/>
      <c r="S74" s="293">
        <f>'Rev Req Proof Yr1'!R74</f>
        <v>159690</v>
      </c>
      <c r="T74" s="294"/>
      <c r="U74" s="295"/>
      <c r="V74" s="296"/>
      <c r="W74" s="156"/>
      <c r="X74" s="308">
        <f t="shared" si="155"/>
        <v>22621.685400000002</v>
      </c>
      <c r="Y74" s="304">
        <f t="shared" si="156"/>
        <v>0</v>
      </c>
      <c r="Z74" s="309">
        <f t="shared" si="157"/>
        <v>0</v>
      </c>
      <c r="AA74" s="304"/>
      <c r="AB74" s="308">
        <f t="shared" si="158"/>
        <v>23431.313699999999</v>
      </c>
      <c r="AC74" s="304">
        <f t="shared" si="159"/>
        <v>0</v>
      </c>
      <c r="AD74" s="309">
        <f t="shared" si="160"/>
        <v>0</v>
      </c>
      <c r="AE74" s="304"/>
      <c r="AF74" s="308">
        <f t="shared" si="161"/>
        <v>-346.52730000000003</v>
      </c>
      <c r="AG74" s="304">
        <v>0</v>
      </c>
      <c r="AH74" s="309">
        <v>0</v>
      </c>
      <c r="AI74" s="304"/>
      <c r="AJ74" s="308">
        <f t="shared" si="162"/>
        <v>463.10099999999665</v>
      </c>
      <c r="AK74" s="304">
        <f t="shared" si="163"/>
        <v>0</v>
      </c>
      <c r="AL74" s="309">
        <f t="shared" si="163"/>
        <v>0</v>
      </c>
      <c r="AM74" s="304"/>
      <c r="AN74" s="333"/>
      <c r="AO74" s="335">
        <f t="shared" si="154"/>
        <v>2.0471551602428199E-2</v>
      </c>
      <c r="AP74" s="304"/>
      <c r="AQ74" s="308">
        <f t="shared" si="164"/>
        <v>0</v>
      </c>
      <c r="AR74" s="304">
        <v>0</v>
      </c>
      <c r="AS74" s="309">
        <v>0</v>
      </c>
      <c r="AT74" s="304"/>
      <c r="AU74" s="305"/>
      <c r="AV74" s="305"/>
      <c r="AW74" s="304"/>
    </row>
    <row r="75" spans="1:49" x14ac:dyDescent="0.3">
      <c r="A75" s="85">
        <f t="shared" si="165"/>
        <v>68</v>
      </c>
      <c r="B75" s="709"/>
      <c r="C75" s="710" t="s">
        <v>6</v>
      </c>
      <c r="D75" s="156"/>
      <c r="E75" s="121">
        <f>'Rates in Detail'!AC63</f>
        <v>3.8899999999999998E-3</v>
      </c>
      <c r="F75" s="121">
        <f>SUM('Rates in Detail'!AD63:AF63)</f>
        <v>-1.66E-3</v>
      </c>
      <c r="G75" s="156"/>
      <c r="H75" s="156"/>
      <c r="I75" s="368">
        <f>'Rev Req Proof Yr2'!H75</f>
        <v>0.10863</v>
      </c>
      <c r="J75" s="758">
        <f t="shared" si="10"/>
        <v>0.11252000000000001</v>
      </c>
      <c r="K75" s="156"/>
      <c r="L75" s="154"/>
      <c r="M75" s="155"/>
      <c r="N75" s="121"/>
      <c r="O75" s="121"/>
      <c r="P75" s="121"/>
      <c r="Q75" s="758"/>
      <c r="R75" s="156"/>
      <c r="S75" s="293">
        <f>'Rev Req Proof Yr1'!R75</f>
        <v>0</v>
      </c>
      <c r="T75" s="294"/>
      <c r="U75" s="295"/>
      <c r="V75" s="296"/>
      <c r="W75" s="156"/>
      <c r="X75" s="308">
        <f t="shared" si="155"/>
        <v>0</v>
      </c>
      <c r="Y75" s="304">
        <f t="shared" si="156"/>
        <v>0</v>
      </c>
      <c r="Z75" s="309">
        <f t="shared" si="157"/>
        <v>0</v>
      </c>
      <c r="AA75" s="304"/>
      <c r="AB75" s="308">
        <f t="shared" si="158"/>
        <v>0</v>
      </c>
      <c r="AC75" s="304">
        <f t="shared" si="159"/>
        <v>0</v>
      </c>
      <c r="AD75" s="309">
        <f t="shared" si="160"/>
        <v>0</v>
      </c>
      <c r="AE75" s="304"/>
      <c r="AF75" s="308">
        <f t="shared" si="161"/>
        <v>0</v>
      </c>
      <c r="AG75" s="304">
        <v>0</v>
      </c>
      <c r="AH75" s="309">
        <v>0</v>
      </c>
      <c r="AI75" s="304"/>
      <c r="AJ75" s="308">
        <f t="shared" si="162"/>
        <v>0</v>
      </c>
      <c r="AK75" s="304">
        <f t="shared" si="163"/>
        <v>0</v>
      </c>
      <c r="AL75" s="309">
        <f t="shared" si="163"/>
        <v>0</v>
      </c>
      <c r="AM75" s="304"/>
      <c r="AN75" s="333"/>
      <c r="AO75" s="335" t="e">
        <f t="shared" si="154"/>
        <v>#DIV/0!</v>
      </c>
      <c r="AP75" s="304"/>
      <c r="AQ75" s="308">
        <f t="shared" si="164"/>
        <v>0</v>
      </c>
      <c r="AR75" s="304">
        <v>0</v>
      </c>
      <c r="AS75" s="309">
        <v>0</v>
      </c>
      <c r="AT75" s="304"/>
      <c r="AU75" s="305"/>
      <c r="AV75" s="305"/>
      <c r="AW75" s="304"/>
    </row>
    <row r="76" spans="1:49" x14ac:dyDescent="0.3">
      <c r="A76" s="85">
        <f t="shared" si="165"/>
        <v>69</v>
      </c>
      <c r="B76" s="709"/>
      <c r="C76" s="710" t="s">
        <v>7</v>
      </c>
      <c r="D76" s="156"/>
      <c r="E76" s="121">
        <f>'Rates in Detail'!AC64</f>
        <v>3.1099999999999999E-3</v>
      </c>
      <c r="F76" s="121">
        <f>SUM('Rates in Detail'!AD64:AF64)</f>
        <v>-1.33E-3</v>
      </c>
      <c r="G76" s="156"/>
      <c r="H76" s="156"/>
      <c r="I76" s="368">
        <f>'Rev Req Proof Yr2'!H76</f>
        <v>8.6910000000000001E-2</v>
      </c>
      <c r="J76" s="758">
        <f t="shared" si="10"/>
        <v>9.0020000000000003E-2</v>
      </c>
      <c r="K76" s="156"/>
      <c r="L76" s="154"/>
      <c r="M76" s="155"/>
      <c r="N76" s="121"/>
      <c r="O76" s="121"/>
      <c r="P76" s="121"/>
      <c r="Q76" s="758"/>
      <c r="R76" s="156"/>
      <c r="S76" s="293">
        <f>'Rev Req Proof Yr1'!R76</f>
        <v>0</v>
      </c>
      <c r="T76" s="294"/>
      <c r="U76" s="295"/>
      <c r="V76" s="296"/>
      <c r="W76" s="156"/>
      <c r="X76" s="308">
        <f t="shared" si="155"/>
        <v>0</v>
      </c>
      <c r="Y76" s="304">
        <f t="shared" si="156"/>
        <v>0</v>
      </c>
      <c r="Z76" s="309">
        <f t="shared" si="157"/>
        <v>0</v>
      </c>
      <c r="AA76" s="304"/>
      <c r="AB76" s="308">
        <f t="shared" si="158"/>
        <v>0</v>
      </c>
      <c r="AC76" s="304">
        <f t="shared" si="159"/>
        <v>0</v>
      </c>
      <c r="AD76" s="309">
        <f t="shared" si="160"/>
        <v>0</v>
      </c>
      <c r="AE76" s="304"/>
      <c r="AF76" s="308">
        <f t="shared" si="161"/>
        <v>0</v>
      </c>
      <c r="AG76" s="304">
        <v>0</v>
      </c>
      <c r="AH76" s="309">
        <v>0</v>
      </c>
      <c r="AI76" s="304"/>
      <c r="AJ76" s="308">
        <f t="shared" si="162"/>
        <v>0</v>
      </c>
      <c r="AK76" s="304">
        <f t="shared" si="163"/>
        <v>0</v>
      </c>
      <c r="AL76" s="309">
        <f t="shared" si="163"/>
        <v>0</v>
      </c>
      <c r="AM76" s="304"/>
      <c r="AN76" s="333"/>
      <c r="AO76" s="335" t="e">
        <f t="shared" si="154"/>
        <v>#DIV/0!</v>
      </c>
      <c r="AP76" s="304"/>
      <c r="AQ76" s="308">
        <f t="shared" si="164"/>
        <v>0</v>
      </c>
      <c r="AR76" s="304">
        <v>0</v>
      </c>
      <c r="AS76" s="309">
        <v>0</v>
      </c>
      <c r="AT76" s="304"/>
      <c r="AU76" s="305"/>
      <c r="AV76" s="305"/>
      <c r="AW76" s="304"/>
    </row>
    <row r="77" spans="1:49" x14ac:dyDescent="0.3">
      <c r="A77" s="85">
        <f t="shared" si="165"/>
        <v>70</v>
      </c>
      <c r="B77" s="709"/>
      <c r="C77" s="710" t="s">
        <v>8</v>
      </c>
      <c r="D77" s="156"/>
      <c r="E77" s="121">
        <f>'Rates in Detail'!AC65</f>
        <v>2.0699999999999998E-3</v>
      </c>
      <c r="F77" s="121">
        <f>SUM('Rates in Detail'!AD65:AF65)</f>
        <v>-8.8999999999999995E-4</v>
      </c>
      <c r="G77" s="156"/>
      <c r="H77" s="156"/>
      <c r="I77" s="368">
        <f>'Rev Req Proof Yr2'!H77</f>
        <v>5.7930000000000002E-2</v>
      </c>
      <c r="J77" s="758">
        <f t="shared" si="10"/>
        <v>6.0000000000000005E-2</v>
      </c>
      <c r="K77" s="156"/>
      <c r="L77" s="154"/>
      <c r="M77" s="155"/>
      <c r="N77" s="121"/>
      <c r="O77" s="121"/>
      <c r="P77" s="121"/>
      <c r="Q77" s="758"/>
      <c r="R77" s="156"/>
      <c r="S77" s="293">
        <f>'Rev Req Proof Yr1'!R77</f>
        <v>0</v>
      </c>
      <c r="T77" s="294"/>
      <c r="U77" s="295"/>
      <c r="V77" s="296"/>
      <c r="W77" s="156"/>
      <c r="X77" s="308">
        <f t="shared" si="155"/>
        <v>0</v>
      </c>
      <c r="Y77" s="304">
        <f t="shared" si="156"/>
        <v>0</v>
      </c>
      <c r="Z77" s="309">
        <f t="shared" si="157"/>
        <v>0</v>
      </c>
      <c r="AA77" s="304"/>
      <c r="AB77" s="308">
        <f t="shared" si="158"/>
        <v>0</v>
      </c>
      <c r="AC77" s="304">
        <f t="shared" si="159"/>
        <v>0</v>
      </c>
      <c r="AD77" s="309">
        <f t="shared" si="160"/>
        <v>0</v>
      </c>
      <c r="AE77" s="304"/>
      <c r="AF77" s="308">
        <f t="shared" si="161"/>
        <v>0</v>
      </c>
      <c r="AG77" s="304">
        <v>0</v>
      </c>
      <c r="AH77" s="309">
        <v>0</v>
      </c>
      <c r="AI77" s="304"/>
      <c r="AJ77" s="308">
        <f t="shared" si="162"/>
        <v>0</v>
      </c>
      <c r="AK77" s="304">
        <f t="shared" si="163"/>
        <v>0</v>
      </c>
      <c r="AL77" s="309">
        <f t="shared" si="163"/>
        <v>0</v>
      </c>
      <c r="AM77" s="304"/>
      <c r="AN77" s="333"/>
      <c r="AO77" s="335" t="e">
        <f t="shared" si="154"/>
        <v>#DIV/0!</v>
      </c>
      <c r="AP77" s="304"/>
      <c r="AQ77" s="308">
        <f t="shared" si="164"/>
        <v>0</v>
      </c>
      <c r="AR77" s="304">
        <v>0</v>
      </c>
      <c r="AS77" s="309">
        <v>0</v>
      </c>
      <c r="AT77" s="304"/>
      <c r="AU77" s="305"/>
      <c r="AV77" s="305"/>
      <c r="AW77" s="304"/>
    </row>
    <row r="78" spans="1:49" x14ac:dyDescent="0.3">
      <c r="A78" s="85">
        <f t="shared" si="165"/>
        <v>71</v>
      </c>
      <c r="B78" s="709"/>
      <c r="C78" s="710" t="s">
        <v>9</v>
      </c>
      <c r="D78" s="156"/>
      <c r="E78" s="121">
        <f>'Rates in Detail'!AC66</f>
        <v>7.7999999999999999E-4</v>
      </c>
      <c r="F78" s="121">
        <f>SUM('Rates in Detail'!AD66:AF66)</f>
        <v>-3.3E-4</v>
      </c>
      <c r="G78" s="156"/>
      <c r="H78" s="156"/>
      <c r="I78" s="368">
        <f>'Rev Req Proof Yr2'!H78</f>
        <v>2.172E-2</v>
      </c>
      <c r="J78" s="758">
        <f t="shared" si="10"/>
        <v>2.2499999999999999E-2</v>
      </c>
      <c r="K78" s="156"/>
      <c r="L78" s="268"/>
      <c r="M78" s="54"/>
      <c r="N78" s="121"/>
      <c r="O78" s="121"/>
      <c r="P78" s="121"/>
      <c r="Q78" s="758"/>
      <c r="R78" s="156"/>
      <c r="S78" s="293">
        <f>'Rev Req Proof Yr1'!R78</f>
        <v>0</v>
      </c>
      <c r="T78" s="294"/>
      <c r="U78" s="295"/>
      <c r="V78" s="296"/>
      <c r="W78" s="156"/>
      <c r="X78" s="308">
        <f t="shared" si="155"/>
        <v>0</v>
      </c>
      <c r="Y78" s="304">
        <f t="shared" si="156"/>
        <v>0</v>
      </c>
      <c r="Z78" s="309">
        <f t="shared" si="157"/>
        <v>0</v>
      </c>
      <c r="AA78" s="304"/>
      <c r="AB78" s="308">
        <f t="shared" si="158"/>
        <v>0</v>
      </c>
      <c r="AC78" s="304">
        <f t="shared" si="159"/>
        <v>0</v>
      </c>
      <c r="AD78" s="309">
        <f t="shared" si="160"/>
        <v>0</v>
      </c>
      <c r="AE78" s="304"/>
      <c r="AF78" s="308">
        <f t="shared" si="161"/>
        <v>0</v>
      </c>
      <c r="AG78" s="304">
        <v>0</v>
      </c>
      <c r="AH78" s="309">
        <v>0</v>
      </c>
      <c r="AI78" s="304"/>
      <c r="AJ78" s="308">
        <f t="shared" si="162"/>
        <v>0</v>
      </c>
      <c r="AK78" s="304">
        <f t="shared" si="163"/>
        <v>0</v>
      </c>
      <c r="AL78" s="309">
        <f t="shared" si="163"/>
        <v>0</v>
      </c>
      <c r="AM78" s="304"/>
      <c r="AN78" s="333"/>
      <c r="AO78" s="335" t="e">
        <f>AO77</f>
        <v>#DIV/0!</v>
      </c>
      <c r="AP78" s="304"/>
      <c r="AQ78" s="308">
        <f t="shared" si="164"/>
        <v>0</v>
      </c>
      <c r="AR78" s="304">
        <v>0</v>
      </c>
      <c r="AS78" s="309">
        <v>0</v>
      </c>
      <c r="AT78" s="304"/>
      <c r="AU78" s="305"/>
      <c r="AV78" s="305"/>
      <c r="AW78" s="304"/>
    </row>
    <row r="79" spans="1:49" x14ac:dyDescent="0.3">
      <c r="A79" s="85">
        <f t="shared" si="165"/>
        <v>72</v>
      </c>
      <c r="B79" s="707"/>
      <c r="C79" s="726" t="s">
        <v>76</v>
      </c>
      <c r="D79" s="152"/>
      <c r="E79" s="122"/>
      <c r="F79" s="122"/>
      <c r="G79" s="152"/>
      <c r="H79" s="152"/>
      <c r="I79" s="363"/>
      <c r="J79" s="757"/>
      <c r="K79" s="156"/>
      <c r="L79" s="268"/>
      <c r="M79" s="54"/>
      <c r="N79" s="121"/>
      <c r="O79" s="121"/>
      <c r="P79" s="121"/>
      <c r="Q79" s="758"/>
      <c r="R79" s="156"/>
      <c r="S79" s="293"/>
      <c r="T79" s="294"/>
      <c r="U79" s="295"/>
      <c r="V79" s="296"/>
      <c r="W79" s="156"/>
      <c r="X79" s="310">
        <f>SUM(X73:X78)</f>
        <v>47425.790399999998</v>
      </c>
      <c r="Y79" s="311">
        <f>SUM(Y73:Y78)</f>
        <v>29900.000000000051</v>
      </c>
      <c r="Z79" s="312">
        <f>SUM(Z73:Z78)</f>
        <v>0</v>
      </c>
      <c r="AA79" s="304"/>
      <c r="AB79" s="310">
        <f>SUM(AB73:AB78)</f>
        <v>49122.5671</v>
      </c>
      <c r="AC79" s="311">
        <f>SUM(AC73:AC78)</f>
        <v>29900.000000000051</v>
      </c>
      <c r="AD79" s="312">
        <f>SUM(AD73:AD78)</f>
        <v>0</v>
      </c>
      <c r="AE79" s="304"/>
      <c r="AF79" s="310">
        <f>SUM(AF73:AF78)</f>
        <v>-727.40550000000007</v>
      </c>
      <c r="AG79" s="311">
        <f>SUM(AG73:AG78)</f>
        <v>0</v>
      </c>
      <c r="AH79" s="312">
        <f>SUM(AH73:AH78)</f>
        <v>0</v>
      </c>
      <c r="AI79" s="304"/>
      <c r="AJ79" s="310">
        <f>SUM(AJ73:AJ78)</f>
        <v>969.37119999999845</v>
      </c>
      <c r="AK79" s="311">
        <f>SUM(AK73:AK78)</f>
        <v>0</v>
      </c>
      <c r="AL79" s="312">
        <f>SUM(AL73:AL78)</f>
        <v>0</v>
      </c>
      <c r="AM79" s="304"/>
      <c r="AN79" s="333">
        <f>SUM(AJ79:AL79)/SUM(X79:Z79)</f>
        <v>1.2536195168332837E-2</v>
      </c>
      <c r="AO79" s="334">
        <f t="shared" ref="AO79:AO93" si="166">SUM(AJ79)/SUM(X79)</f>
        <v>2.0439747905603666E-2</v>
      </c>
      <c r="AP79" s="304"/>
      <c r="AQ79" s="310">
        <f>SUM(AQ73:AQ78)</f>
        <v>0</v>
      </c>
      <c r="AR79" s="311">
        <f>SUM(AR73:AR78)</f>
        <v>0</v>
      </c>
      <c r="AS79" s="312">
        <f>SUM(AS73:AS78)</f>
        <v>0</v>
      </c>
      <c r="AT79" s="304"/>
      <c r="AU79" s="305"/>
      <c r="AV79" s="305"/>
      <c r="AW79" s="304"/>
    </row>
    <row r="80" spans="1:49" x14ac:dyDescent="0.3">
      <c r="A80" s="85">
        <f t="shared" si="165"/>
        <v>73</v>
      </c>
      <c r="B80" s="709" t="str">
        <f>'WA Volumes &amp; Revenues'!B69</f>
        <v>42C Inter Transpt</v>
      </c>
      <c r="C80" s="710" t="s">
        <v>4</v>
      </c>
      <c r="D80" s="156"/>
      <c r="E80" s="121">
        <f>'Rates in Detail'!AC67</f>
        <v>2.7799999999999999E-3</v>
      </c>
      <c r="F80" s="121">
        <f>SUM('Rates in Detail'!AD67:AF67)</f>
        <v>-1.1900000000000001E-3</v>
      </c>
      <c r="G80" s="156"/>
      <c r="H80" s="156"/>
      <c r="I80" s="368">
        <f>'Rev Req Proof Yr2'!H80</f>
        <v>0.13891000000000001</v>
      </c>
      <c r="J80" s="758">
        <f t="shared" ref="J80:J96" si="167">I80+E80</f>
        <v>0.14169000000000001</v>
      </c>
      <c r="K80" s="156"/>
      <c r="L80" s="154">
        <f>'Rev Req Proof Yr1'!K80</f>
        <v>1550</v>
      </c>
      <c r="M80" s="155">
        <f>'Rev Req Proof Yr1'!L80</f>
        <v>1550</v>
      </c>
      <c r="N80" s="121">
        <f>'Rev Req Proof Yr1'!M80</f>
        <v>0</v>
      </c>
      <c r="O80" s="121">
        <f>'Rev Req Proof Yr1'!N80</f>
        <v>0</v>
      </c>
      <c r="P80" s="121">
        <f>'Rev Req Proof Yr1'!O80</f>
        <v>0</v>
      </c>
      <c r="Q80" s="758">
        <f>'Rev Req Proof Yr1'!P80</f>
        <v>0</v>
      </c>
      <c r="R80" s="156"/>
      <c r="S80" s="293">
        <f>'Rev Req Proof Yr1'!R80</f>
        <v>0</v>
      </c>
      <c r="T80" s="294"/>
      <c r="U80" s="295">
        <f>'Rev Req Proof Yr1'!T80</f>
        <v>0</v>
      </c>
      <c r="V80" s="296">
        <f>'Rev Req Proof Yr1'!U80</f>
        <v>0</v>
      </c>
      <c r="W80" s="156"/>
      <c r="X80" s="308">
        <f t="shared" ref="X80:X85" si="168">(I80*S80)</f>
        <v>0</v>
      </c>
      <c r="Y80" s="304">
        <f t="shared" ref="Y80:Y85" si="169">(L80*U80*12)</f>
        <v>0</v>
      </c>
      <c r="Z80" s="309">
        <f t="shared" ref="Z80:Z85" si="170">(T80*(N80+P80))*12</f>
        <v>0</v>
      </c>
      <c r="AA80" s="304"/>
      <c r="AB80" s="308">
        <f t="shared" ref="AB80:AB85" si="171">(J80*S80)</f>
        <v>0</v>
      </c>
      <c r="AC80" s="304">
        <f t="shared" ref="AC80:AC85" si="172">(M80*U80*12)</f>
        <v>0</v>
      </c>
      <c r="AD80" s="309">
        <f t="shared" ref="AD80:AD85" si="173">(T80*(O80+Q80))*12</f>
        <v>0</v>
      </c>
      <c r="AE80" s="304"/>
      <c r="AF80" s="308">
        <f t="shared" ref="AF80:AF85" si="174">(F80*S80)</f>
        <v>0</v>
      </c>
      <c r="AG80" s="304">
        <v>0</v>
      </c>
      <c r="AH80" s="309">
        <v>0</v>
      </c>
      <c r="AI80" s="304"/>
      <c r="AJ80" s="308">
        <f t="shared" ref="AJ80:AJ85" si="175">AB80-X80+AF80</f>
        <v>0</v>
      </c>
      <c r="AK80" s="304">
        <f t="shared" ref="AK80:AL85" si="176">AC80-Y80-AG80</f>
        <v>0</v>
      </c>
      <c r="AL80" s="309">
        <f t="shared" si="176"/>
        <v>0</v>
      </c>
      <c r="AM80" s="304"/>
      <c r="AN80" s="333"/>
      <c r="AO80" s="335" t="e">
        <f t="shared" ref="AO80:AO84" si="177">SUM(AJ80)/SUM(X80)</f>
        <v>#DIV/0!</v>
      </c>
      <c r="AP80" s="304"/>
      <c r="AQ80" s="308">
        <f t="shared" ref="AQ80:AQ85" si="178">(G80*S80)</f>
        <v>0</v>
      </c>
      <c r="AR80" s="304">
        <v>0</v>
      </c>
      <c r="AS80" s="309">
        <v>0</v>
      </c>
      <c r="AT80" s="304"/>
      <c r="AU80" s="305"/>
      <c r="AV80" s="305"/>
      <c r="AW80" s="304"/>
    </row>
    <row r="81" spans="1:49" x14ac:dyDescent="0.3">
      <c r="A81" s="85">
        <f t="shared" si="165"/>
        <v>74</v>
      </c>
      <c r="B81" s="709"/>
      <c r="C81" s="710" t="s">
        <v>5</v>
      </c>
      <c r="D81" s="156"/>
      <c r="E81" s="121">
        <f>'Rates in Detail'!AC68</f>
        <v>2.49E-3</v>
      </c>
      <c r="F81" s="121">
        <f>SUM('Rates in Detail'!AD68:AF68)</f>
        <v>-1.07E-3</v>
      </c>
      <c r="G81" s="156"/>
      <c r="H81" s="156"/>
      <c r="I81" s="368">
        <f>'Rev Req Proof Yr2'!H81</f>
        <v>0.12436</v>
      </c>
      <c r="J81" s="758">
        <f t="shared" si="167"/>
        <v>0.12684999999999999</v>
      </c>
      <c r="K81" s="156"/>
      <c r="L81" s="154"/>
      <c r="M81" s="155"/>
      <c r="N81" s="121"/>
      <c r="O81" s="121"/>
      <c r="P81" s="121"/>
      <c r="Q81" s="758"/>
      <c r="R81" s="156"/>
      <c r="S81" s="293">
        <f>'Rev Req Proof Yr1'!R81</f>
        <v>0</v>
      </c>
      <c r="T81" s="294"/>
      <c r="U81" s="295"/>
      <c r="V81" s="296"/>
      <c r="W81" s="156"/>
      <c r="X81" s="308">
        <f t="shared" si="168"/>
        <v>0</v>
      </c>
      <c r="Y81" s="304">
        <f t="shared" si="169"/>
        <v>0</v>
      </c>
      <c r="Z81" s="309">
        <f t="shared" si="170"/>
        <v>0</v>
      </c>
      <c r="AA81" s="304"/>
      <c r="AB81" s="308">
        <f t="shared" si="171"/>
        <v>0</v>
      </c>
      <c r="AC81" s="304">
        <f t="shared" si="172"/>
        <v>0</v>
      </c>
      <c r="AD81" s="309">
        <f t="shared" si="173"/>
        <v>0</v>
      </c>
      <c r="AE81" s="304"/>
      <c r="AF81" s="308">
        <f t="shared" si="174"/>
        <v>0</v>
      </c>
      <c r="AG81" s="304">
        <v>0</v>
      </c>
      <c r="AH81" s="309">
        <v>0</v>
      </c>
      <c r="AI81" s="304"/>
      <c r="AJ81" s="308">
        <f t="shared" si="175"/>
        <v>0</v>
      </c>
      <c r="AK81" s="304">
        <f t="shared" si="176"/>
        <v>0</v>
      </c>
      <c r="AL81" s="309">
        <f t="shared" si="176"/>
        <v>0</v>
      </c>
      <c r="AM81" s="304"/>
      <c r="AN81" s="333"/>
      <c r="AO81" s="335" t="e">
        <f t="shared" si="177"/>
        <v>#DIV/0!</v>
      </c>
      <c r="AP81" s="304"/>
      <c r="AQ81" s="308">
        <f t="shared" si="178"/>
        <v>0</v>
      </c>
      <c r="AR81" s="304">
        <v>0</v>
      </c>
      <c r="AS81" s="309">
        <v>0</v>
      </c>
      <c r="AT81" s="304"/>
      <c r="AU81" s="305"/>
      <c r="AV81" s="305"/>
      <c r="AW81" s="304"/>
    </row>
    <row r="82" spans="1:49" x14ac:dyDescent="0.3">
      <c r="A82" s="85">
        <f t="shared" si="165"/>
        <v>75</v>
      </c>
      <c r="B82" s="709"/>
      <c r="C82" s="710" t="s">
        <v>6</v>
      </c>
      <c r="D82" s="156"/>
      <c r="E82" s="121">
        <f>'Rates in Detail'!AC69</f>
        <v>1.91E-3</v>
      </c>
      <c r="F82" s="121">
        <f>SUM('Rates in Detail'!AD69:AF69)</f>
        <v>-8.1999999999999998E-4</v>
      </c>
      <c r="G82" s="156"/>
      <c r="H82" s="156"/>
      <c r="I82" s="368">
        <f>'Rev Req Proof Yr2'!H82</f>
        <v>9.536E-2</v>
      </c>
      <c r="J82" s="758">
        <f t="shared" si="167"/>
        <v>9.7269999999999995E-2</v>
      </c>
      <c r="K82" s="156"/>
      <c r="L82" s="154"/>
      <c r="M82" s="155"/>
      <c r="N82" s="121"/>
      <c r="O82" s="121"/>
      <c r="P82" s="121"/>
      <c r="Q82" s="758"/>
      <c r="R82" s="156"/>
      <c r="S82" s="293">
        <f>'Rev Req Proof Yr1'!R82</f>
        <v>0</v>
      </c>
      <c r="T82" s="294"/>
      <c r="U82" s="295"/>
      <c r="V82" s="296"/>
      <c r="W82" s="156"/>
      <c r="X82" s="308">
        <f t="shared" si="168"/>
        <v>0</v>
      </c>
      <c r="Y82" s="304">
        <f t="shared" si="169"/>
        <v>0</v>
      </c>
      <c r="Z82" s="309">
        <f t="shared" si="170"/>
        <v>0</v>
      </c>
      <c r="AA82" s="304"/>
      <c r="AB82" s="308">
        <f t="shared" si="171"/>
        <v>0</v>
      </c>
      <c r="AC82" s="304">
        <f t="shared" si="172"/>
        <v>0</v>
      </c>
      <c r="AD82" s="309">
        <f t="shared" si="173"/>
        <v>0</v>
      </c>
      <c r="AE82" s="304"/>
      <c r="AF82" s="308">
        <f t="shared" si="174"/>
        <v>0</v>
      </c>
      <c r="AG82" s="304">
        <v>0</v>
      </c>
      <c r="AH82" s="309">
        <v>0</v>
      </c>
      <c r="AI82" s="304"/>
      <c r="AJ82" s="308">
        <f t="shared" si="175"/>
        <v>0</v>
      </c>
      <c r="AK82" s="304">
        <f t="shared" si="176"/>
        <v>0</v>
      </c>
      <c r="AL82" s="309">
        <f t="shared" si="176"/>
        <v>0</v>
      </c>
      <c r="AM82" s="304"/>
      <c r="AN82" s="333"/>
      <c r="AO82" s="335" t="e">
        <f t="shared" si="177"/>
        <v>#DIV/0!</v>
      </c>
      <c r="AP82" s="304"/>
      <c r="AQ82" s="308">
        <f t="shared" si="178"/>
        <v>0</v>
      </c>
      <c r="AR82" s="304">
        <v>0</v>
      </c>
      <c r="AS82" s="309">
        <v>0</v>
      </c>
      <c r="AT82" s="304"/>
      <c r="AU82" s="305"/>
      <c r="AV82" s="305"/>
      <c r="AW82" s="304"/>
    </row>
    <row r="83" spans="1:49" x14ac:dyDescent="0.3">
      <c r="A83" s="85">
        <f t="shared" si="165"/>
        <v>76</v>
      </c>
      <c r="B83" s="709"/>
      <c r="C83" s="710" t="s">
        <v>7</v>
      </c>
      <c r="D83" s="156"/>
      <c r="E83" s="121">
        <f>'Rates in Detail'!AC70</f>
        <v>1.5299999999999999E-3</v>
      </c>
      <c r="F83" s="121">
        <f>SUM('Rates in Detail'!AD70:AF70)</f>
        <v>-6.5000000000000008E-4</v>
      </c>
      <c r="G83" s="156"/>
      <c r="H83" s="156"/>
      <c r="I83" s="368">
        <f>'Rev Req Proof Yr2'!H83</f>
        <v>7.6289999999999997E-2</v>
      </c>
      <c r="J83" s="758">
        <f t="shared" si="167"/>
        <v>7.782E-2</v>
      </c>
      <c r="K83" s="156"/>
      <c r="L83" s="154"/>
      <c r="M83" s="155"/>
      <c r="N83" s="121"/>
      <c r="O83" s="121"/>
      <c r="P83" s="121"/>
      <c r="Q83" s="758"/>
      <c r="R83" s="156"/>
      <c r="S83" s="293">
        <f>'Rev Req Proof Yr1'!R83</f>
        <v>0</v>
      </c>
      <c r="T83" s="294"/>
      <c r="U83" s="295"/>
      <c r="V83" s="296"/>
      <c r="W83" s="156"/>
      <c r="X83" s="308">
        <f t="shared" si="168"/>
        <v>0</v>
      </c>
      <c r="Y83" s="304">
        <f t="shared" si="169"/>
        <v>0</v>
      </c>
      <c r="Z83" s="309">
        <f t="shared" si="170"/>
        <v>0</v>
      </c>
      <c r="AA83" s="304"/>
      <c r="AB83" s="308">
        <f t="shared" si="171"/>
        <v>0</v>
      </c>
      <c r="AC83" s="304">
        <f t="shared" si="172"/>
        <v>0</v>
      </c>
      <c r="AD83" s="309">
        <f t="shared" si="173"/>
        <v>0</v>
      </c>
      <c r="AE83" s="304"/>
      <c r="AF83" s="308">
        <f t="shared" si="174"/>
        <v>0</v>
      </c>
      <c r="AG83" s="304">
        <v>0</v>
      </c>
      <c r="AH83" s="309">
        <v>0</v>
      </c>
      <c r="AI83" s="304"/>
      <c r="AJ83" s="308">
        <f t="shared" si="175"/>
        <v>0</v>
      </c>
      <c r="AK83" s="304">
        <f t="shared" si="176"/>
        <v>0</v>
      </c>
      <c r="AL83" s="309">
        <f t="shared" si="176"/>
        <v>0</v>
      </c>
      <c r="AM83" s="304"/>
      <c r="AN83" s="333"/>
      <c r="AO83" s="335" t="e">
        <f t="shared" si="177"/>
        <v>#DIV/0!</v>
      </c>
      <c r="AP83" s="304"/>
      <c r="AQ83" s="308">
        <f t="shared" si="178"/>
        <v>0</v>
      </c>
      <c r="AR83" s="304">
        <v>0</v>
      </c>
      <c r="AS83" s="309">
        <v>0</v>
      </c>
      <c r="AT83" s="304"/>
      <c r="AU83" s="305"/>
      <c r="AV83" s="305"/>
      <c r="AW83" s="304"/>
    </row>
    <row r="84" spans="1:49" x14ac:dyDescent="0.3">
      <c r="A84" s="85">
        <f t="shared" si="165"/>
        <v>77</v>
      </c>
      <c r="B84" s="709"/>
      <c r="C84" s="710" t="s">
        <v>8</v>
      </c>
      <c r="D84" s="156"/>
      <c r="E84" s="121">
        <f>'Rates in Detail'!AC71</f>
        <v>1.0200000000000001E-3</v>
      </c>
      <c r="F84" s="121">
        <f>SUM('Rates in Detail'!AD71:AF71)</f>
        <v>-4.4000000000000002E-4</v>
      </c>
      <c r="G84" s="156"/>
      <c r="H84" s="156"/>
      <c r="I84" s="368">
        <f>'Rev Req Proof Yr2'!H84</f>
        <v>5.0869999999999999E-2</v>
      </c>
      <c r="J84" s="758">
        <f t="shared" si="167"/>
        <v>5.1889999999999999E-2</v>
      </c>
      <c r="K84" s="156"/>
      <c r="L84" s="154"/>
      <c r="M84" s="155"/>
      <c r="N84" s="121"/>
      <c r="O84" s="121"/>
      <c r="P84" s="121"/>
      <c r="Q84" s="758"/>
      <c r="R84" s="156"/>
      <c r="S84" s="293">
        <f>'Rev Req Proof Yr1'!R84</f>
        <v>0</v>
      </c>
      <c r="T84" s="294"/>
      <c r="U84" s="295"/>
      <c r="V84" s="296"/>
      <c r="W84" s="156"/>
      <c r="X84" s="308">
        <f t="shared" si="168"/>
        <v>0</v>
      </c>
      <c r="Y84" s="304">
        <f t="shared" si="169"/>
        <v>0</v>
      </c>
      <c r="Z84" s="309">
        <f t="shared" si="170"/>
        <v>0</v>
      </c>
      <c r="AA84" s="304"/>
      <c r="AB84" s="308">
        <f t="shared" si="171"/>
        <v>0</v>
      </c>
      <c r="AC84" s="304">
        <f t="shared" si="172"/>
        <v>0</v>
      </c>
      <c r="AD84" s="309">
        <f t="shared" si="173"/>
        <v>0</v>
      </c>
      <c r="AE84" s="304"/>
      <c r="AF84" s="308">
        <f t="shared" si="174"/>
        <v>0</v>
      </c>
      <c r="AG84" s="304">
        <v>0</v>
      </c>
      <c r="AH84" s="309">
        <v>0</v>
      </c>
      <c r="AI84" s="304"/>
      <c r="AJ84" s="308">
        <f t="shared" si="175"/>
        <v>0</v>
      </c>
      <c r="AK84" s="304">
        <f t="shared" si="176"/>
        <v>0</v>
      </c>
      <c r="AL84" s="309">
        <f t="shared" si="176"/>
        <v>0</v>
      </c>
      <c r="AM84" s="304"/>
      <c r="AN84" s="333"/>
      <c r="AO84" s="335" t="e">
        <f t="shared" si="177"/>
        <v>#DIV/0!</v>
      </c>
      <c r="AP84" s="304"/>
      <c r="AQ84" s="308">
        <f t="shared" si="178"/>
        <v>0</v>
      </c>
      <c r="AR84" s="304">
        <v>0</v>
      </c>
      <c r="AS84" s="309">
        <v>0</v>
      </c>
      <c r="AT84" s="304"/>
      <c r="AU84" s="305"/>
      <c r="AV84" s="305"/>
      <c r="AW84" s="304"/>
    </row>
    <row r="85" spans="1:49" x14ac:dyDescent="0.3">
      <c r="A85" s="85">
        <f t="shared" si="165"/>
        <v>78</v>
      </c>
      <c r="B85" s="709"/>
      <c r="C85" s="710" t="s">
        <v>9</v>
      </c>
      <c r="D85" s="156"/>
      <c r="E85" s="121">
        <f>'Rates in Detail'!AC72</f>
        <v>3.8000000000000002E-4</v>
      </c>
      <c r="F85" s="121">
        <f>SUM('Rates in Detail'!AD72:AF72)</f>
        <v>-1.6999999999999999E-4</v>
      </c>
      <c r="G85" s="156"/>
      <c r="H85" s="156"/>
      <c r="I85" s="368">
        <f>'Rev Req Proof Yr2'!H85</f>
        <v>1.9060000000000001E-2</v>
      </c>
      <c r="J85" s="758">
        <f t="shared" si="167"/>
        <v>1.9439999999999999E-2</v>
      </c>
      <c r="K85" s="156"/>
      <c r="L85" s="268"/>
      <c r="M85" s="54"/>
      <c r="N85" s="121"/>
      <c r="O85" s="121"/>
      <c r="P85" s="121"/>
      <c r="Q85" s="758"/>
      <c r="R85" s="156"/>
      <c r="S85" s="293">
        <f>'Rev Req Proof Yr1'!R85</f>
        <v>0</v>
      </c>
      <c r="T85" s="294"/>
      <c r="U85" s="295"/>
      <c r="V85" s="296"/>
      <c r="W85" s="156"/>
      <c r="X85" s="308">
        <f t="shared" si="168"/>
        <v>0</v>
      </c>
      <c r="Y85" s="304">
        <f t="shared" si="169"/>
        <v>0</v>
      </c>
      <c r="Z85" s="309">
        <f t="shared" si="170"/>
        <v>0</v>
      </c>
      <c r="AA85" s="304"/>
      <c r="AB85" s="308">
        <f t="shared" si="171"/>
        <v>0</v>
      </c>
      <c r="AC85" s="304">
        <f t="shared" si="172"/>
        <v>0</v>
      </c>
      <c r="AD85" s="309">
        <f t="shared" si="173"/>
        <v>0</v>
      </c>
      <c r="AE85" s="304"/>
      <c r="AF85" s="308">
        <f t="shared" si="174"/>
        <v>0</v>
      </c>
      <c r="AG85" s="304">
        <v>0</v>
      </c>
      <c r="AH85" s="309">
        <v>0</v>
      </c>
      <c r="AI85" s="304"/>
      <c r="AJ85" s="308">
        <f t="shared" si="175"/>
        <v>0</v>
      </c>
      <c r="AK85" s="304">
        <f t="shared" si="176"/>
        <v>0</v>
      </c>
      <c r="AL85" s="309">
        <f t="shared" si="176"/>
        <v>0</v>
      </c>
      <c r="AM85" s="304"/>
      <c r="AN85" s="333"/>
      <c r="AO85" s="335" t="e">
        <f>AO84</f>
        <v>#DIV/0!</v>
      </c>
      <c r="AP85" s="304"/>
      <c r="AQ85" s="308">
        <f t="shared" si="178"/>
        <v>0</v>
      </c>
      <c r="AR85" s="304">
        <v>0</v>
      </c>
      <c r="AS85" s="309">
        <v>0</v>
      </c>
      <c r="AT85" s="304"/>
      <c r="AU85" s="305"/>
      <c r="AV85" s="305"/>
      <c r="AW85" s="304"/>
    </row>
    <row r="86" spans="1:49" x14ac:dyDescent="0.3">
      <c r="A86" s="85">
        <f t="shared" si="165"/>
        <v>79</v>
      </c>
      <c r="B86" s="707"/>
      <c r="C86" s="726" t="s">
        <v>76</v>
      </c>
      <c r="D86" s="152"/>
      <c r="E86" s="122"/>
      <c r="F86" s="122"/>
      <c r="G86" s="152"/>
      <c r="H86" s="152"/>
      <c r="I86" s="363"/>
      <c r="J86" s="757"/>
      <c r="K86" s="156"/>
      <c r="L86" s="268"/>
      <c r="M86" s="54"/>
      <c r="N86" s="121"/>
      <c r="O86" s="121"/>
      <c r="P86" s="121"/>
      <c r="Q86" s="758"/>
      <c r="R86" s="156"/>
      <c r="S86" s="293"/>
      <c r="T86" s="294"/>
      <c r="U86" s="295"/>
      <c r="V86" s="296"/>
      <c r="W86" s="156"/>
      <c r="X86" s="310">
        <f>SUM(X80:X85)</f>
        <v>0</v>
      </c>
      <c r="Y86" s="311">
        <f>SUM(Y80:Y85)</f>
        <v>0</v>
      </c>
      <c r="Z86" s="312">
        <f>SUM(Z80:Z85)</f>
        <v>0</v>
      </c>
      <c r="AA86" s="304"/>
      <c r="AB86" s="310">
        <f>SUM(AB80:AB85)</f>
        <v>0</v>
      </c>
      <c r="AC86" s="311">
        <f>SUM(AC80:AC85)</f>
        <v>0</v>
      </c>
      <c r="AD86" s="312">
        <f>SUM(AD80:AD85)</f>
        <v>0</v>
      </c>
      <c r="AE86" s="304"/>
      <c r="AF86" s="310">
        <f>SUM(AF80:AF85)</f>
        <v>0</v>
      </c>
      <c r="AG86" s="311">
        <f>SUM(AG80:AG85)</f>
        <v>0</v>
      </c>
      <c r="AH86" s="312">
        <f>SUM(AH80:AH85)</f>
        <v>0</v>
      </c>
      <c r="AI86" s="304"/>
      <c r="AJ86" s="310">
        <f>SUM(AJ80:AJ85)</f>
        <v>0</v>
      </c>
      <c r="AK86" s="311">
        <f>SUM(AK80:AK85)</f>
        <v>0</v>
      </c>
      <c r="AL86" s="312">
        <f>SUM(AL80:AL85)</f>
        <v>0</v>
      </c>
      <c r="AM86" s="304"/>
      <c r="AN86" s="333"/>
      <c r="AO86" s="334"/>
      <c r="AP86" s="304"/>
      <c r="AQ86" s="310">
        <f>SUM(AQ80:AQ85)</f>
        <v>0</v>
      </c>
      <c r="AR86" s="311">
        <f>SUM(AR80:AR85)</f>
        <v>0</v>
      </c>
      <c r="AS86" s="312">
        <f>SUM(AS80:AS85)</f>
        <v>0</v>
      </c>
      <c r="AT86" s="304"/>
      <c r="AU86" s="305"/>
      <c r="AV86" s="305"/>
      <c r="AW86" s="304"/>
    </row>
    <row r="87" spans="1:49" x14ac:dyDescent="0.3">
      <c r="A87" s="85">
        <f t="shared" si="165"/>
        <v>80</v>
      </c>
      <c r="B87" s="709" t="str">
        <f>'WA Volumes &amp; Revenues'!B75</f>
        <v>42I Inter Transpt</v>
      </c>
      <c r="C87" s="710" t="s">
        <v>4</v>
      </c>
      <c r="D87" s="161"/>
      <c r="E87" s="121">
        <f>'Rates in Detail'!AC73</f>
        <v>3.3300000000000001E-3</v>
      </c>
      <c r="F87" s="121">
        <f>SUM('Rates in Detail'!AD73:AF73)</f>
        <v>-1.4299999999999998E-3</v>
      </c>
      <c r="G87" s="156"/>
      <c r="H87" s="161"/>
      <c r="I87" s="368">
        <f>'Rev Req Proof Yr2'!H87</f>
        <v>0.14133000000000001</v>
      </c>
      <c r="J87" s="758">
        <f t="shared" si="167"/>
        <v>0.14466000000000001</v>
      </c>
      <c r="K87" s="161"/>
      <c r="L87" s="154">
        <f>'Rev Req Proof Yr1'!K87</f>
        <v>1550</v>
      </c>
      <c r="M87" s="155">
        <f>'Rev Req Proof Yr1'!L87</f>
        <v>1550</v>
      </c>
      <c r="N87" s="121">
        <f>'Rev Req Proof Yr1'!M87</f>
        <v>0</v>
      </c>
      <c r="O87" s="121">
        <f>'Rev Req Proof Yr1'!N87</f>
        <v>0</v>
      </c>
      <c r="P87" s="121">
        <f>'Rev Req Proof Yr1'!O87</f>
        <v>0</v>
      </c>
      <c r="Q87" s="758">
        <f>'Rev Req Proof Yr1'!P87</f>
        <v>0</v>
      </c>
      <c r="R87" s="161"/>
      <c r="S87" s="293">
        <f>'Rev Req Proof Yr1'!R87</f>
        <v>844078</v>
      </c>
      <c r="T87" s="294"/>
      <c r="U87" s="295">
        <f>'Rev Req Proof Yr1'!T87</f>
        <v>7</v>
      </c>
      <c r="V87" s="296">
        <f>'Rev Req Proof Yr1'!U87</f>
        <v>95634</v>
      </c>
      <c r="W87" s="161"/>
      <c r="X87" s="308">
        <f t="shared" ref="X87:X92" si="179">(I87*S87)</f>
        <v>119293.54374000001</v>
      </c>
      <c r="Y87" s="304">
        <f t="shared" ref="Y87:Y92" si="180">(L87*U87*12)</f>
        <v>130200</v>
      </c>
      <c r="Z87" s="309">
        <f t="shared" ref="Z87:Z92" si="181">(T87*(N87+P87))*12</f>
        <v>0</v>
      </c>
      <c r="AA87" s="315"/>
      <c r="AB87" s="308">
        <f t="shared" ref="AB87:AB92" si="182">(J87*S87)</f>
        <v>122104.32348000001</v>
      </c>
      <c r="AC87" s="304">
        <f t="shared" ref="AC87:AC92" si="183">(M87*U87*12)</f>
        <v>130200</v>
      </c>
      <c r="AD87" s="309">
        <f t="shared" ref="AD87:AD92" si="184">(T87*(O87+Q87))*12</f>
        <v>0</v>
      </c>
      <c r="AE87" s="315"/>
      <c r="AF87" s="308">
        <f t="shared" ref="AF87:AF92" si="185">(F87*S87)</f>
        <v>-1207.0315399999999</v>
      </c>
      <c r="AG87" s="304">
        <v>0</v>
      </c>
      <c r="AH87" s="309">
        <v>0</v>
      </c>
      <c r="AI87" s="315"/>
      <c r="AJ87" s="308">
        <f t="shared" ref="AJ87:AJ92" si="186">AB87-X87+AF87</f>
        <v>1603.7481999999982</v>
      </c>
      <c r="AK87" s="304">
        <f t="shared" ref="AK87:AL92" si="187">AC87-Y87-AG87</f>
        <v>0</v>
      </c>
      <c r="AL87" s="309">
        <f t="shared" si="187"/>
        <v>0</v>
      </c>
      <c r="AM87" s="315"/>
      <c r="AN87" s="333"/>
      <c r="AO87" s="335">
        <f t="shared" si="166"/>
        <v>1.3443713295124868E-2</v>
      </c>
      <c r="AP87" s="315"/>
      <c r="AQ87" s="308">
        <f t="shared" ref="AQ87:AQ92" si="188">(G87*S87)</f>
        <v>0</v>
      </c>
      <c r="AR87" s="304">
        <v>0</v>
      </c>
      <c r="AS87" s="309">
        <v>0</v>
      </c>
      <c r="AT87" s="315"/>
      <c r="AU87" s="305"/>
      <c r="AV87" s="305"/>
      <c r="AW87" s="315"/>
    </row>
    <row r="88" spans="1:49" x14ac:dyDescent="0.3">
      <c r="A88" s="85">
        <f t="shared" si="165"/>
        <v>81</v>
      </c>
      <c r="B88" s="709"/>
      <c r="C88" s="710" t="s">
        <v>5</v>
      </c>
      <c r="D88" s="161"/>
      <c r="E88" s="121">
        <f>'Rates in Detail'!AC74</f>
        <v>2.98E-3</v>
      </c>
      <c r="F88" s="121">
        <f>SUM('Rates in Detail'!AD74:AF74)</f>
        <v>-1.2800000000000001E-3</v>
      </c>
      <c r="G88" s="156"/>
      <c r="H88" s="161"/>
      <c r="I88" s="368">
        <f>'Rev Req Proof Yr2'!H88</f>
        <v>0.12651000000000001</v>
      </c>
      <c r="J88" s="758">
        <f t="shared" si="167"/>
        <v>0.12949000000000002</v>
      </c>
      <c r="K88" s="161"/>
      <c r="L88" s="268"/>
      <c r="M88" s="54"/>
      <c r="N88" s="121"/>
      <c r="O88" s="121"/>
      <c r="P88" s="121"/>
      <c r="Q88" s="758"/>
      <c r="R88" s="161"/>
      <c r="S88" s="293">
        <f>'Rev Req Proof Yr1'!R88</f>
        <v>1445175</v>
      </c>
      <c r="T88" s="294"/>
      <c r="U88" s="156"/>
      <c r="V88" s="157"/>
      <c r="W88" s="161"/>
      <c r="X88" s="308">
        <f t="shared" si="179"/>
        <v>182829.08925000002</v>
      </c>
      <c r="Y88" s="304">
        <f t="shared" si="180"/>
        <v>0</v>
      </c>
      <c r="Z88" s="309">
        <f t="shared" si="181"/>
        <v>0</v>
      </c>
      <c r="AA88" s="315"/>
      <c r="AB88" s="308">
        <f t="shared" si="182"/>
        <v>187135.71075000003</v>
      </c>
      <c r="AC88" s="304">
        <f t="shared" si="183"/>
        <v>0</v>
      </c>
      <c r="AD88" s="309">
        <f t="shared" si="184"/>
        <v>0</v>
      </c>
      <c r="AE88" s="315"/>
      <c r="AF88" s="308">
        <f t="shared" si="185"/>
        <v>-1849.8240000000001</v>
      </c>
      <c r="AG88" s="304">
        <v>0</v>
      </c>
      <c r="AH88" s="309">
        <v>0</v>
      </c>
      <c r="AI88" s="315"/>
      <c r="AJ88" s="308">
        <f t="shared" si="186"/>
        <v>2456.7975000000083</v>
      </c>
      <c r="AK88" s="304">
        <f t="shared" si="187"/>
        <v>0</v>
      </c>
      <c r="AL88" s="309">
        <f t="shared" si="187"/>
        <v>0</v>
      </c>
      <c r="AM88" s="315"/>
      <c r="AN88" s="333"/>
      <c r="AO88" s="335">
        <f t="shared" si="166"/>
        <v>1.3437672911232358E-2</v>
      </c>
      <c r="AP88" s="315"/>
      <c r="AQ88" s="308">
        <f t="shared" si="188"/>
        <v>0</v>
      </c>
      <c r="AR88" s="304">
        <v>0</v>
      </c>
      <c r="AS88" s="309">
        <v>0</v>
      </c>
      <c r="AT88" s="315"/>
      <c r="AU88" s="305"/>
      <c r="AV88" s="155"/>
      <c r="AW88" s="315"/>
    </row>
    <row r="89" spans="1:49" x14ac:dyDescent="0.3">
      <c r="A89" s="85">
        <f t="shared" si="165"/>
        <v>82</v>
      </c>
      <c r="B89" s="709"/>
      <c r="C89" s="710" t="s">
        <v>6</v>
      </c>
      <c r="D89" s="161"/>
      <c r="E89" s="121">
        <f>'Rates in Detail'!AC75</f>
        <v>2.2799999999999999E-3</v>
      </c>
      <c r="F89" s="121">
        <f>SUM('Rates in Detail'!AD75:AF75)</f>
        <v>-9.7999999999999997E-4</v>
      </c>
      <c r="G89" s="156"/>
      <c r="H89" s="161"/>
      <c r="I89" s="368">
        <f>'Rev Req Proof Yr2'!H89</f>
        <v>9.7009999999999999E-2</v>
      </c>
      <c r="J89" s="758">
        <f t="shared" si="167"/>
        <v>9.9290000000000003E-2</v>
      </c>
      <c r="K89" s="161"/>
      <c r="L89" s="154"/>
      <c r="M89" s="155"/>
      <c r="N89" s="121"/>
      <c r="O89" s="121"/>
      <c r="P89" s="121"/>
      <c r="Q89" s="758"/>
      <c r="R89" s="161"/>
      <c r="S89" s="293">
        <f>'Rev Req Proof Yr1'!R89</f>
        <v>1034978</v>
      </c>
      <c r="T89" s="294"/>
      <c r="U89" s="156"/>
      <c r="V89" s="157"/>
      <c r="W89" s="161"/>
      <c r="X89" s="308">
        <f t="shared" si="179"/>
        <v>100403.21578</v>
      </c>
      <c r="Y89" s="304">
        <f t="shared" si="180"/>
        <v>0</v>
      </c>
      <c r="Z89" s="309">
        <f t="shared" si="181"/>
        <v>0</v>
      </c>
      <c r="AA89" s="315"/>
      <c r="AB89" s="308">
        <f t="shared" si="182"/>
        <v>102762.96562</v>
      </c>
      <c r="AC89" s="304">
        <f t="shared" si="183"/>
        <v>0</v>
      </c>
      <c r="AD89" s="309">
        <f t="shared" si="184"/>
        <v>0</v>
      </c>
      <c r="AE89" s="315"/>
      <c r="AF89" s="308">
        <f t="shared" si="185"/>
        <v>-1014.2784399999999</v>
      </c>
      <c r="AG89" s="304">
        <v>0</v>
      </c>
      <c r="AH89" s="309">
        <v>0</v>
      </c>
      <c r="AI89" s="315"/>
      <c r="AJ89" s="308">
        <f t="shared" si="186"/>
        <v>1345.471400000004</v>
      </c>
      <c r="AK89" s="304">
        <f t="shared" si="187"/>
        <v>0</v>
      </c>
      <c r="AL89" s="309">
        <f t="shared" si="187"/>
        <v>0</v>
      </c>
      <c r="AM89" s="315"/>
      <c r="AN89" s="333"/>
      <c r="AO89" s="335">
        <f t="shared" si="166"/>
        <v>1.3400680342232799E-2</v>
      </c>
      <c r="AP89" s="315"/>
      <c r="AQ89" s="308">
        <f t="shared" si="188"/>
        <v>0</v>
      </c>
      <c r="AR89" s="304">
        <v>0</v>
      </c>
      <c r="AS89" s="309">
        <v>0</v>
      </c>
      <c r="AT89" s="315"/>
      <c r="AU89" s="305"/>
      <c r="AV89" s="155"/>
      <c r="AW89" s="315"/>
    </row>
    <row r="90" spans="1:49" x14ac:dyDescent="0.3">
      <c r="A90" s="85">
        <f t="shared" si="165"/>
        <v>83</v>
      </c>
      <c r="B90" s="709"/>
      <c r="C90" s="710" t="s">
        <v>7</v>
      </c>
      <c r="D90" s="161"/>
      <c r="E90" s="121">
        <f>'Rates in Detail'!AC76</f>
        <v>1.83E-3</v>
      </c>
      <c r="F90" s="121">
        <f>SUM('Rates in Detail'!AD76:AF76)</f>
        <v>-7.7999999999999999E-4</v>
      </c>
      <c r="G90" s="156"/>
      <c r="H90" s="161"/>
      <c r="I90" s="368">
        <f>'Rev Req Proof Yr2'!H90</f>
        <v>7.7619999999999995E-2</v>
      </c>
      <c r="J90" s="758">
        <f t="shared" si="167"/>
        <v>7.9449999999999993E-2</v>
      </c>
      <c r="K90" s="161"/>
      <c r="L90" s="154"/>
      <c r="M90" s="155"/>
      <c r="N90" s="121"/>
      <c r="O90" s="121"/>
      <c r="P90" s="121"/>
      <c r="Q90" s="758"/>
      <c r="R90" s="161"/>
      <c r="S90" s="293">
        <f>'Rev Req Proof Yr1'!R90</f>
        <v>3359916</v>
      </c>
      <c r="T90" s="294"/>
      <c r="U90" s="156"/>
      <c r="V90" s="157"/>
      <c r="W90" s="161"/>
      <c r="X90" s="308">
        <f t="shared" si="179"/>
        <v>260796.67992</v>
      </c>
      <c r="Y90" s="304">
        <f t="shared" si="180"/>
        <v>0</v>
      </c>
      <c r="Z90" s="309">
        <f t="shared" si="181"/>
        <v>0</v>
      </c>
      <c r="AA90" s="315"/>
      <c r="AB90" s="308">
        <f t="shared" si="182"/>
        <v>266945.32619999995</v>
      </c>
      <c r="AC90" s="304">
        <f t="shared" si="183"/>
        <v>0</v>
      </c>
      <c r="AD90" s="309">
        <f t="shared" si="184"/>
        <v>0</v>
      </c>
      <c r="AE90" s="315"/>
      <c r="AF90" s="308">
        <f t="shared" si="185"/>
        <v>-2620.7344800000001</v>
      </c>
      <c r="AG90" s="304">
        <v>0</v>
      </c>
      <c r="AH90" s="309">
        <v>0</v>
      </c>
      <c r="AI90" s="315"/>
      <c r="AJ90" s="308">
        <f t="shared" si="186"/>
        <v>3527.9117999999571</v>
      </c>
      <c r="AK90" s="304">
        <f t="shared" si="187"/>
        <v>0</v>
      </c>
      <c r="AL90" s="309">
        <f t="shared" si="187"/>
        <v>0</v>
      </c>
      <c r="AM90" s="315"/>
      <c r="AN90" s="333"/>
      <c r="AO90" s="335">
        <f t="shared" si="166"/>
        <v>1.3527441381087184E-2</v>
      </c>
      <c r="AP90" s="315"/>
      <c r="AQ90" s="308">
        <f t="shared" si="188"/>
        <v>0</v>
      </c>
      <c r="AR90" s="304">
        <v>0</v>
      </c>
      <c r="AS90" s="309">
        <v>0</v>
      </c>
      <c r="AT90" s="315"/>
      <c r="AU90" s="305"/>
      <c r="AV90" s="155"/>
      <c r="AW90" s="315"/>
    </row>
    <row r="91" spans="1:49" x14ac:dyDescent="0.3">
      <c r="A91" s="85">
        <f t="shared" si="165"/>
        <v>84</v>
      </c>
      <c r="B91" s="709"/>
      <c r="C91" s="710" t="s">
        <v>8</v>
      </c>
      <c r="D91" s="161"/>
      <c r="E91" s="121">
        <f>'Rates in Detail'!AC77</f>
        <v>1.2199999999999999E-3</v>
      </c>
      <c r="F91" s="121">
        <f>SUM('Rates in Detail'!AD77:AF77)</f>
        <v>-5.1999999999999995E-4</v>
      </c>
      <c r="G91" s="156"/>
      <c r="H91" s="161"/>
      <c r="I91" s="368">
        <f>'Rev Req Proof Yr2'!H91</f>
        <v>5.1749999999999997E-2</v>
      </c>
      <c r="J91" s="758">
        <f t="shared" si="167"/>
        <v>5.2969999999999996E-2</v>
      </c>
      <c r="K91" s="161"/>
      <c r="L91" s="154"/>
      <c r="M91" s="155"/>
      <c r="N91" s="121"/>
      <c r="O91" s="121"/>
      <c r="P91" s="121"/>
      <c r="Q91" s="758"/>
      <c r="R91" s="161"/>
      <c r="S91" s="293">
        <f>'Rev Req Proof Yr1'!R91</f>
        <v>1349120</v>
      </c>
      <c r="T91" s="294"/>
      <c r="U91" s="156"/>
      <c r="V91" s="157"/>
      <c r="W91" s="161"/>
      <c r="X91" s="308">
        <f t="shared" si="179"/>
        <v>69816.959999999992</v>
      </c>
      <c r="Y91" s="304">
        <f t="shared" si="180"/>
        <v>0</v>
      </c>
      <c r="Z91" s="309">
        <f t="shared" si="181"/>
        <v>0</v>
      </c>
      <c r="AA91" s="315"/>
      <c r="AB91" s="308">
        <f t="shared" si="182"/>
        <v>71462.886399999988</v>
      </c>
      <c r="AC91" s="304">
        <f t="shared" si="183"/>
        <v>0</v>
      </c>
      <c r="AD91" s="309">
        <f t="shared" si="184"/>
        <v>0</v>
      </c>
      <c r="AE91" s="315"/>
      <c r="AF91" s="308">
        <f t="shared" si="185"/>
        <v>-701.54239999999993</v>
      </c>
      <c r="AG91" s="304">
        <v>0</v>
      </c>
      <c r="AH91" s="309">
        <v>0</v>
      </c>
      <c r="AI91" s="315"/>
      <c r="AJ91" s="308">
        <f t="shared" si="186"/>
        <v>944.38399999999672</v>
      </c>
      <c r="AK91" s="304">
        <f t="shared" si="187"/>
        <v>0</v>
      </c>
      <c r="AL91" s="309">
        <f t="shared" si="187"/>
        <v>0</v>
      </c>
      <c r="AM91" s="315"/>
      <c r="AN91" s="333"/>
      <c r="AO91" s="335">
        <f t="shared" si="166"/>
        <v>1.3526570048309133E-2</v>
      </c>
      <c r="AP91" s="315"/>
      <c r="AQ91" s="308">
        <f t="shared" si="188"/>
        <v>0</v>
      </c>
      <c r="AR91" s="304">
        <v>0</v>
      </c>
      <c r="AS91" s="309">
        <v>0</v>
      </c>
      <c r="AT91" s="315"/>
      <c r="AU91" s="305"/>
      <c r="AV91" s="153"/>
      <c r="AW91" s="315"/>
    </row>
    <row r="92" spans="1:49" x14ac:dyDescent="0.3">
      <c r="A92" s="85">
        <f t="shared" si="165"/>
        <v>85</v>
      </c>
      <c r="B92" s="709"/>
      <c r="C92" s="710" t="s">
        <v>9</v>
      </c>
      <c r="D92" s="161"/>
      <c r="E92" s="121">
        <f>'Rates in Detail'!AC78</f>
        <v>4.6000000000000001E-4</v>
      </c>
      <c r="F92" s="121">
        <f>SUM('Rates in Detail'!AD78:AF78)</f>
        <v>-2.0000000000000001E-4</v>
      </c>
      <c r="G92" s="156"/>
      <c r="H92" s="161"/>
      <c r="I92" s="368">
        <f>'Rev Req Proof Yr2'!H92</f>
        <v>1.9400000000000001E-2</v>
      </c>
      <c r="J92" s="758">
        <f t="shared" si="167"/>
        <v>1.9859999999999999E-2</v>
      </c>
      <c r="K92" s="161"/>
      <c r="L92" s="154"/>
      <c r="M92" s="155"/>
      <c r="N92" s="121"/>
      <c r="O92" s="121"/>
      <c r="P92" s="121"/>
      <c r="Q92" s="758"/>
      <c r="R92" s="161"/>
      <c r="S92" s="293">
        <f>'Rev Req Proof Yr1'!R92</f>
        <v>0</v>
      </c>
      <c r="T92" s="294"/>
      <c r="U92" s="156"/>
      <c r="V92" s="157"/>
      <c r="W92" s="161"/>
      <c r="X92" s="308">
        <f t="shared" si="179"/>
        <v>0</v>
      </c>
      <c r="Y92" s="304">
        <f t="shared" si="180"/>
        <v>0</v>
      </c>
      <c r="Z92" s="309">
        <f t="shared" si="181"/>
        <v>0</v>
      </c>
      <c r="AA92" s="315"/>
      <c r="AB92" s="308">
        <f t="shared" si="182"/>
        <v>0</v>
      </c>
      <c r="AC92" s="304">
        <f t="shared" si="183"/>
        <v>0</v>
      </c>
      <c r="AD92" s="309">
        <f t="shared" si="184"/>
        <v>0</v>
      </c>
      <c r="AE92" s="315"/>
      <c r="AF92" s="308">
        <f t="shared" si="185"/>
        <v>0</v>
      </c>
      <c r="AG92" s="304">
        <v>0</v>
      </c>
      <c r="AH92" s="309">
        <v>0</v>
      </c>
      <c r="AI92" s="315"/>
      <c r="AJ92" s="308">
        <f t="shared" si="186"/>
        <v>0</v>
      </c>
      <c r="AK92" s="304">
        <f t="shared" si="187"/>
        <v>0</v>
      </c>
      <c r="AL92" s="309">
        <f t="shared" si="187"/>
        <v>0</v>
      </c>
      <c r="AM92" s="315"/>
      <c r="AN92" s="333"/>
      <c r="AO92" s="335" t="e">
        <f t="shared" si="166"/>
        <v>#DIV/0!</v>
      </c>
      <c r="AP92" s="315"/>
      <c r="AQ92" s="308">
        <f t="shared" si="188"/>
        <v>0</v>
      </c>
      <c r="AR92" s="304">
        <v>0</v>
      </c>
      <c r="AS92" s="309">
        <v>0</v>
      </c>
      <c r="AT92" s="315"/>
      <c r="AU92" s="305"/>
      <c r="AV92" s="153"/>
      <c r="AW92" s="315"/>
    </row>
    <row r="93" spans="1:49" x14ac:dyDescent="0.3">
      <c r="A93" s="85">
        <f t="shared" si="165"/>
        <v>86</v>
      </c>
      <c r="B93" s="707"/>
      <c r="C93" s="726" t="s">
        <v>76</v>
      </c>
      <c r="D93" s="162"/>
      <c r="E93" s="122"/>
      <c r="F93" s="122"/>
      <c r="G93" s="152"/>
      <c r="H93" s="162"/>
      <c r="I93" s="363"/>
      <c r="J93" s="757"/>
      <c r="K93" s="161"/>
      <c r="L93" s="154"/>
      <c r="M93" s="155"/>
      <c r="N93" s="121"/>
      <c r="O93" s="121"/>
      <c r="P93" s="121"/>
      <c r="Q93" s="758"/>
      <c r="R93" s="161"/>
      <c r="S93" s="293"/>
      <c r="T93" s="156"/>
      <c r="U93" s="156"/>
      <c r="V93" s="157"/>
      <c r="W93" s="161"/>
      <c r="X93" s="310">
        <f>SUM(X87:X92)</f>
        <v>733139.48869000003</v>
      </c>
      <c r="Y93" s="311">
        <f>SUM(Y87:Y92)</f>
        <v>130200</v>
      </c>
      <c r="Z93" s="312">
        <f>SUM(Z87:Z92)</f>
        <v>0</v>
      </c>
      <c r="AA93" s="315"/>
      <c r="AB93" s="310">
        <f>SUM(AB87:AB92)</f>
        <v>750411.21244999999</v>
      </c>
      <c r="AC93" s="311">
        <f>SUM(AC87:AC92)</f>
        <v>130200</v>
      </c>
      <c r="AD93" s="312">
        <f>SUM(AD87:AD92)</f>
        <v>0</v>
      </c>
      <c r="AE93" s="315"/>
      <c r="AF93" s="310">
        <f>SUM(AF87:AF92)</f>
        <v>-7393.41086</v>
      </c>
      <c r="AG93" s="311">
        <f>SUM(AG87:AG92)</f>
        <v>0</v>
      </c>
      <c r="AH93" s="312">
        <f>SUM(AH87:AH92)</f>
        <v>0</v>
      </c>
      <c r="AI93" s="315"/>
      <c r="AJ93" s="310">
        <f>SUM(AJ87:AJ92)</f>
        <v>9878.3128999999626</v>
      </c>
      <c r="AK93" s="311">
        <f>SUM(AK87:AK92)</f>
        <v>0</v>
      </c>
      <c r="AL93" s="312">
        <f>SUM(AL87:AL92)</f>
        <v>0</v>
      </c>
      <c r="AM93" s="315"/>
      <c r="AN93" s="333">
        <f>SUM(AJ93:AL93)/SUM(X93:Z93)</f>
        <v>1.1441979695599186E-2</v>
      </c>
      <c r="AO93" s="334">
        <f t="shared" si="166"/>
        <v>1.3473988309715641E-2</v>
      </c>
      <c r="AP93" s="315"/>
      <c r="AQ93" s="310">
        <f>SUM(AQ87:AQ92)</f>
        <v>0</v>
      </c>
      <c r="AR93" s="311">
        <f>SUM(AR87:AR92)</f>
        <v>0</v>
      </c>
      <c r="AS93" s="312">
        <f>SUM(AS87:AS92)</f>
        <v>0</v>
      </c>
      <c r="AT93" s="315"/>
      <c r="AU93" s="305"/>
      <c r="AV93" s="153"/>
      <c r="AW93" s="315"/>
    </row>
    <row r="94" spans="1:49" x14ac:dyDescent="0.3">
      <c r="A94" s="85">
        <f t="shared" si="165"/>
        <v>87</v>
      </c>
      <c r="B94" s="707" t="str">
        <f>'WA Volumes &amp; Revenues'!B81</f>
        <v>43 Firm Transpt</v>
      </c>
      <c r="C94" s="707" t="s">
        <v>270</v>
      </c>
      <c r="D94" s="161"/>
      <c r="E94" s="387">
        <f>'Rates in Detail'!AC79</f>
        <v>0</v>
      </c>
      <c r="F94" s="387">
        <f>SUM('Rates in Detail'!AD79:AF79)</f>
        <v>-4.0000000000000003E-5</v>
      </c>
      <c r="G94" s="163"/>
      <c r="H94" s="161"/>
      <c r="I94" s="388">
        <f>'Rev Req Proof Yr2'!H94</f>
        <v>4.9100000000000003E-3</v>
      </c>
      <c r="J94" s="759">
        <f t="shared" si="167"/>
        <v>4.9100000000000003E-3</v>
      </c>
      <c r="K94" s="161"/>
      <c r="L94" s="154">
        <f>'Rev Req Proof Yr1'!K94</f>
        <v>38000</v>
      </c>
      <c r="M94" s="155">
        <f>'Rev Req Proof Yr1'!L94</f>
        <v>38000</v>
      </c>
      <c r="N94" s="121">
        <f>'Rev Req Proof Yr1'!M94</f>
        <v>0.15748000000000001</v>
      </c>
      <c r="O94" s="121">
        <f>'Rev Req Proof Yr1'!N94</f>
        <v>0</v>
      </c>
      <c r="P94" s="121">
        <f>'Rev Req Proof Yr1'!O94</f>
        <v>0</v>
      </c>
      <c r="Q94" s="758">
        <f>'Rev Req Proof Yr1'!P94</f>
        <v>0</v>
      </c>
      <c r="R94" s="161"/>
      <c r="S94" s="293">
        <f>'Rev Req Proof Yr1'!R94</f>
        <v>0</v>
      </c>
      <c r="T94" s="294"/>
      <c r="U94" s="295">
        <f>'Rev Req Proof Yr1'!T94</f>
        <v>0</v>
      </c>
      <c r="V94" s="296">
        <f>'Rev Req Proof Yr1'!U94</f>
        <v>0</v>
      </c>
      <c r="W94" s="161"/>
      <c r="X94" s="301">
        <f t="shared" ref="X94:X96" si="189">(I94*S94)</f>
        <v>0</v>
      </c>
      <c r="Y94" s="302">
        <f t="shared" ref="Y94:Y96" si="190">(L94*U94*12)</f>
        <v>0</v>
      </c>
      <c r="Z94" s="303">
        <f t="shared" ref="Z94:Z96" si="191">(T94*(N94+P94))*12</f>
        <v>0</v>
      </c>
      <c r="AA94" s="316"/>
      <c r="AB94" s="301">
        <f t="shared" ref="AB94:AB96" si="192">(J94*S94)</f>
        <v>0</v>
      </c>
      <c r="AC94" s="302">
        <f t="shared" ref="AC94:AC96" si="193">(M94*U94*12)</f>
        <v>0</v>
      </c>
      <c r="AD94" s="303">
        <f t="shared" ref="AD94:AD96" si="194">(T94*(O94+Q94))*12</f>
        <v>0</v>
      </c>
      <c r="AE94" s="316"/>
      <c r="AF94" s="301">
        <f t="shared" ref="AF94:AF96" si="195">(F94*S94)</f>
        <v>0</v>
      </c>
      <c r="AG94" s="302">
        <v>0</v>
      </c>
      <c r="AH94" s="303">
        <v>0</v>
      </c>
      <c r="AI94" s="316"/>
      <c r="AJ94" s="301">
        <f t="shared" ref="AJ94:AJ96" si="196">AB94-X94+AF94</f>
        <v>0</v>
      </c>
      <c r="AK94" s="302">
        <f t="shared" ref="AK94:AL96" si="197">AC94-Y94-AG94</f>
        <v>0</v>
      </c>
      <c r="AL94" s="303">
        <f t="shared" si="197"/>
        <v>0</v>
      </c>
      <c r="AM94" s="315"/>
      <c r="AN94" s="333"/>
      <c r="AO94" s="334"/>
      <c r="AP94" s="315"/>
      <c r="AQ94" s="301">
        <f t="shared" ref="AQ94:AQ96" si="198">(G94*S94)</f>
        <v>0</v>
      </c>
      <c r="AR94" s="302">
        <v>0</v>
      </c>
      <c r="AS94" s="303">
        <v>0</v>
      </c>
      <c r="AT94" s="315"/>
      <c r="AU94" s="153"/>
      <c r="AV94" s="153"/>
      <c r="AW94" s="315"/>
    </row>
    <row r="95" spans="1:49" x14ac:dyDescent="0.3">
      <c r="A95" s="85">
        <f t="shared" si="165"/>
        <v>88</v>
      </c>
      <c r="B95" s="707" t="str">
        <f>'WA Volumes &amp; Revenues'!B82</f>
        <v>43 Interr Transpt</v>
      </c>
      <c r="C95" s="708" t="s">
        <v>270</v>
      </c>
      <c r="D95" s="161"/>
      <c r="E95" s="387">
        <f>'Rates in Detail'!AC80</f>
        <v>0</v>
      </c>
      <c r="F95" s="387">
        <f>SUM('Rates in Detail'!AD80:AF80)</f>
        <v>-4.0000000000000003E-5</v>
      </c>
      <c r="G95" s="163"/>
      <c r="H95" s="161"/>
      <c r="I95" s="391">
        <f>'Rev Req Proof Yr2'!H95</f>
        <v>4.9100000000000003E-3</v>
      </c>
      <c r="J95" s="760">
        <f t="shared" si="167"/>
        <v>4.9100000000000003E-3</v>
      </c>
      <c r="K95" s="161"/>
      <c r="L95" s="154">
        <f>'Rev Req Proof Yr1'!K95</f>
        <v>38000</v>
      </c>
      <c r="M95" s="155">
        <f>'Rev Req Proof Yr1'!L95</f>
        <v>38000</v>
      </c>
      <c r="N95" s="121">
        <f>'Rev Req Proof Yr1'!M95</f>
        <v>0</v>
      </c>
      <c r="O95" s="121">
        <f>'Rev Req Proof Yr1'!N95</f>
        <v>0</v>
      </c>
      <c r="P95" s="121">
        <f>'Rev Req Proof Yr1'!O95</f>
        <v>0</v>
      </c>
      <c r="Q95" s="758">
        <f>'Rev Req Proof Yr1'!P95</f>
        <v>0</v>
      </c>
      <c r="R95" s="161"/>
      <c r="S95" s="293">
        <f>'Rev Req Proof Yr1'!R95</f>
        <v>0</v>
      </c>
      <c r="T95" s="294"/>
      <c r="U95" s="295">
        <f>'Rev Req Proof Yr1'!T95</f>
        <v>0</v>
      </c>
      <c r="V95" s="296">
        <f>'Rev Req Proof Yr1'!U95</f>
        <v>0</v>
      </c>
      <c r="W95" s="161"/>
      <c r="X95" s="317">
        <f t="shared" si="189"/>
        <v>0</v>
      </c>
      <c r="Y95" s="316">
        <f t="shared" si="190"/>
        <v>0</v>
      </c>
      <c r="Z95" s="318">
        <f t="shared" si="191"/>
        <v>0</v>
      </c>
      <c r="AA95" s="315"/>
      <c r="AB95" s="317">
        <f t="shared" si="192"/>
        <v>0</v>
      </c>
      <c r="AC95" s="316">
        <f t="shared" si="193"/>
        <v>0</v>
      </c>
      <c r="AD95" s="318">
        <f t="shared" si="194"/>
        <v>0</v>
      </c>
      <c r="AE95" s="315"/>
      <c r="AF95" s="317">
        <f t="shared" si="195"/>
        <v>0</v>
      </c>
      <c r="AG95" s="316">
        <v>0</v>
      </c>
      <c r="AH95" s="318">
        <v>0</v>
      </c>
      <c r="AI95" s="315"/>
      <c r="AJ95" s="317">
        <f t="shared" si="196"/>
        <v>0</v>
      </c>
      <c r="AK95" s="316">
        <f t="shared" si="197"/>
        <v>0</v>
      </c>
      <c r="AL95" s="318">
        <f t="shared" si="197"/>
        <v>0</v>
      </c>
      <c r="AM95" s="315"/>
      <c r="AN95" s="315"/>
      <c r="AO95" s="315"/>
      <c r="AP95" s="315"/>
      <c r="AQ95" s="317">
        <f t="shared" si="198"/>
        <v>0</v>
      </c>
      <c r="AR95" s="316">
        <v>0</v>
      </c>
      <c r="AS95" s="318">
        <v>0</v>
      </c>
      <c r="AT95" s="315"/>
      <c r="AU95" s="153"/>
      <c r="AV95" s="153"/>
      <c r="AW95" s="315"/>
    </row>
    <row r="96" spans="1:49" ht="13.5" thickBot="1" x14ac:dyDescent="0.35">
      <c r="A96" s="85">
        <f t="shared" si="165"/>
        <v>89</v>
      </c>
      <c r="B96" s="763" t="str">
        <f>'WA Volumes &amp; Revenues'!B83</f>
        <v>Special Contract</v>
      </c>
      <c r="C96" s="764" t="s">
        <v>270</v>
      </c>
      <c r="D96" s="165"/>
      <c r="E96" s="819">
        <f>'Rates in Detail'!AC81</f>
        <v>0</v>
      </c>
      <c r="F96" s="819">
        <f>SUM('Rates in Detail'!AD81:AF81)</f>
        <v>0</v>
      </c>
      <c r="G96" s="165"/>
      <c r="H96" s="766"/>
      <c r="I96" s="761">
        <f>'Rev Req Proof Yr2'!H96</f>
        <v>0</v>
      </c>
      <c r="J96" s="762">
        <f t="shared" si="167"/>
        <v>0</v>
      </c>
      <c r="K96" s="161"/>
      <c r="L96" s="769">
        <f>'Rev Req Proof Yr1'!K96</f>
        <v>0</v>
      </c>
      <c r="M96" s="770">
        <f>'Rev Req Proof Yr1'!L96</f>
        <v>0</v>
      </c>
      <c r="N96" s="779">
        <f>'Rev Req Proof Yr1'!M96</f>
        <v>0</v>
      </c>
      <c r="O96" s="779">
        <f>'Rev Req Proof Yr1'!N96</f>
        <v>0</v>
      </c>
      <c r="P96" s="779">
        <f>'Rev Req Proof Yr1'!O96</f>
        <v>0</v>
      </c>
      <c r="Q96" s="762">
        <f>'Rev Req Proof Yr1'!P96</f>
        <v>0</v>
      </c>
      <c r="R96" s="161"/>
      <c r="S96" s="795">
        <f>'Rev Req Proof Yr1'!R96</f>
        <v>2895114</v>
      </c>
      <c r="T96" s="789"/>
      <c r="U96" s="785">
        <f>'Rev Req Proof Yr1'!T96</f>
        <v>1</v>
      </c>
      <c r="V96" s="786">
        <f>'Rev Req Proof Yr1'!U96</f>
        <v>241259.5</v>
      </c>
      <c r="W96" s="161"/>
      <c r="X96" s="319">
        <f t="shared" si="189"/>
        <v>0</v>
      </c>
      <c r="Y96" s="320">
        <f t="shared" si="190"/>
        <v>0</v>
      </c>
      <c r="Z96" s="321">
        <f t="shared" si="191"/>
        <v>0</v>
      </c>
      <c r="AA96" s="315"/>
      <c r="AB96" s="319">
        <f t="shared" si="192"/>
        <v>0</v>
      </c>
      <c r="AC96" s="320">
        <f t="shared" si="193"/>
        <v>0</v>
      </c>
      <c r="AD96" s="321">
        <f t="shared" si="194"/>
        <v>0</v>
      </c>
      <c r="AE96" s="315"/>
      <c r="AF96" s="319">
        <f t="shared" si="195"/>
        <v>0</v>
      </c>
      <c r="AG96" s="320">
        <v>0</v>
      </c>
      <c r="AH96" s="321">
        <v>0</v>
      </c>
      <c r="AI96" s="315"/>
      <c r="AJ96" s="319">
        <f t="shared" si="196"/>
        <v>0</v>
      </c>
      <c r="AK96" s="320">
        <f t="shared" si="197"/>
        <v>0</v>
      </c>
      <c r="AL96" s="321">
        <f t="shared" si="197"/>
        <v>0</v>
      </c>
      <c r="AM96" s="315"/>
      <c r="AN96" s="315"/>
      <c r="AO96" s="315"/>
      <c r="AP96" s="315"/>
      <c r="AQ96" s="319">
        <f t="shared" si="198"/>
        <v>0</v>
      </c>
      <c r="AR96" s="320">
        <v>0</v>
      </c>
      <c r="AS96" s="321">
        <v>0</v>
      </c>
      <c r="AT96" s="315"/>
      <c r="AU96" s="161"/>
      <c r="AV96" s="161"/>
      <c r="AW96" s="315"/>
    </row>
    <row r="97" spans="1:49" x14ac:dyDescent="0.3">
      <c r="A97" s="85">
        <f t="shared" si="165"/>
        <v>90</v>
      </c>
    </row>
    <row r="98" spans="1:49" x14ac:dyDescent="0.3">
      <c r="A98" s="85">
        <f t="shared" si="165"/>
        <v>91</v>
      </c>
      <c r="B98" s="167" t="s">
        <v>58</v>
      </c>
      <c r="AT98" s="54"/>
      <c r="AU98" s="54"/>
    </row>
    <row r="99" spans="1:49" x14ac:dyDescent="0.3">
      <c r="A99" s="85">
        <f t="shared" si="165"/>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49"/>
      <c r="AN99" s="749"/>
      <c r="AO99" s="749"/>
      <c r="AP99" s="749"/>
      <c r="AQ99" s="782"/>
      <c r="AR99" s="782"/>
      <c r="AS99" s="783"/>
      <c r="AT99" s="820"/>
      <c r="AU99" s="54"/>
      <c r="AW99" s="54"/>
    </row>
    <row r="100" spans="1:49" x14ac:dyDescent="0.3">
      <c r="A100" s="85">
        <f t="shared" si="165"/>
        <v>93</v>
      </c>
      <c r="B100" s="168"/>
      <c r="S100" s="322"/>
      <c r="T100" s="322"/>
      <c r="U100" s="322"/>
      <c r="AT100" s="54"/>
      <c r="AU100" s="54"/>
    </row>
    <row r="101" spans="1:49" x14ac:dyDescent="0.3">
      <c r="A101" s="85">
        <f t="shared" si="165"/>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49"/>
      <c r="AQ101" s="749"/>
      <c r="AR101" s="749"/>
      <c r="AS101" s="784"/>
      <c r="AT101" s="54"/>
      <c r="AU101" s="54"/>
      <c r="AW101" s="54"/>
    </row>
    <row r="102" spans="1:49" x14ac:dyDescent="0.3">
      <c r="A102" s="85">
        <f t="shared" si="165"/>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84"/>
      <c r="AT102" s="54"/>
      <c r="AU102" s="54"/>
      <c r="AW102" s="54"/>
    </row>
    <row r="103" spans="1:49" x14ac:dyDescent="0.3">
      <c r="A103" s="85"/>
      <c r="B103" s="168"/>
      <c r="AT103" s="54"/>
      <c r="AU103" s="54"/>
    </row>
    <row r="104" spans="1:49" x14ac:dyDescent="0.3">
      <c r="A104" s="85"/>
      <c r="B104" s="168"/>
    </row>
    <row r="105" spans="1:49" x14ac:dyDescent="0.3">
      <c r="A105" s="85"/>
      <c r="B105" s="168"/>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&amp;RUG-200994 et al. / NWN WUTC Advice 22-09
WP1 / &amp;A</oddHeader>
    <oddFooter xml:space="preserve">&amp;C&amp;F &amp;D &amp;T
&amp;A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AD93"/>
  <sheetViews>
    <sheetView view="pageLayout" topLeftCell="H1" zoomScaleNormal="115" workbookViewId="0">
      <selection activeCell="T14" sqref="T14"/>
    </sheetView>
  </sheetViews>
  <sheetFormatPr defaultColWidth="9.296875" defaultRowHeight="13" outlineLevelCol="2" x14ac:dyDescent="0.3"/>
  <cols>
    <col min="1" max="1" width="6.796875" style="54" customWidth="1"/>
    <col min="2" max="2" width="19.19921875" style="55" customWidth="1"/>
    <col min="3" max="3" width="12.796875" style="55" customWidth="1"/>
    <col min="4" max="4" width="18.296875" style="55" customWidth="1"/>
    <col min="5" max="6" width="16.69921875" style="55" customWidth="1"/>
    <col min="7" max="7" width="16.69921875" style="55" hidden="1" customWidth="1" outlineLevel="1"/>
    <col min="8" max="8" width="18.69921875" style="59" customWidth="1" collapsed="1"/>
    <col min="9" max="11" width="19.5" style="55" customWidth="1" outlineLevel="1"/>
    <col min="12" max="12" width="19.5" style="59" customWidth="1"/>
    <col min="13" max="13" width="19" style="55" customWidth="1"/>
    <col min="14" max="15" width="16.69921875" style="55" customWidth="1" outlineLevel="1"/>
    <col min="16" max="16" width="16.69921875" style="55" hidden="1" customWidth="1" outlineLevel="2"/>
    <col min="17" max="17" width="18.69921875" style="59" customWidth="1" outlineLevel="1" collapsed="1"/>
    <col min="18" max="20" width="18.69921875" style="59" customWidth="1" outlineLevel="1"/>
    <col min="21" max="22" width="19.5" style="55" customWidth="1" outlineLevel="2"/>
    <col min="23" max="23" width="19" style="55" customWidth="1" outlineLevel="1"/>
    <col min="24" max="16384" width="9.296875" style="54"/>
  </cols>
  <sheetData>
    <row r="1" spans="1:30" x14ac:dyDescent="0.3">
      <c r="A1" s="138" t="str">
        <f>+'WA Volumes &amp; Revenues'!A1</f>
        <v>NW Natural</v>
      </c>
    </row>
    <row r="2" spans="1:30" x14ac:dyDescent="0.3">
      <c r="A2" s="138" t="str">
        <f>+'WA Volumes &amp; Revenues'!A2</f>
        <v>Rates &amp; Regulatory Affairs</v>
      </c>
    </row>
    <row r="3" spans="1:30" x14ac:dyDescent="0.3">
      <c r="A3" s="138" t="str">
        <f>+'WA Volumes &amp; Revenues'!A3</f>
        <v>Test Year Ending September 30, 2020</v>
      </c>
      <c r="E3" s="139"/>
      <c r="F3" s="139"/>
      <c r="G3" s="139"/>
      <c r="H3" s="538"/>
      <c r="I3" s="139"/>
      <c r="J3" s="139"/>
      <c r="K3" s="139"/>
      <c r="L3" s="538"/>
      <c r="M3" s="1696" t="s">
        <v>751</v>
      </c>
      <c r="N3" s="139"/>
      <c r="O3" s="139"/>
      <c r="P3" s="139"/>
      <c r="Q3" s="538"/>
      <c r="R3" s="538"/>
      <c r="S3" s="538"/>
      <c r="T3" s="538"/>
      <c r="U3" s="139"/>
      <c r="V3" s="139"/>
    </row>
    <row r="4" spans="1:30" ht="13.5" thickBot="1" x14ac:dyDescent="0.35">
      <c r="A4" s="138" t="s">
        <v>608</v>
      </c>
    </row>
    <row r="5" spans="1:30" ht="13.5" thickBot="1" x14ac:dyDescent="0.35">
      <c r="H5" s="592" t="s">
        <v>511</v>
      </c>
      <c r="M5" s="940" t="s">
        <v>402</v>
      </c>
      <c r="W5" s="940" t="s">
        <v>399</v>
      </c>
    </row>
    <row r="6" spans="1:30" ht="13.5" thickBot="1" x14ac:dyDescent="0.35">
      <c r="G6" s="539"/>
      <c r="H6" s="541" t="s">
        <v>76</v>
      </c>
      <c r="L6" s="1697"/>
      <c r="M6" s="546" t="s">
        <v>609</v>
      </c>
      <c r="P6" s="539"/>
      <c r="Q6" s="592" t="s">
        <v>76</v>
      </c>
      <c r="R6" s="57"/>
      <c r="S6" s="57"/>
      <c r="T6" s="57"/>
      <c r="U6" s="1707"/>
      <c r="V6" s="1707"/>
      <c r="W6" s="355" t="s">
        <v>750</v>
      </c>
    </row>
    <row r="7" spans="1:30" x14ac:dyDescent="0.3">
      <c r="D7" s="552"/>
      <c r="E7" s="540"/>
      <c r="F7" s="540"/>
      <c r="G7" s="540"/>
      <c r="H7" s="1415"/>
      <c r="I7" s="941" t="s">
        <v>403</v>
      </c>
      <c r="J7" s="941" t="str">
        <f>I7</f>
        <v>2021-2022</v>
      </c>
      <c r="K7" s="941" t="str">
        <f>J7</f>
        <v>2021-2022</v>
      </c>
      <c r="L7" s="1698" t="str">
        <f>K7</f>
        <v>2021-2022</v>
      </c>
      <c r="M7" s="558" t="s">
        <v>178</v>
      </c>
      <c r="N7" s="540"/>
      <c r="O7" s="540"/>
      <c r="P7" s="540"/>
      <c r="Q7" s="958"/>
      <c r="R7" s="941" t="s">
        <v>404</v>
      </c>
      <c r="S7" s="941" t="str">
        <f>R7</f>
        <v>2022-2023</v>
      </c>
      <c r="T7" s="941" t="str">
        <f>S7</f>
        <v>2022-2023</v>
      </c>
      <c r="U7" s="1698" t="str">
        <f>T7</f>
        <v>2022-2023</v>
      </c>
      <c r="V7" s="1698" t="s">
        <v>404</v>
      </c>
      <c r="W7" s="1425"/>
    </row>
    <row r="8" spans="1:30" x14ac:dyDescent="0.3">
      <c r="A8" s="85">
        <v>1</v>
      </c>
      <c r="D8" s="842"/>
      <c r="E8" s="419" t="s">
        <v>599</v>
      </c>
      <c r="F8" s="85" t="str">
        <f>E8</f>
        <v>UG-200994</v>
      </c>
      <c r="G8" s="85" t="str">
        <f>E8</f>
        <v>UG-200994</v>
      </c>
      <c r="H8" s="1416" t="str">
        <f>E8</f>
        <v>UG-200994</v>
      </c>
      <c r="I8" s="419" t="s">
        <v>718</v>
      </c>
      <c r="J8" s="419" t="s">
        <v>718</v>
      </c>
      <c r="K8" s="419" t="s">
        <v>718</v>
      </c>
      <c r="L8" s="1699" t="s">
        <v>718</v>
      </c>
      <c r="M8" s="558" t="s">
        <v>32</v>
      </c>
      <c r="N8" s="85" t="str">
        <f>H8</f>
        <v>UG-200994</v>
      </c>
      <c r="O8" s="85" t="str">
        <f>N8</f>
        <v>UG-200994</v>
      </c>
      <c r="P8" s="85" t="str">
        <f>N8</f>
        <v>UG-200994</v>
      </c>
      <c r="Q8" s="832" t="str">
        <f>N8</f>
        <v>UG-200994</v>
      </c>
      <c r="R8" s="419" t="s">
        <v>718</v>
      </c>
      <c r="S8" s="419" t="s">
        <v>718</v>
      </c>
      <c r="T8" s="419" t="s">
        <v>718</v>
      </c>
      <c r="U8" s="1699" t="s">
        <v>718</v>
      </c>
      <c r="V8" s="1699" t="s">
        <v>753</v>
      </c>
      <c r="W8" s="1425" t="str">
        <f>P8</f>
        <v>UG-200994</v>
      </c>
    </row>
    <row r="9" spans="1:30" x14ac:dyDescent="0.3">
      <c r="A9" s="85">
        <f t="shared" ref="A9:A83" si="0">+A8+1</f>
        <v>2</v>
      </c>
      <c r="D9" s="352">
        <f>+'Avg Bill by RS'!K9</f>
        <v>44136</v>
      </c>
      <c r="E9" s="542" t="str">
        <f>'Allocation = ¢ per Therm'!D12</f>
        <v>WA GRC</v>
      </c>
      <c r="F9" s="542" t="str">
        <f>E9</f>
        <v>WA GRC</v>
      </c>
      <c r="G9" s="1169" t="s">
        <v>370</v>
      </c>
      <c r="H9" s="1417" t="s">
        <v>21</v>
      </c>
      <c r="I9" s="85" t="s">
        <v>229</v>
      </c>
      <c r="J9" s="85" t="s">
        <v>229</v>
      </c>
      <c r="K9" s="85" t="s">
        <v>229</v>
      </c>
      <c r="L9" s="1700" t="s">
        <v>21</v>
      </c>
      <c r="M9" s="558" t="s">
        <v>21</v>
      </c>
      <c r="N9" s="542" t="s">
        <v>267</v>
      </c>
      <c r="O9" s="542" t="s">
        <v>267</v>
      </c>
      <c r="P9" s="1169" t="s">
        <v>370</v>
      </c>
      <c r="Q9" s="831" t="s">
        <v>21</v>
      </c>
      <c r="R9" s="85" t="s">
        <v>229</v>
      </c>
      <c r="S9" s="85" t="s">
        <v>229</v>
      </c>
      <c r="T9" s="85" t="s">
        <v>229</v>
      </c>
      <c r="U9" s="1700" t="s">
        <v>21</v>
      </c>
      <c r="V9" s="1700" t="s">
        <v>21</v>
      </c>
      <c r="W9" s="1427" t="s">
        <v>21</v>
      </c>
    </row>
    <row r="10" spans="1:30" x14ac:dyDescent="0.3">
      <c r="A10" s="85">
        <f t="shared" si="0"/>
        <v>3</v>
      </c>
      <c r="D10" s="568" t="s">
        <v>15</v>
      </c>
      <c r="E10" s="85" t="s">
        <v>87</v>
      </c>
      <c r="F10" s="85" t="s">
        <v>30</v>
      </c>
      <c r="G10" s="1170" t="s">
        <v>371</v>
      </c>
      <c r="H10" s="1416" t="s">
        <v>232</v>
      </c>
      <c r="I10" s="85" t="s">
        <v>719</v>
      </c>
      <c r="J10" s="85" t="s">
        <v>720</v>
      </c>
      <c r="K10" s="85" t="s">
        <v>721</v>
      </c>
      <c r="L10" s="1700" t="s">
        <v>228</v>
      </c>
      <c r="M10" s="559" t="s">
        <v>231</v>
      </c>
      <c r="N10" s="85" t="s">
        <v>87</v>
      </c>
      <c r="O10" s="85" t="s">
        <v>30</v>
      </c>
      <c r="P10" s="1170" t="s">
        <v>371</v>
      </c>
      <c r="Q10" s="832" t="s">
        <v>232</v>
      </c>
      <c r="R10" s="85" t="s">
        <v>719</v>
      </c>
      <c r="S10" s="85" t="s">
        <v>720</v>
      </c>
      <c r="T10" s="85" t="s">
        <v>721</v>
      </c>
      <c r="U10" s="1700" t="s">
        <v>228</v>
      </c>
      <c r="V10" s="1700" t="s">
        <v>253</v>
      </c>
      <c r="W10" s="1425" t="s">
        <v>232</v>
      </c>
    </row>
    <row r="11" spans="1:30" s="56" customFormat="1" ht="13.5" thickBot="1" x14ac:dyDescent="0.35">
      <c r="A11" s="85">
        <f t="shared" si="0"/>
        <v>4</v>
      </c>
      <c r="B11" s="55"/>
      <c r="C11" s="55"/>
      <c r="D11" s="843" t="s">
        <v>16</v>
      </c>
      <c r="E11" s="354" t="s">
        <v>95</v>
      </c>
      <c r="F11" s="354" t="s">
        <v>28</v>
      </c>
      <c r="G11" s="1171" t="s">
        <v>372</v>
      </c>
      <c r="H11" s="1418" t="s">
        <v>28</v>
      </c>
      <c r="I11" s="354" t="s">
        <v>183</v>
      </c>
      <c r="J11" s="1566" t="s">
        <v>183</v>
      </c>
      <c r="K11" s="1566" t="s">
        <v>183</v>
      </c>
      <c r="L11" s="1701" t="s">
        <v>734</v>
      </c>
      <c r="M11" s="560" t="s">
        <v>16</v>
      </c>
      <c r="N11" s="354" t="s">
        <v>95</v>
      </c>
      <c r="O11" s="354" t="s">
        <v>28</v>
      </c>
      <c r="P11" s="1171" t="s">
        <v>372</v>
      </c>
      <c r="Q11" s="833" t="s">
        <v>28</v>
      </c>
      <c r="R11" s="1678" t="s">
        <v>183</v>
      </c>
      <c r="S11" s="1678" t="s">
        <v>183</v>
      </c>
      <c r="T11" s="1678" t="s">
        <v>183</v>
      </c>
      <c r="U11" s="1701" t="s">
        <v>734</v>
      </c>
      <c r="V11" s="1701" t="s">
        <v>754</v>
      </c>
      <c r="W11" s="1426" t="s">
        <v>28</v>
      </c>
    </row>
    <row r="12" spans="1:30" s="56" customFormat="1" x14ac:dyDescent="0.3">
      <c r="A12" s="85">
        <f t="shared" si="0"/>
        <v>5</v>
      </c>
      <c r="B12" s="55"/>
      <c r="C12" s="55"/>
      <c r="D12" s="844"/>
      <c r="E12" s="57"/>
      <c r="F12" s="57"/>
      <c r="G12" s="57"/>
      <c r="H12" s="1416" t="s">
        <v>368</v>
      </c>
      <c r="I12" s="57"/>
      <c r="J12" s="57"/>
      <c r="K12" s="57"/>
      <c r="L12" s="1700"/>
      <c r="M12" s="558" t="s">
        <v>369</v>
      </c>
      <c r="N12" s="57"/>
      <c r="O12" s="57"/>
      <c r="P12" s="57"/>
      <c r="Q12" s="832" t="s">
        <v>416</v>
      </c>
      <c r="R12" s="57"/>
      <c r="S12" s="57"/>
      <c r="T12" s="57"/>
      <c r="U12" s="1700"/>
      <c r="V12" s="292"/>
      <c r="W12" s="1425" t="s">
        <v>541</v>
      </c>
    </row>
    <row r="13" spans="1:30" s="56" customFormat="1" ht="13.5" thickBot="1" x14ac:dyDescent="0.35">
      <c r="A13" s="85">
        <f t="shared" si="0"/>
        <v>6</v>
      </c>
      <c r="B13" s="725" t="s">
        <v>2</v>
      </c>
      <c r="C13" s="725" t="s">
        <v>3</v>
      </c>
      <c r="D13" s="358" t="s">
        <v>35</v>
      </c>
      <c r="E13" s="706" t="s">
        <v>36</v>
      </c>
      <c r="F13" s="123" t="s">
        <v>13</v>
      </c>
      <c r="G13" s="123" t="s">
        <v>37</v>
      </c>
      <c r="H13" s="1419" t="s">
        <v>38</v>
      </c>
      <c r="I13" s="123" t="s">
        <v>39</v>
      </c>
      <c r="J13" s="706"/>
      <c r="K13" s="706"/>
      <c r="L13" s="1702"/>
      <c r="M13" s="561" t="s">
        <v>40</v>
      </c>
      <c r="N13" s="706" t="s">
        <v>41</v>
      </c>
      <c r="O13" s="706" t="s">
        <v>42</v>
      </c>
      <c r="P13" s="706" t="s">
        <v>124</v>
      </c>
      <c r="Q13" s="834" t="s">
        <v>125</v>
      </c>
      <c r="R13" s="706"/>
      <c r="S13" s="706"/>
      <c r="T13" s="706"/>
      <c r="U13" s="1702" t="s">
        <v>43</v>
      </c>
      <c r="V13" s="292"/>
      <c r="W13" s="1425" t="s">
        <v>126</v>
      </c>
    </row>
    <row r="14" spans="1:30" x14ac:dyDescent="0.3">
      <c r="A14" s="85">
        <f t="shared" si="0"/>
        <v>7</v>
      </c>
      <c r="B14" s="959" t="str">
        <f>'WA Volumes &amp; Revenues'!B15</f>
        <v>1R</v>
      </c>
      <c r="C14" s="959" t="s">
        <v>270</v>
      </c>
      <c r="D14" s="845">
        <f>'Rates in Detail'!J13</f>
        <v>1.1525299999999998</v>
      </c>
      <c r="E14" s="360">
        <f>SUM('Rates in Detail'!L13,'Rates in Detail'!P13,'Rates in Detail'!Q13)</f>
        <v>0.10204000000000001</v>
      </c>
      <c r="F14" s="360">
        <f>'Rates in Detail'!V13</f>
        <v>-2.1869999999999997E-2</v>
      </c>
      <c r="G14" s="152"/>
      <c r="H14" s="1420">
        <f>SUM(D14:G14)</f>
        <v>1.2326999999999997</v>
      </c>
      <c r="I14" s="360">
        <f>'[25]Rates in summary'!E13</f>
        <v>8.5399999999999976E-2</v>
      </c>
      <c r="J14" s="360">
        <f>'[25]Rates in summary'!F13</f>
        <v>5.4799999999999988E-3</v>
      </c>
      <c r="K14" s="360">
        <f>'[25]Rates in summary'!H13</f>
        <v>2.3890000000000036E-2</v>
      </c>
      <c r="L14" s="1703">
        <f>D14+I14+J14+K14</f>
        <v>1.2672999999999996</v>
      </c>
      <c r="M14" s="563">
        <f>SUM(H14:K14)</f>
        <v>1.3474699999999995</v>
      </c>
      <c r="N14" s="360">
        <f>'Rates in Detail'!AC13</f>
        <v>6.1650000000000003E-2</v>
      </c>
      <c r="O14" s="360">
        <f>SUM('Rates in Detail'!AD13:AF13)</f>
        <v>-2.5819999999999999E-2</v>
      </c>
      <c r="P14" s="152"/>
      <c r="Q14" s="835">
        <f>SUM(M14:P14)</f>
        <v>1.3832999999999995</v>
      </c>
      <c r="R14" s="360">
        <f>'[26]Rates in summary'!E13</f>
        <v>0.12099000000000004</v>
      </c>
      <c r="S14" s="360">
        <f>'[26]Rates in summary'!F13</f>
        <v>-1.9930000000000003E-2</v>
      </c>
      <c r="T14" s="360">
        <f>'[26]Rates in summary'!H13</f>
        <v>0.10753999999999998</v>
      </c>
      <c r="U14" s="1708">
        <f>M14+R14+S14+T14</f>
        <v>1.5560699999999994</v>
      </c>
      <c r="V14" s="846">
        <v>0</v>
      </c>
      <c r="W14" s="1689">
        <f>SUM(Q14:T14)+V14</f>
        <v>1.5918999999999996</v>
      </c>
      <c r="Y14" s="156"/>
      <c r="Z14" s="156"/>
      <c r="AA14" s="156"/>
      <c r="AB14" s="156"/>
      <c r="AC14" s="156"/>
      <c r="AD14" s="156"/>
    </row>
    <row r="15" spans="1:30" x14ac:dyDescent="0.3">
      <c r="A15" s="85">
        <f t="shared" si="0"/>
        <v>8</v>
      </c>
      <c r="B15" s="959" t="str">
        <f>'WA Volumes &amp; Revenues'!B16</f>
        <v>1C</v>
      </c>
      <c r="C15" s="959" t="s">
        <v>270</v>
      </c>
      <c r="D15" s="845">
        <f>'Rates in Detail'!J14</f>
        <v>1.18929</v>
      </c>
      <c r="E15" s="360">
        <f>SUM('Rates in Detail'!L14,'Rates in Detail'!P14,'Rates in Detail'!Q14)</f>
        <v>8.4850000000000009E-2</v>
      </c>
      <c r="F15" s="360">
        <f>'Rates in Detail'!V14</f>
        <v>-1.8200000000000001E-2</v>
      </c>
      <c r="G15" s="152"/>
      <c r="H15" s="1420">
        <f t="shared" ref="H15:H78" si="1">SUM(D15:G15)</f>
        <v>1.2559400000000001</v>
      </c>
      <c r="I15" s="360">
        <f>'[25]Rates in summary'!E14</f>
        <v>8.5399999999999976E-2</v>
      </c>
      <c r="J15" s="360">
        <f>'[25]Rates in summary'!F14</f>
        <v>5.4799999999999988E-3</v>
      </c>
      <c r="K15" s="360">
        <f>'[25]Rates in summary'!H14</f>
        <v>2.1469999999999989E-2</v>
      </c>
      <c r="L15" s="1703">
        <f t="shared" ref="L15:L78" si="2">D15+I15+J15+K15</f>
        <v>1.3016399999999999</v>
      </c>
      <c r="M15" s="563">
        <f t="shared" ref="M15:M78" si="3">SUM(H15:K15)</f>
        <v>1.36829</v>
      </c>
      <c r="N15" s="360">
        <f>'Rates in Detail'!AC14</f>
        <v>5.126E-2</v>
      </c>
      <c r="O15" s="360">
        <f>SUM('Rates in Detail'!AD14:AF14)</f>
        <v>-2.147E-2</v>
      </c>
      <c r="P15" s="152"/>
      <c r="Q15" s="835">
        <f t="shared" ref="Q15:Q78" si="4">SUM(M15:P15)</f>
        <v>1.39808</v>
      </c>
      <c r="R15" s="360">
        <f>'[26]Rates in summary'!E14</f>
        <v>0.12099000000000004</v>
      </c>
      <c r="S15" s="360">
        <f>'[26]Rates in summary'!F14</f>
        <v>-1.9930000000000003E-2</v>
      </c>
      <c r="T15" s="360">
        <f>'[26]Rates in summary'!H14</f>
        <v>0.10686999999999999</v>
      </c>
      <c r="U15" s="1708">
        <f t="shared" ref="U15:U78" si="5">M15+R15+S15+T15</f>
        <v>1.57622</v>
      </c>
      <c r="V15" s="1717">
        <v>0</v>
      </c>
      <c r="W15" s="1690">
        <f t="shared" ref="W15:W78" si="6">SUM(Q15:T15)+V15</f>
        <v>1.6060100000000002</v>
      </c>
      <c r="Y15" s="156"/>
      <c r="Z15" s="156"/>
      <c r="AA15" s="156"/>
      <c r="AB15" s="156"/>
      <c r="AC15" s="156"/>
      <c r="AD15" s="156"/>
    </row>
    <row r="16" spans="1:30" x14ac:dyDescent="0.3">
      <c r="A16" s="85">
        <f t="shared" si="0"/>
        <v>9</v>
      </c>
      <c r="B16" s="959" t="str">
        <f>'WA Volumes &amp; Revenues'!B17</f>
        <v>2R</v>
      </c>
      <c r="C16" s="959" t="s">
        <v>270</v>
      </c>
      <c r="D16" s="846">
        <f>'Rates in Detail'!J15</f>
        <v>0.88947999999999972</v>
      </c>
      <c r="E16" s="385">
        <f>SUM('Rates in Detail'!L15,'Rates in Detail'!P15,'Rates in Detail'!Q15)</f>
        <v>6.4579999999999999E-2</v>
      </c>
      <c r="F16" s="385">
        <f>'Rates in Detail'!V15</f>
        <v>-1.384E-2</v>
      </c>
      <c r="G16" s="385"/>
      <c r="H16" s="1421">
        <f t="shared" si="1"/>
        <v>0.94021999999999972</v>
      </c>
      <c r="I16" s="360">
        <f>'[25]Rates in summary'!E15</f>
        <v>8.5399999999999976E-2</v>
      </c>
      <c r="J16" s="360">
        <f>'[25]Rates in summary'!F15</f>
        <v>5.4799999999999988E-3</v>
      </c>
      <c r="K16" s="360">
        <f>'[25]Rates in summary'!H15</f>
        <v>2.0369999999999999E-2</v>
      </c>
      <c r="L16" s="1703">
        <f t="shared" si="2"/>
        <v>1.0007299999999999</v>
      </c>
      <c r="M16" s="562">
        <f t="shared" si="3"/>
        <v>1.0514699999999997</v>
      </c>
      <c r="N16" s="385">
        <f>'Rates in Detail'!AC15</f>
        <v>3.9019999999999999E-2</v>
      </c>
      <c r="O16" s="385">
        <f>SUM('Rates in Detail'!AD15:AF15)</f>
        <v>-1.635E-2</v>
      </c>
      <c r="P16" s="385"/>
      <c r="Q16" s="836">
        <f>SUM(M16:P16)</f>
        <v>1.0741399999999997</v>
      </c>
      <c r="R16" s="385">
        <f>'[26]Rates in summary'!E15</f>
        <v>0.12099000000000004</v>
      </c>
      <c r="S16" s="385">
        <f>'[26]Rates in summary'!F15</f>
        <v>-1.9930000000000003E-2</v>
      </c>
      <c r="T16" s="385">
        <f>'[26]Rates in summary'!H15</f>
        <v>0.10496000000000003</v>
      </c>
      <c r="U16" s="1709">
        <f t="shared" si="5"/>
        <v>1.2574899999999996</v>
      </c>
      <c r="V16" s="1718">
        <f>'Avg Bill by RS'!BJ16</f>
        <v>-6.3856382978723369E-2</v>
      </c>
      <c r="W16" s="1691">
        <f t="shared" si="6"/>
        <v>1.2163036170212764</v>
      </c>
      <c r="Y16" s="156"/>
      <c r="Z16" s="156"/>
      <c r="AA16" s="156"/>
      <c r="AB16" s="156"/>
      <c r="AC16" s="156"/>
      <c r="AD16" s="156"/>
    </row>
    <row r="17" spans="1:30" x14ac:dyDescent="0.3">
      <c r="A17" s="85">
        <f t="shared" si="0"/>
        <v>10</v>
      </c>
      <c r="B17" s="959" t="str">
        <f>'WA Volumes &amp; Revenues'!B18</f>
        <v>3 CFS</v>
      </c>
      <c r="C17" s="959" t="s">
        <v>270</v>
      </c>
      <c r="D17" s="845">
        <f>'Rates in Detail'!J16</f>
        <v>0.86690000000000011</v>
      </c>
      <c r="E17" s="360">
        <f>SUM('Rates in Detail'!L16,'Rates in Detail'!P16,'Rates in Detail'!Q16)</f>
        <v>5.7989999999999993E-2</v>
      </c>
      <c r="F17" s="360">
        <f>'Rates in Detail'!V16</f>
        <v>-1.2419999999999999E-2</v>
      </c>
      <c r="G17" s="360"/>
      <c r="H17" s="1420">
        <f t="shared" si="1"/>
        <v>0.91247000000000011</v>
      </c>
      <c r="I17" s="360">
        <f>'[25]Rates in summary'!E16</f>
        <v>8.5399999999999976E-2</v>
      </c>
      <c r="J17" s="360">
        <f>'[25]Rates in summary'!F16</f>
        <v>5.4799999999999988E-3</v>
      </c>
      <c r="K17" s="360">
        <f>'[25]Rates in summary'!H16</f>
        <v>1.9469999999999987E-2</v>
      </c>
      <c r="L17" s="1703">
        <f t="shared" si="2"/>
        <v>0.97725000000000017</v>
      </c>
      <c r="M17" s="563">
        <f t="shared" si="3"/>
        <v>1.0228199999999998</v>
      </c>
      <c r="N17" s="360">
        <f>'Rates in Detail'!AC16</f>
        <v>3.5029999999999999E-2</v>
      </c>
      <c r="O17" s="360">
        <f>SUM('Rates in Detail'!AD16:AF16)</f>
        <v>-1.4670000000000001E-2</v>
      </c>
      <c r="P17" s="360"/>
      <c r="Q17" s="835">
        <f t="shared" si="4"/>
        <v>1.0431799999999998</v>
      </c>
      <c r="R17" s="360">
        <f>'[26]Rates in summary'!E16</f>
        <v>0.12099000000000004</v>
      </c>
      <c r="S17" s="360">
        <f>'[26]Rates in summary'!F16</f>
        <v>-1.9930000000000003E-2</v>
      </c>
      <c r="T17" s="360">
        <f>'[26]Rates in summary'!H16</f>
        <v>0.10614</v>
      </c>
      <c r="U17" s="1708">
        <f t="shared" si="5"/>
        <v>1.2300199999999997</v>
      </c>
      <c r="V17" s="1717">
        <v>0</v>
      </c>
      <c r="W17" s="1690">
        <f t="shared" si="6"/>
        <v>1.2503799999999998</v>
      </c>
      <c r="Y17" s="156"/>
      <c r="Z17" s="156"/>
      <c r="AA17" s="156"/>
      <c r="AB17" s="156"/>
      <c r="AC17" s="156"/>
      <c r="AD17" s="156"/>
    </row>
    <row r="18" spans="1:30" x14ac:dyDescent="0.3">
      <c r="A18" s="85">
        <f t="shared" si="0"/>
        <v>11</v>
      </c>
      <c r="B18" s="959" t="str">
        <f>'WA Volumes &amp; Revenues'!B19</f>
        <v>3 IFS</v>
      </c>
      <c r="C18" s="959" t="s">
        <v>270</v>
      </c>
      <c r="D18" s="845">
        <f>'Rates in Detail'!J17</f>
        <v>0.82713999999999999</v>
      </c>
      <c r="E18" s="360">
        <f>SUM('Rates in Detail'!L17,'Rates in Detail'!P17,'Rates in Detail'!Q17)</f>
        <v>5.2519999999999997E-2</v>
      </c>
      <c r="F18" s="360">
        <f>'Rates in Detail'!V17</f>
        <v>-2.8799999999999997E-3</v>
      </c>
      <c r="G18" s="360"/>
      <c r="H18" s="1420">
        <f t="shared" si="1"/>
        <v>0.87678</v>
      </c>
      <c r="I18" s="360">
        <f>'[25]Rates in summary'!E17</f>
        <v>8.5399999999999976E-2</v>
      </c>
      <c r="J18" s="360">
        <f>'[25]Rates in summary'!F17</f>
        <v>5.4799999999999988E-3</v>
      </c>
      <c r="K18" s="360">
        <f>'[25]Rates in summary'!H17</f>
        <v>1.0919999999999994E-2</v>
      </c>
      <c r="L18" s="1703">
        <f t="shared" si="2"/>
        <v>0.92893999999999999</v>
      </c>
      <c r="M18" s="563">
        <f t="shared" si="3"/>
        <v>0.97858000000000012</v>
      </c>
      <c r="N18" s="360">
        <f>'Rates in Detail'!AC17</f>
        <v>3.1730000000000001E-2</v>
      </c>
      <c r="O18" s="360">
        <f>SUM('Rates in Detail'!AD17:AF17)</f>
        <v>-4.9100000000000003E-3</v>
      </c>
      <c r="P18" s="360"/>
      <c r="Q18" s="835">
        <f t="shared" si="4"/>
        <v>1.0054000000000001</v>
      </c>
      <c r="R18" s="360">
        <f>'[26]Rates in summary'!E17</f>
        <v>0.12099000000000004</v>
      </c>
      <c r="S18" s="360">
        <f>'[26]Rates in summary'!F17</f>
        <v>-1.9930000000000003E-2</v>
      </c>
      <c r="T18" s="360">
        <f>'[26]Rates in summary'!H17</f>
        <v>0.12252999999999999</v>
      </c>
      <c r="U18" s="1708">
        <f t="shared" si="5"/>
        <v>1.2021700000000002</v>
      </c>
      <c r="V18" s="1717">
        <v>0</v>
      </c>
      <c r="W18" s="1690">
        <f t="shared" si="6"/>
        <v>1.2289900000000002</v>
      </c>
      <c r="Y18" s="156"/>
      <c r="Z18" s="156"/>
      <c r="AA18" s="156"/>
      <c r="AB18" s="156"/>
      <c r="AC18" s="156"/>
      <c r="AD18" s="156"/>
    </row>
    <row r="19" spans="1:30" x14ac:dyDescent="0.3">
      <c r="A19" s="85">
        <f t="shared" si="0"/>
        <v>12</v>
      </c>
      <c r="B19" s="959" t="str">
        <f>'WA Volumes &amp; Revenues'!B20</f>
        <v>27R</v>
      </c>
      <c r="C19" s="959" t="s">
        <v>270</v>
      </c>
      <c r="D19" s="845">
        <f>'Rates in Detail'!J18</f>
        <v>0.64432999999999974</v>
      </c>
      <c r="E19" s="360">
        <f>SUM('Rates in Detail'!L18,'Rates in Detail'!P18,'Rates in Detail'!Q18)</f>
        <v>4.5960000000000001E-2</v>
      </c>
      <c r="F19" s="360">
        <f>'Rates in Detail'!V18</f>
        <v>-9.8499999999999994E-3</v>
      </c>
      <c r="G19" s="360"/>
      <c r="H19" s="1420">
        <f t="shared" si="1"/>
        <v>0.68043999999999971</v>
      </c>
      <c r="I19" s="360">
        <f>'[25]Rates in summary'!E18</f>
        <v>8.5399999999999976E-2</v>
      </c>
      <c r="J19" s="360">
        <f>'[25]Rates in summary'!F18</f>
        <v>5.4799999999999988E-3</v>
      </c>
      <c r="K19" s="360">
        <f>'[25]Rates in summary'!H18</f>
        <v>1.8249999999999988E-2</v>
      </c>
      <c r="L19" s="1703">
        <f t="shared" si="2"/>
        <v>0.7534599999999998</v>
      </c>
      <c r="M19" s="563">
        <f t="shared" si="3"/>
        <v>0.78956999999999966</v>
      </c>
      <c r="N19" s="360">
        <f>'Rates in Detail'!AC18</f>
        <v>2.777E-2</v>
      </c>
      <c r="O19" s="360">
        <f>SUM('Rates in Detail'!AD18:AF18)</f>
        <v>-1.163E-2</v>
      </c>
      <c r="P19" s="360"/>
      <c r="Q19" s="835">
        <f t="shared" si="4"/>
        <v>0.80570999999999959</v>
      </c>
      <c r="R19" s="360">
        <f>'[26]Rates in summary'!E18</f>
        <v>0.12099000000000004</v>
      </c>
      <c r="S19" s="360">
        <f>'[26]Rates in summary'!F18</f>
        <v>-1.9930000000000003E-2</v>
      </c>
      <c r="T19" s="360">
        <f>'[26]Rates in summary'!H18</f>
        <v>0.11384999999999999</v>
      </c>
      <c r="U19" s="1708">
        <f t="shared" si="5"/>
        <v>1.0044799999999996</v>
      </c>
      <c r="V19" s="1717">
        <v>0</v>
      </c>
      <c r="W19" s="1690">
        <f t="shared" si="6"/>
        <v>1.0206199999999996</v>
      </c>
      <c r="Y19" s="156"/>
      <c r="Z19" s="156"/>
      <c r="AA19" s="156"/>
      <c r="AB19" s="156"/>
      <c r="AC19" s="156"/>
      <c r="AD19" s="156"/>
    </row>
    <row r="20" spans="1:30" x14ac:dyDescent="0.3">
      <c r="A20" s="85">
        <f t="shared" si="0"/>
        <v>13</v>
      </c>
      <c r="B20" s="85" t="str">
        <f>'WA Volumes &amp; Revenues'!B21</f>
        <v>41C Firm Sales</v>
      </c>
      <c r="C20" s="1392" t="s">
        <v>4</v>
      </c>
      <c r="D20" s="847">
        <f>'Rates in Detail'!J19</f>
        <v>0.65150000000000008</v>
      </c>
      <c r="E20" s="491">
        <f>SUM('Rates in Detail'!L19,'Rates in Detail'!P19,'Rates in Detail'!Q19)</f>
        <v>4.6050000000000001E-2</v>
      </c>
      <c r="F20" s="491">
        <f>'Rates in Detail'!V19</f>
        <v>-9.8600000000000007E-3</v>
      </c>
      <c r="G20" s="491"/>
      <c r="H20" s="1422">
        <f t="shared" si="1"/>
        <v>0.68769000000000013</v>
      </c>
      <c r="I20" s="491">
        <f>'[25]Rates in summary'!E19</f>
        <v>8.5399999999999976E-2</v>
      </c>
      <c r="J20" s="491">
        <f>'[25]Rates in summary'!F19</f>
        <v>0</v>
      </c>
      <c r="K20" s="491">
        <f>'[25]Rates in summary'!H19</f>
        <v>1.7569999999999995E-2</v>
      </c>
      <c r="L20" s="1704">
        <f t="shared" si="2"/>
        <v>0.75447000000000009</v>
      </c>
      <c r="M20" s="564">
        <f t="shared" si="3"/>
        <v>0.79066000000000003</v>
      </c>
      <c r="N20" s="491">
        <f>'Rates in Detail'!AC19</f>
        <v>2.7820000000000001E-2</v>
      </c>
      <c r="O20" s="491">
        <f>SUM('Rates in Detail'!AD19:AF19)</f>
        <v>-1.1650000000000001E-2</v>
      </c>
      <c r="P20" s="491"/>
      <c r="Q20" s="837">
        <f t="shared" si="4"/>
        <v>0.80682999999999994</v>
      </c>
      <c r="R20" s="491">
        <f>'[26]Rates in summary'!E19</f>
        <v>0.12099000000000004</v>
      </c>
      <c r="S20" s="491">
        <f>'[26]Rates in summary'!F19</f>
        <v>0</v>
      </c>
      <c r="T20" s="491">
        <f>'[26]Rates in summary'!H19</f>
        <v>0.10885</v>
      </c>
      <c r="U20" s="1710">
        <f>M20+R20+S20+T20</f>
        <v>1.0205000000000002</v>
      </c>
      <c r="V20" s="972">
        <v>0</v>
      </c>
      <c r="W20" s="1692">
        <f t="shared" si="6"/>
        <v>1.03667</v>
      </c>
      <c r="Y20" s="156"/>
      <c r="Z20" s="156"/>
      <c r="AA20" s="156"/>
      <c r="AB20" s="156"/>
      <c r="AC20" s="156"/>
      <c r="AD20" s="156"/>
    </row>
    <row r="21" spans="1:30" x14ac:dyDescent="0.3">
      <c r="A21" s="85">
        <f t="shared" si="0"/>
        <v>14</v>
      </c>
      <c r="B21" s="1414"/>
      <c r="C21" s="1393" t="s">
        <v>5</v>
      </c>
      <c r="D21" s="845">
        <f>'Rates in Detail'!J20</f>
        <v>0.60426999999999997</v>
      </c>
      <c r="E21" s="360">
        <f>SUM('Rates in Detail'!L20,'Rates in Detail'!P20,'Rates in Detail'!Q20)</f>
        <v>4.0580000000000005E-2</v>
      </c>
      <c r="F21" s="360">
        <f>'Rates in Detail'!V20</f>
        <v>-8.7000000000000011E-3</v>
      </c>
      <c r="G21" s="360"/>
      <c r="H21" s="1420">
        <f t="shared" si="1"/>
        <v>0.63614999999999988</v>
      </c>
      <c r="I21" s="360">
        <f>'[25]Rates in summary'!E20</f>
        <v>8.5399999999999976E-2</v>
      </c>
      <c r="J21" s="360">
        <f>'[25]Rates in summary'!F20</f>
        <v>0</v>
      </c>
      <c r="K21" s="360">
        <f>'[25]Rates in summary'!H20</f>
        <v>1.6640000000000002E-2</v>
      </c>
      <c r="L21" s="1703">
        <f t="shared" si="2"/>
        <v>0.70630999999999999</v>
      </c>
      <c r="M21" s="563">
        <f t="shared" si="3"/>
        <v>0.7381899999999999</v>
      </c>
      <c r="N21" s="360">
        <f>'Rates in Detail'!AC20</f>
        <v>2.4510000000000001E-2</v>
      </c>
      <c r="O21" s="360">
        <f>SUM('Rates in Detail'!AD20:AF20)</f>
        <v>-1.027E-2</v>
      </c>
      <c r="P21" s="360"/>
      <c r="Q21" s="835">
        <f t="shared" si="4"/>
        <v>0.75242999999999993</v>
      </c>
      <c r="R21" s="360">
        <f>'[26]Rates in summary'!E20</f>
        <v>0.12099000000000004</v>
      </c>
      <c r="S21" s="360">
        <f>'[26]Rates in summary'!F20</f>
        <v>0</v>
      </c>
      <c r="T21" s="360">
        <f>'[26]Rates in summary'!H20</f>
        <v>0.10977999999999996</v>
      </c>
      <c r="U21" s="1708">
        <f t="shared" si="5"/>
        <v>0.96895999999999993</v>
      </c>
      <c r="V21" s="1717">
        <v>0</v>
      </c>
      <c r="W21" s="1690">
        <f t="shared" si="6"/>
        <v>0.98319999999999996</v>
      </c>
      <c r="Y21" s="156"/>
      <c r="Z21" s="156"/>
      <c r="AA21" s="156"/>
      <c r="AB21" s="156"/>
      <c r="AC21" s="156"/>
      <c r="AD21" s="156"/>
    </row>
    <row r="22" spans="1:30" x14ac:dyDescent="0.3">
      <c r="A22" s="85">
        <f t="shared" si="0"/>
        <v>15</v>
      </c>
      <c r="B22" s="85" t="str">
        <f>'WA Volumes &amp; Revenues'!B23</f>
        <v>41I Firm Sales</v>
      </c>
      <c r="C22" s="1392" t="s">
        <v>4</v>
      </c>
      <c r="D22" s="847">
        <f>'Rates in Detail'!J21</f>
        <v>0.60577000000000025</v>
      </c>
      <c r="E22" s="491">
        <f>SUM('Rates in Detail'!L21,'Rates in Detail'!P21,'Rates in Detail'!Q21)</f>
        <v>1.9130000000000001E-2</v>
      </c>
      <c r="F22" s="491">
        <f>'Rates in Detail'!V21</f>
        <v>-2.2799999999999999E-3</v>
      </c>
      <c r="G22" s="491"/>
      <c r="H22" s="1422">
        <f t="shared" si="1"/>
        <v>0.62262000000000028</v>
      </c>
      <c r="I22" s="491">
        <f>'[25]Rates in summary'!E25</f>
        <v>8.5399999999999976E-2</v>
      </c>
      <c r="J22" s="491">
        <f>'[25]Rates in summary'!F25</f>
        <v>0</v>
      </c>
      <c r="K22" s="491">
        <f>'[25]Rates in summary'!H25</f>
        <v>1.0889999999999993E-2</v>
      </c>
      <c r="L22" s="1704">
        <f t="shared" si="2"/>
        <v>0.70206000000000024</v>
      </c>
      <c r="M22" s="564">
        <f>SUM(H22:K22)</f>
        <v>0.71891000000000027</v>
      </c>
      <c r="N22" s="491">
        <f>'Rates in Detail'!AC21</f>
        <v>8.7299999999999999E-3</v>
      </c>
      <c r="O22" s="491">
        <f>SUM('Rates in Detail'!AD21:AF21)</f>
        <v>-3.7499999999999999E-3</v>
      </c>
      <c r="P22" s="491"/>
      <c r="Q22" s="837">
        <f>SUM(M22:P22)</f>
        <v>0.72389000000000026</v>
      </c>
      <c r="R22" s="491">
        <f>'[26]Rates in summary'!E27</f>
        <v>0.12099000000000004</v>
      </c>
      <c r="S22" s="491">
        <f>'[26]Rates in summary'!F27</f>
        <v>0</v>
      </c>
      <c r="T22" s="491">
        <f>'[26]Rates in summary'!H27</f>
        <v>0.12199</v>
      </c>
      <c r="U22" s="1710">
        <f>M22+R22+S22+T22</f>
        <v>0.96189000000000036</v>
      </c>
      <c r="V22" s="972">
        <v>0</v>
      </c>
      <c r="W22" s="1692">
        <f t="shared" si="6"/>
        <v>0.96687000000000034</v>
      </c>
      <c r="Y22" s="156"/>
      <c r="Z22" s="156"/>
      <c r="AA22" s="156"/>
      <c r="AB22" s="156"/>
      <c r="AC22" s="156"/>
      <c r="AD22" s="156"/>
    </row>
    <row r="23" spans="1:30" x14ac:dyDescent="0.3">
      <c r="A23" s="85">
        <f t="shared" si="0"/>
        <v>16</v>
      </c>
      <c r="B23" s="160"/>
      <c r="C23" s="1393" t="s">
        <v>5</v>
      </c>
      <c r="D23" s="845">
        <f>'Rates in Detail'!J22</f>
        <v>0.56396000000000013</v>
      </c>
      <c r="E23" s="360">
        <f>SUM('Rates in Detail'!L22,'Rates in Detail'!P22,'Rates in Detail'!Q22)</f>
        <v>1.686E-2</v>
      </c>
      <c r="F23" s="360">
        <f>'Rates in Detail'!V22</f>
        <v>-2.0099999999999996E-3</v>
      </c>
      <c r="G23" s="360"/>
      <c r="H23" s="1420">
        <f t="shared" si="1"/>
        <v>0.57881000000000016</v>
      </c>
      <c r="I23" s="1574">
        <f>'[25]Rates in summary'!E26</f>
        <v>8.5399999999999976E-2</v>
      </c>
      <c r="J23" s="360">
        <f>'[25]Rates in summary'!F26</f>
        <v>0</v>
      </c>
      <c r="K23" s="360">
        <f>'[25]Rates in summary'!H26</f>
        <v>1.0749999999999992E-2</v>
      </c>
      <c r="L23" s="1703">
        <f t="shared" si="2"/>
        <v>0.6601100000000002</v>
      </c>
      <c r="M23" s="563">
        <f t="shared" si="3"/>
        <v>0.67496000000000023</v>
      </c>
      <c r="N23" s="360">
        <f>'Rates in Detail'!AC22</f>
        <v>7.6899999999999998E-3</v>
      </c>
      <c r="O23" s="360">
        <f>SUM('Rates in Detail'!AD22:AF22)</f>
        <v>-3.29E-3</v>
      </c>
      <c r="P23" s="360"/>
      <c r="Q23" s="835">
        <f t="shared" si="4"/>
        <v>0.67936000000000019</v>
      </c>
      <c r="R23" s="360">
        <f>'[26]Rates in summary'!E28</f>
        <v>0.12099000000000004</v>
      </c>
      <c r="S23" s="360">
        <f>'[26]Rates in summary'!F28</f>
        <v>0</v>
      </c>
      <c r="T23" s="360">
        <f>'[26]Rates in summary'!H28</f>
        <v>0.12135000000000001</v>
      </c>
      <c r="U23" s="1708">
        <f t="shared" si="5"/>
        <v>0.91730000000000023</v>
      </c>
      <c r="V23" s="1717">
        <v>0</v>
      </c>
      <c r="W23" s="1690">
        <f t="shared" si="6"/>
        <v>0.92170000000000019</v>
      </c>
      <c r="Y23" s="156"/>
      <c r="Z23" s="156"/>
      <c r="AA23" s="156"/>
      <c r="AB23" s="156"/>
      <c r="AC23" s="156"/>
      <c r="AD23" s="156"/>
    </row>
    <row r="24" spans="1:30" x14ac:dyDescent="0.3">
      <c r="A24" s="85">
        <f t="shared" si="0"/>
        <v>17</v>
      </c>
      <c r="B24" s="85" t="str">
        <f>'WA Volumes &amp; Revenues'!B25</f>
        <v>41C Interr Sales</v>
      </c>
      <c r="C24" s="1392" t="s">
        <v>4</v>
      </c>
      <c r="D24" s="847">
        <f>'Rates in Detail'!J23</f>
        <v>0.66024999999999989</v>
      </c>
      <c r="E24" s="491">
        <f>SUM('Rates in Detail'!L23,'Rates in Detail'!P23,'Rates in Detail'!Q23)</f>
        <v>3.2869999999999996E-2</v>
      </c>
      <c r="F24" s="491">
        <f>'Rates in Detail'!V23</f>
        <v>-8.5100000000000002E-3</v>
      </c>
      <c r="G24" s="491"/>
      <c r="H24" s="1422">
        <f t="shared" si="1"/>
        <v>0.68460999999999983</v>
      </c>
      <c r="I24" s="491">
        <f>'[25]Rates in summary'!E21</f>
        <v>8.5399999999999976E-2</v>
      </c>
      <c r="J24" s="491">
        <f>'[25]Rates in summary'!F21</f>
        <v>0</v>
      </c>
      <c r="K24" s="491">
        <f>'[25]Rates in summary'!H21</f>
        <v>4.3799999999999999E-2</v>
      </c>
      <c r="L24" s="1704">
        <f t="shared" si="2"/>
        <v>0.78944999999999987</v>
      </c>
      <c r="M24" s="564">
        <f>SUM(H24:K24)</f>
        <v>0.81380999999999981</v>
      </c>
      <c r="N24" s="491">
        <f>'Rates in Detail'!AC23</f>
        <v>2.162E-2</v>
      </c>
      <c r="O24" s="491">
        <f>SUM('Rates in Detail'!AD23:AF23)</f>
        <v>-1.013E-2</v>
      </c>
      <c r="P24" s="491"/>
      <c r="Q24" s="837">
        <f t="shared" si="4"/>
        <v>0.82529999999999981</v>
      </c>
      <c r="R24" s="491">
        <f>'[26]Rates in summary'!E21</f>
        <v>0.12099000000000004</v>
      </c>
      <c r="S24" s="491">
        <f>'[26]Rates in summary'!F21</f>
        <v>0</v>
      </c>
      <c r="T24" s="491">
        <f>'[26]Rates in summary'!H21</f>
        <v>6.860999999999999E-2</v>
      </c>
      <c r="U24" s="1710">
        <f t="shared" si="5"/>
        <v>1.0034099999999999</v>
      </c>
      <c r="V24" s="972">
        <v>0</v>
      </c>
      <c r="W24" s="1692">
        <f t="shared" si="6"/>
        <v>1.0148999999999999</v>
      </c>
      <c r="Y24" s="156"/>
      <c r="Z24" s="156"/>
      <c r="AA24" s="156"/>
      <c r="AB24" s="156"/>
      <c r="AC24" s="156"/>
      <c r="AD24" s="156"/>
    </row>
    <row r="25" spans="1:30" x14ac:dyDescent="0.3">
      <c r="A25" s="85">
        <f t="shared" si="0"/>
        <v>18</v>
      </c>
      <c r="B25" s="1414"/>
      <c r="C25" s="1393" t="s">
        <v>5</v>
      </c>
      <c r="D25" s="845">
        <f>'Rates in Detail'!J24</f>
        <v>0.61316999999999988</v>
      </c>
      <c r="E25" s="360">
        <f>SUM('Rates in Detail'!L24,'Rates in Detail'!P24,'Rates in Detail'!Q24)</f>
        <v>2.8960000000000003E-2</v>
      </c>
      <c r="F25" s="360">
        <f>'Rates in Detail'!V24</f>
        <v>-7.5100000000000002E-3</v>
      </c>
      <c r="G25" s="360"/>
      <c r="H25" s="1420">
        <f t="shared" si="1"/>
        <v>0.63461999999999985</v>
      </c>
      <c r="I25" s="360">
        <f>'[25]Rates in summary'!E22</f>
        <v>8.5399999999999976E-2</v>
      </c>
      <c r="J25" s="360">
        <f>'[25]Rates in summary'!F22</f>
        <v>0</v>
      </c>
      <c r="K25" s="360">
        <f>'[25]Rates in summary'!H22</f>
        <v>4.2849999999999985E-2</v>
      </c>
      <c r="L25" s="1703">
        <f t="shared" si="2"/>
        <v>0.74141999999999986</v>
      </c>
      <c r="M25" s="563">
        <f t="shared" si="3"/>
        <v>0.76286999999999983</v>
      </c>
      <c r="N25" s="360">
        <f>'Rates in Detail'!AC24</f>
        <v>1.9050000000000001E-2</v>
      </c>
      <c r="O25" s="360">
        <f>SUM('Rates in Detail'!AD24:AF24)</f>
        <v>-8.9200000000000008E-3</v>
      </c>
      <c r="P25" s="360"/>
      <c r="Q25" s="835">
        <f t="shared" si="4"/>
        <v>0.7729999999999998</v>
      </c>
      <c r="R25" s="360">
        <f>'[26]Rates in summary'!E22</f>
        <v>0.12099000000000004</v>
      </c>
      <c r="S25" s="360">
        <f>'[26]Rates in summary'!F22</f>
        <v>0</v>
      </c>
      <c r="T25" s="360">
        <f>'[26]Rates in summary'!H22</f>
        <v>6.9940000000000002E-2</v>
      </c>
      <c r="U25" s="1708">
        <f t="shared" si="5"/>
        <v>0.95379999999999987</v>
      </c>
      <c r="V25" s="1717">
        <v>0</v>
      </c>
      <c r="W25" s="1690">
        <f t="shared" si="6"/>
        <v>0.96392999999999984</v>
      </c>
      <c r="Y25" s="156"/>
      <c r="Z25" s="156"/>
      <c r="AA25" s="156"/>
      <c r="AB25" s="156"/>
      <c r="AC25" s="156"/>
      <c r="AD25" s="156"/>
    </row>
    <row r="26" spans="1:30" x14ac:dyDescent="0.3">
      <c r="A26" s="85">
        <f t="shared" si="0"/>
        <v>19</v>
      </c>
      <c r="B26" s="85" t="str">
        <f>'WA Volumes &amp; Revenues'!B27</f>
        <v>41I Interr Sales</v>
      </c>
      <c r="C26" s="1392" t="s">
        <v>4</v>
      </c>
      <c r="D26" s="847">
        <f>'Rates in Detail'!J25</f>
        <v>0.61580999999999997</v>
      </c>
      <c r="E26" s="491">
        <f>SUM('Rates in Detail'!L25,'Rates in Detail'!P25,'Rates in Detail'!Q25)</f>
        <v>1.2539999999999999E-2</v>
      </c>
      <c r="F26" s="491">
        <f>'Rates in Detail'!V25</f>
        <v>-1.5700000000000002E-3</v>
      </c>
      <c r="G26" s="491"/>
      <c r="H26" s="1422">
        <f t="shared" si="1"/>
        <v>0.62678</v>
      </c>
      <c r="I26" s="491">
        <f>'[25]Rates in summary'!E27</f>
        <v>8.5399999999999976E-2</v>
      </c>
      <c r="J26" s="491">
        <f>'[25]Rates in summary'!F27</f>
        <v>0</v>
      </c>
      <c r="K26" s="491">
        <f>'[25]Rates in summary'!H27</f>
        <v>3.7399999999999996E-2</v>
      </c>
      <c r="L26" s="1704">
        <f t="shared" si="2"/>
        <v>0.73860999999999988</v>
      </c>
      <c r="M26" s="564">
        <f t="shared" si="3"/>
        <v>0.74958000000000002</v>
      </c>
      <c r="N26" s="491">
        <f>'Rates in Detail'!AC25</f>
        <v>7.1300000000000001E-3</v>
      </c>
      <c r="O26" s="491">
        <f>SUM('Rates in Detail'!AD25:AF25)</f>
        <v>-3.0499999999999998E-3</v>
      </c>
      <c r="P26" s="491"/>
      <c r="Q26" s="837">
        <f t="shared" si="4"/>
        <v>0.75366</v>
      </c>
      <c r="R26" s="491">
        <f>'[26]Rates in summary'!E29</f>
        <v>0.12099000000000004</v>
      </c>
      <c r="S26" s="491">
        <f>'[26]Rates in summary'!F29</f>
        <v>0</v>
      </c>
      <c r="T26" s="491">
        <f>'[26]Rates in summary'!H29</f>
        <v>8.274999999999999E-2</v>
      </c>
      <c r="U26" s="1710">
        <f t="shared" si="5"/>
        <v>0.95332000000000006</v>
      </c>
      <c r="V26" s="972">
        <v>0</v>
      </c>
      <c r="W26" s="1692">
        <f t="shared" si="6"/>
        <v>0.95740000000000003</v>
      </c>
      <c r="Y26" s="156"/>
      <c r="Z26" s="156"/>
      <c r="AA26" s="156"/>
      <c r="AB26" s="156"/>
      <c r="AC26" s="156"/>
      <c r="AD26" s="156"/>
    </row>
    <row r="27" spans="1:30" x14ac:dyDescent="0.3">
      <c r="A27" s="85">
        <f t="shared" si="0"/>
        <v>20</v>
      </c>
      <c r="B27" s="1414"/>
      <c r="C27" s="1393" t="s">
        <v>5</v>
      </c>
      <c r="D27" s="845">
        <f>'Rates in Detail'!J26</f>
        <v>0.57401999999999986</v>
      </c>
      <c r="E27" s="360">
        <f>SUM('Rates in Detail'!L26,'Rates in Detail'!P26,'Rates in Detail'!Q26)</f>
        <v>1.1039999999999999E-2</v>
      </c>
      <c r="F27" s="360">
        <f>'Rates in Detail'!V26</f>
        <v>-1.3800000000000002E-3</v>
      </c>
      <c r="G27" s="360"/>
      <c r="H27" s="1420">
        <f t="shared" si="1"/>
        <v>0.58367999999999987</v>
      </c>
      <c r="I27" s="360">
        <f>'[25]Rates in summary'!E28</f>
        <v>8.5399999999999976E-2</v>
      </c>
      <c r="J27" s="360">
        <f>'[25]Rates in summary'!F28</f>
        <v>0</v>
      </c>
      <c r="K27" s="360">
        <f>'[25]Rates in summary'!H28</f>
        <v>3.7199999999999997E-2</v>
      </c>
      <c r="L27" s="1703">
        <f t="shared" si="2"/>
        <v>0.69661999999999991</v>
      </c>
      <c r="M27" s="563">
        <f t="shared" si="3"/>
        <v>0.70627999999999991</v>
      </c>
      <c r="N27" s="360">
        <f>'Rates in Detail'!AC26</f>
        <v>6.28E-3</v>
      </c>
      <c r="O27" s="360">
        <f>SUM('Rates in Detail'!AD26:AF26)</f>
        <v>-2.6899999999999997E-3</v>
      </c>
      <c r="P27" s="360"/>
      <c r="Q27" s="835">
        <f t="shared" si="4"/>
        <v>0.70986999999999989</v>
      </c>
      <c r="R27" s="360">
        <f>'[26]Rates in summary'!E30</f>
        <v>0.12099000000000004</v>
      </c>
      <c r="S27" s="360">
        <f>'[26]Rates in summary'!F30</f>
        <v>0</v>
      </c>
      <c r="T27" s="360">
        <f>'[26]Rates in summary'!H30</f>
        <v>8.2369999999999999E-2</v>
      </c>
      <c r="U27" s="1708">
        <f t="shared" si="5"/>
        <v>0.90964</v>
      </c>
      <c r="V27" s="1717">
        <v>0</v>
      </c>
      <c r="W27" s="1690">
        <f t="shared" si="6"/>
        <v>0.91322999999999999</v>
      </c>
      <c r="Y27" s="156"/>
      <c r="Z27" s="156"/>
      <c r="AA27" s="156"/>
      <c r="AB27" s="156"/>
      <c r="AC27" s="156"/>
      <c r="AD27" s="156"/>
    </row>
    <row r="28" spans="1:30" x14ac:dyDescent="0.3">
      <c r="A28" s="85">
        <f t="shared" si="0"/>
        <v>21</v>
      </c>
      <c r="B28" s="85" t="str">
        <f>'WA Volumes &amp; Revenues'!B29</f>
        <v>41C Firm Transpt</v>
      </c>
      <c r="C28" s="1392" t="s">
        <v>4</v>
      </c>
      <c r="D28" s="847">
        <f>'Rates in Detail'!J27</f>
        <v>0.34945999999999999</v>
      </c>
      <c r="E28" s="491">
        <f>SUM('Rates in Detail'!L27,'Rates in Detail'!P27,'Rates in Detail'!Q27)</f>
        <v>2.1270000000000001E-2</v>
      </c>
      <c r="F28" s="491">
        <f>'Rates in Detail'!V27</f>
        <v>-2.5300000000000001E-3</v>
      </c>
      <c r="G28" s="491"/>
      <c r="H28" s="1422">
        <f t="shared" si="1"/>
        <v>0.36820000000000003</v>
      </c>
      <c r="I28" s="491">
        <f>'[25]Rates in summary'!E23</f>
        <v>0</v>
      </c>
      <c r="J28" s="491">
        <f>'[25]Rates in summary'!F23</f>
        <v>0</v>
      </c>
      <c r="K28" s="491">
        <f>'[25]Rates in summary'!H23</f>
        <v>2.7999999999999995E-3</v>
      </c>
      <c r="L28" s="1704">
        <f t="shared" si="2"/>
        <v>0.35226000000000002</v>
      </c>
      <c r="M28" s="564">
        <f t="shared" si="3"/>
        <v>0.37100000000000005</v>
      </c>
      <c r="N28" s="491">
        <f>'Rates in Detail'!AC27</f>
        <v>9.7099999999999999E-3</v>
      </c>
      <c r="O28" s="491">
        <f>SUM('Rates in Detail'!AD27:AF27)</f>
        <v>-4.1599999999999996E-3</v>
      </c>
      <c r="P28" s="491"/>
      <c r="Q28" s="837">
        <f t="shared" si="4"/>
        <v>0.37655000000000005</v>
      </c>
      <c r="R28" s="491">
        <f>'[26]Rates in summary'!E23</f>
        <v>0</v>
      </c>
      <c r="S28" s="491">
        <f>'[26]Rates in summary'!F23</f>
        <v>0</v>
      </c>
      <c r="T28" s="491">
        <f>'[26]Rates in summary'!H23</f>
        <v>4.2800000000000008E-3</v>
      </c>
      <c r="U28" s="1710">
        <f t="shared" si="5"/>
        <v>0.37528000000000006</v>
      </c>
      <c r="V28" s="972">
        <v>0</v>
      </c>
      <c r="W28" s="1692">
        <f t="shared" si="6"/>
        <v>0.38083000000000006</v>
      </c>
      <c r="Y28" s="156"/>
      <c r="Z28" s="156"/>
      <c r="AA28" s="156"/>
      <c r="AB28" s="156"/>
      <c r="AC28" s="156"/>
      <c r="AD28" s="156"/>
    </row>
    <row r="29" spans="1:30" x14ac:dyDescent="0.3">
      <c r="A29" s="85">
        <f t="shared" si="0"/>
        <v>22</v>
      </c>
      <c r="B29" s="1414"/>
      <c r="C29" s="1393" t="s">
        <v>5</v>
      </c>
      <c r="D29" s="845">
        <f>'Rates in Detail'!J28</f>
        <v>0.30789000000000011</v>
      </c>
      <c r="E29" s="360">
        <f>SUM('Rates in Detail'!L28,'Rates in Detail'!P28,'Rates in Detail'!Q28)</f>
        <v>1.874E-2</v>
      </c>
      <c r="F29" s="360">
        <f>'Rates in Detail'!V28</f>
        <v>-2.2300000000000002E-3</v>
      </c>
      <c r="G29" s="360"/>
      <c r="H29" s="1420">
        <f t="shared" si="1"/>
        <v>0.32440000000000008</v>
      </c>
      <c r="I29" s="360">
        <f>'[25]Rates in summary'!E24</f>
        <v>0</v>
      </c>
      <c r="J29" s="360">
        <f>'[25]Rates in summary'!F24</f>
        <v>0</v>
      </c>
      <c r="K29" s="360">
        <f>'[25]Rates in summary'!H24</f>
        <v>2.48E-3</v>
      </c>
      <c r="L29" s="1703">
        <f t="shared" si="2"/>
        <v>0.31037000000000009</v>
      </c>
      <c r="M29" s="563">
        <f t="shared" si="3"/>
        <v>0.32688000000000006</v>
      </c>
      <c r="N29" s="360">
        <f>'Rates in Detail'!AC28</f>
        <v>8.5500000000000003E-3</v>
      </c>
      <c r="O29" s="360">
        <f>SUM('Rates in Detail'!AD28:AF28)</f>
        <v>-3.6700000000000001E-3</v>
      </c>
      <c r="P29" s="360"/>
      <c r="Q29" s="835">
        <f t="shared" si="4"/>
        <v>0.33176000000000005</v>
      </c>
      <c r="R29" s="360">
        <f>'[26]Rates in summary'!E24</f>
        <v>0</v>
      </c>
      <c r="S29" s="360">
        <f>'[26]Rates in summary'!F24</f>
        <v>0</v>
      </c>
      <c r="T29" s="360">
        <f>'[26]Rates in summary'!H24</f>
        <v>3.7599999999999995E-3</v>
      </c>
      <c r="U29" s="1708">
        <f t="shared" si="5"/>
        <v>0.33064000000000004</v>
      </c>
      <c r="V29" s="1717">
        <v>0</v>
      </c>
      <c r="W29" s="1690">
        <f t="shared" si="6"/>
        <v>0.33552000000000004</v>
      </c>
      <c r="Y29" s="156"/>
      <c r="Z29" s="156"/>
      <c r="AA29" s="156"/>
      <c r="AB29" s="156"/>
      <c r="AC29" s="156"/>
      <c r="AD29" s="156"/>
    </row>
    <row r="30" spans="1:30" x14ac:dyDescent="0.3">
      <c r="A30" s="85">
        <f t="shared" si="0"/>
        <v>23</v>
      </c>
      <c r="B30" s="85" t="str">
        <f>'WA Volumes &amp; Revenues'!B31</f>
        <v>41I Firm Transpt</v>
      </c>
      <c r="C30" s="1392" t="s">
        <v>4</v>
      </c>
      <c r="D30" s="847">
        <f>'Rates in Detail'!J29</f>
        <v>0.34945999999999999</v>
      </c>
      <c r="E30" s="491">
        <f>SUM('Rates in Detail'!L29,'Rates in Detail'!P29,'Rates in Detail'!Q29)</f>
        <v>1.269E-2</v>
      </c>
      <c r="F30" s="491">
        <f>'Rates in Detail'!V29</f>
        <v>-1.5799999999999998E-3</v>
      </c>
      <c r="G30" s="491"/>
      <c r="H30" s="1422">
        <f t="shared" si="1"/>
        <v>0.36056999999999995</v>
      </c>
      <c r="I30" s="491">
        <f>'[25]Rates in summary'!E23</f>
        <v>0</v>
      </c>
      <c r="J30" s="491">
        <f>'[25]Rates in summary'!F23</f>
        <v>0</v>
      </c>
      <c r="K30" s="491">
        <f>'[25]Rates in summary'!H23</f>
        <v>2.7999999999999995E-3</v>
      </c>
      <c r="L30" s="1704">
        <f t="shared" si="2"/>
        <v>0.35226000000000002</v>
      </c>
      <c r="M30" s="564">
        <f t="shared" si="3"/>
        <v>0.36336999999999997</v>
      </c>
      <c r="N30" s="491">
        <f>'Rates in Detail'!AC29</f>
        <v>7.2100000000000003E-3</v>
      </c>
      <c r="O30" s="491">
        <f>SUM('Rates in Detail'!AD29:AF29)</f>
        <v>-3.0999999999999999E-3</v>
      </c>
      <c r="P30" s="491"/>
      <c r="Q30" s="837">
        <f t="shared" si="4"/>
        <v>0.36747999999999997</v>
      </c>
      <c r="R30" s="491">
        <f>'[26]Rates in summary'!E25</f>
        <v>0</v>
      </c>
      <c r="S30" s="491">
        <f>'[26]Rates in summary'!F25</f>
        <v>0</v>
      </c>
      <c r="T30" s="491">
        <f>'[26]Rates in summary'!H25</f>
        <v>3.5000000000000005E-3</v>
      </c>
      <c r="U30" s="1710">
        <f t="shared" si="5"/>
        <v>0.36686999999999997</v>
      </c>
      <c r="V30" s="972">
        <v>0</v>
      </c>
      <c r="W30" s="1692">
        <f t="shared" si="6"/>
        <v>0.37097999999999998</v>
      </c>
      <c r="Y30" s="156"/>
      <c r="Z30" s="156"/>
      <c r="AA30" s="156"/>
      <c r="AB30" s="156"/>
      <c r="AC30" s="156"/>
      <c r="AD30" s="156"/>
    </row>
    <row r="31" spans="1:30" x14ac:dyDescent="0.3">
      <c r="A31" s="85">
        <f t="shared" si="0"/>
        <v>24</v>
      </c>
      <c r="B31" s="160"/>
      <c r="C31" s="1393" t="s">
        <v>5</v>
      </c>
      <c r="D31" s="845">
        <f>'Rates in Detail'!J30</f>
        <v>0.30789000000000011</v>
      </c>
      <c r="E31" s="360">
        <f>SUM('Rates in Detail'!L30,'Rates in Detail'!P30,'Rates in Detail'!Q30)</f>
        <v>1.1179999999999999E-2</v>
      </c>
      <c r="F31" s="360">
        <f>'Rates in Detail'!V30</f>
        <v>-1.4000000000000002E-3</v>
      </c>
      <c r="G31" s="360"/>
      <c r="H31" s="1420">
        <f t="shared" si="1"/>
        <v>0.31767000000000012</v>
      </c>
      <c r="I31" s="360">
        <f>'[25]Rates in summary'!E24</f>
        <v>0</v>
      </c>
      <c r="J31" s="360">
        <f>'[25]Rates in summary'!F24</f>
        <v>0</v>
      </c>
      <c r="K31" s="360">
        <f>'[25]Rates in summary'!H24</f>
        <v>2.48E-3</v>
      </c>
      <c r="L31" s="1703">
        <f t="shared" si="2"/>
        <v>0.31037000000000009</v>
      </c>
      <c r="M31" s="563">
        <f t="shared" si="3"/>
        <v>0.3201500000000001</v>
      </c>
      <c r="N31" s="360">
        <f>'Rates in Detail'!AC30</f>
        <v>6.3499999999999997E-3</v>
      </c>
      <c r="O31" s="360">
        <f>SUM('Rates in Detail'!AD30:AF30)</f>
        <v>-2.7200000000000002E-3</v>
      </c>
      <c r="P31" s="360"/>
      <c r="Q31" s="835">
        <f t="shared" si="4"/>
        <v>0.32378000000000012</v>
      </c>
      <c r="R31" s="360">
        <f>'[26]Rates in summary'!E26</f>
        <v>0</v>
      </c>
      <c r="S31" s="360">
        <f>'[26]Rates in summary'!F26</f>
        <v>0</v>
      </c>
      <c r="T31" s="360">
        <f>'[26]Rates in summary'!H26</f>
        <v>3.0900000000000003E-3</v>
      </c>
      <c r="U31" s="1708">
        <f t="shared" si="5"/>
        <v>0.32324000000000008</v>
      </c>
      <c r="V31" s="1717">
        <v>0</v>
      </c>
      <c r="W31" s="1690">
        <f t="shared" si="6"/>
        <v>0.3268700000000001</v>
      </c>
      <c r="Y31" s="156"/>
      <c r="Z31" s="156"/>
      <c r="AA31" s="156"/>
      <c r="AB31" s="156"/>
      <c r="AC31" s="156"/>
      <c r="AD31" s="156"/>
    </row>
    <row r="32" spans="1:30" x14ac:dyDescent="0.3">
      <c r="A32" s="85">
        <f t="shared" si="0"/>
        <v>25</v>
      </c>
      <c r="B32" s="85" t="str">
        <f>'WA Volumes &amp; Revenues'!B33</f>
        <v>42C Firm Sales</v>
      </c>
      <c r="C32" s="1392" t="s">
        <v>4</v>
      </c>
      <c r="D32" s="847">
        <f>'Rates in Detail'!J31</f>
        <v>0.43535000000000001</v>
      </c>
      <c r="E32" s="491">
        <f>SUM('Rates in Detail'!L31,'Rates in Detail'!P31,'Rates in Detail'!Q31)</f>
        <v>3.4679999999999996E-2</v>
      </c>
      <c r="F32" s="491">
        <f>'Rates in Detail'!V31</f>
        <v>-7.43E-3</v>
      </c>
      <c r="G32" s="491"/>
      <c r="H32" s="1422">
        <f t="shared" si="1"/>
        <v>0.46260000000000001</v>
      </c>
      <c r="I32" s="491">
        <f>'[25]Rates in summary'!E29</f>
        <v>8.5399999999999976E-2</v>
      </c>
      <c r="J32" s="491">
        <f>'[25]Rates in summary'!F29</f>
        <v>0</v>
      </c>
      <c r="K32" s="491">
        <f>'[25]Rates in summary'!H29</f>
        <v>1.4889999999999994E-2</v>
      </c>
      <c r="L32" s="1704">
        <f t="shared" si="2"/>
        <v>0.53564000000000001</v>
      </c>
      <c r="M32" s="564">
        <f t="shared" si="3"/>
        <v>0.56289</v>
      </c>
      <c r="N32" s="491">
        <f>'Rates in Detail'!AC31</f>
        <v>2.095E-2</v>
      </c>
      <c r="O32" s="491">
        <f>SUM('Rates in Detail'!AD31:AF31)</f>
        <v>-8.77E-3</v>
      </c>
      <c r="P32" s="491"/>
      <c r="Q32" s="837">
        <f t="shared" si="4"/>
        <v>0.57506999999999997</v>
      </c>
      <c r="R32" s="491">
        <f>'[26]Rates in summary'!E31</f>
        <v>0.12099000000000004</v>
      </c>
      <c r="S32" s="491">
        <f>'[26]Rates in summary'!F31</f>
        <v>0</v>
      </c>
      <c r="T32" s="491">
        <f>'[26]Rates in summary'!H31</f>
        <v>0.11143999999999998</v>
      </c>
      <c r="U32" s="1710">
        <f t="shared" si="5"/>
        <v>0.79532000000000003</v>
      </c>
      <c r="V32" s="972">
        <v>0</v>
      </c>
      <c r="W32" s="1692">
        <f t="shared" si="6"/>
        <v>0.8075</v>
      </c>
      <c r="Y32" s="156"/>
      <c r="Z32" s="156"/>
      <c r="AA32" s="156"/>
      <c r="AB32" s="156"/>
      <c r="AC32" s="156"/>
      <c r="AD32" s="156"/>
    </row>
    <row r="33" spans="1:30" x14ac:dyDescent="0.3">
      <c r="A33" s="85">
        <f t="shared" si="0"/>
        <v>26</v>
      </c>
      <c r="B33" s="1299"/>
      <c r="C33" s="1392" t="s">
        <v>5</v>
      </c>
      <c r="D33" s="847">
        <f>'Rates in Detail'!J32</f>
        <v>0.41633999999999971</v>
      </c>
      <c r="E33" s="491">
        <f>SUM('Rates in Detail'!L32,'Rates in Detail'!P32,'Rates in Detail'!Q32)</f>
        <v>3.1039999999999998E-2</v>
      </c>
      <c r="F33" s="491">
        <f>'Rates in Detail'!V32</f>
        <v>-6.6499999999999997E-3</v>
      </c>
      <c r="G33" s="491"/>
      <c r="H33" s="1422">
        <f t="shared" si="1"/>
        <v>0.44072999999999973</v>
      </c>
      <c r="I33" s="491">
        <f>'[25]Rates in summary'!E30</f>
        <v>8.5399999999999976E-2</v>
      </c>
      <c r="J33" s="491">
        <f>'[25]Rates in summary'!F30</f>
        <v>0</v>
      </c>
      <c r="K33" s="491">
        <f>'[25]Rates in summary'!H30</f>
        <v>1.4329999999999996E-2</v>
      </c>
      <c r="L33" s="1704">
        <f t="shared" si="2"/>
        <v>0.51606999999999958</v>
      </c>
      <c r="M33" s="564">
        <f t="shared" si="3"/>
        <v>0.54045999999999972</v>
      </c>
      <c r="N33" s="491">
        <f>'Rates in Detail'!AC32</f>
        <v>1.8749999999999999E-2</v>
      </c>
      <c r="O33" s="491">
        <f>SUM('Rates in Detail'!AD32:AF32)</f>
        <v>-7.8600000000000007E-3</v>
      </c>
      <c r="P33" s="491"/>
      <c r="Q33" s="837">
        <f t="shared" si="4"/>
        <v>0.55134999999999978</v>
      </c>
      <c r="R33" s="491">
        <f>'[26]Rates in summary'!E32</f>
        <v>0.12099000000000004</v>
      </c>
      <c r="S33" s="491">
        <f>'[26]Rates in summary'!F32</f>
        <v>0</v>
      </c>
      <c r="T33" s="491">
        <f>'[26]Rates in summary'!H32</f>
        <v>0.11199999999999999</v>
      </c>
      <c r="U33" s="1710">
        <f t="shared" si="5"/>
        <v>0.77344999999999975</v>
      </c>
      <c r="V33" s="972">
        <v>0</v>
      </c>
      <c r="W33" s="1692">
        <f t="shared" si="6"/>
        <v>0.78433999999999982</v>
      </c>
      <c r="Y33" s="156"/>
      <c r="Z33" s="156"/>
      <c r="AA33" s="156"/>
      <c r="AB33" s="156"/>
      <c r="AC33" s="156"/>
      <c r="AD33" s="156"/>
    </row>
    <row r="34" spans="1:30" x14ac:dyDescent="0.3">
      <c r="A34" s="85">
        <f t="shared" si="0"/>
        <v>27</v>
      </c>
      <c r="B34" s="85"/>
      <c r="C34" s="1392" t="s">
        <v>6</v>
      </c>
      <c r="D34" s="847">
        <f>'Rates in Detail'!J33</f>
        <v>0.37851999999999986</v>
      </c>
      <c r="E34" s="491">
        <f>SUM('Rates in Detail'!L33,'Rates in Detail'!P33,'Rates in Detail'!Q33)</f>
        <v>2.3810000000000001E-2</v>
      </c>
      <c r="F34" s="491">
        <f>'Rates in Detail'!V33</f>
        <v>-5.1100000000000008E-3</v>
      </c>
      <c r="G34" s="491"/>
      <c r="H34" s="1422">
        <f t="shared" si="1"/>
        <v>0.39721999999999985</v>
      </c>
      <c r="I34" s="491">
        <f>'[25]Rates in summary'!E31</f>
        <v>8.5399999999999976E-2</v>
      </c>
      <c r="J34" s="491">
        <f>'[25]Rates in summary'!F31</f>
        <v>0</v>
      </c>
      <c r="K34" s="491">
        <f>'[25]Rates in summary'!H31</f>
        <v>1.3239999999999997E-2</v>
      </c>
      <c r="L34" s="1704">
        <f t="shared" si="2"/>
        <v>0.47715999999999981</v>
      </c>
      <c r="M34" s="564">
        <f t="shared" si="3"/>
        <v>0.4958599999999998</v>
      </c>
      <c r="N34" s="491">
        <f>'Rates in Detail'!AC33</f>
        <v>1.438E-2</v>
      </c>
      <c r="O34" s="491">
        <f>SUM('Rates in Detail'!AD33:AF33)</f>
        <v>-6.0299999999999998E-3</v>
      </c>
      <c r="P34" s="491"/>
      <c r="Q34" s="837">
        <f t="shared" si="4"/>
        <v>0.50420999999999982</v>
      </c>
      <c r="R34" s="491">
        <f>'[26]Rates in summary'!E33</f>
        <v>0.12099000000000004</v>
      </c>
      <c r="S34" s="491">
        <f>'[26]Rates in summary'!F33</f>
        <v>0</v>
      </c>
      <c r="T34" s="491">
        <f>'[26]Rates in summary'!H33</f>
        <v>0.11310999999999999</v>
      </c>
      <c r="U34" s="1710">
        <f t="shared" si="5"/>
        <v>0.72995999999999994</v>
      </c>
      <c r="V34" s="972">
        <v>0</v>
      </c>
      <c r="W34" s="1692">
        <f t="shared" si="6"/>
        <v>0.7383099999999998</v>
      </c>
      <c r="Y34" s="156"/>
      <c r="Z34" s="156"/>
      <c r="AA34" s="156"/>
      <c r="AB34" s="156"/>
      <c r="AC34" s="156"/>
      <c r="AD34" s="156"/>
    </row>
    <row r="35" spans="1:30" x14ac:dyDescent="0.3">
      <c r="A35" s="85">
        <f t="shared" si="0"/>
        <v>28</v>
      </c>
      <c r="B35" s="85"/>
      <c r="C35" s="1392" t="s">
        <v>7</v>
      </c>
      <c r="D35" s="847">
        <f>'Rates in Detail'!J34</f>
        <v>0.35361000000000004</v>
      </c>
      <c r="E35" s="491">
        <f>SUM('Rates in Detail'!L34,'Rates in Detail'!P34,'Rates in Detail'!Q34)</f>
        <v>1.9040000000000001E-2</v>
      </c>
      <c r="F35" s="491">
        <f>'Rates in Detail'!V34</f>
        <v>-4.0800000000000003E-3</v>
      </c>
      <c r="G35" s="491"/>
      <c r="H35" s="1422">
        <f t="shared" si="1"/>
        <v>0.36857000000000006</v>
      </c>
      <c r="I35" s="491">
        <f>'[25]Rates in summary'!E32</f>
        <v>8.5399999999999976E-2</v>
      </c>
      <c r="J35" s="491">
        <f>'[25]Rates in summary'!F32</f>
        <v>0</v>
      </c>
      <c r="K35" s="491">
        <f>'[25]Rates in summary'!H32</f>
        <v>1.253999999999999E-2</v>
      </c>
      <c r="L35" s="1704">
        <f t="shared" si="2"/>
        <v>0.45155000000000001</v>
      </c>
      <c r="M35" s="564">
        <f t="shared" si="3"/>
        <v>0.46651000000000004</v>
      </c>
      <c r="N35" s="491">
        <f>'Rates in Detail'!AC34</f>
        <v>1.1509999999999999E-2</v>
      </c>
      <c r="O35" s="491">
        <f>SUM('Rates in Detail'!AD34:AF34)</f>
        <v>-4.8199999999999996E-3</v>
      </c>
      <c r="P35" s="491"/>
      <c r="Q35" s="837">
        <f t="shared" si="4"/>
        <v>0.47320000000000007</v>
      </c>
      <c r="R35" s="491">
        <f>'[26]Rates in summary'!E34</f>
        <v>0.12099000000000004</v>
      </c>
      <c r="S35" s="491">
        <f>'[26]Rates in summary'!F34</f>
        <v>0</v>
      </c>
      <c r="T35" s="491">
        <f>'[26]Rates in summary'!H34</f>
        <v>0.11382</v>
      </c>
      <c r="U35" s="1710">
        <f t="shared" si="5"/>
        <v>0.70132000000000017</v>
      </c>
      <c r="V35" s="972">
        <v>0</v>
      </c>
      <c r="W35" s="1692">
        <f t="shared" si="6"/>
        <v>0.70801000000000014</v>
      </c>
      <c r="Y35" s="156"/>
      <c r="Z35" s="156"/>
      <c r="AA35" s="156"/>
      <c r="AB35" s="156"/>
      <c r="AC35" s="156"/>
      <c r="AD35" s="156"/>
    </row>
    <row r="36" spans="1:30" x14ac:dyDescent="0.3">
      <c r="A36" s="85">
        <f t="shared" si="0"/>
        <v>29</v>
      </c>
      <c r="B36" s="85"/>
      <c r="C36" s="1392" t="s">
        <v>8</v>
      </c>
      <c r="D36" s="847">
        <f>'Rates in Detail'!J35</f>
        <v>0.32038</v>
      </c>
      <c r="E36" s="491">
        <f>SUM('Rates in Detail'!L35,'Rates in Detail'!P35,'Rates in Detail'!Q35)</f>
        <v>1.2699999999999999E-2</v>
      </c>
      <c r="F36" s="491">
        <f>'Rates in Detail'!V35</f>
        <v>-2.7200000000000002E-3</v>
      </c>
      <c r="G36" s="491"/>
      <c r="H36" s="1422">
        <f t="shared" si="1"/>
        <v>0.33035999999999999</v>
      </c>
      <c r="I36" s="491">
        <f>'[25]Rates in summary'!E33</f>
        <v>8.5399999999999976E-2</v>
      </c>
      <c r="J36" s="491">
        <f>'[25]Rates in summary'!F33</f>
        <v>0</v>
      </c>
      <c r="K36" s="491">
        <f>'[25]Rates in summary'!H33</f>
        <v>1.1629999999999996E-2</v>
      </c>
      <c r="L36" s="1704">
        <f t="shared" si="2"/>
        <v>0.41740999999999995</v>
      </c>
      <c r="M36" s="564">
        <f t="shared" si="3"/>
        <v>0.42738999999999994</v>
      </c>
      <c r="N36" s="491">
        <f>'Rates in Detail'!AC35</f>
        <v>7.6699999999999997E-3</v>
      </c>
      <c r="O36" s="491">
        <f>SUM('Rates in Detail'!AD35:AF35)</f>
        <v>-3.2100000000000002E-3</v>
      </c>
      <c r="P36" s="491"/>
      <c r="Q36" s="837">
        <f t="shared" si="4"/>
        <v>0.43184999999999996</v>
      </c>
      <c r="R36" s="491">
        <f>'[26]Rates in summary'!E35</f>
        <v>0.12099000000000004</v>
      </c>
      <c r="S36" s="491">
        <f>'[26]Rates in summary'!F35</f>
        <v>0</v>
      </c>
      <c r="T36" s="491">
        <f>'[26]Rates in summary'!H35</f>
        <v>0.11477</v>
      </c>
      <c r="U36" s="1710">
        <f t="shared" si="5"/>
        <v>0.66315000000000002</v>
      </c>
      <c r="V36" s="972">
        <v>0</v>
      </c>
      <c r="W36" s="1692">
        <f t="shared" si="6"/>
        <v>0.66761000000000004</v>
      </c>
      <c r="Y36" s="156"/>
      <c r="Z36" s="156"/>
      <c r="AA36" s="156"/>
      <c r="AB36" s="156"/>
      <c r="AC36" s="156"/>
      <c r="AD36" s="156"/>
    </row>
    <row r="37" spans="1:30" x14ac:dyDescent="0.3">
      <c r="A37" s="85">
        <f t="shared" si="0"/>
        <v>30</v>
      </c>
      <c r="B37" s="160"/>
      <c r="C37" s="1393" t="s">
        <v>9</v>
      </c>
      <c r="D37" s="845">
        <f>'Rates in Detail'!J36</f>
        <v>0.27890000000000004</v>
      </c>
      <c r="E37" s="360">
        <f>SUM('Rates in Detail'!L36,'Rates in Detail'!P36,'Rates in Detail'!Q36)</f>
        <v>4.7599999999999995E-3</v>
      </c>
      <c r="F37" s="360">
        <f>'Rates in Detail'!V36</f>
        <v>-1.0200000000000001E-3</v>
      </c>
      <c r="G37" s="360"/>
      <c r="H37" s="1420">
        <f t="shared" si="1"/>
        <v>0.28264</v>
      </c>
      <c r="I37" s="360">
        <f>'[25]Rates in summary'!E34</f>
        <v>8.5399999999999976E-2</v>
      </c>
      <c r="J37" s="360">
        <f>'[25]Rates in summary'!F34</f>
        <v>0</v>
      </c>
      <c r="K37" s="360">
        <f>'[25]Rates in summary'!H34</f>
        <v>1.0419999999999994E-2</v>
      </c>
      <c r="L37" s="1703">
        <f t="shared" si="2"/>
        <v>0.37472</v>
      </c>
      <c r="M37" s="563">
        <f t="shared" si="3"/>
        <v>0.37845999999999996</v>
      </c>
      <c r="N37" s="360">
        <f>'Rates in Detail'!AC36</f>
        <v>2.8800000000000002E-3</v>
      </c>
      <c r="O37" s="360">
        <f>SUM('Rates in Detail'!AD36:AF36)</f>
        <v>-1.2000000000000001E-3</v>
      </c>
      <c r="P37" s="360"/>
      <c r="Q37" s="835">
        <f t="shared" si="4"/>
        <v>0.38013999999999998</v>
      </c>
      <c r="R37" s="360">
        <f>'[26]Rates in summary'!E36</f>
        <v>0.12099000000000004</v>
      </c>
      <c r="S37" s="360">
        <f>'[26]Rates in summary'!F36</f>
        <v>0</v>
      </c>
      <c r="T37" s="360">
        <f>'[26]Rates in summary'!H36</f>
        <v>0.11595999999999999</v>
      </c>
      <c r="U37" s="1708">
        <f t="shared" si="5"/>
        <v>0.61541000000000001</v>
      </c>
      <c r="V37" s="1717">
        <v>0</v>
      </c>
      <c r="W37" s="1690">
        <f t="shared" si="6"/>
        <v>0.61709000000000003</v>
      </c>
      <c r="Y37" s="156"/>
      <c r="Z37" s="156"/>
      <c r="AA37" s="156"/>
      <c r="AB37" s="156"/>
      <c r="AC37" s="156"/>
      <c r="AD37" s="156"/>
    </row>
    <row r="38" spans="1:30" x14ac:dyDescent="0.3">
      <c r="A38" s="85">
        <f t="shared" si="0"/>
        <v>31</v>
      </c>
      <c r="B38" s="85" t="str">
        <f>'WA Volumes &amp; Revenues'!B39</f>
        <v>42I Firm Sales</v>
      </c>
      <c r="C38" s="1392" t="s">
        <v>4</v>
      </c>
      <c r="D38" s="847">
        <f>'Rates in Detail'!J37</f>
        <v>0.40593000000000001</v>
      </c>
      <c r="E38" s="491">
        <f>SUM('Rates in Detail'!L37,'Rates in Detail'!P37,'Rates in Detail'!Q37)</f>
        <v>1.3469999999999999E-2</v>
      </c>
      <c r="F38" s="491">
        <f>'Rates in Detail'!V37</f>
        <v>-1.5999999999999999E-3</v>
      </c>
      <c r="G38" s="491"/>
      <c r="H38" s="1422">
        <f t="shared" si="1"/>
        <v>0.4178</v>
      </c>
      <c r="I38" s="491">
        <f>'[25]Rates in summary'!E35</f>
        <v>8.5399999999999976E-2</v>
      </c>
      <c r="J38" s="491">
        <f>'[25]Rates in summary'!F35</f>
        <v>0</v>
      </c>
      <c r="K38" s="491">
        <f>'[25]Rates in summary'!H35</f>
        <v>1.0269999999999994E-2</v>
      </c>
      <c r="L38" s="1704">
        <f t="shared" si="2"/>
        <v>0.50159999999999993</v>
      </c>
      <c r="M38" s="564">
        <f t="shared" si="3"/>
        <v>0.51346999999999998</v>
      </c>
      <c r="N38" s="491">
        <f>'Rates in Detail'!AC37</f>
        <v>6.1399999999999996E-3</v>
      </c>
      <c r="O38" s="491">
        <f>SUM('Rates in Detail'!AD37:AF37)</f>
        <v>-2.6300000000000004E-3</v>
      </c>
      <c r="P38" s="491"/>
      <c r="Q38" s="837">
        <f t="shared" si="4"/>
        <v>0.51698</v>
      </c>
      <c r="R38" s="491">
        <f>'[26]Rates in summary'!E37</f>
        <v>0.12099000000000004</v>
      </c>
      <c r="S38" s="491">
        <f>'[26]Rates in summary'!F37</f>
        <v>0</v>
      </c>
      <c r="T38" s="491">
        <f>'[26]Rates in summary'!H37</f>
        <v>0.11663999999999999</v>
      </c>
      <c r="U38" s="1710">
        <f t="shared" si="5"/>
        <v>0.75109999999999999</v>
      </c>
      <c r="V38" s="972">
        <v>0</v>
      </c>
      <c r="W38" s="1692">
        <f t="shared" si="6"/>
        <v>0.75461</v>
      </c>
      <c r="Y38" s="156"/>
      <c r="Z38" s="156"/>
      <c r="AA38" s="156"/>
      <c r="AB38" s="156"/>
      <c r="AC38" s="156"/>
      <c r="AD38" s="156"/>
    </row>
    <row r="39" spans="1:30" x14ac:dyDescent="0.3">
      <c r="A39" s="85">
        <f t="shared" si="0"/>
        <v>32</v>
      </c>
      <c r="B39" s="1299"/>
      <c r="C39" s="1392" t="s">
        <v>5</v>
      </c>
      <c r="D39" s="847">
        <f>'Rates in Detail'!J38</f>
        <v>0.38999</v>
      </c>
      <c r="E39" s="491">
        <f>SUM('Rates in Detail'!L38,'Rates in Detail'!P38,'Rates in Detail'!Q38)</f>
        <v>1.206E-2</v>
      </c>
      <c r="F39" s="491">
        <f>'Rates in Detail'!V38</f>
        <v>-1.4400000000000003E-3</v>
      </c>
      <c r="G39" s="491"/>
      <c r="H39" s="1422">
        <f t="shared" si="1"/>
        <v>0.40061000000000002</v>
      </c>
      <c r="I39" s="491">
        <f>'[25]Rates in summary'!E36</f>
        <v>8.5399999999999976E-2</v>
      </c>
      <c r="J39" s="491">
        <f>'[25]Rates in summary'!F36</f>
        <v>0</v>
      </c>
      <c r="K39" s="491">
        <f>'[25]Rates in summary'!H36</f>
        <v>1.0229999999999996E-2</v>
      </c>
      <c r="L39" s="1704">
        <f t="shared" si="2"/>
        <v>0.48562</v>
      </c>
      <c r="M39" s="564">
        <f t="shared" si="3"/>
        <v>0.49624000000000001</v>
      </c>
      <c r="N39" s="491">
        <f>'Rates in Detail'!AC38</f>
        <v>5.4999999999999997E-3</v>
      </c>
      <c r="O39" s="491">
        <f>SUM('Rates in Detail'!AD38:AF38)</f>
        <v>-2.3600000000000001E-3</v>
      </c>
      <c r="P39" s="491"/>
      <c r="Q39" s="837">
        <f t="shared" si="4"/>
        <v>0.49937999999999999</v>
      </c>
      <c r="R39" s="491">
        <f>'[26]Rates in summary'!E38</f>
        <v>0.12099000000000004</v>
      </c>
      <c r="S39" s="491">
        <f>'[26]Rates in summary'!F38</f>
        <v>0</v>
      </c>
      <c r="T39" s="491">
        <f>'[26]Rates in summary'!H38</f>
        <v>0.11663</v>
      </c>
      <c r="U39" s="1710">
        <f t="shared" si="5"/>
        <v>0.73386000000000007</v>
      </c>
      <c r="V39" s="972">
        <v>0</v>
      </c>
      <c r="W39" s="1692">
        <f t="shared" si="6"/>
        <v>0.7370000000000001</v>
      </c>
      <c r="Y39" s="156"/>
      <c r="Z39" s="156"/>
      <c r="AA39" s="156"/>
      <c r="AB39" s="156"/>
      <c r="AC39" s="156"/>
      <c r="AD39" s="156"/>
    </row>
    <row r="40" spans="1:30" x14ac:dyDescent="0.3">
      <c r="A40" s="85">
        <f t="shared" si="0"/>
        <v>33</v>
      </c>
      <c r="B40" s="85"/>
      <c r="C40" s="1392" t="s">
        <v>6</v>
      </c>
      <c r="D40" s="847">
        <f>'Rates in Detail'!J39</f>
        <v>0.35830999999999985</v>
      </c>
      <c r="E40" s="491">
        <f>SUM('Rates in Detail'!L39,'Rates in Detail'!P39,'Rates in Detail'!Q39)</f>
        <v>9.2399999999999999E-3</v>
      </c>
      <c r="F40" s="491">
        <f>'Rates in Detail'!V39</f>
        <v>-1.0999999999999998E-3</v>
      </c>
      <c r="G40" s="491"/>
      <c r="H40" s="1422">
        <f t="shared" si="1"/>
        <v>0.36644999999999989</v>
      </c>
      <c r="I40" s="491">
        <f>'[25]Rates in summary'!E37</f>
        <v>8.5399999999999976E-2</v>
      </c>
      <c r="J40" s="491">
        <f>'[25]Rates in summary'!F37</f>
        <v>0</v>
      </c>
      <c r="K40" s="491">
        <f>'[25]Rates in summary'!H37</f>
        <v>1.0089999999999995E-2</v>
      </c>
      <c r="L40" s="1704">
        <f t="shared" si="2"/>
        <v>0.45379999999999981</v>
      </c>
      <c r="M40" s="564">
        <f t="shared" si="3"/>
        <v>0.46193999999999985</v>
      </c>
      <c r="N40" s="491">
        <f>'Rates in Detail'!AC39</f>
        <v>4.2199999999999998E-3</v>
      </c>
      <c r="O40" s="491">
        <f>SUM('Rates in Detail'!AD39:AF39)</f>
        <v>-1.81E-3</v>
      </c>
      <c r="P40" s="491"/>
      <c r="Q40" s="837">
        <f t="shared" si="4"/>
        <v>0.46434999999999987</v>
      </c>
      <c r="R40" s="491">
        <f>'[26]Rates in summary'!E39</f>
        <v>0.12099000000000004</v>
      </c>
      <c r="S40" s="491">
        <f>'[26]Rates in summary'!F39</f>
        <v>0</v>
      </c>
      <c r="T40" s="491">
        <f>'[26]Rates in summary'!H39</f>
        <v>0.11663999999999999</v>
      </c>
      <c r="U40" s="1710">
        <f t="shared" si="5"/>
        <v>0.69956999999999991</v>
      </c>
      <c r="V40" s="972">
        <v>0</v>
      </c>
      <c r="W40" s="1692">
        <f t="shared" si="6"/>
        <v>0.70197999999999994</v>
      </c>
      <c r="Y40" s="156"/>
      <c r="Z40" s="156"/>
      <c r="AA40" s="156"/>
      <c r="AB40" s="156"/>
      <c r="AC40" s="156"/>
      <c r="AD40" s="156"/>
    </row>
    <row r="41" spans="1:30" x14ac:dyDescent="0.3">
      <c r="A41" s="85">
        <f t="shared" si="0"/>
        <v>34</v>
      </c>
      <c r="B41" s="85"/>
      <c r="C41" s="1392" t="s">
        <v>7</v>
      </c>
      <c r="D41" s="847">
        <f>'Rates in Detail'!J40</f>
        <v>0.33743999999999996</v>
      </c>
      <c r="E41" s="491">
        <f>SUM('Rates in Detail'!L40,'Rates in Detail'!P40,'Rates in Detail'!Q40)</f>
        <v>7.3999999999999995E-3</v>
      </c>
      <c r="F41" s="491">
        <f>'Rates in Detail'!V40</f>
        <v>-8.8000000000000014E-4</v>
      </c>
      <c r="G41" s="491"/>
      <c r="H41" s="1422">
        <f t="shared" si="1"/>
        <v>0.34395999999999999</v>
      </c>
      <c r="I41" s="491">
        <f>'[25]Rates in summary'!E38</f>
        <v>8.5399999999999976E-2</v>
      </c>
      <c r="J41" s="491">
        <f>'[25]Rates in summary'!F38</f>
        <v>0</v>
      </c>
      <c r="K41" s="491">
        <f>'[25]Rates in summary'!H38</f>
        <v>1.0019999999999994E-2</v>
      </c>
      <c r="L41" s="1704">
        <f t="shared" si="2"/>
        <v>0.43285999999999991</v>
      </c>
      <c r="M41" s="564">
        <f t="shared" si="3"/>
        <v>0.43937999999999994</v>
      </c>
      <c r="N41" s="491">
        <f>'Rates in Detail'!AC40</f>
        <v>3.3700000000000002E-3</v>
      </c>
      <c r="O41" s="491">
        <f>SUM('Rates in Detail'!AD40:AF40)</f>
        <v>-1.4399999999999999E-3</v>
      </c>
      <c r="P41" s="491"/>
      <c r="Q41" s="837">
        <f t="shared" si="4"/>
        <v>0.44130999999999992</v>
      </c>
      <c r="R41" s="491">
        <f>'[26]Rates in summary'!E40</f>
        <v>0.12099000000000004</v>
      </c>
      <c r="S41" s="491">
        <f>'[26]Rates in summary'!F40</f>
        <v>0</v>
      </c>
      <c r="T41" s="491">
        <f>'[26]Rates in summary'!H40</f>
        <v>0.11664999999999999</v>
      </c>
      <c r="U41" s="1710">
        <f t="shared" si="5"/>
        <v>0.67702000000000007</v>
      </c>
      <c r="V41" s="972">
        <v>0</v>
      </c>
      <c r="W41" s="1692">
        <f t="shared" si="6"/>
        <v>0.67895000000000005</v>
      </c>
      <c r="Y41" s="156"/>
      <c r="Z41" s="156"/>
      <c r="AA41" s="156"/>
      <c r="AB41" s="156"/>
      <c r="AC41" s="156"/>
      <c r="AD41" s="156"/>
    </row>
    <row r="42" spans="1:30" x14ac:dyDescent="0.3">
      <c r="A42" s="85">
        <f t="shared" si="0"/>
        <v>35</v>
      </c>
      <c r="B42" s="85"/>
      <c r="C42" s="1392" t="s">
        <v>8</v>
      </c>
      <c r="D42" s="847">
        <f>'Rates in Detail'!J41</f>
        <v>0.30965000000000004</v>
      </c>
      <c r="E42" s="491">
        <f>SUM('Rates in Detail'!L41,'Rates in Detail'!P41,'Rates in Detail'!Q41)</f>
        <v>4.9300000000000004E-3</v>
      </c>
      <c r="F42" s="491">
        <f>'Rates in Detail'!V41</f>
        <v>-5.9000000000000003E-4</v>
      </c>
      <c r="G42" s="491"/>
      <c r="H42" s="1422">
        <f t="shared" si="1"/>
        <v>0.31399000000000005</v>
      </c>
      <c r="I42" s="491">
        <f>'[25]Rates in summary'!E39</f>
        <v>8.5399999999999976E-2</v>
      </c>
      <c r="J42" s="491">
        <f>'[25]Rates in summary'!F39</f>
        <v>0</v>
      </c>
      <c r="K42" s="491">
        <f>'[25]Rates in summary'!H39</f>
        <v>9.9299999999999944E-3</v>
      </c>
      <c r="L42" s="1704">
        <f t="shared" si="2"/>
        <v>0.40498000000000001</v>
      </c>
      <c r="M42" s="564">
        <f t="shared" si="3"/>
        <v>0.40932000000000002</v>
      </c>
      <c r="N42" s="491">
        <f>'Rates in Detail'!AC41</f>
        <v>2.2499999999999998E-3</v>
      </c>
      <c r="O42" s="491">
        <f>SUM('Rates in Detail'!AD41:AF41)</f>
        <v>-9.7000000000000005E-4</v>
      </c>
      <c r="P42" s="491"/>
      <c r="Q42" s="837">
        <f t="shared" si="4"/>
        <v>0.41059999999999997</v>
      </c>
      <c r="R42" s="491">
        <f>'[26]Rates in summary'!E41</f>
        <v>0.12099000000000004</v>
      </c>
      <c r="S42" s="491">
        <f>'[26]Rates in summary'!F41</f>
        <v>0</v>
      </c>
      <c r="T42" s="491">
        <f>'[26]Rates in summary'!H41</f>
        <v>0.11665</v>
      </c>
      <c r="U42" s="1710">
        <f t="shared" si="5"/>
        <v>0.64696000000000009</v>
      </c>
      <c r="V42" s="972">
        <v>0</v>
      </c>
      <c r="W42" s="1692">
        <f t="shared" si="6"/>
        <v>0.64824000000000004</v>
      </c>
      <c r="Y42" s="156"/>
      <c r="Z42" s="156"/>
      <c r="AA42" s="156"/>
      <c r="AB42" s="156"/>
      <c r="AC42" s="156"/>
      <c r="AD42" s="156"/>
    </row>
    <row r="43" spans="1:30" x14ac:dyDescent="0.3">
      <c r="A43" s="85">
        <f t="shared" si="0"/>
        <v>36</v>
      </c>
      <c r="B43" s="160"/>
      <c r="C43" s="1393" t="s">
        <v>9</v>
      </c>
      <c r="D43" s="845">
        <f>'Rates in Detail'!J42</f>
        <v>0.27485999999999999</v>
      </c>
      <c r="E43" s="360">
        <f>SUM('Rates in Detail'!L42,'Rates in Detail'!P42,'Rates in Detail'!Q42)</f>
        <v>1.8500000000000001E-3</v>
      </c>
      <c r="F43" s="360">
        <f>'Rates in Detail'!V42</f>
        <v>-2.2000000000000003E-4</v>
      </c>
      <c r="G43" s="360"/>
      <c r="H43" s="1420">
        <f t="shared" si="1"/>
        <v>0.27649000000000001</v>
      </c>
      <c r="I43" s="360">
        <f>'[25]Rates in summary'!E40</f>
        <v>8.5399999999999976E-2</v>
      </c>
      <c r="J43" s="360">
        <f>'[25]Rates in summary'!F40</f>
        <v>0</v>
      </c>
      <c r="K43" s="360">
        <f>'[25]Rates in summary'!H40</f>
        <v>9.8099999999999941E-3</v>
      </c>
      <c r="L43" s="1703">
        <f t="shared" si="2"/>
        <v>0.37006999999999995</v>
      </c>
      <c r="M43" s="563">
        <f t="shared" si="3"/>
        <v>0.37169999999999997</v>
      </c>
      <c r="N43" s="360">
        <f>'Rates in Detail'!AC42</f>
        <v>8.4000000000000003E-4</v>
      </c>
      <c r="O43" s="360">
        <f>SUM('Rates in Detail'!AD42:AF42)</f>
        <v>-3.6000000000000002E-4</v>
      </c>
      <c r="P43" s="360"/>
      <c r="Q43" s="835">
        <f t="shared" si="4"/>
        <v>0.37217999999999996</v>
      </c>
      <c r="R43" s="360">
        <f>'[26]Rates in summary'!E42</f>
        <v>0.12099000000000004</v>
      </c>
      <c r="S43" s="360">
        <f>'[26]Rates in summary'!F42</f>
        <v>0</v>
      </c>
      <c r="T43" s="360">
        <f>'[26]Rates in summary'!H42</f>
        <v>0.11665</v>
      </c>
      <c r="U43" s="1708">
        <f t="shared" si="5"/>
        <v>0.60933999999999999</v>
      </c>
      <c r="V43" s="1717">
        <v>0</v>
      </c>
      <c r="W43" s="1690">
        <f t="shared" si="6"/>
        <v>0.60982000000000003</v>
      </c>
      <c r="Y43" s="156"/>
      <c r="Z43" s="156"/>
      <c r="AA43" s="156"/>
      <c r="AB43" s="156"/>
      <c r="AC43" s="156"/>
      <c r="AD43" s="156"/>
    </row>
    <row r="44" spans="1:30" x14ac:dyDescent="0.3">
      <c r="A44" s="85">
        <f t="shared" si="0"/>
        <v>37</v>
      </c>
      <c r="B44" s="85" t="str">
        <f>'WA Volumes &amp; Revenues'!B45</f>
        <v>42C Firm Transpt</v>
      </c>
      <c r="C44" s="1392" t="s">
        <v>4</v>
      </c>
      <c r="D44" s="847">
        <f>'Rates in Detail'!J43</f>
        <v>0.13851999999999998</v>
      </c>
      <c r="E44" s="491">
        <f>SUM('Rates in Detail'!L43,'Rates in Detail'!P43,'Rates in Detail'!Q43)</f>
        <v>1.12E-2</v>
      </c>
      <c r="F44" s="491">
        <f>'Rates in Detail'!V43</f>
        <v>-1.0300000000000001E-3</v>
      </c>
      <c r="G44" s="491"/>
      <c r="H44" s="1422">
        <f t="shared" si="1"/>
        <v>0.14868999999999996</v>
      </c>
      <c r="I44" s="491">
        <f>'[25]Rates in summary'!E41</f>
        <v>0</v>
      </c>
      <c r="J44" s="491">
        <f>'[25]Rates in summary'!F41</f>
        <v>0</v>
      </c>
      <c r="K44" s="491">
        <f>'[25]Rates in summary'!H41</f>
        <v>9.2000000000000014E-4</v>
      </c>
      <c r="L44" s="1704">
        <f t="shared" si="2"/>
        <v>0.13943999999999998</v>
      </c>
      <c r="M44" s="564">
        <f t="shared" si="3"/>
        <v>0.14960999999999997</v>
      </c>
      <c r="N44" s="491">
        <f>'Rates in Detail'!AC43</f>
        <v>5.94E-3</v>
      </c>
      <c r="O44" s="491">
        <f>SUM('Rates in Detail'!AD43:AF43)</f>
        <v>-1.72E-3</v>
      </c>
      <c r="P44" s="491"/>
      <c r="Q44" s="837">
        <f t="shared" si="4"/>
        <v>0.15382999999999997</v>
      </c>
      <c r="R44" s="491">
        <f>'[26]Rates in summary'!E43</f>
        <v>0</v>
      </c>
      <c r="S44" s="491">
        <f>'[26]Rates in summary'!F43</f>
        <v>0</v>
      </c>
      <c r="T44" s="491">
        <f>'[26]Rates in summary'!H43</f>
        <v>-6.9999999999999967E-5</v>
      </c>
      <c r="U44" s="1710">
        <f t="shared" si="5"/>
        <v>0.14953999999999998</v>
      </c>
      <c r="V44" s="972">
        <v>0</v>
      </c>
      <c r="W44" s="1692">
        <f t="shared" si="6"/>
        <v>0.15375999999999998</v>
      </c>
      <c r="Y44" s="156"/>
      <c r="Z44" s="156"/>
      <c r="AA44" s="156"/>
      <c r="AB44" s="156"/>
      <c r="AC44" s="156"/>
      <c r="AD44" s="156"/>
    </row>
    <row r="45" spans="1:30" x14ac:dyDescent="0.3">
      <c r="A45" s="85">
        <f t="shared" si="0"/>
        <v>38</v>
      </c>
      <c r="B45" s="85"/>
      <c r="C45" s="1392" t="s">
        <v>5</v>
      </c>
      <c r="D45" s="847">
        <f>'Rates in Detail'!J44</f>
        <v>0.12399999999999999</v>
      </c>
      <c r="E45" s="491">
        <f>SUM('Rates in Detail'!L44,'Rates in Detail'!P44,'Rates in Detail'!Q44)</f>
        <v>1.0019999999999999E-2</v>
      </c>
      <c r="F45" s="491">
        <f>'Rates in Detail'!V44</f>
        <v>-9.3000000000000005E-4</v>
      </c>
      <c r="G45" s="491"/>
      <c r="H45" s="1422">
        <f t="shared" si="1"/>
        <v>0.13308999999999999</v>
      </c>
      <c r="I45" s="491">
        <f>'[25]Rates in summary'!E42</f>
        <v>0</v>
      </c>
      <c r="J45" s="491">
        <f>'[25]Rates in summary'!F42</f>
        <v>0</v>
      </c>
      <c r="K45" s="491">
        <f>'[25]Rates in summary'!H42</f>
        <v>8.3000000000000012E-4</v>
      </c>
      <c r="L45" s="1704">
        <f t="shared" si="2"/>
        <v>0.12482999999999998</v>
      </c>
      <c r="M45" s="564">
        <f t="shared" si="3"/>
        <v>0.13391999999999998</v>
      </c>
      <c r="N45" s="491">
        <f>'Rates in Detail'!AC44</f>
        <v>5.3099999999999996E-3</v>
      </c>
      <c r="O45" s="491">
        <f>SUM('Rates in Detail'!AD44:AF44)</f>
        <v>-1.5299999999999999E-3</v>
      </c>
      <c r="P45" s="491"/>
      <c r="Q45" s="837">
        <f t="shared" si="4"/>
        <v>0.13769999999999999</v>
      </c>
      <c r="R45" s="491">
        <f>'[26]Rates in summary'!E44</f>
        <v>0</v>
      </c>
      <c r="S45" s="491">
        <f>'[26]Rates in summary'!F44</f>
        <v>0</v>
      </c>
      <c r="T45" s="491">
        <f>'[26]Rates in summary'!H44</f>
        <v>-6.0000000000000049E-5</v>
      </c>
      <c r="U45" s="1710">
        <f t="shared" si="5"/>
        <v>0.13385999999999998</v>
      </c>
      <c r="V45" s="972">
        <v>0</v>
      </c>
      <c r="W45" s="1692">
        <f t="shared" si="6"/>
        <v>0.13763999999999998</v>
      </c>
      <c r="Y45" s="156"/>
      <c r="Z45" s="156"/>
      <c r="AA45" s="156"/>
      <c r="AB45" s="156"/>
      <c r="AC45" s="156"/>
      <c r="AD45" s="156"/>
    </row>
    <row r="46" spans="1:30" x14ac:dyDescent="0.3">
      <c r="A46" s="85">
        <f t="shared" si="0"/>
        <v>39</v>
      </c>
      <c r="B46" s="85"/>
      <c r="C46" s="1392" t="s">
        <v>6</v>
      </c>
      <c r="D46" s="847">
        <f>'Rates in Detail'!J45</f>
        <v>9.5079999999999998E-2</v>
      </c>
      <c r="E46" s="491">
        <f>SUM('Rates in Detail'!L45,'Rates in Detail'!P45,'Rates in Detail'!Q45)</f>
        <v>7.6900000000000007E-3</v>
      </c>
      <c r="F46" s="491">
        <f>'Rates in Detail'!V45</f>
        <v>-7.000000000000001E-4</v>
      </c>
      <c r="G46" s="491"/>
      <c r="H46" s="1422">
        <f t="shared" si="1"/>
        <v>0.10206999999999999</v>
      </c>
      <c r="I46" s="491">
        <f>'[25]Rates in summary'!E43</f>
        <v>0</v>
      </c>
      <c r="J46" s="491">
        <f>'[25]Rates in summary'!F43</f>
        <v>0</v>
      </c>
      <c r="K46" s="491">
        <f>'[25]Rates in summary'!H43</f>
        <v>6.2999999999999992E-4</v>
      </c>
      <c r="L46" s="1704">
        <f t="shared" si="2"/>
        <v>9.5710000000000003E-2</v>
      </c>
      <c r="M46" s="564">
        <f t="shared" si="3"/>
        <v>0.1027</v>
      </c>
      <c r="N46" s="491">
        <f>'Rates in Detail'!AC45</f>
        <v>4.0699999999999998E-3</v>
      </c>
      <c r="O46" s="491">
        <f>SUM('Rates in Detail'!AD45:AF45)</f>
        <v>-1.1800000000000001E-3</v>
      </c>
      <c r="P46" s="491"/>
      <c r="Q46" s="837">
        <f t="shared" si="4"/>
        <v>0.10559</v>
      </c>
      <c r="R46" s="491">
        <f>'[26]Rates in summary'!E45</f>
        <v>0</v>
      </c>
      <c r="S46" s="491">
        <f>'[26]Rates in summary'!F45</f>
        <v>0</v>
      </c>
      <c r="T46" s="491">
        <f>'[26]Rates in summary'!H45</f>
        <v>-5.9999999999999886E-5</v>
      </c>
      <c r="U46" s="1710">
        <f t="shared" si="5"/>
        <v>0.10264</v>
      </c>
      <c r="V46" s="972">
        <v>0</v>
      </c>
      <c r="W46" s="1692">
        <f t="shared" si="6"/>
        <v>0.10553</v>
      </c>
      <c r="Y46" s="156"/>
      <c r="Z46" s="156"/>
      <c r="AA46" s="156"/>
      <c r="AB46" s="156"/>
      <c r="AC46" s="156"/>
      <c r="AD46" s="156"/>
    </row>
    <row r="47" spans="1:30" x14ac:dyDescent="0.3">
      <c r="A47" s="85">
        <f t="shared" si="0"/>
        <v>40</v>
      </c>
      <c r="B47" s="85"/>
      <c r="C47" s="1392" t="s">
        <v>7</v>
      </c>
      <c r="D47" s="847">
        <f>'Rates in Detail'!J46</f>
        <v>7.6070000000000013E-2</v>
      </c>
      <c r="E47" s="491">
        <f>SUM('Rates in Detail'!L46,'Rates in Detail'!P46,'Rates in Detail'!Q46)</f>
        <v>6.1500000000000001E-3</v>
      </c>
      <c r="F47" s="491">
        <f>'Rates in Detail'!V46</f>
        <v>-5.6999999999999998E-4</v>
      </c>
      <c r="G47" s="491"/>
      <c r="H47" s="1422">
        <f t="shared" si="1"/>
        <v>8.1650000000000014E-2</v>
      </c>
      <c r="I47" s="491">
        <f>'[25]Rates in summary'!E44</f>
        <v>0</v>
      </c>
      <c r="J47" s="491">
        <f>'[25]Rates in summary'!F44</f>
        <v>0</v>
      </c>
      <c r="K47" s="491">
        <f>'[25]Rates in summary'!H44</f>
        <v>5.2000000000000006E-4</v>
      </c>
      <c r="L47" s="1704">
        <f t="shared" si="2"/>
        <v>7.6590000000000019E-2</v>
      </c>
      <c r="M47" s="564">
        <f t="shared" si="3"/>
        <v>8.2170000000000021E-2</v>
      </c>
      <c r="N47" s="491">
        <f>'Rates in Detail'!AC46</f>
        <v>3.2599999999999999E-3</v>
      </c>
      <c r="O47" s="491">
        <f>SUM('Rates in Detail'!AD46:AF46)</f>
        <v>-9.3999999999999997E-4</v>
      </c>
      <c r="P47" s="491"/>
      <c r="Q47" s="837">
        <f t="shared" si="4"/>
        <v>8.4490000000000023E-2</v>
      </c>
      <c r="R47" s="491">
        <f>'[26]Rates in summary'!E46</f>
        <v>0</v>
      </c>
      <c r="S47" s="491">
        <f>'[26]Rates in summary'!F46</f>
        <v>0</v>
      </c>
      <c r="T47" s="491">
        <f>'[26]Rates in summary'!H46</f>
        <v>-3.9999999999999996E-5</v>
      </c>
      <c r="U47" s="1710">
        <f t="shared" si="5"/>
        <v>8.2130000000000022E-2</v>
      </c>
      <c r="V47" s="972">
        <v>0</v>
      </c>
      <c r="W47" s="1692">
        <f t="shared" si="6"/>
        <v>8.4450000000000025E-2</v>
      </c>
      <c r="Y47" s="156"/>
      <c r="Z47" s="156"/>
      <c r="AA47" s="156"/>
      <c r="AB47" s="156"/>
      <c r="AC47" s="156"/>
      <c r="AD47" s="156"/>
    </row>
    <row r="48" spans="1:30" x14ac:dyDescent="0.3">
      <c r="A48" s="85">
        <f t="shared" si="0"/>
        <v>41</v>
      </c>
      <c r="B48" s="85"/>
      <c r="C48" s="1392" t="s">
        <v>8</v>
      </c>
      <c r="D48" s="847">
        <f>'Rates in Detail'!J47</f>
        <v>5.0710000000000005E-2</v>
      </c>
      <c r="E48" s="491">
        <f>SUM('Rates in Detail'!L47,'Rates in Detail'!P47,'Rates in Detail'!Q47)</f>
        <v>4.1000000000000003E-3</v>
      </c>
      <c r="F48" s="491">
        <f>'Rates in Detail'!V47</f>
        <v>-3.6999999999999999E-4</v>
      </c>
      <c r="G48" s="491"/>
      <c r="H48" s="1422">
        <f t="shared" si="1"/>
        <v>5.4440000000000002E-2</v>
      </c>
      <c r="I48" s="491">
        <f>'[25]Rates in summary'!E45</f>
        <v>0</v>
      </c>
      <c r="J48" s="491">
        <f>'[25]Rates in summary'!F45</f>
        <v>0</v>
      </c>
      <c r="K48" s="491">
        <f>'[25]Rates in summary'!H45</f>
        <v>3.4999999999999994E-4</v>
      </c>
      <c r="L48" s="1704">
        <f t="shared" si="2"/>
        <v>5.1060000000000008E-2</v>
      </c>
      <c r="M48" s="564">
        <f t="shared" si="3"/>
        <v>5.4790000000000005E-2</v>
      </c>
      <c r="N48" s="491">
        <f>'Rates in Detail'!AC47</f>
        <v>2.1700000000000001E-3</v>
      </c>
      <c r="O48" s="491">
        <f>SUM('Rates in Detail'!AD47:AF47)</f>
        <v>-6.3000000000000003E-4</v>
      </c>
      <c r="P48" s="491"/>
      <c r="Q48" s="837">
        <f t="shared" si="4"/>
        <v>5.6330000000000005E-2</v>
      </c>
      <c r="R48" s="491">
        <f>'[26]Rates in summary'!E47</f>
        <v>0</v>
      </c>
      <c r="S48" s="491">
        <f>'[26]Rates in summary'!F47</f>
        <v>0</v>
      </c>
      <c r="T48" s="491">
        <f>'[26]Rates in summary'!H47</f>
        <v>-3.9999999999999969E-5</v>
      </c>
      <c r="U48" s="1710">
        <f t="shared" si="5"/>
        <v>5.4750000000000007E-2</v>
      </c>
      <c r="V48" s="972">
        <v>0</v>
      </c>
      <c r="W48" s="1692">
        <f t="shared" si="6"/>
        <v>5.6290000000000007E-2</v>
      </c>
      <c r="Y48" s="156"/>
      <c r="Z48" s="156"/>
      <c r="AA48" s="156"/>
      <c r="AB48" s="156"/>
      <c r="AC48" s="156"/>
      <c r="AD48" s="156"/>
    </row>
    <row r="49" spans="1:30" x14ac:dyDescent="0.3">
      <c r="A49" s="85">
        <f t="shared" si="0"/>
        <v>42</v>
      </c>
      <c r="B49" s="160"/>
      <c r="C49" s="1393" t="s">
        <v>9</v>
      </c>
      <c r="D49" s="845">
        <f>'Rates in Detail'!J48</f>
        <v>1.9009999999999999E-2</v>
      </c>
      <c r="E49" s="360">
        <f>SUM('Rates in Detail'!L48,'Rates in Detail'!P48,'Rates in Detail'!Q48)</f>
        <v>1.5399999999999999E-3</v>
      </c>
      <c r="F49" s="360">
        <f>'Rates in Detail'!V48</f>
        <v>-1.3999999999999999E-4</v>
      </c>
      <c r="G49" s="360"/>
      <c r="H49" s="1420">
        <f t="shared" si="1"/>
        <v>2.0409999999999998E-2</v>
      </c>
      <c r="I49" s="360">
        <f>'[25]Rates in summary'!E46</f>
        <v>0</v>
      </c>
      <c r="J49" s="360">
        <f>'[25]Rates in summary'!F46</f>
        <v>0</v>
      </c>
      <c r="K49" s="360">
        <f>'[25]Rates in summary'!H46</f>
        <v>1.3000000000000002E-4</v>
      </c>
      <c r="L49" s="1703">
        <f t="shared" si="2"/>
        <v>1.9140000000000001E-2</v>
      </c>
      <c r="M49" s="563">
        <f t="shared" si="3"/>
        <v>2.0539999999999999E-2</v>
      </c>
      <c r="N49" s="360">
        <f>'Rates in Detail'!AC48</f>
        <v>8.0999999999999996E-4</v>
      </c>
      <c r="O49" s="360">
        <f>SUM('Rates in Detail'!AD48:AF48)</f>
        <v>-2.3000000000000001E-4</v>
      </c>
      <c r="P49" s="360"/>
      <c r="Q49" s="835">
        <f t="shared" si="4"/>
        <v>2.112E-2</v>
      </c>
      <c r="R49" s="360">
        <f>'[26]Rates in summary'!E48</f>
        <v>0</v>
      </c>
      <c r="S49" s="360">
        <f>'[26]Rates in summary'!F48</f>
        <v>0</v>
      </c>
      <c r="T49" s="360">
        <f>'[26]Rates in summary'!H48</f>
        <v>-1.0000000000000006E-5</v>
      </c>
      <c r="U49" s="1708">
        <f t="shared" si="5"/>
        <v>2.053E-2</v>
      </c>
      <c r="V49" s="1717">
        <v>0</v>
      </c>
      <c r="W49" s="1690">
        <f t="shared" si="6"/>
        <v>2.111E-2</v>
      </c>
      <c r="Y49" s="156"/>
      <c r="Z49" s="156"/>
      <c r="AA49" s="156"/>
      <c r="AB49" s="156"/>
      <c r="AC49" s="156"/>
      <c r="AD49" s="156"/>
    </row>
    <row r="50" spans="1:30" x14ac:dyDescent="0.3">
      <c r="A50" s="85">
        <f t="shared" si="0"/>
        <v>43</v>
      </c>
      <c r="B50" s="85" t="str">
        <f>'WA Volumes &amp; Revenues'!B51</f>
        <v>42I Firm Transpt</v>
      </c>
      <c r="C50" s="1392" t="s">
        <v>4</v>
      </c>
      <c r="D50" s="847">
        <f>'Rates in Detail'!J49</f>
        <v>0.14000000000000001</v>
      </c>
      <c r="E50" s="491">
        <f>SUM('Rates in Detail'!L49,'Rates in Detail'!P49,'Rates in Detail'!Q49)</f>
        <v>8.6699999999999989E-3</v>
      </c>
      <c r="F50" s="491">
        <f>'Rates in Detail'!V49</f>
        <v>-1.0300000000000001E-3</v>
      </c>
      <c r="G50" s="491"/>
      <c r="H50" s="1422">
        <f t="shared" si="1"/>
        <v>0.14764000000000002</v>
      </c>
      <c r="I50" s="491">
        <f>'[25]Rates in summary'!E47</f>
        <v>0</v>
      </c>
      <c r="J50" s="491">
        <f>'[25]Rates in summary'!F47</f>
        <v>0</v>
      </c>
      <c r="K50" s="491">
        <f>'[25]Rates in summary'!H47</f>
        <v>1.0300000000000001E-3</v>
      </c>
      <c r="L50" s="1704">
        <f t="shared" si="2"/>
        <v>0.14103000000000002</v>
      </c>
      <c r="M50" s="564">
        <f t="shared" si="3"/>
        <v>0.14867000000000002</v>
      </c>
      <c r="N50" s="491">
        <f>'Rates in Detail'!AC49</f>
        <v>3.96E-3</v>
      </c>
      <c r="O50" s="491">
        <f>SUM('Rates in Detail'!AD49:AF49)</f>
        <v>-1.6999999999999999E-3</v>
      </c>
      <c r="P50" s="491"/>
      <c r="Q50" s="837">
        <f t="shared" si="4"/>
        <v>0.15093000000000001</v>
      </c>
      <c r="R50" s="491">
        <f>'[26]Rates in summary'!E49</f>
        <v>0</v>
      </c>
      <c r="S50" s="491">
        <f>'[26]Rates in summary'!F49</f>
        <v>0</v>
      </c>
      <c r="T50" s="491">
        <f>'[26]Rates in summary'!H49</f>
        <v>-6.9999999999999858E-5</v>
      </c>
      <c r="U50" s="1710">
        <f t="shared" si="5"/>
        <v>0.14860000000000004</v>
      </c>
      <c r="V50" s="972">
        <v>0</v>
      </c>
      <c r="W50" s="1692">
        <f t="shared" si="6"/>
        <v>0.15086000000000002</v>
      </c>
      <c r="Y50" s="156"/>
      <c r="Z50" s="156"/>
      <c r="AA50" s="156"/>
      <c r="AB50" s="156"/>
      <c r="AC50" s="156"/>
      <c r="AD50" s="156"/>
    </row>
    <row r="51" spans="1:30" x14ac:dyDescent="0.3">
      <c r="A51" s="85">
        <f t="shared" si="0"/>
        <v>44</v>
      </c>
      <c r="B51" s="85"/>
      <c r="C51" s="1392" t="s">
        <v>5</v>
      </c>
      <c r="D51" s="847">
        <f>'Rates in Detail'!J50</f>
        <v>0.12530999999999998</v>
      </c>
      <c r="E51" s="491">
        <f>SUM('Rates in Detail'!L50,'Rates in Detail'!P50,'Rates in Detail'!Q50)</f>
        <v>7.7600000000000004E-3</v>
      </c>
      <c r="F51" s="491">
        <f>'Rates in Detail'!V50</f>
        <v>-9.3000000000000005E-4</v>
      </c>
      <c r="G51" s="491"/>
      <c r="H51" s="1422">
        <f t="shared" si="1"/>
        <v>0.13213999999999998</v>
      </c>
      <c r="I51" s="491">
        <f>'[25]Rates in summary'!E48</f>
        <v>0</v>
      </c>
      <c r="J51" s="491">
        <f>'[25]Rates in summary'!F48</f>
        <v>0</v>
      </c>
      <c r="K51" s="491">
        <f>'[25]Rates in summary'!H48</f>
        <v>9.2999999999999984E-4</v>
      </c>
      <c r="L51" s="1704">
        <f t="shared" si="2"/>
        <v>0.12623999999999996</v>
      </c>
      <c r="M51" s="564">
        <f t="shared" si="3"/>
        <v>0.13306999999999997</v>
      </c>
      <c r="N51" s="491">
        <f>'Rates in Detail'!AC50</f>
        <v>3.5400000000000002E-3</v>
      </c>
      <c r="O51" s="491">
        <f>SUM('Rates in Detail'!AD50:AF50)</f>
        <v>-1.5199999999999999E-3</v>
      </c>
      <c r="P51" s="491"/>
      <c r="Q51" s="837">
        <f t="shared" si="4"/>
        <v>0.13508999999999996</v>
      </c>
      <c r="R51" s="491">
        <f>'[26]Rates in summary'!E50</f>
        <v>0</v>
      </c>
      <c r="S51" s="491">
        <f>'[26]Rates in summary'!F50</f>
        <v>0</v>
      </c>
      <c r="T51" s="491">
        <f>'[26]Rates in summary'!H50</f>
        <v>-5.9999999999999832E-5</v>
      </c>
      <c r="U51" s="1710">
        <f t="shared" si="5"/>
        <v>0.13300999999999996</v>
      </c>
      <c r="V51" s="972">
        <v>0</v>
      </c>
      <c r="W51" s="1692">
        <f t="shared" si="6"/>
        <v>0.13502999999999996</v>
      </c>
      <c r="Y51" s="156"/>
      <c r="Z51" s="156"/>
      <c r="AA51" s="156"/>
      <c r="AB51" s="156"/>
      <c r="AC51" s="156"/>
      <c r="AD51" s="156"/>
    </row>
    <row r="52" spans="1:30" x14ac:dyDescent="0.3">
      <c r="A52" s="85">
        <f t="shared" si="0"/>
        <v>45</v>
      </c>
      <c r="B52" s="85"/>
      <c r="C52" s="1392" t="s">
        <v>6</v>
      </c>
      <c r="D52" s="847">
        <f>'Rates in Detail'!J51</f>
        <v>9.6100000000000005E-2</v>
      </c>
      <c r="E52" s="491">
        <f>SUM('Rates in Detail'!L51,'Rates in Detail'!P51,'Rates in Detail'!Q51)</f>
        <v>5.9500000000000004E-3</v>
      </c>
      <c r="F52" s="491">
        <f>'Rates in Detail'!V51</f>
        <v>-7.000000000000001E-4</v>
      </c>
      <c r="G52" s="491"/>
      <c r="H52" s="1422">
        <f t="shared" si="1"/>
        <v>0.10135</v>
      </c>
      <c r="I52" s="491">
        <f>'[25]Rates in summary'!E49</f>
        <v>0</v>
      </c>
      <c r="J52" s="491">
        <f>'[25]Rates in summary'!F49</f>
        <v>0</v>
      </c>
      <c r="K52" s="491">
        <f>'[25]Rates in summary'!H49</f>
        <v>7.000000000000001E-4</v>
      </c>
      <c r="L52" s="1704">
        <f t="shared" si="2"/>
        <v>9.6800000000000011E-2</v>
      </c>
      <c r="M52" s="564">
        <f t="shared" si="3"/>
        <v>0.10205</v>
      </c>
      <c r="N52" s="491">
        <f>'Rates in Detail'!AC51</f>
        <v>2.7200000000000002E-3</v>
      </c>
      <c r="O52" s="491">
        <f>SUM('Rates in Detail'!AD51:AF51)</f>
        <v>-1.17E-3</v>
      </c>
      <c r="P52" s="491"/>
      <c r="Q52" s="837">
        <f t="shared" si="4"/>
        <v>0.1036</v>
      </c>
      <c r="R52" s="491">
        <f>'[26]Rates in summary'!E51</f>
        <v>0</v>
      </c>
      <c r="S52" s="491">
        <f>'[26]Rates in summary'!F51</f>
        <v>0</v>
      </c>
      <c r="T52" s="491">
        <f>'[26]Rates in summary'!H51</f>
        <v>-6.0000000000000049E-5</v>
      </c>
      <c r="U52" s="1710">
        <f t="shared" si="5"/>
        <v>0.10199</v>
      </c>
      <c r="V52" s="972">
        <v>0</v>
      </c>
      <c r="W52" s="1692">
        <f t="shared" si="6"/>
        <v>0.10353999999999999</v>
      </c>
      <c r="Y52" s="156"/>
      <c r="Z52" s="156"/>
      <c r="AA52" s="156"/>
      <c r="AB52" s="156"/>
      <c r="AC52" s="156"/>
      <c r="AD52" s="156"/>
    </row>
    <row r="53" spans="1:30" x14ac:dyDescent="0.3">
      <c r="A53" s="85">
        <f t="shared" si="0"/>
        <v>46</v>
      </c>
      <c r="B53" s="85"/>
      <c r="C53" s="1392" t="s">
        <v>7</v>
      </c>
      <c r="D53" s="847">
        <f>'Rates in Detail'!J52</f>
        <v>7.6880000000000018E-2</v>
      </c>
      <c r="E53" s="491">
        <f>SUM('Rates in Detail'!L52,'Rates in Detail'!P52,'Rates in Detail'!Q52)</f>
        <v>4.7599999999999995E-3</v>
      </c>
      <c r="F53" s="491">
        <f>'Rates in Detail'!V52</f>
        <v>-5.5999999999999995E-4</v>
      </c>
      <c r="G53" s="491"/>
      <c r="H53" s="1422">
        <f t="shared" si="1"/>
        <v>8.1080000000000013E-2</v>
      </c>
      <c r="I53" s="491">
        <f>'[25]Rates in summary'!E50</f>
        <v>0</v>
      </c>
      <c r="J53" s="491">
        <f>'[25]Rates in summary'!F50</f>
        <v>0</v>
      </c>
      <c r="K53" s="491">
        <f>'[25]Rates in summary'!H50</f>
        <v>5.6999999999999998E-4</v>
      </c>
      <c r="L53" s="1704">
        <f t="shared" si="2"/>
        <v>7.7450000000000019E-2</v>
      </c>
      <c r="M53" s="564">
        <f t="shared" si="3"/>
        <v>8.1650000000000014E-2</v>
      </c>
      <c r="N53" s="491">
        <f>'Rates in Detail'!AC52</f>
        <v>2.1700000000000001E-3</v>
      </c>
      <c r="O53" s="491">
        <f>SUM('Rates in Detail'!AD52:AF52)</f>
        <v>-9.3999999999999997E-4</v>
      </c>
      <c r="P53" s="491"/>
      <c r="Q53" s="837">
        <f t="shared" si="4"/>
        <v>8.2880000000000023E-2</v>
      </c>
      <c r="R53" s="491">
        <f>'[26]Rates in summary'!E52</f>
        <v>0</v>
      </c>
      <c r="S53" s="491">
        <f>'[26]Rates in summary'!F52</f>
        <v>0</v>
      </c>
      <c r="T53" s="491">
        <f>'[26]Rates in summary'!H52</f>
        <v>-4.9999999999999969E-5</v>
      </c>
      <c r="U53" s="1710">
        <f t="shared" si="5"/>
        <v>8.160000000000002E-2</v>
      </c>
      <c r="V53" s="972">
        <v>0</v>
      </c>
      <c r="W53" s="1692">
        <f t="shared" si="6"/>
        <v>8.2830000000000029E-2</v>
      </c>
      <c r="Y53" s="156"/>
      <c r="Z53" s="156"/>
      <c r="AA53" s="156"/>
      <c r="AB53" s="156"/>
      <c r="AC53" s="156"/>
      <c r="AD53" s="156"/>
    </row>
    <row r="54" spans="1:30" x14ac:dyDescent="0.3">
      <c r="A54" s="85">
        <f t="shared" si="0"/>
        <v>47</v>
      </c>
      <c r="B54" s="85"/>
      <c r="C54" s="1392" t="s">
        <v>8</v>
      </c>
      <c r="D54" s="847">
        <f>'Rates in Detail'!J53</f>
        <v>5.1250000000000004E-2</v>
      </c>
      <c r="E54" s="491">
        <f>SUM('Rates in Detail'!L53,'Rates in Detail'!P53,'Rates in Detail'!Q53)</f>
        <v>3.1700000000000001E-3</v>
      </c>
      <c r="F54" s="491">
        <f>'Rates in Detail'!V53</f>
        <v>-3.6999999999999999E-4</v>
      </c>
      <c r="G54" s="491"/>
      <c r="H54" s="1422">
        <f t="shared" si="1"/>
        <v>5.4050000000000001E-2</v>
      </c>
      <c r="I54" s="491">
        <f>'[25]Rates in summary'!E51</f>
        <v>0</v>
      </c>
      <c r="J54" s="491">
        <f>'[25]Rates in summary'!F51</f>
        <v>0</v>
      </c>
      <c r="K54" s="491">
        <f>'[25]Rates in summary'!H51</f>
        <v>3.8000000000000002E-4</v>
      </c>
      <c r="L54" s="1704">
        <f t="shared" si="2"/>
        <v>5.1630000000000002E-2</v>
      </c>
      <c r="M54" s="564">
        <f t="shared" si="3"/>
        <v>5.4429999999999999E-2</v>
      </c>
      <c r="N54" s="491">
        <f>'Rates in Detail'!AC53</f>
        <v>1.4499999999999999E-3</v>
      </c>
      <c r="O54" s="491">
        <f>SUM('Rates in Detail'!AD53:AF53)</f>
        <v>-6.2E-4</v>
      </c>
      <c r="P54" s="491"/>
      <c r="Q54" s="837">
        <f t="shared" si="4"/>
        <v>5.5259999999999997E-2</v>
      </c>
      <c r="R54" s="491">
        <f>'[26]Rates in summary'!E53</f>
        <v>0</v>
      </c>
      <c r="S54" s="491">
        <f>'[26]Rates in summary'!F53</f>
        <v>0</v>
      </c>
      <c r="T54" s="491">
        <f>'[26]Rates in summary'!H53</f>
        <v>-3.0000000000000024E-5</v>
      </c>
      <c r="U54" s="1710">
        <f t="shared" si="5"/>
        <v>5.4399999999999997E-2</v>
      </c>
      <c r="V54" s="972">
        <v>0</v>
      </c>
      <c r="W54" s="1692">
        <f t="shared" si="6"/>
        <v>5.5229999999999994E-2</v>
      </c>
      <c r="Y54" s="156"/>
      <c r="Z54" s="156"/>
      <c r="AA54" s="156"/>
      <c r="AB54" s="156"/>
      <c r="AC54" s="156"/>
      <c r="AD54" s="156"/>
    </row>
    <row r="55" spans="1:30" x14ac:dyDescent="0.3">
      <c r="A55" s="85">
        <f t="shared" si="0"/>
        <v>48</v>
      </c>
      <c r="B55" s="160"/>
      <c r="C55" s="1393" t="s">
        <v>9</v>
      </c>
      <c r="D55" s="845">
        <f>'Rates in Detail'!J54</f>
        <v>1.9220000000000001E-2</v>
      </c>
      <c r="E55" s="360">
        <f>SUM('Rates in Detail'!L54,'Rates in Detail'!P54,'Rates in Detail'!Q54)</f>
        <v>1.1900000000000001E-3</v>
      </c>
      <c r="F55" s="360">
        <f>'Rates in Detail'!V54</f>
        <v>-1.3999999999999999E-4</v>
      </c>
      <c r="G55" s="360"/>
      <c r="H55" s="1420">
        <f t="shared" si="1"/>
        <v>2.027E-2</v>
      </c>
      <c r="I55" s="360">
        <f>'[25]Rates in summary'!E52</f>
        <v>0</v>
      </c>
      <c r="J55" s="360">
        <f>'[25]Rates in summary'!F52</f>
        <v>0</v>
      </c>
      <c r="K55" s="360">
        <f>'[25]Rates in summary'!H52</f>
        <v>1.4000000000000001E-4</v>
      </c>
      <c r="L55" s="1703">
        <f t="shared" si="2"/>
        <v>1.9360000000000002E-2</v>
      </c>
      <c r="M55" s="563">
        <f t="shared" si="3"/>
        <v>2.0410000000000001E-2</v>
      </c>
      <c r="N55" s="360">
        <f>'Rates in Detail'!AC54</f>
        <v>5.4000000000000001E-4</v>
      </c>
      <c r="O55" s="360">
        <f>SUM('Rates in Detail'!AD54:AF54)</f>
        <v>-2.3000000000000001E-4</v>
      </c>
      <c r="P55" s="360"/>
      <c r="Q55" s="835">
        <f t="shared" si="4"/>
        <v>2.0719999999999999E-2</v>
      </c>
      <c r="R55" s="360">
        <f>'[26]Rates in summary'!E54</f>
        <v>0</v>
      </c>
      <c r="S55" s="360">
        <f>'[26]Rates in summary'!F54</f>
        <v>0</v>
      </c>
      <c r="T55" s="360">
        <f>'[26]Rates in summary'!H54</f>
        <v>-1.0000000000000013E-5</v>
      </c>
      <c r="U55" s="1708">
        <f t="shared" si="5"/>
        <v>2.0400000000000001E-2</v>
      </c>
      <c r="V55" s="1717">
        <v>0</v>
      </c>
      <c r="W55" s="1690">
        <f t="shared" si="6"/>
        <v>2.0709999999999999E-2</v>
      </c>
      <c r="Y55" s="156"/>
      <c r="Z55" s="156"/>
      <c r="AA55" s="156"/>
      <c r="AB55" s="156"/>
      <c r="AC55" s="156"/>
      <c r="AD55" s="156"/>
    </row>
    <row r="56" spans="1:30" x14ac:dyDescent="0.3">
      <c r="A56" s="85">
        <f t="shared" si="0"/>
        <v>49</v>
      </c>
      <c r="B56" s="85" t="str">
        <f>'WA Volumes &amp; Revenues'!B57</f>
        <v>42C Interr Sales</v>
      </c>
      <c r="C56" s="1392" t="s">
        <v>4</v>
      </c>
      <c r="D56" s="847">
        <f>'Rates in Detail'!J55</f>
        <v>0.42349000000000003</v>
      </c>
      <c r="E56" s="491">
        <f>SUM('Rates in Detail'!L55,'Rates in Detail'!P55,'Rates in Detail'!Q55)</f>
        <v>2.06E-2</v>
      </c>
      <c r="F56" s="491">
        <f>'Rates in Detail'!V55</f>
        <v>-4.4099999999999999E-3</v>
      </c>
      <c r="G56" s="491"/>
      <c r="H56" s="1422">
        <f t="shared" si="1"/>
        <v>0.43968000000000002</v>
      </c>
      <c r="I56" s="491">
        <f>'[25]Rates in summary'!E53</f>
        <v>8.5399999999999976E-2</v>
      </c>
      <c r="J56" s="491">
        <f>'[25]Rates in summary'!F53</f>
        <v>0</v>
      </c>
      <c r="K56" s="491">
        <f>'[25]Rates in summary'!H53</f>
        <v>3.8639999999999994E-2</v>
      </c>
      <c r="L56" s="1704">
        <f t="shared" si="2"/>
        <v>0.54753000000000007</v>
      </c>
      <c r="M56" s="564">
        <f t="shared" si="3"/>
        <v>0.56372</v>
      </c>
      <c r="N56" s="491">
        <f>'Rates in Detail'!AC55</f>
        <v>1.2449999999999999E-2</v>
      </c>
      <c r="O56" s="491">
        <f>SUM('Rates in Detail'!AD55:AF55)</f>
        <v>-5.2100000000000002E-3</v>
      </c>
      <c r="P56" s="491"/>
      <c r="Q56" s="837">
        <f t="shared" si="4"/>
        <v>0.57095999999999991</v>
      </c>
      <c r="R56" s="491">
        <f>'[26]Rates in summary'!E55</f>
        <v>0.12099000000000004</v>
      </c>
      <c r="S56" s="491">
        <f>'[26]Rates in summary'!F55</f>
        <v>0</v>
      </c>
      <c r="T56" s="491">
        <f>'[26]Rates in summary'!H55</f>
        <v>7.6439999999999994E-2</v>
      </c>
      <c r="U56" s="1710">
        <f t="shared" si="5"/>
        <v>0.76114999999999999</v>
      </c>
      <c r="V56" s="972">
        <v>0</v>
      </c>
      <c r="W56" s="1692">
        <f t="shared" si="6"/>
        <v>0.76838999999999991</v>
      </c>
      <c r="Y56" s="156"/>
      <c r="Z56" s="156"/>
      <c r="AA56" s="156"/>
      <c r="AB56" s="156"/>
      <c r="AC56" s="156"/>
      <c r="AD56" s="156"/>
    </row>
    <row r="57" spans="1:30" x14ac:dyDescent="0.3">
      <c r="A57" s="85">
        <f t="shared" si="0"/>
        <v>50</v>
      </c>
      <c r="B57" s="85"/>
      <c r="C57" s="1392" t="s">
        <v>5</v>
      </c>
      <c r="D57" s="847">
        <f>'Rates in Detail'!J56</f>
        <v>0.40679999999999994</v>
      </c>
      <c r="E57" s="491">
        <f>SUM('Rates in Detail'!L56,'Rates in Detail'!P56,'Rates in Detail'!Q56)</f>
        <v>1.8450000000000001E-2</v>
      </c>
      <c r="F57" s="491">
        <f>'Rates in Detail'!V56</f>
        <v>-3.9499999999999995E-3</v>
      </c>
      <c r="G57" s="491"/>
      <c r="H57" s="1422">
        <f t="shared" si="1"/>
        <v>0.42129999999999995</v>
      </c>
      <c r="I57" s="491">
        <f>'[25]Rates in summary'!E54</f>
        <v>8.5399999999999976E-2</v>
      </c>
      <c r="J57" s="491">
        <f>'[25]Rates in summary'!F54</f>
        <v>0</v>
      </c>
      <c r="K57" s="491">
        <f>'[25]Rates in summary'!H54</f>
        <v>3.8329999999999996E-2</v>
      </c>
      <c r="L57" s="1704">
        <f t="shared" si="2"/>
        <v>0.53052999999999995</v>
      </c>
      <c r="M57" s="564">
        <f t="shared" si="3"/>
        <v>0.5450299999999999</v>
      </c>
      <c r="N57" s="491">
        <f>'Rates in Detail'!AC56</f>
        <v>1.1140000000000001E-2</v>
      </c>
      <c r="O57" s="491">
        <f>SUM('Rates in Detail'!AD56:AF56)</f>
        <v>-4.6699999999999997E-3</v>
      </c>
      <c r="P57" s="491"/>
      <c r="Q57" s="837">
        <f t="shared" si="4"/>
        <v>0.55149999999999999</v>
      </c>
      <c r="R57" s="491">
        <f>'[26]Rates in summary'!E56</f>
        <v>0.12099000000000004</v>
      </c>
      <c r="S57" s="491">
        <f>'[26]Rates in summary'!F56</f>
        <v>0</v>
      </c>
      <c r="T57" s="491">
        <f>'[26]Rates in summary'!H56</f>
        <v>7.6789999999999983E-2</v>
      </c>
      <c r="U57" s="1710">
        <f t="shared" si="5"/>
        <v>0.74280999999999997</v>
      </c>
      <c r="V57" s="972">
        <v>0</v>
      </c>
      <c r="W57" s="1692">
        <f t="shared" si="6"/>
        <v>0.74928000000000006</v>
      </c>
      <c r="Y57" s="156"/>
      <c r="Z57" s="156"/>
      <c r="AA57" s="156"/>
      <c r="AB57" s="156"/>
      <c r="AC57" s="156"/>
      <c r="AD57" s="156"/>
    </row>
    <row r="58" spans="1:30" x14ac:dyDescent="0.3">
      <c r="A58" s="85">
        <f t="shared" si="0"/>
        <v>51</v>
      </c>
      <c r="B58" s="85"/>
      <c r="C58" s="1392" t="s">
        <v>6</v>
      </c>
      <c r="D58" s="847">
        <f>'Rates in Detail'!J57</f>
        <v>0.37361</v>
      </c>
      <c r="E58" s="491">
        <f>SUM('Rates in Detail'!L57,'Rates in Detail'!P57,'Rates in Detail'!Q57)</f>
        <v>1.414E-2</v>
      </c>
      <c r="F58" s="491">
        <f>'Rates in Detail'!V57</f>
        <v>-3.0299999999999997E-3</v>
      </c>
      <c r="G58" s="491"/>
      <c r="H58" s="1422">
        <f t="shared" si="1"/>
        <v>0.38472000000000001</v>
      </c>
      <c r="I58" s="491">
        <f>'[25]Rates in summary'!E55</f>
        <v>8.5399999999999976E-2</v>
      </c>
      <c r="J58" s="491">
        <f>'[25]Rates in summary'!F55</f>
        <v>0</v>
      </c>
      <c r="K58" s="491">
        <f>'[25]Rates in summary'!H55</f>
        <v>3.7689999999999994E-2</v>
      </c>
      <c r="L58" s="1704">
        <f t="shared" si="2"/>
        <v>0.49669999999999997</v>
      </c>
      <c r="M58" s="564">
        <f t="shared" si="3"/>
        <v>0.50780999999999998</v>
      </c>
      <c r="N58" s="491">
        <f>'Rates in Detail'!AC57</f>
        <v>8.5400000000000007E-3</v>
      </c>
      <c r="O58" s="491">
        <f>SUM('Rates in Detail'!AD57:AF57)</f>
        <v>-3.5699999999999994E-3</v>
      </c>
      <c r="P58" s="491"/>
      <c r="Q58" s="837">
        <f t="shared" si="4"/>
        <v>0.51278000000000001</v>
      </c>
      <c r="R58" s="491">
        <f>'[26]Rates in summary'!E57</f>
        <v>0.12099000000000004</v>
      </c>
      <c r="S58" s="491">
        <f>'[26]Rates in summary'!F57</f>
        <v>0</v>
      </c>
      <c r="T58" s="491">
        <f>'[26]Rates in summary'!H57</f>
        <v>7.7479999999999993E-2</v>
      </c>
      <c r="U58" s="1710">
        <f t="shared" si="5"/>
        <v>0.70628000000000002</v>
      </c>
      <c r="V58" s="972">
        <v>0</v>
      </c>
      <c r="W58" s="1692">
        <f t="shared" si="6"/>
        <v>0.71125000000000005</v>
      </c>
      <c r="Y58" s="156"/>
      <c r="Z58" s="156"/>
      <c r="AA58" s="156"/>
      <c r="AB58" s="156"/>
      <c r="AC58" s="156"/>
      <c r="AD58" s="156"/>
    </row>
    <row r="59" spans="1:30" x14ac:dyDescent="0.3">
      <c r="A59" s="85">
        <f t="shared" si="0"/>
        <v>52</v>
      </c>
      <c r="B59" s="85"/>
      <c r="C59" s="1392" t="s">
        <v>7</v>
      </c>
      <c r="D59" s="847">
        <f>'Rates in Detail'!J58</f>
        <v>0.35180000000000006</v>
      </c>
      <c r="E59" s="491">
        <f>SUM('Rates in Detail'!L58,'Rates in Detail'!P58,'Rates in Detail'!Q58)</f>
        <v>1.1309999999999999E-2</v>
      </c>
      <c r="F59" s="491">
        <f>'Rates in Detail'!V58</f>
        <v>-2.4199999999999998E-3</v>
      </c>
      <c r="G59" s="491"/>
      <c r="H59" s="1422">
        <f t="shared" si="1"/>
        <v>0.36069000000000007</v>
      </c>
      <c r="I59" s="491">
        <f>'[25]Rates in summary'!E56</f>
        <v>8.5399999999999976E-2</v>
      </c>
      <c r="J59" s="491">
        <f>'[25]Rates in summary'!F56</f>
        <v>0</v>
      </c>
      <c r="K59" s="491">
        <f>'[25]Rates in summary'!H56</f>
        <v>3.7249999999999998E-2</v>
      </c>
      <c r="L59" s="1704">
        <f t="shared" si="2"/>
        <v>0.47445000000000004</v>
      </c>
      <c r="M59" s="564">
        <f t="shared" si="3"/>
        <v>0.48334000000000005</v>
      </c>
      <c r="N59" s="491">
        <f>'Rates in Detail'!AC58</f>
        <v>6.8300000000000001E-3</v>
      </c>
      <c r="O59" s="491">
        <f>SUM('Rates in Detail'!AD58:AF58)</f>
        <v>-2.8600000000000001E-3</v>
      </c>
      <c r="P59" s="491"/>
      <c r="Q59" s="837">
        <f t="shared" si="4"/>
        <v>0.48731000000000008</v>
      </c>
      <c r="R59" s="491">
        <f>'[26]Rates in summary'!E58</f>
        <v>0.12099000000000004</v>
      </c>
      <c r="S59" s="491">
        <f>'[26]Rates in summary'!F58</f>
        <v>0</v>
      </c>
      <c r="T59" s="491">
        <f>'[26]Rates in summary'!H58</f>
        <v>7.7910000000000007E-2</v>
      </c>
      <c r="U59" s="1710">
        <f t="shared" si="5"/>
        <v>0.68224000000000007</v>
      </c>
      <c r="V59" s="972">
        <v>0</v>
      </c>
      <c r="W59" s="1692">
        <f t="shared" si="6"/>
        <v>0.6862100000000001</v>
      </c>
      <c r="Y59" s="156"/>
      <c r="Z59" s="156"/>
      <c r="AA59" s="156"/>
      <c r="AB59" s="156"/>
      <c r="AC59" s="156"/>
      <c r="AD59" s="156"/>
    </row>
    <row r="60" spans="1:30" x14ac:dyDescent="0.3">
      <c r="A60" s="85">
        <f t="shared" si="0"/>
        <v>53</v>
      </c>
      <c r="B60" s="85"/>
      <c r="C60" s="1392" t="s">
        <v>8</v>
      </c>
      <c r="D60" s="847">
        <f>'Rates in Detail'!J59</f>
        <v>0.32268999999999998</v>
      </c>
      <c r="E60" s="491">
        <f>SUM('Rates in Detail'!L59,'Rates in Detail'!P59,'Rates in Detail'!Q59)</f>
        <v>7.5499999999999994E-3</v>
      </c>
      <c r="F60" s="491">
        <f>'Rates in Detail'!V59</f>
        <v>-1.6100000000000001E-3</v>
      </c>
      <c r="G60" s="491"/>
      <c r="H60" s="1422">
        <f t="shared" si="1"/>
        <v>0.32862999999999998</v>
      </c>
      <c r="I60" s="491">
        <f>'[25]Rates in summary'!E57</f>
        <v>8.5399999999999976E-2</v>
      </c>
      <c r="J60" s="491">
        <f>'[25]Rates in summary'!F57</f>
        <v>0</v>
      </c>
      <c r="K60" s="491">
        <f>'[25]Rates in summary'!H57</f>
        <v>3.6699999999999997E-2</v>
      </c>
      <c r="L60" s="1704">
        <f t="shared" si="2"/>
        <v>0.44478999999999996</v>
      </c>
      <c r="M60" s="564">
        <f t="shared" si="3"/>
        <v>0.45072999999999996</v>
      </c>
      <c r="N60" s="491">
        <f>'Rates in Detail'!AC59</f>
        <v>4.5599999999999998E-3</v>
      </c>
      <c r="O60" s="491">
        <f>SUM('Rates in Detail'!AD59:AF59)</f>
        <v>-1.9099999999999998E-3</v>
      </c>
      <c r="P60" s="491"/>
      <c r="Q60" s="837">
        <f t="shared" si="4"/>
        <v>0.45337999999999995</v>
      </c>
      <c r="R60" s="491">
        <f>'[26]Rates in summary'!E59</f>
        <v>0.12099000000000004</v>
      </c>
      <c r="S60" s="491">
        <f>'[26]Rates in summary'!F59</f>
        <v>0</v>
      </c>
      <c r="T60" s="491">
        <f>'[26]Rates in summary'!H59</f>
        <v>7.8509999999999996E-2</v>
      </c>
      <c r="U60" s="1710">
        <f t="shared" si="5"/>
        <v>0.65022999999999997</v>
      </c>
      <c r="V60" s="972">
        <v>0</v>
      </c>
      <c r="W60" s="1692">
        <f t="shared" si="6"/>
        <v>0.65288000000000002</v>
      </c>
      <c r="Y60" s="156"/>
      <c r="Z60" s="156"/>
      <c r="AA60" s="156"/>
      <c r="AB60" s="156"/>
      <c r="AC60" s="156"/>
      <c r="AD60" s="156"/>
    </row>
    <row r="61" spans="1:30" x14ac:dyDescent="0.3">
      <c r="A61" s="85">
        <f t="shared" si="0"/>
        <v>54</v>
      </c>
      <c r="B61" s="160"/>
      <c r="C61" s="1393" t="s">
        <v>9</v>
      </c>
      <c r="D61" s="845">
        <f>'Rates in Detail'!J60</f>
        <v>0.28632000000000002</v>
      </c>
      <c r="E61" s="360">
        <f>SUM('Rates in Detail'!L60,'Rates in Detail'!P60,'Rates in Detail'!Q60)</f>
        <v>2.8300000000000001E-3</v>
      </c>
      <c r="F61" s="360">
        <f>'Rates in Detail'!V60</f>
        <v>-6.0999999999999997E-4</v>
      </c>
      <c r="G61" s="360"/>
      <c r="H61" s="1420">
        <f t="shared" si="1"/>
        <v>0.28854000000000002</v>
      </c>
      <c r="I61" s="360">
        <f>'[25]Rates in summary'!E58</f>
        <v>8.5399999999999976E-2</v>
      </c>
      <c r="J61" s="360">
        <f>'[25]Rates in summary'!F58</f>
        <v>0</v>
      </c>
      <c r="K61" s="360">
        <f>'[25]Rates in summary'!H58</f>
        <v>3.601E-2</v>
      </c>
      <c r="L61" s="1703">
        <f t="shared" si="2"/>
        <v>0.40772999999999998</v>
      </c>
      <c r="M61" s="563">
        <f t="shared" si="3"/>
        <v>0.40994999999999998</v>
      </c>
      <c r="N61" s="360">
        <f>'Rates in Detail'!AC60</f>
        <v>1.7099999999999999E-3</v>
      </c>
      <c r="O61" s="360">
        <f>SUM('Rates in Detail'!AD60:AF60)</f>
        <v>-7.1000000000000002E-4</v>
      </c>
      <c r="P61" s="360"/>
      <c r="Q61" s="835">
        <f t="shared" si="4"/>
        <v>0.41094999999999998</v>
      </c>
      <c r="R61" s="360">
        <f>'[26]Rates in summary'!E60</f>
        <v>0.12099000000000004</v>
      </c>
      <c r="S61" s="360">
        <f>'[26]Rates in summary'!F60</f>
        <v>0</v>
      </c>
      <c r="T61" s="360">
        <f>'[26]Rates in summary'!H60</f>
        <v>7.9239999999999991E-2</v>
      </c>
      <c r="U61" s="1708">
        <f t="shared" si="5"/>
        <v>0.61017999999999994</v>
      </c>
      <c r="V61" s="1717">
        <v>0</v>
      </c>
      <c r="W61" s="1690">
        <f t="shared" si="6"/>
        <v>0.61118000000000006</v>
      </c>
      <c r="Y61" s="156"/>
      <c r="Z61" s="156"/>
      <c r="AA61" s="156"/>
      <c r="AB61" s="156"/>
      <c r="AC61" s="156"/>
      <c r="AD61" s="156"/>
    </row>
    <row r="62" spans="1:30" x14ac:dyDescent="0.3">
      <c r="A62" s="85">
        <f t="shared" si="0"/>
        <v>55</v>
      </c>
      <c r="B62" s="85" t="str">
        <f>'WA Volumes &amp; Revenues'!B63</f>
        <v>42I Interr Sales</v>
      </c>
      <c r="C62" s="1392" t="s">
        <v>4</v>
      </c>
      <c r="D62" s="847">
        <f>'Rates in Detail'!J61</f>
        <v>0.4161399999999999</v>
      </c>
      <c r="E62" s="491">
        <f>SUM('Rates in Detail'!L61,'Rates in Detail'!P61,'Rates in Detail'!Q61)</f>
        <v>1.2409999999999999E-2</v>
      </c>
      <c r="F62" s="491">
        <f>'Rates in Detail'!V61</f>
        <v>-1.48E-3</v>
      </c>
      <c r="G62" s="491"/>
      <c r="H62" s="1422">
        <f t="shared" si="1"/>
        <v>0.42706999999999989</v>
      </c>
      <c r="I62" s="491">
        <f>'[25]Rates in summary'!E59</f>
        <v>8.5399999999999976E-2</v>
      </c>
      <c r="J62" s="491">
        <f>'[25]Rates in summary'!F59</f>
        <v>0</v>
      </c>
      <c r="K62" s="491">
        <f>'[25]Rates in summary'!H59</f>
        <v>3.6379999999999996E-2</v>
      </c>
      <c r="L62" s="1704">
        <f t="shared" si="2"/>
        <v>0.53791999999999984</v>
      </c>
      <c r="M62" s="564">
        <f t="shared" si="3"/>
        <v>0.54884999999999984</v>
      </c>
      <c r="N62" s="491">
        <f>'Rates in Detail'!AC61</f>
        <v>5.6600000000000001E-3</v>
      </c>
      <c r="O62" s="491">
        <f>SUM('Rates in Detail'!AD61:AF61)</f>
        <v>-2.4300000000000003E-3</v>
      </c>
      <c r="P62" s="491"/>
      <c r="Q62" s="837">
        <f t="shared" si="4"/>
        <v>0.55207999999999979</v>
      </c>
      <c r="R62" s="491">
        <f>'[26]Rates in summary'!E61</f>
        <v>0.12099000000000004</v>
      </c>
      <c r="S62" s="491">
        <f>'[26]Rates in summary'!F61</f>
        <v>0</v>
      </c>
      <c r="T62" s="491">
        <f>'[26]Rates in summary'!H61</f>
        <v>7.7979999999999994E-2</v>
      </c>
      <c r="U62" s="1710">
        <f t="shared" si="5"/>
        <v>0.74781999999999993</v>
      </c>
      <c r="V62" s="972">
        <v>0</v>
      </c>
      <c r="W62" s="1692">
        <f t="shared" si="6"/>
        <v>0.75104999999999977</v>
      </c>
      <c r="Y62" s="156"/>
      <c r="Z62" s="156"/>
      <c r="AA62" s="156"/>
      <c r="AB62" s="156"/>
      <c r="AC62" s="156"/>
      <c r="AD62" s="156"/>
    </row>
    <row r="63" spans="1:30" x14ac:dyDescent="0.3">
      <c r="A63" s="85">
        <f t="shared" si="0"/>
        <v>56</v>
      </c>
      <c r="B63" s="85"/>
      <c r="C63" s="1392" t="s">
        <v>5</v>
      </c>
      <c r="D63" s="847">
        <f>'Rates in Detail'!J62</f>
        <v>0.40022999999999992</v>
      </c>
      <c r="E63" s="491">
        <f>SUM('Rates in Detail'!L62,'Rates in Detail'!P62,'Rates in Detail'!Q62)</f>
        <v>1.111E-2</v>
      </c>
      <c r="F63" s="491">
        <f>'Rates in Detail'!V62</f>
        <v>-1.32E-3</v>
      </c>
      <c r="G63" s="491"/>
      <c r="H63" s="1422">
        <f t="shared" si="1"/>
        <v>0.41001999999999994</v>
      </c>
      <c r="I63" s="491">
        <f>'[25]Rates in summary'!E60</f>
        <v>8.5399999999999976E-2</v>
      </c>
      <c r="J63" s="491">
        <f>'[25]Rates in summary'!F60</f>
        <v>0</v>
      </c>
      <c r="K63" s="491">
        <f>'[25]Rates in summary'!H60</f>
        <v>3.6299999999999992E-2</v>
      </c>
      <c r="L63" s="1704">
        <f t="shared" si="2"/>
        <v>0.52192999999999989</v>
      </c>
      <c r="M63" s="564">
        <f t="shared" si="3"/>
        <v>0.53171999999999986</v>
      </c>
      <c r="N63" s="491">
        <f>'Rates in Detail'!AC62</f>
        <v>5.0699999999999999E-3</v>
      </c>
      <c r="O63" s="491">
        <f>SUM('Rates in Detail'!AD62:AF62)</f>
        <v>-2.1700000000000001E-3</v>
      </c>
      <c r="P63" s="491"/>
      <c r="Q63" s="837">
        <f t="shared" si="4"/>
        <v>0.53461999999999987</v>
      </c>
      <c r="R63" s="491">
        <f>'[26]Rates in summary'!E62</f>
        <v>0.12099000000000004</v>
      </c>
      <c r="S63" s="491">
        <f>'[26]Rates in summary'!F62</f>
        <v>0</v>
      </c>
      <c r="T63" s="491">
        <f>'[26]Rates in summary'!H62</f>
        <v>7.8149999999999997E-2</v>
      </c>
      <c r="U63" s="1710">
        <f t="shared" si="5"/>
        <v>0.73085999999999984</v>
      </c>
      <c r="V63" s="972">
        <v>0</v>
      </c>
      <c r="W63" s="1692">
        <f t="shared" si="6"/>
        <v>0.73375999999999997</v>
      </c>
      <c r="Y63" s="156"/>
      <c r="Z63" s="156"/>
      <c r="AA63" s="156"/>
      <c r="AB63" s="156"/>
      <c r="AC63" s="156"/>
      <c r="AD63" s="156"/>
    </row>
    <row r="64" spans="1:30" x14ac:dyDescent="0.3">
      <c r="A64" s="85">
        <f t="shared" si="0"/>
        <v>57</v>
      </c>
      <c r="B64" s="85"/>
      <c r="C64" s="1392" t="s">
        <v>6</v>
      </c>
      <c r="D64" s="847">
        <f>'Rates in Detail'!J63</f>
        <v>0.36857999999999996</v>
      </c>
      <c r="E64" s="491">
        <f>SUM('Rates in Detail'!L63,'Rates in Detail'!P63,'Rates in Detail'!Q63)</f>
        <v>8.5199999999999998E-3</v>
      </c>
      <c r="F64" s="491">
        <f>'Rates in Detail'!V63</f>
        <v>-1.01E-3</v>
      </c>
      <c r="G64" s="491"/>
      <c r="H64" s="1422">
        <f t="shared" si="1"/>
        <v>0.37608999999999998</v>
      </c>
      <c r="I64" s="491">
        <f>'[25]Rates in summary'!E61</f>
        <v>8.5399999999999976E-2</v>
      </c>
      <c r="J64" s="491">
        <f>'[25]Rates in summary'!F61</f>
        <v>0</v>
      </c>
      <c r="K64" s="491">
        <f>'[25]Rates in summary'!H61</f>
        <v>3.6129999999999995E-2</v>
      </c>
      <c r="L64" s="1704">
        <f t="shared" si="2"/>
        <v>0.49010999999999993</v>
      </c>
      <c r="M64" s="564">
        <f t="shared" si="3"/>
        <v>0.49761999999999995</v>
      </c>
      <c r="N64" s="491">
        <f>'Rates in Detail'!AC63</f>
        <v>3.8899999999999998E-3</v>
      </c>
      <c r="O64" s="491">
        <f>SUM('Rates in Detail'!AD63:AF63)</f>
        <v>-1.66E-3</v>
      </c>
      <c r="P64" s="491"/>
      <c r="Q64" s="837">
        <f t="shared" si="4"/>
        <v>0.49984999999999991</v>
      </c>
      <c r="R64" s="491">
        <f>'[26]Rates in summary'!E63</f>
        <v>0.12099000000000004</v>
      </c>
      <c r="S64" s="491">
        <f>'[26]Rates in summary'!F63</f>
        <v>0</v>
      </c>
      <c r="T64" s="491">
        <f>'[26]Rates in summary'!H63</f>
        <v>7.8520000000000006E-2</v>
      </c>
      <c r="U64" s="1710">
        <f t="shared" si="5"/>
        <v>0.69713000000000003</v>
      </c>
      <c r="V64" s="972">
        <v>0</v>
      </c>
      <c r="W64" s="1692">
        <f t="shared" si="6"/>
        <v>0.69935999999999998</v>
      </c>
      <c r="Y64" s="156"/>
      <c r="Z64" s="156"/>
      <c r="AA64" s="156"/>
      <c r="AB64" s="156"/>
      <c r="AC64" s="156"/>
      <c r="AD64" s="156"/>
    </row>
    <row r="65" spans="1:30" x14ac:dyDescent="0.3">
      <c r="A65" s="85">
        <f t="shared" si="0"/>
        <v>58</v>
      </c>
      <c r="B65" s="85"/>
      <c r="C65" s="1392" t="s">
        <v>7</v>
      </c>
      <c r="D65" s="847">
        <f>'Rates in Detail'!J64</f>
        <v>0.34777000000000002</v>
      </c>
      <c r="E65" s="491">
        <f>SUM('Rates in Detail'!L64,'Rates in Detail'!P64,'Rates in Detail'!Q64)</f>
        <v>6.8200000000000005E-3</v>
      </c>
      <c r="F65" s="491">
        <f>'Rates in Detail'!V64</f>
        <v>-8.0999999999999996E-4</v>
      </c>
      <c r="G65" s="491"/>
      <c r="H65" s="1422">
        <f t="shared" si="1"/>
        <v>0.35378000000000004</v>
      </c>
      <c r="I65" s="491">
        <f>'[25]Rates in summary'!E62</f>
        <v>8.5399999999999976E-2</v>
      </c>
      <c r="J65" s="491">
        <f>'[25]Rates in summary'!F62</f>
        <v>0</v>
      </c>
      <c r="K65" s="491">
        <f>'[25]Rates in summary'!H62</f>
        <v>3.6019999999999996E-2</v>
      </c>
      <c r="L65" s="1704">
        <f t="shared" si="2"/>
        <v>0.46919</v>
      </c>
      <c r="M65" s="564">
        <f t="shared" si="3"/>
        <v>0.47520000000000001</v>
      </c>
      <c r="N65" s="491">
        <f>'Rates in Detail'!AC64</f>
        <v>3.1099999999999999E-3</v>
      </c>
      <c r="O65" s="491">
        <f>SUM('Rates in Detail'!AD64:AF64)</f>
        <v>-1.33E-3</v>
      </c>
      <c r="P65" s="491"/>
      <c r="Q65" s="837">
        <f t="shared" si="4"/>
        <v>0.47698000000000002</v>
      </c>
      <c r="R65" s="491">
        <f>'[26]Rates in summary'!E64</f>
        <v>0.12099000000000004</v>
      </c>
      <c r="S65" s="491">
        <f>'[26]Rates in summary'!F64</f>
        <v>0</v>
      </c>
      <c r="T65" s="491">
        <f>'[26]Rates in summary'!H64</f>
        <v>7.8739999999999991E-2</v>
      </c>
      <c r="U65" s="1710">
        <f t="shared" si="5"/>
        <v>0.67493000000000003</v>
      </c>
      <c r="V65" s="972">
        <v>0</v>
      </c>
      <c r="W65" s="1692">
        <f t="shared" si="6"/>
        <v>0.67671000000000014</v>
      </c>
      <c r="Y65" s="156"/>
      <c r="Z65" s="156"/>
      <c r="AA65" s="156"/>
      <c r="AB65" s="156"/>
      <c r="AC65" s="156"/>
      <c r="AD65" s="156"/>
    </row>
    <row r="66" spans="1:30" x14ac:dyDescent="0.3">
      <c r="A66" s="85">
        <f t="shared" si="0"/>
        <v>59</v>
      </c>
      <c r="B66" s="85"/>
      <c r="C66" s="1392" t="s">
        <v>8</v>
      </c>
      <c r="D66" s="847">
        <f>'Rates in Detail'!J65</f>
        <v>0.32002000000000003</v>
      </c>
      <c r="E66" s="491">
        <f>SUM('Rates in Detail'!L65,'Rates in Detail'!P65,'Rates in Detail'!Q65)</f>
        <v>4.5399999999999998E-3</v>
      </c>
      <c r="F66" s="491">
        <f>'Rates in Detail'!V65</f>
        <v>-5.4000000000000001E-4</v>
      </c>
      <c r="G66" s="491"/>
      <c r="H66" s="1422">
        <f t="shared" si="1"/>
        <v>0.32402000000000003</v>
      </c>
      <c r="I66" s="491">
        <f>'[25]Rates in summary'!E63</f>
        <v>8.5399999999999976E-2</v>
      </c>
      <c r="J66" s="491">
        <f>'[25]Rates in summary'!F63</f>
        <v>0</v>
      </c>
      <c r="K66" s="491">
        <f>'[25]Rates in summary'!H63</f>
        <v>3.5859999999999996E-2</v>
      </c>
      <c r="L66" s="1704">
        <f t="shared" si="2"/>
        <v>0.44128000000000001</v>
      </c>
      <c r="M66" s="564">
        <f t="shared" si="3"/>
        <v>0.44528000000000001</v>
      </c>
      <c r="N66" s="491">
        <f>'Rates in Detail'!AC65</f>
        <v>2.0699999999999998E-3</v>
      </c>
      <c r="O66" s="491">
        <f>SUM('Rates in Detail'!AD65:AF65)</f>
        <v>-8.8999999999999995E-4</v>
      </c>
      <c r="P66" s="491"/>
      <c r="Q66" s="837">
        <f t="shared" si="4"/>
        <v>0.44646000000000002</v>
      </c>
      <c r="R66" s="491">
        <f>'[26]Rates in summary'!E65</f>
        <v>0.12099000000000004</v>
      </c>
      <c r="S66" s="491">
        <f>'[26]Rates in summary'!F65</f>
        <v>0</v>
      </c>
      <c r="T66" s="491">
        <f>'[26]Rates in summary'!H65</f>
        <v>7.9070000000000001E-2</v>
      </c>
      <c r="U66" s="1710">
        <f t="shared" si="5"/>
        <v>0.64534000000000002</v>
      </c>
      <c r="V66" s="972">
        <v>0</v>
      </c>
      <c r="W66" s="1692">
        <f t="shared" si="6"/>
        <v>0.64651999999999998</v>
      </c>
      <c r="Y66" s="156"/>
      <c r="Z66" s="156"/>
      <c r="AA66" s="156"/>
      <c r="AB66" s="156"/>
      <c r="AC66" s="156"/>
      <c r="AD66" s="156"/>
    </row>
    <row r="67" spans="1:30" x14ac:dyDescent="0.3">
      <c r="A67" s="85">
        <f t="shared" si="0"/>
        <v>60</v>
      </c>
      <c r="B67" s="160"/>
      <c r="C67" s="1393" t="s">
        <v>9</v>
      </c>
      <c r="D67" s="845">
        <f>'Rates in Detail'!J66</f>
        <v>0.2853</v>
      </c>
      <c r="E67" s="360">
        <f>SUM('Rates in Detail'!L66,'Rates in Detail'!P66,'Rates in Detail'!Q66)</f>
        <v>1.7000000000000001E-3</v>
      </c>
      <c r="F67" s="360">
        <f>'Rates in Detail'!V66</f>
        <v>-1.9999999999999998E-4</v>
      </c>
      <c r="G67" s="360"/>
      <c r="H67" s="1420">
        <f t="shared" si="1"/>
        <v>0.2868</v>
      </c>
      <c r="I67" s="360">
        <f>'[25]Rates in summary'!E64</f>
        <v>8.5399999999999976E-2</v>
      </c>
      <c r="J67" s="360">
        <f>'[25]Rates in summary'!F64</f>
        <v>0</v>
      </c>
      <c r="K67" s="360">
        <f>'[25]Rates in summary'!H64</f>
        <v>3.5699999999999996E-2</v>
      </c>
      <c r="L67" s="1703">
        <f t="shared" si="2"/>
        <v>0.40639999999999998</v>
      </c>
      <c r="M67" s="563">
        <f t="shared" si="3"/>
        <v>0.40789999999999998</v>
      </c>
      <c r="N67" s="360">
        <f>'Rates in Detail'!AC66</f>
        <v>7.7999999999999999E-4</v>
      </c>
      <c r="O67" s="360">
        <f>SUM('Rates in Detail'!AD66:AF66)</f>
        <v>-3.3E-4</v>
      </c>
      <c r="P67" s="360"/>
      <c r="Q67" s="835">
        <f t="shared" si="4"/>
        <v>0.40834999999999999</v>
      </c>
      <c r="R67" s="360">
        <f>'[26]Rates in summary'!E66</f>
        <v>0.12099000000000004</v>
      </c>
      <c r="S67" s="360">
        <f>'[26]Rates in summary'!F66</f>
        <v>0</v>
      </c>
      <c r="T67" s="360">
        <f>'[26]Rates in summary'!H66</f>
        <v>7.9449999999999993E-2</v>
      </c>
      <c r="U67" s="1708">
        <f t="shared" si="5"/>
        <v>0.6083400000000001</v>
      </c>
      <c r="V67" s="1717">
        <v>0</v>
      </c>
      <c r="W67" s="1690">
        <f t="shared" si="6"/>
        <v>0.60879000000000005</v>
      </c>
      <c r="Y67" s="156"/>
      <c r="Z67" s="156"/>
      <c r="AA67" s="156"/>
      <c r="AB67" s="156"/>
      <c r="AC67" s="156"/>
      <c r="AD67" s="156"/>
    </row>
    <row r="68" spans="1:30" x14ac:dyDescent="0.3">
      <c r="A68" s="85">
        <f t="shared" si="0"/>
        <v>61</v>
      </c>
      <c r="B68" s="85" t="str">
        <f>'WA Volumes &amp; Revenues'!B69</f>
        <v>42C Inter Transpt</v>
      </c>
      <c r="C68" s="1392" t="s">
        <v>4</v>
      </c>
      <c r="D68" s="847">
        <f>'Rates in Detail'!J67</f>
        <v>0.13459999999999997</v>
      </c>
      <c r="E68" s="491">
        <f>SUM('Rates in Detail'!L67,'Rates in Detail'!P67,'Rates in Detail'!Q67)</f>
        <v>4.8799999999999998E-3</v>
      </c>
      <c r="F68" s="491">
        <f>'Rates in Detail'!V67</f>
        <v>-6.0999999999999987E-4</v>
      </c>
      <c r="G68" s="491"/>
      <c r="H68" s="1422">
        <f t="shared" si="1"/>
        <v>0.13886999999999997</v>
      </c>
      <c r="I68" s="491">
        <f>'[25]Rates in summary'!E65</f>
        <v>0</v>
      </c>
      <c r="J68" s="491">
        <f>'[25]Rates in summary'!F65</f>
        <v>0</v>
      </c>
      <c r="K68" s="491">
        <f>'[25]Rates in summary'!H65</f>
        <v>1.0300000000000001E-3</v>
      </c>
      <c r="L68" s="1704">
        <f t="shared" si="2"/>
        <v>0.13562999999999997</v>
      </c>
      <c r="M68" s="564">
        <f t="shared" si="3"/>
        <v>0.13989999999999997</v>
      </c>
      <c r="N68" s="491">
        <f>'Rates in Detail'!AC67</f>
        <v>2.7799999999999999E-3</v>
      </c>
      <c r="O68" s="491">
        <f>SUM('Rates in Detail'!AD67:AF67)</f>
        <v>-1.1900000000000001E-3</v>
      </c>
      <c r="P68" s="491"/>
      <c r="Q68" s="837">
        <f t="shared" si="4"/>
        <v>0.14148999999999998</v>
      </c>
      <c r="R68" s="491">
        <f>'[26]Rates in summary'!E67</f>
        <v>0</v>
      </c>
      <c r="S68" s="491">
        <f>'[26]Rates in summary'!F67</f>
        <v>0</v>
      </c>
      <c r="T68" s="491">
        <f>'[26]Rates in summary'!H67</f>
        <v>1.4599999999999997E-3</v>
      </c>
      <c r="U68" s="1710">
        <f t="shared" si="5"/>
        <v>0.14135999999999996</v>
      </c>
      <c r="V68" s="972">
        <v>0</v>
      </c>
      <c r="W68" s="1692">
        <f t="shared" si="6"/>
        <v>0.14294999999999997</v>
      </c>
      <c r="Y68" s="156"/>
      <c r="Z68" s="156"/>
      <c r="AA68" s="156"/>
      <c r="AB68" s="156"/>
      <c r="AC68" s="156"/>
      <c r="AD68" s="156"/>
    </row>
    <row r="69" spans="1:30" x14ac:dyDescent="0.3">
      <c r="A69" s="85">
        <f t="shared" si="0"/>
        <v>62</v>
      </c>
      <c r="B69" s="85"/>
      <c r="C69" s="1392" t="s">
        <v>5</v>
      </c>
      <c r="D69" s="847">
        <f>'Rates in Detail'!J68</f>
        <v>0.12048999999999999</v>
      </c>
      <c r="E69" s="491">
        <f>SUM('Rates in Detail'!L68,'Rates in Detail'!P68,'Rates in Detail'!Q68)</f>
        <v>4.3800000000000002E-3</v>
      </c>
      <c r="F69" s="491">
        <f>'Rates in Detail'!V68</f>
        <v>-5.5000000000000003E-4</v>
      </c>
      <c r="G69" s="491"/>
      <c r="H69" s="1422">
        <f t="shared" si="1"/>
        <v>0.12431999999999999</v>
      </c>
      <c r="I69" s="491">
        <f>'[25]Rates in summary'!E66</f>
        <v>0</v>
      </c>
      <c r="J69" s="491">
        <f>'[25]Rates in summary'!F66</f>
        <v>0</v>
      </c>
      <c r="K69" s="491">
        <f>'[25]Rates in summary'!H66</f>
        <v>9.2000000000000003E-4</v>
      </c>
      <c r="L69" s="1704">
        <f t="shared" si="2"/>
        <v>0.12140999999999999</v>
      </c>
      <c r="M69" s="564">
        <f t="shared" si="3"/>
        <v>0.12523999999999999</v>
      </c>
      <c r="N69" s="491">
        <f>'Rates in Detail'!AC68</f>
        <v>2.49E-3</v>
      </c>
      <c r="O69" s="491">
        <f>SUM('Rates in Detail'!AD68:AF68)</f>
        <v>-1.07E-3</v>
      </c>
      <c r="P69" s="491"/>
      <c r="Q69" s="837">
        <f t="shared" si="4"/>
        <v>0.12665999999999999</v>
      </c>
      <c r="R69" s="491">
        <f>'[26]Rates in summary'!E68</f>
        <v>0</v>
      </c>
      <c r="S69" s="491">
        <f>'[26]Rates in summary'!F68</f>
        <v>0</v>
      </c>
      <c r="T69" s="491">
        <f>'[26]Rates in summary'!H68</f>
        <v>1.31E-3</v>
      </c>
      <c r="U69" s="1710">
        <f t="shared" si="5"/>
        <v>0.12655</v>
      </c>
      <c r="V69" s="972">
        <v>0</v>
      </c>
      <c r="W69" s="1692">
        <f t="shared" si="6"/>
        <v>0.12797</v>
      </c>
      <c r="Y69" s="156"/>
      <c r="Z69" s="156"/>
      <c r="AA69" s="156"/>
      <c r="AB69" s="156"/>
      <c r="AC69" s="156"/>
      <c r="AD69" s="156"/>
    </row>
    <row r="70" spans="1:30" x14ac:dyDescent="0.3">
      <c r="A70" s="85">
        <f t="shared" si="0"/>
        <v>63</v>
      </c>
      <c r="B70" s="85"/>
      <c r="C70" s="1392" t="s">
        <v>6</v>
      </c>
      <c r="D70" s="847">
        <f>'Rates in Detail'!J69</f>
        <v>9.2380000000000004E-2</v>
      </c>
      <c r="E70" s="491">
        <f>SUM('Rates in Detail'!L69,'Rates in Detail'!P69,'Rates in Detail'!Q69)</f>
        <v>3.3599999999999997E-3</v>
      </c>
      <c r="F70" s="491">
        <f>'Rates in Detail'!V69</f>
        <v>-4.1999999999999996E-4</v>
      </c>
      <c r="G70" s="491"/>
      <c r="H70" s="1422">
        <f t="shared" si="1"/>
        <v>9.5320000000000002E-2</v>
      </c>
      <c r="I70" s="491">
        <f>'[25]Rates in summary'!E67</f>
        <v>0</v>
      </c>
      <c r="J70" s="491">
        <f>'[25]Rates in summary'!F67</f>
        <v>0</v>
      </c>
      <c r="K70" s="491">
        <f>'[25]Rates in summary'!H67</f>
        <v>7.2000000000000015E-4</v>
      </c>
      <c r="L70" s="1704">
        <f t="shared" si="2"/>
        <v>9.3100000000000002E-2</v>
      </c>
      <c r="M70" s="564">
        <f t="shared" si="3"/>
        <v>9.604E-2</v>
      </c>
      <c r="N70" s="491">
        <f>'Rates in Detail'!AC69</f>
        <v>1.91E-3</v>
      </c>
      <c r="O70" s="491">
        <f>SUM('Rates in Detail'!AD69:AF69)</f>
        <v>-8.1999999999999998E-4</v>
      </c>
      <c r="P70" s="491"/>
      <c r="Q70" s="837">
        <f t="shared" si="4"/>
        <v>9.7129999999999994E-2</v>
      </c>
      <c r="R70" s="491">
        <f>'[26]Rates in summary'!E69</f>
        <v>0</v>
      </c>
      <c r="S70" s="491">
        <f>'[26]Rates in summary'!F69</f>
        <v>0</v>
      </c>
      <c r="T70" s="491">
        <f>'[26]Rates in summary'!H69</f>
        <v>1E-3</v>
      </c>
      <c r="U70" s="1710">
        <f t="shared" si="5"/>
        <v>9.7040000000000001E-2</v>
      </c>
      <c r="V70" s="972">
        <v>0</v>
      </c>
      <c r="W70" s="1692">
        <f t="shared" si="6"/>
        <v>9.8129999999999995E-2</v>
      </c>
      <c r="Y70" s="156"/>
      <c r="Z70" s="156"/>
      <c r="AA70" s="156"/>
      <c r="AB70" s="156"/>
      <c r="AC70" s="156"/>
      <c r="AD70" s="156"/>
    </row>
    <row r="71" spans="1:30" x14ac:dyDescent="0.3">
      <c r="A71" s="85">
        <f t="shared" si="0"/>
        <v>64</v>
      </c>
      <c r="B71" s="85"/>
      <c r="C71" s="1392" t="s">
        <v>7</v>
      </c>
      <c r="D71" s="847">
        <f>'Rates in Detail'!J70</f>
        <v>7.392E-2</v>
      </c>
      <c r="E71" s="491">
        <f>SUM('Rates in Detail'!L70,'Rates in Detail'!P70,'Rates in Detail'!Q70)</f>
        <v>2.6800000000000001E-3</v>
      </c>
      <c r="F71" s="491">
        <f>'Rates in Detail'!V70</f>
        <v>-3.3E-4</v>
      </c>
      <c r="G71" s="491"/>
      <c r="H71" s="1422">
        <f t="shared" si="1"/>
        <v>7.6270000000000004E-2</v>
      </c>
      <c r="I71" s="491">
        <f>'[25]Rates in summary'!E68</f>
        <v>0</v>
      </c>
      <c r="J71" s="491">
        <f>'[25]Rates in summary'!F68</f>
        <v>0</v>
      </c>
      <c r="K71" s="491">
        <f>'[25]Rates in summary'!H68</f>
        <v>5.7000000000000009E-4</v>
      </c>
      <c r="L71" s="1704">
        <f t="shared" si="2"/>
        <v>7.4490000000000001E-2</v>
      </c>
      <c r="M71" s="564">
        <f t="shared" si="3"/>
        <v>7.6840000000000006E-2</v>
      </c>
      <c r="N71" s="491">
        <f>'Rates in Detail'!AC70</f>
        <v>1.5299999999999999E-3</v>
      </c>
      <c r="O71" s="491">
        <f>SUM('Rates in Detail'!AD70:AF70)</f>
        <v>-6.5000000000000008E-4</v>
      </c>
      <c r="P71" s="491"/>
      <c r="Q71" s="837">
        <f t="shared" si="4"/>
        <v>7.7720000000000011E-2</v>
      </c>
      <c r="R71" s="491">
        <f>'[26]Rates in summary'!E70</f>
        <v>0</v>
      </c>
      <c r="S71" s="491">
        <f>'[26]Rates in summary'!F70</f>
        <v>0</v>
      </c>
      <c r="T71" s="491">
        <f>'[26]Rates in summary'!H70</f>
        <v>7.9000000000000001E-4</v>
      </c>
      <c r="U71" s="1710">
        <f t="shared" si="5"/>
        <v>7.7630000000000005E-2</v>
      </c>
      <c r="V71" s="972">
        <v>0</v>
      </c>
      <c r="W71" s="1692">
        <f t="shared" si="6"/>
        <v>7.851000000000001E-2</v>
      </c>
      <c r="Y71" s="156"/>
      <c r="Z71" s="156"/>
      <c r="AA71" s="156"/>
      <c r="AB71" s="156"/>
      <c r="AC71" s="156"/>
      <c r="AD71" s="156"/>
    </row>
    <row r="72" spans="1:30" x14ac:dyDescent="0.3">
      <c r="A72" s="85">
        <f t="shared" si="0"/>
        <v>65</v>
      </c>
      <c r="B72" s="85"/>
      <c r="C72" s="1392" t="s">
        <v>8</v>
      </c>
      <c r="D72" s="847">
        <f>'Rates in Detail'!J71</f>
        <v>4.929E-2</v>
      </c>
      <c r="E72" s="491">
        <f>SUM('Rates in Detail'!L71,'Rates in Detail'!P71,'Rates in Detail'!Q71)</f>
        <v>1.7899999999999999E-3</v>
      </c>
      <c r="F72" s="491">
        <f>'Rates in Detail'!V71</f>
        <v>-2.1999999999999998E-4</v>
      </c>
      <c r="G72" s="491"/>
      <c r="H72" s="1422">
        <f t="shared" si="1"/>
        <v>5.0860000000000002E-2</v>
      </c>
      <c r="I72" s="491">
        <f>'[25]Rates in summary'!E69</f>
        <v>0</v>
      </c>
      <c r="J72" s="491">
        <f>'[25]Rates in summary'!F69</f>
        <v>0</v>
      </c>
      <c r="K72" s="491">
        <f>'[25]Rates in summary'!H69</f>
        <v>3.8000000000000002E-4</v>
      </c>
      <c r="L72" s="1704">
        <f t="shared" si="2"/>
        <v>4.9669999999999999E-2</v>
      </c>
      <c r="M72" s="564">
        <f t="shared" si="3"/>
        <v>5.1240000000000001E-2</v>
      </c>
      <c r="N72" s="491">
        <f>'Rates in Detail'!AC71</f>
        <v>1.0200000000000001E-3</v>
      </c>
      <c r="O72" s="491">
        <f>SUM('Rates in Detail'!AD71:AF71)</f>
        <v>-4.4000000000000002E-4</v>
      </c>
      <c r="P72" s="491"/>
      <c r="Q72" s="837">
        <f t="shared" si="4"/>
        <v>5.1819999999999998E-2</v>
      </c>
      <c r="R72" s="491">
        <f>'[26]Rates in summary'!E71</f>
        <v>0</v>
      </c>
      <c r="S72" s="491">
        <f>'[26]Rates in summary'!F71</f>
        <v>0</v>
      </c>
      <c r="T72" s="491">
        <f>'[26]Rates in summary'!H71</f>
        <v>5.2999999999999987E-4</v>
      </c>
      <c r="U72" s="1710">
        <f t="shared" si="5"/>
        <v>5.1770000000000004E-2</v>
      </c>
      <c r="V72" s="972">
        <v>0</v>
      </c>
      <c r="W72" s="1692">
        <f t="shared" si="6"/>
        <v>5.2350000000000001E-2</v>
      </c>
      <c r="Y72" s="156"/>
      <c r="Z72" s="156"/>
      <c r="AA72" s="156"/>
      <c r="AB72" s="156"/>
      <c r="AC72" s="156"/>
      <c r="AD72" s="156"/>
    </row>
    <row r="73" spans="1:30" x14ac:dyDescent="0.3">
      <c r="A73" s="85">
        <f t="shared" si="0"/>
        <v>66</v>
      </c>
      <c r="B73" s="160"/>
      <c r="C73" s="1393" t="s">
        <v>9</v>
      </c>
      <c r="D73" s="845">
        <f>'Rates in Detail'!J72</f>
        <v>1.8460000000000001E-2</v>
      </c>
      <c r="E73" s="360">
        <f>SUM('Rates in Detail'!L72,'Rates in Detail'!P72,'Rates in Detail'!Q72)</f>
        <v>6.7000000000000002E-4</v>
      </c>
      <c r="F73" s="360">
        <f>'Rates in Detail'!V72</f>
        <v>-7.9999999999999993E-5</v>
      </c>
      <c r="G73" s="360"/>
      <c r="H73" s="1420">
        <f t="shared" si="1"/>
        <v>1.9050000000000001E-2</v>
      </c>
      <c r="I73" s="360">
        <f>'[25]Rates in summary'!E70</f>
        <v>0</v>
      </c>
      <c r="J73" s="360">
        <f>'[25]Rates in summary'!F70</f>
        <v>0</v>
      </c>
      <c r="K73" s="360">
        <f>'[25]Rates in summary'!H70</f>
        <v>1.5000000000000001E-4</v>
      </c>
      <c r="L73" s="1703">
        <f t="shared" si="2"/>
        <v>1.8610000000000002E-2</v>
      </c>
      <c r="M73" s="563">
        <f t="shared" si="3"/>
        <v>1.9200000000000002E-2</v>
      </c>
      <c r="N73" s="360">
        <f>'Rates in Detail'!AC72</f>
        <v>3.8000000000000002E-4</v>
      </c>
      <c r="O73" s="360">
        <f>SUM('Rates in Detail'!AD72:AF72)</f>
        <v>-1.6999999999999999E-4</v>
      </c>
      <c r="P73" s="360"/>
      <c r="Q73" s="835">
        <f t="shared" si="4"/>
        <v>1.941E-2</v>
      </c>
      <c r="R73" s="360">
        <f>'[26]Rates in summary'!E72</f>
        <v>0</v>
      </c>
      <c r="S73" s="360">
        <f>'[26]Rates in summary'!F72</f>
        <v>0</v>
      </c>
      <c r="T73" s="360">
        <f>'[26]Rates in summary'!H72</f>
        <v>2.0000000000000001E-4</v>
      </c>
      <c r="U73" s="1708">
        <f t="shared" si="5"/>
        <v>1.9400000000000001E-2</v>
      </c>
      <c r="V73" s="1717">
        <v>0</v>
      </c>
      <c r="W73" s="1690">
        <f t="shared" si="6"/>
        <v>1.9609999999999999E-2</v>
      </c>
      <c r="Y73" s="156"/>
      <c r="Z73" s="156"/>
      <c r="AA73" s="156"/>
      <c r="AB73" s="156"/>
      <c r="AC73" s="156"/>
      <c r="AD73" s="156"/>
    </row>
    <row r="74" spans="1:30" x14ac:dyDescent="0.3">
      <c r="A74" s="85">
        <f t="shared" si="0"/>
        <v>67</v>
      </c>
      <c r="B74" s="85" t="str">
        <f>'WA Volumes &amp; Revenues'!B75</f>
        <v>42I Inter Transpt</v>
      </c>
      <c r="C74" s="1392" t="s">
        <v>4</v>
      </c>
      <c r="D74" s="847">
        <f>'Rates in Detail'!J73</f>
        <v>0.13459999999999997</v>
      </c>
      <c r="E74" s="491">
        <f>SUM('Rates in Detail'!L73,'Rates in Detail'!P73,'Rates in Detail'!Q73)</f>
        <v>7.2999999999999992E-3</v>
      </c>
      <c r="F74" s="491">
        <f>'Rates in Detail'!V73</f>
        <v>-8.7000000000000011E-4</v>
      </c>
      <c r="G74" s="491"/>
      <c r="H74" s="1422">
        <f t="shared" si="1"/>
        <v>0.14102999999999996</v>
      </c>
      <c r="I74" s="491">
        <f>'[25]Rates in summary'!E65</f>
        <v>0</v>
      </c>
      <c r="J74" s="491">
        <f>'[25]Rates in summary'!F65</f>
        <v>0</v>
      </c>
      <c r="K74" s="491">
        <f>'[25]Rates in summary'!H65</f>
        <v>1.0300000000000001E-3</v>
      </c>
      <c r="L74" s="1704">
        <f t="shared" si="2"/>
        <v>0.13562999999999997</v>
      </c>
      <c r="M74" s="564">
        <f t="shared" si="3"/>
        <v>0.14205999999999996</v>
      </c>
      <c r="N74" s="491">
        <f>'Rates in Detail'!AC73</f>
        <v>3.3300000000000001E-3</v>
      </c>
      <c r="O74" s="491">
        <f>SUM('Rates in Detail'!AD73:AF73)</f>
        <v>-1.4299999999999998E-3</v>
      </c>
      <c r="P74" s="491"/>
      <c r="Q74" s="837">
        <f t="shared" si="4"/>
        <v>0.14395999999999998</v>
      </c>
      <c r="R74" s="491">
        <f>'[26]Rates in summary'!E73</f>
        <v>0</v>
      </c>
      <c r="S74" s="491">
        <f>'[26]Rates in summary'!F73</f>
        <v>0</v>
      </c>
      <c r="T74" s="491">
        <f>'[26]Rates in summary'!H73</f>
        <v>-2.3999999999999998E-4</v>
      </c>
      <c r="U74" s="1710">
        <f t="shared" si="5"/>
        <v>0.14181999999999997</v>
      </c>
      <c r="V74" s="972">
        <v>0</v>
      </c>
      <c r="W74" s="1692">
        <f t="shared" si="6"/>
        <v>0.14371999999999999</v>
      </c>
      <c r="Y74" s="156"/>
      <c r="Z74" s="156"/>
      <c r="AA74" s="156"/>
      <c r="AB74" s="156"/>
      <c r="AC74" s="156"/>
      <c r="AD74" s="156"/>
    </row>
    <row r="75" spans="1:30" x14ac:dyDescent="0.3">
      <c r="A75" s="85">
        <f t="shared" si="0"/>
        <v>68</v>
      </c>
      <c r="B75" s="85"/>
      <c r="C75" s="1392" t="s">
        <v>5</v>
      </c>
      <c r="D75" s="847">
        <f>'Rates in Detail'!J74</f>
        <v>0.12048999999999999</v>
      </c>
      <c r="E75" s="491">
        <f>SUM('Rates in Detail'!L74,'Rates in Detail'!P74,'Rates in Detail'!Q74)</f>
        <v>6.5300000000000011E-3</v>
      </c>
      <c r="F75" s="491">
        <f>'Rates in Detail'!V74</f>
        <v>-7.7999999999999988E-4</v>
      </c>
      <c r="G75" s="491"/>
      <c r="H75" s="1422">
        <f t="shared" si="1"/>
        <v>0.12623999999999999</v>
      </c>
      <c r="I75" s="491">
        <f>'[25]Rates in summary'!E66</f>
        <v>0</v>
      </c>
      <c r="J75" s="491">
        <f>'[25]Rates in summary'!F66</f>
        <v>0</v>
      </c>
      <c r="K75" s="491">
        <f>'[25]Rates in summary'!H66</f>
        <v>9.2000000000000003E-4</v>
      </c>
      <c r="L75" s="1704">
        <f t="shared" si="2"/>
        <v>0.12140999999999999</v>
      </c>
      <c r="M75" s="564">
        <f t="shared" si="3"/>
        <v>0.12716</v>
      </c>
      <c r="N75" s="491">
        <f>'Rates in Detail'!AC74</f>
        <v>2.98E-3</v>
      </c>
      <c r="O75" s="491">
        <f>SUM('Rates in Detail'!AD74:AF74)</f>
        <v>-1.2800000000000001E-3</v>
      </c>
      <c r="P75" s="491"/>
      <c r="Q75" s="837">
        <f t="shared" si="4"/>
        <v>0.12886</v>
      </c>
      <c r="R75" s="491">
        <f>'[26]Rates in summary'!E74</f>
        <v>0</v>
      </c>
      <c r="S75" s="491">
        <f>'[26]Rates in summary'!F74</f>
        <v>0</v>
      </c>
      <c r="T75" s="491">
        <f>'[26]Rates in summary'!H74</f>
        <v>-2.1000000000000017E-4</v>
      </c>
      <c r="U75" s="1710">
        <f t="shared" si="5"/>
        <v>0.12695000000000001</v>
      </c>
      <c r="V75" s="972">
        <v>0</v>
      </c>
      <c r="W75" s="1692">
        <f t="shared" si="6"/>
        <v>0.12865000000000001</v>
      </c>
      <c r="Y75" s="156"/>
      <c r="Z75" s="156"/>
      <c r="AA75" s="156"/>
      <c r="AB75" s="156"/>
      <c r="AC75" s="156"/>
      <c r="AD75" s="156"/>
    </row>
    <row r="76" spans="1:30" x14ac:dyDescent="0.3">
      <c r="A76" s="85">
        <f t="shared" si="0"/>
        <v>69</v>
      </c>
      <c r="B76" s="85"/>
      <c r="C76" s="1392" t="s">
        <v>6</v>
      </c>
      <c r="D76" s="847">
        <f>'Rates in Detail'!J75</f>
        <v>9.2380000000000004E-2</v>
      </c>
      <c r="E76" s="491">
        <f>SUM('Rates in Detail'!L75,'Rates in Detail'!P75,'Rates in Detail'!Q75)</f>
        <v>5.0099999999999997E-3</v>
      </c>
      <c r="F76" s="491">
        <f>'Rates in Detail'!V75</f>
        <v>-6.0000000000000006E-4</v>
      </c>
      <c r="G76" s="491"/>
      <c r="H76" s="1422">
        <f t="shared" si="1"/>
        <v>9.6790000000000001E-2</v>
      </c>
      <c r="I76" s="491">
        <f>'[25]Rates in summary'!E67</f>
        <v>0</v>
      </c>
      <c r="J76" s="491">
        <f>'[25]Rates in summary'!F67</f>
        <v>0</v>
      </c>
      <c r="K76" s="491">
        <f>'[25]Rates in summary'!H67</f>
        <v>7.2000000000000015E-4</v>
      </c>
      <c r="L76" s="1704">
        <f t="shared" si="2"/>
        <v>9.3100000000000002E-2</v>
      </c>
      <c r="M76" s="564">
        <f t="shared" si="3"/>
        <v>9.7509999999999999E-2</v>
      </c>
      <c r="N76" s="491">
        <f>'Rates in Detail'!AC75</f>
        <v>2.2799999999999999E-3</v>
      </c>
      <c r="O76" s="491">
        <f>SUM('Rates in Detail'!AD75:AF75)</f>
        <v>-9.7999999999999997E-4</v>
      </c>
      <c r="P76" s="491"/>
      <c r="Q76" s="837">
        <f t="shared" si="4"/>
        <v>9.8810000000000009E-2</v>
      </c>
      <c r="R76" s="491">
        <f>'[26]Rates in summary'!E75</f>
        <v>0</v>
      </c>
      <c r="S76" s="491">
        <f>'[26]Rates in summary'!F75</f>
        <v>0</v>
      </c>
      <c r="T76" s="491">
        <f>'[26]Rates in summary'!H75</f>
        <v>-1.5999999999999999E-4</v>
      </c>
      <c r="U76" s="1710">
        <f t="shared" si="5"/>
        <v>9.7350000000000006E-2</v>
      </c>
      <c r="V76" s="972">
        <v>0</v>
      </c>
      <c r="W76" s="1692">
        <f t="shared" si="6"/>
        <v>9.8650000000000015E-2</v>
      </c>
      <c r="Y76" s="156"/>
      <c r="Z76" s="156"/>
      <c r="AA76" s="156"/>
      <c r="AB76" s="156"/>
      <c r="AC76" s="156"/>
      <c r="AD76" s="156"/>
    </row>
    <row r="77" spans="1:30" x14ac:dyDescent="0.3">
      <c r="A77" s="85">
        <f t="shared" si="0"/>
        <v>70</v>
      </c>
      <c r="B77" s="85"/>
      <c r="C77" s="1392" t="s">
        <v>7</v>
      </c>
      <c r="D77" s="847">
        <f>'Rates in Detail'!J76</f>
        <v>7.392E-2</v>
      </c>
      <c r="E77" s="491">
        <f>SUM('Rates in Detail'!L76,'Rates in Detail'!P76,'Rates in Detail'!Q76)</f>
        <v>4.0099999999999997E-3</v>
      </c>
      <c r="F77" s="491">
        <f>'Rates in Detail'!V76</f>
        <v>-4.8000000000000001E-4</v>
      </c>
      <c r="G77" s="491"/>
      <c r="H77" s="1422">
        <f t="shared" si="1"/>
        <v>7.7450000000000005E-2</v>
      </c>
      <c r="I77" s="491">
        <f>'[25]Rates in summary'!E68</f>
        <v>0</v>
      </c>
      <c r="J77" s="491">
        <f>'[25]Rates in summary'!F68</f>
        <v>0</v>
      </c>
      <c r="K77" s="491">
        <f>'[25]Rates in summary'!H68</f>
        <v>5.7000000000000009E-4</v>
      </c>
      <c r="L77" s="1704">
        <f t="shared" si="2"/>
        <v>7.4490000000000001E-2</v>
      </c>
      <c r="M77" s="564">
        <f t="shared" si="3"/>
        <v>7.8020000000000006E-2</v>
      </c>
      <c r="N77" s="491">
        <f>'Rates in Detail'!AC76</f>
        <v>1.83E-3</v>
      </c>
      <c r="O77" s="491">
        <f>SUM('Rates in Detail'!AD76:AF76)</f>
        <v>-7.7999999999999999E-4</v>
      </c>
      <c r="P77" s="491"/>
      <c r="Q77" s="837">
        <f t="shared" si="4"/>
        <v>7.9070000000000001E-2</v>
      </c>
      <c r="R77" s="491">
        <f>'[26]Rates in summary'!E76</f>
        <v>0</v>
      </c>
      <c r="S77" s="491">
        <f>'[26]Rates in summary'!F76</f>
        <v>0</v>
      </c>
      <c r="T77" s="491">
        <f>'[26]Rates in summary'!H76</f>
        <v>-1.3000000000000002E-4</v>
      </c>
      <c r="U77" s="1710">
        <f t="shared" si="5"/>
        <v>7.7890000000000001E-2</v>
      </c>
      <c r="V77" s="972">
        <v>0</v>
      </c>
      <c r="W77" s="1692">
        <f t="shared" si="6"/>
        <v>7.8939999999999996E-2</v>
      </c>
      <c r="Y77" s="156"/>
      <c r="Z77" s="156"/>
      <c r="AA77" s="156"/>
      <c r="AB77" s="156"/>
      <c r="AC77" s="156"/>
      <c r="AD77" s="156"/>
    </row>
    <row r="78" spans="1:30" x14ac:dyDescent="0.3">
      <c r="A78" s="85">
        <f t="shared" si="0"/>
        <v>71</v>
      </c>
      <c r="B78" s="85"/>
      <c r="C78" s="1392" t="s">
        <v>8</v>
      </c>
      <c r="D78" s="847">
        <f>'Rates in Detail'!J77</f>
        <v>4.929E-2</v>
      </c>
      <c r="E78" s="491">
        <f>SUM('Rates in Detail'!L77,'Rates in Detail'!P77,'Rates in Detail'!Q77)</f>
        <v>2.6700000000000001E-3</v>
      </c>
      <c r="F78" s="491">
        <f>'Rates in Detail'!V77</f>
        <v>-3.1999999999999997E-4</v>
      </c>
      <c r="G78" s="491"/>
      <c r="H78" s="1422">
        <f t="shared" si="1"/>
        <v>5.1639999999999998E-2</v>
      </c>
      <c r="I78" s="491">
        <f>'[25]Rates in summary'!E69</f>
        <v>0</v>
      </c>
      <c r="J78" s="491">
        <f>'[25]Rates in summary'!F69</f>
        <v>0</v>
      </c>
      <c r="K78" s="491">
        <f>'[25]Rates in summary'!H69</f>
        <v>3.8000000000000002E-4</v>
      </c>
      <c r="L78" s="1704">
        <f t="shared" si="2"/>
        <v>4.9669999999999999E-2</v>
      </c>
      <c r="M78" s="564">
        <f t="shared" si="3"/>
        <v>5.2019999999999997E-2</v>
      </c>
      <c r="N78" s="491">
        <f>'Rates in Detail'!AC77</f>
        <v>1.2199999999999999E-3</v>
      </c>
      <c r="O78" s="491">
        <f>SUM('Rates in Detail'!AD77:AF77)</f>
        <v>-5.1999999999999995E-4</v>
      </c>
      <c r="P78" s="491"/>
      <c r="Q78" s="837">
        <f t="shared" si="4"/>
        <v>5.2719999999999996E-2</v>
      </c>
      <c r="R78" s="491">
        <f>'[26]Rates in summary'!E77</f>
        <v>0</v>
      </c>
      <c r="S78" s="491">
        <f>'[26]Rates in summary'!F77</f>
        <v>0</v>
      </c>
      <c r="T78" s="491">
        <f>'[26]Rates in summary'!H77</f>
        <v>-9.0000000000000046E-5</v>
      </c>
      <c r="U78" s="1710">
        <f t="shared" si="5"/>
        <v>5.1929999999999997E-2</v>
      </c>
      <c r="V78" s="972">
        <v>0</v>
      </c>
      <c r="W78" s="1692">
        <f t="shared" si="6"/>
        <v>5.2629999999999996E-2</v>
      </c>
      <c r="Y78" s="156"/>
      <c r="Z78" s="156"/>
      <c r="AA78" s="156"/>
      <c r="AB78" s="156"/>
      <c r="AC78" s="156"/>
      <c r="AD78" s="156"/>
    </row>
    <row r="79" spans="1:30" x14ac:dyDescent="0.3">
      <c r="A79" s="85">
        <f t="shared" si="0"/>
        <v>72</v>
      </c>
      <c r="B79" s="160"/>
      <c r="C79" s="1393" t="s">
        <v>9</v>
      </c>
      <c r="D79" s="847">
        <f>'Rates in Detail'!J78</f>
        <v>1.8460000000000001E-2</v>
      </c>
      <c r="E79" s="491">
        <f>SUM('Rates in Detail'!L78,'Rates in Detail'!P78,'Rates in Detail'!Q78)</f>
        <v>1.0099999999999998E-3</v>
      </c>
      <c r="F79" s="491">
        <f>'Rates in Detail'!V78</f>
        <v>-1.2000000000000002E-4</v>
      </c>
      <c r="G79" s="491"/>
      <c r="H79" s="1422">
        <f t="shared" ref="H79:H82" si="7">SUM(D79:G79)</f>
        <v>1.9350000000000003E-2</v>
      </c>
      <c r="I79" s="491">
        <f>'[25]Rates in summary'!E70</f>
        <v>0</v>
      </c>
      <c r="J79" s="491">
        <f>'[25]Rates in summary'!F70</f>
        <v>0</v>
      </c>
      <c r="K79" s="491">
        <f>'[25]Rates in summary'!H70</f>
        <v>1.5000000000000001E-4</v>
      </c>
      <c r="L79" s="1704">
        <f t="shared" ref="L79:L82" si="8">D79+I79+J79+K79</f>
        <v>1.8610000000000002E-2</v>
      </c>
      <c r="M79" s="563">
        <f t="shared" ref="M79:M82" si="9">SUM(H79:K79)</f>
        <v>1.9500000000000003E-2</v>
      </c>
      <c r="N79" s="491">
        <f>'Rates in Detail'!AC78</f>
        <v>4.6000000000000001E-4</v>
      </c>
      <c r="O79" s="491">
        <f>SUM('Rates in Detail'!AD78:AF78)</f>
        <v>-2.0000000000000001E-4</v>
      </c>
      <c r="P79" s="491"/>
      <c r="Q79" s="837">
        <f t="shared" ref="Q79:Q82" si="10">SUM(M79:P79)</f>
        <v>1.9760000000000003E-2</v>
      </c>
      <c r="R79" s="491">
        <f>'[26]Rates in summary'!E78</f>
        <v>0</v>
      </c>
      <c r="S79" s="491">
        <f>'[26]Rates in summary'!F78</f>
        <v>0</v>
      </c>
      <c r="T79" s="491">
        <f>'[26]Rates in summary'!H78</f>
        <v>-2.9999999999999997E-5</v>
      </c>
      <c r="U79" s="1710">
        <f t="shared" ref="U79:U81" si="11">M79+R79+S79+T79</f>
        <v>1.9470000000000005E-2</v>
      </c>
      <c r="V79" s="972">
        <v>0</v>
      </c>
      <c r="W79" s="1692">
        <f t="shared" ref="W79:W82" si="12">SUM(Q79:T79)+V79</f>
        <v>1.9730000000000004E-2</v>
      </c>
      <c r="Y79" s="156"/>
      <c r="Z79" s="156"/>
      <c r="AA79" s="156"/>
      <c r="AB79" s="156"/>
      <c r="AC79" s="156"/>
      <c r="AD79" s="156"/>
    </row>
    <row r="80" spans="1:30" x14ac:dyDescent="0.3">
      <c r="A80" s="85">
        <f t="shared" si="0"/>
        <v>73</v>
      </c>
      <c r="B80" s="959" t="str">
        <f>'WA Volumes &amp; Revenues'!B81</f>
        <v>43 Firm Transpt</v>
      </c>
      <c r="C80" s="959" t="s">
        <v>270</v>
      </c>
      <c r="D80" s="846">
        <f>'Rates in Detail'!J79</f>
        <v>4.919999999999999E-3</v>
      </c>
      <c r="E80" s="385">
        <f>SUM('Rates in Detail'!L79,'Rates in Detail'!P79,'Rates in Detail'!Q79)</f>
        <v>0</v>
      </c>
      <c r="F80" s="385">
        <f>'Rates in Detail'!V79</f>
        <v>-2.0000000000000002E-5</v>
      </c>
      <c r="G80" s="385"/>
      <c r="H80" s="1423">
        <f>SUM(D80:G80)</f>
        <v>4.899999999999999E-3</v>
      </c>
      <c r="I80" s="385">
        <f>'[25]Rates in summary'!E71</f>
        <v>0</v>
      </c>
      <c r="J80" s="385">
        <f>'[25]Rates in summary'!F71</f>
        <v>0</v>
      </c>
      <c r="K80" s="385">
        <f>'[25]Rates in summary'!H71</f>
        <v>5.0000000000000002E-5</v>
      </c>
      <c r="L80" s="1705">
        <f t="shared" si="8"/>
        <v>4.9699999999999987E-3</v>
      </c>
      <c r="M80" s="562">
        <f>SUM(H80:K80)</f>
        <v>4.9499999999999987E-3</v>
      </c>
      <c r="N80" s="385">
        <f>'Rates in Detail'!AC79</f>
        <v>0</v>
      </c>
      <c r="O80" s="385">
        <f>SUM('Rates in Detail'!AD79:AF79)</f>
        <v>-4.0000000000000003E-5</v>
      </c>
      <c r="P80" s="385"/>
      <c r="Q80" s="838">
        <f t="shared" si="10"/>
        <v>4.9099999999999986E-3</v>
      </c>
      <c r="R80" s="385">
        <f>'[26]Rates in summary'!E79</f>
        <v>0</v>
      </c>
      <c r="S80" s="385">
        <f>'[26]Rates in summary'!F79</f>
        <v>0</v>
      </c>
      <c r="T80" s="385">
        <f>'[26]Rates in summary'!H79</f>
        <v>8.7000000000000001E-4</v>
      </c>
      <c r="U80" s="1709">
        <f t="shared" si="11"/>
        <v>5.8199999999999988E-3</v>
      </c>
      <c r="V80" s="1718">
        <v>0</v>
      </c>
      <c r="W80" s="1691">
        <f t="shared" si="12"/>
        <v>5.7799999999999987E-3</v>
      </c>
      <c r="Y80" s="156"/>
      <c r="Z80" s="156"/>
      <c r="AA80" s="156"/>
      <c r="AB80" s="156"/>
      <c r="AC80" s="156"/>
      <c r="AD80" s="156"/>
    </row>
    <row r="81" spans="1:30" ht="13.5" thickBot="1" x14ac:dyDescent="0.35">
      <c r="A81" s="85">
        <f t="shared" si="0"/>
        <v>74</v>
      </c>
      <c r="B81" s="959" t="str">
        <f>'WA Volumes &amp; Revenues'!B82</f>
        <v>43 Interr Transpt</v>
      </c>
      <c r="C81" s="959" t="s">
        <v>270</v>
      </c>
      <c r="D81" s="848">
        <f>'Rates in Detail'!J80</f>
        <v>4.919999999999999E-3</v>
      </c>
      <c r="E81" s="360">
        <f>SUM('Rates in Detail'!L80,'Rates in Detail'!P80,'Rates in Detail'!Q80)</f>
        <v>0</v>
      </c>
      <c r="F81" s="360">
        <f>'Rates in Detail'!V80</f>
        <v>-2.0000000000000002E-5</v>
      </c>
      <c r="G81" s="152"/>
      <c r="H81" s="1421">
        <f>SUM(D81:G81)</f>
        <v>4.899999999999999E-3</v>
      </c>
      <c r="I81" s="360">
        <f>'[25]Rates in summary'!E72</f>
        <v>0</v>
      </c>
      <c r="J81" s="360">
        <f>'[25]Rates in summary'!F72</f>
        <v>0</v>
      </c>
      <c r="K81" s="360">
        <f>'[25]Rates in summary'!H72</f>
        <v>5.0000000000000002E-5</v>
      </c>
      <c r="L81" s="1703">
        <f t="shared" si="8"/>
        <v>4.9699999999999987E-3</v>
      </c>
      <c r="M81" s="562">
        <f>SUM(H81:K81)</f>
        <v>4.9499999999999987E-3</v>
      </c>
      <c r="N81" s="360">
        <f>'Rates in Detail'!AC80</f>
        <v>0</v>
      </c>
      <c r="O81" s="360">
        <f>SUM('Rates in Detail'!AD80:AF80)</f>
        <v>-4.0000000000000003E-5</v>
      </c>
      <c r="P81" s="152"/>
      <c r="Q81" s="836">
        <f t="shared" si="10"/>
        <v>4.9099999999999986E-3</v>
      </c>
      <c r="R81" s="360">
        <f>'[26]Rates in summary'!E80</f>
        <v>0</v>
      </c>
      <c r="S81" s="360">
        <f>'[26]Rates in summary'!F80</f>
        <v>0</v>
      </c>
      <c r="T81" s="360">
        <f>'[26]Rates in summary'!H80</f>
        <v>3.0000000000000003E-4</v>
      </c>
      <c r="U81" s="1708">
        <f t="shared" si="11"/>
        <v>5.2499999999999986E-3</v>
      </c>
      <c r="V81" s="972">
        <v>0</v>
      </c>
      <c r="W81" s="1693">
        <f t="shared" si="12"/>
        <v>5.2099999999999985E-3</v>
      </c>
      <c r="Y81" s="156"/>
      <c r="Z81" s="156"/>
      <c r="AA81" s="156"/>
      <c r="AB81" s="156"/>
      <c r="AC81" s="156"/>
      <c r="AD81" s="156"/>
    </row>
    <row r="82" spans="1:30" ht="13.5" thickBot="1" x14ac:dyDescent="0.35">
      <c r="A82" s="85">
        <f t="shared" si="0"/>
        <v>75</v>
      </c>
      <c r="B82" s="1407" t="str">
        <f>'WA Volumes &amp; Revenues'!B83</f>
        <v>Special Contract</v>
      </c>
      <c r="C82" s="1407" t="s">
        <v>270</v>
      </c>
      <c r="D82" s="849">
        <f>'Rates in Detail'!J81</f>
        <v>0</v>
      </c>
      <c r="E82" s="841">
        <f>SUM('Rates in Detail'!L81,'Rates in Detail'!P81,'Rates in Detail'!Q81)</f>
        <v>0</v>
      </c>
      <c r="F82" s="830">
        <f>'Rates in Detail'!V81</f>
        <v>0</v>
      </c>
      <c r="G82" s="165"/>
      <c r="H82" s="1424">
        <f t="shared" si="7"/>
        <v>0</v>
      </c>
      <c r="I82" s="830">
        <v>0</v>
      </c>
      <c r="J82" s="841">
        <v>0</v>
      </c>
      <c r="K82" s="841">
        <v>0</v>
      </c>
      <c r="L82" s="1706">
        <f t="shared" si="8"/>
        <v>0</v>
      </c>
      <c r="M82" s="840">
        <f t="shared" si="9"/>
        <v>0</v>
      </c>
      <c r="N82" s="841">
        <f>'Rates in Detail'!AC81</f>
        <v>0</v>
      </c>
      <c r="O82" s="841">
        <f>SUM('Rates in Detail'!AD81:AF81)</f>
        <v>0</v>
      </c>
      <c r="P82" s="165"/>
      <c r="Q82" s="839">
        <f t="shared" si="10"/>
        <v>0</v>
      </c>
      <c r="R82" s="164">
        <f>'[26]Rates in summary'!E81</f>
        <v>0</v>
      </c>
      <c r="S82" s="164">
        <f>'[26]Rates in summary'!F81</f>
        <v>0</v>
      </c>
      <c r="T82" s="164">
        <f>'[26]Rates in summary'!H81</f>
        <v>0</v>
      </c>
      <c r="U82" s="1711"/>
      <c r="V82" s="766">
        <v>0</v>
      </c>
      <c r="W82" s="1688">
        <f t="shared" si="12"/>
        <v>0</v>
      </c>
      <c r="Y82" s="156"/>
      <c r="Z82" s="156"/>
      <c r="AA82" s="156"/>
      <c r="AB82" s="156"/>
      <c r="AC82" s="156"/>
      <c r="AD82" s="156"/>
    </row>
    <row r="83" spans="1:30" x14ac:dyDescent="0.3">
      <c r="A83" s="85">
        <f t="shared" si="0"/>
        <v>76</v>
      </c>
      <c r="M83" s="54"/>
      <c r="W83" s="54"/>
    </row>
    <row r="84" spans="1:30" x14ac:dyDescent="0.3">
      <c r="A84" s="85">
        <f t="shared" ref="A84:A90" si="13">+A83+1</f>
        <v>77</v>
      </c>
      <c r="H84" s="538"/>
    </row>
    <row r="85" spans="1:30" ht="13.5" thickBot="1" x14ac:dyDescent="0.35">
      <c r="A85" s="85">
        <f t="shared" si="13"/>
        <v>78</v>
      </c>
      <c r="B85" s="167" t="s">
        <v>58</v>
      </c>
    </row>
    <row r="86" spans="1:30" ht="13.5" thickBot="1" x14ac:dyDescent="0.35">
      <c r="A86" s="85">
        <f t="shared" si="13"/>
        <v>79</v>
      </c>
      <c r="B86" s="850" t="s">
        <v>59</v>
      </c>
      <c r="C86" s="851"/>
      <c r="D86" s="852"/>
      <c r="E86" s="852"/>
      <c r="F86" s="852"/>
      <c r="G86" s="852"/>
      <c r="H86" s="853"/>
      <c r="I86" s="852"/>
      <c r="J86" s="852"/>
      <c r="K86" s="852"/>
      <c r="L86" s="853"/>
      <c r="M86" s="854"/>
      <c r="N86" s="852"/>
      <c r="O86" s="852"/>
      <c r="P86" s="852"/>
      <c r="Q86" s="853"/>
      <c r="R86" s="1686"/>
      <c r="S86" s="1686"/>
      <c r="T86" s="1686"/>
      <c r="U86" s="852"/>
      <c r="V86" s="852"/>
      <c r="W86" s="854"/>
    </row>
    <row r="87" spans="1:30" ht="13.5" thickBot="1" x14ac:dyDescent="0.35">
      <c r="A87" s="85">
        <f t="shared" si="13"/>
        <v>80</v>
      </c>
    </row>
    <row r="88" spans="1:30" ht="13.5" thickBot="1" x14ac:dyDescent="0.35">
      <c r="A88" s="85">
        <f t="shared" si="13"/>
        <v>81</v>
      </c>
      <c r="B88" s="850" t="s">
        <v>62</v>
      </c>
      <c r="C88" s="851"/>
      <c r="D88" s="851"/>
      <c r="E88" s="851"/>
      <c r="F88" s="851"/>
      <c r="G88" s="851"/>
      <c r="H88" s="855"/>
      <c r="I88" s="851"/>
      <c r="J88" s="851"/>
      <c r="K88" s="851"/>
      <c r="L88" s="855"/>
      <c r="M88" s="856"/>
      <c r="N88" s="851"/>
      <c r="O88" s="851"/>
      <c r="P88" s="851"/>
      <c r="Q88" s="855"/>
      <c r="R88" s="1687"/>
      <c r="S88" s="1687"/>
      <c r="T88" s="1687"/>
      <c r="U88" s="851"/>
      <c r="V88" s="851"/>
      <c r="W88" s="856"/>
    </row>
    <row r="89" spans="1:30" x14ac:dyDescent="0.3">
      <c r="A89" s="85">
        <f t="shared" si="13"/>
        <v>82</v>
      </c>
    </row>
    <row r="90" spans="1:30" x14ac:dyDescent="0.3">
      <c r="A90" s="85">
        <f t="shared" si="13"/>
        <v>83</v>
      </c>
      <c r="B90" s="169" t="s">
        <v>177</v>
      </c>
      <c r="C90" s="544"/>
      <c r="D90" s="544"/>
      <c r="E90" s="544"/>
      <c r="F90" s="544"/>
      <c r="G90" s="544"/>
      <c r="H90" s="545"/>
      <c r="I90" s="544"/>
      <c r="J90" s="544"/>
      <c r="K90" s="544"/>
      <c r="L90" s="545"/>
      <c r="M90" s="544"/>
      <c r="N90" s="544"/>
      <c r="O90" s="544"/>
      <c r="P90" s="544"/>
      <c r="Q90" s="545"/>
      <c r="R90" s="545"/>
      <c r="S90" s="545"/>
      <c r="T90" s="545"/>
      <c r="U90" s="544"/>
      <c r="V90" s="544"/>
      <c r="W90" s="544"/>
    </row>
    <row r="91" spans="1:30" x14ac:dyDescent="0.3">
      <c r="A91" s="85"/>
      <c r="B91" s="169"/>
      <c r="C91" s="544"/>
      <c r="D91" s="544"/>
      <c r="E91" s="544"/>
      <c r="F91" s="544"/>
      <c r="G91" s="544"/>
      <c r="H91" s="545"/>
      <c r="I91" s="544"/>
      <c r="J91" s="544"/>
      <c r="K91" s="544"/>
      <c r="L91" s="545"/>
      <c r="M91" s="544"/>
      <c r="N91" s="544"/>
      <c r="O91" s="544"/>
      <c r="P91" s="544"/>
      <c r="Q91" s="545"/>
      <c r="R91" s="545"/>
      <c r="S91" s="545"/>
      <c r="T91" s="545"/>
      <c r="U91" s="544"/>
      <c r="V91" s="544"/>
      <c r="W91" s="544"/>
    </row>
    <row r="92" spans="1:30" x14ac:dyDescent="0.3">
      <c r="A92" s="85"/>
    </row>
    <row r="93" spans="1:30" x14ac:dyDescent="0.3">
      <c r="A93" s="85"/>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10" type="noConversion"/>
  <printOptions horizontalCentered="1"/>
  <pageMargins left="0.5" right="0.5" top="0.5" bottom="0.5" header="0.25" footer="0.25"/>
  <pageSetup scale="51" orientation="portrait" r:id="rId3"/>
  <headerFooter alignWithMargins="0">
    <oddHeader>&amp;RUG-200994 et al. / NWN WUTC Advice 22-09
WP1 / &amp;A</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AX85"/>
  <sheetViews>
    <sheetView zoomScale="130" zoomScaleNormal="130" workbookViewId="0">
      <pane xSplit="4" ySplit="12" topLeftCell="AF13" activePane="bottomRight" state="frozen"/>
      <selection pane="topRight" activeCell="E1" sqref="E1"/>
      <selection pane="bottomLeft" activeCell="A13" sqref="A13"/>
      <selection pane="bottomRight" activeCell="AF13" sqref="AF13"/>
    </sheetView>
  </sheetViews>
  <sheetFormatPr defaultColWidth="9.296875" defaultRowHeight="14.5" outlineLevelCol="1" x14ac:dyDescent="0.35"/>
  <cols>
    <col min="1" max="1" width="6.796875" style="131" customWidth="1"/>
    <col min="2" max="3" width="19" style="173" customWidth="1"/>
    <col min="4" max="4" width="10.296875" style="173" customWidth="1"/>
    <col min="5" max="5" width="11.296875" style="173" bestFit="1" customWidth="1"/>
    <col min="6" max="6" width="14" style="173" bestFit="1" customWidth="1"/>
    <col min="7" max="7" width="10.296875" style="173" bestFit="1" customWidth="1"/>
    <col min="8" max="8" width="10.796875" style="173" customWidth="1"/>
    <col min="9" max="9" width="11.5" style="173" customWidth="1"/>
    <col min="10" max="10" width="14.796875" style="173" customWidth="1"/>
    <col min="11" max="11" width="2.796875" style="173" customWidth="1"/>
    <col min="12" max="12" width="14.796875" style="173" customWidth="1"/>
    <col min="13" max="13" width="2.796875" style="173" customWidth="1"/>
    <col min="14" max="14" width="15.796875" style="173" customWidth="1"/>
    <col min="15" max="16" width="16.796875" style="173" customWidth="1"/>
    <col min="17" max="17" width="16.796875" style="173" hidden="1" customWidth="1" outlineLevel="1"/>
    <col min="18" max="18" width="16.796875" style="173" customWidth="1" collapsed="1"/>
    <col min="19" max="21" width="18.796875" style="173" customWidth="1"/>
    <col min="22" max="22" width="18.296875" style="173" customWidth="1"/>
    <col min="23" max="23" width="17.296875" style="173" customWidth="1"/>
    <col min="24" max="25" width="20.796875" style="173" bestFit="1" customWidth="1"/>
    <col min="26" max="26" width="19.19921875" style="173" bestFit="1" customWidth="1"/>
    <col min="27" max="27" width="15.796875" style="173" customWidth="1"/>
    <col min="28" max="28" width="3.5" style="173" customWidth="1"/>
    <col min="29" max="29" width="17" style="131" customWidth="1" outlineLevel="1"/>
    <col min="30" max="32" width="16.19921875" style="131" customWidth="1" outlineLevel="1"/>
    <col min="33" max="35" width="17.296875" style="173" customWidth="1" outlineLevel="1"/>
    <col min="36" max="37" width="20.796875" style="173" bestFit="1" customWidth="1" outlineLevel="1"/>
    <col min="38" max="38" width="19.19921875" style="173" bestFit="1" customWidth="1" outlineLevel="1"/>
    <col min="39" max="39" width="21.69921875" style="173" bestFit="1" customWidth="1" outlineLevel="1"/>
    <col min="40" max="40" width="16.69921875" style="173" bestFit="1" customWidth="1" outlineLevel="1"/>
    <col min="41" max="41" width="4" style="173" customWidth="1"/>
    <col min="42" max="43" width="15.796875" style="173" customWidth="1"/>
    <col min="44" max="44" width="18.19921875" style="173" customWidth="1"/>
    <col min="45" max="47" width="15.796875" style="173" customWidth="1"/>
    <col min="48" max="48" width="5.296875" style="173" customWidth="1"/>
    <col min="49" max="49" width="9.296875" style="131"/>
    <col min="50" max="50" width="11.19921875" style="131" bestFit="1" customWidth="1"/>
    <col min="51" max="16384" width="9.296875" style="131"/>
  </cols>
  <sheetData>
    <row r="1" spans="1:50" ht="11.15" customHeight="1" x14ac:dyDescent="0.35">
      <c r="A1" s="172" t="str">
        <f>+'WA Volumes &amp; Revenues'!A1</f>
        <v>NW Natural</v>
      </c>
      <c r="N1" s="174"/>
    </row>
    <row r="2" spans="1:50" ht="12.75" customHeight="1" x14ac:dyDescent="0.35">
      <c r="A2" s="172" t="str">
        <f>+'WA Volumes &amp; Revenues'!A2</f>
        <v>Rates &amp; Regulatory Affairs</v>
      </c>
      <c r="F2" s="175"/>
      <c r="H2" s="828"/>
      <c r="L2" s="175"/>
      <c r="N2" s="176"/>
      <c r="Q2" s="177"/>
      <c r="R2" s="1454" t="s">
        <v>600</v>
      </c>
      <c r="U2" s="175"/>
      <c r="V2" s="1454" t="s">
        <v>600</v>
      </c>
      <c r="W2" s="1454" t="s">
        <v>600</v>
      </c>
      <c r="X2" s="1454"/>
      <c r="Y2" s="1454"/>
      <c r="Z2" s="1454"/>
      <c r="AA2" s="1454" t="s">
        <v>600</v>
      </c>
      <c r="AC2" s="1133"/>
      <c r="AD2" s="1134"/>
      <c r="AE2" s="1134"/>
      <c r="AF2" s="1134"/>
      <c r="AG2" s="1135"/>
      <c r="AH2" s="1135"/>
      <c r="AI2" s="1454" t="s">
        <v>601</v>
      </c>
      <c r="AJ2" s="1454"/>
      <c r="AK2" s="1454"/>
      <c r="AL2" s="1454"/>
      <c r="AM2" s="1454"/>
      <c r="AN2" s="1454" t="s">
        <v>601</v>
      </c>
    </row>
    <row r="3" spans="1:50" ht="15" customHeight="1" thickBot="1" x14ac:dyDescent="0.4">
      <c r="A3" s="172" t="str">
        <f>+'WA Volumes &amp; Revenues'!A3</f>
        <v>Test Year Ending September 30, 2020</v>
      </c>
      <c r="F3" s="178"/>
      <c r="H3" s="175"/>
      <c r="I3" s="175"/>
      <c r="L3" s="175"/>
      <c r="N3" s="174"/>
      <c r="Q3" s="1110"/>
      <c r="R3" s="222"/>
      <c r="S3" s="222"/>
      <c r="T3" s="222"/>
      <c r="U3" s="1110"/>
      <c r="V3" s="131"/>
      <c r="W3" s="1713" t="s">
        <v>760</v>
      </c>
      <c r="X3" s="1713"/>
      <c r="Y3" s="1713"/>
      <c r="Z3" s="1713"/>
      <c r="AA3" s="1713" t="s">
        <v>772</v>
      </c>
      <c r="AC3" s="1133"/>
      <c r="AD3" s="1134"/>
      <c r="AE3" s="1134"/>
      <c r="AF3" s="1134"/>
      <c r="AG3" s="1135"/>
      <c r="AH3" s="1135"/>
      <c r="AI3" s="1713" t="s">
        <v>760</v>
      </c>
      <c r="AJ3" s="1713"/>
      <c r="AK3" s="1713"/>
      <c r="AL3" s="1713"/>
      <c r="AM3" s="1713"/>
      <c r="AN3" s="1713" t="s">
        <v>768</v>
      </c>
    </row>
    <row r="4" spans="1:50" ht="15.75" customHeight="1" thickBot="1" x14ac:dyDescent="0.4">
      <c r="A4" s="172" t="s">
        <v>607</v>
      </c>
      <c r="E4" s="175"/>
      <c r="F4" s="175"/>
      <c r="H4" s="175"/>
      <c r="I4" s="175"/>
      <c r="K4" s="175"/>
      <c r="L4" s="1143">
        <f>'Rate Spread SETTLEMENT'!D23/1000</f>
        <v>5462.2520000000004</v>
      </c>
      <c r="M4" s="175"/>
      <c r="N4" s="175"/>
      <c r="O4" s="131"/>
      <c r="P4" s="1774">
        <f>'Allocation = % of Margin'!AB10/1000</f>
        <v>-462.25200000000001</v>
      </c>
      <c r="Q4" s="1777"/>
      <c r="R4" s="131"/>
      <c r="S4" s="1774">
        <f>'Allocation = % of Margin'!S10/1000</f>
        <v>-770.71600000000001</v>
      </c>
      <c r="T4" s="1774">
        <f>'Allocation = % of Margin'!V10/1000</f>
        <v>-437.87</v>
      </c>
      <c r="U4" s="1774">
        <f>'Allocation = % of Margin'!Y10/1000</f>
        <v>154.42099999999999</v>
      </c>
      <c r="V4" s="222"/>
      <c r="W4" s="1713" t="s">
        <v>761</v>
      </c>
      <c r="X4" s="1713"/>
      <c r="Y4" s="1713"/>
      <c r="Z4" s="1713"/>
      <c r="AA4" s="1778"/>
      <c r="AB4" s="175"/>
      <c r="AC4" s="222"/>
      <c r="AD4" s="1774">
        <f>'Allocation = % of Margin'!AK10/1000</f>
        <v>-44.543999999999997</v>
      </c>
      <c r="AE4" s="1774">
        <f>S4</f>
        <v>-770.71600000000001</v>
      </c>
      <c r="AF4" s="1774">
        <f>T4</f>
        <v>-437.87</v>
      </c>
      <c r="AG4" s="175"/>
      <c r="AH4" s="175"/>
      <c r="AI4" s="1713" t="s">
        <v>761</v>
      </c>
      <c r="AJ4" s="1713"/>
      <c r="AK4" s="1713"/>
      <c r="AL4" s="1713"/>
      <c r="AM4" s="1713"/>
      <c r="AN4" s="1778"/>
      <c r="AO4" s="175"/>
      <c r="AP4" s="175"/>
      <c r="AQ4" s="175"/>
    </row>
    <row r="5" spans="1:50" ht="13.5" customHeight="1" thickBot="1" x14ac:dyDescent="0.4">
      <c r="F5" s="179"/>
      <c r="L5" s="247"/>
      <c r="O5" s="1861" t="s">
        <v>771</v>
      </c>
      <c r="P5" s="1862"/>
      <c r="Q5" s="1862"/>
      <c r="R5" s="1862"/>
      <c r="S5" s="1862"/>
      <c r="T5" s="1862"/>
      <c r="U5" s="1862"/>
      <c r="V5" s="1862"/>
      <c r="W5" s="1862"/>
      <c r="X5" s="1862"/>
      <c r="Y5" s="1862"/>
      <c r="Z5" s="1862"/>
      <c r="AA5" s="1863"/>
      <c r="AC5" s="1858" t="s">
        <v>773</v>
      </c>
      <c r="AD5" s="1859"/>
      <c r="AE5" s="1859"/>
      <c r="AF5" s="1859"/>
      <c r="AG5" s="1859"/>
      <c r="AH5" s="1859"/>
      <c r="AI5" s="1859"/>
      <c r="AJ5" s="1859"/>
      <c r="AK5" s="1859"/>
      <c r="AL5" s="1859"/>
      <c r="AM5" s="1859"/>
      <c r="AN5" s="1860"/>
    </row>
    <row r="6" spans="1:50" ht="15" thickBot="1" x14ac:dyDescent="0.4">
      <c r="L6" s="180" t="s">
        <v>599</v>
      </c>
      <c r="N6" s="1731"/>
      <c r="O6" s="1870" t="s">
        <v>599</v>
      </c>
      <c r="P6" s="1870"/>
      <c r="Q6" s="1871"/>
      <c r="R6" s="1730" t="s">
        <v>599</v>
      </c>
      <c r="S6" s="1870" t="s">
        <v>599</v>
      </c>
      <c r="T6" s="1870"/>
      <c r="U6" s="1871"/>
      <c r="V6" s="977"/>
      <c r="W6" s="1735" t="s">
        <v>733</v>
      </c>
      <c r="X6" s="941" t="s">
        <v>403</v>
      </c>
      <c r="Y6" s="941" t="str">
        <f>X6</f>
        <v>2021-2022</v>
      </c>
      <c r="Z6" s="941" t="str">
        <f>Y6</f>
        <v>2021-2022</v>
      </c>
      <c r="AA6" s="1743" t="s">
        <v>763</v>
      </c>
      <c r="AC6" s="1872" t="s">
        <v>599</v>
      </c>
      <c r="AD6" s="1873"/>
      <c r="AE6" s="1873"/>
      <c r="AF6" s="1874"/>
      <c r="AG6" s="977"/>
      <c r="AH6" s="977"/>
      <c r="AI6" s="1769" t="s">
        <v>733</v>
      </c>
      <c r="AJ6" s="1775" t="s">
        <v>404</v>
      </c>
      <c r="AK6" s="1775" t="str">
        <f>AJ6</f>
        <v>2022-2023</v>
      </c>
      <c r="AL6" s="1775" t="str">
        <f>AK6</f>
        <v>2022-2023</v>
      </c>
      <c r="AM6" s="1776" t="s">
        <v>404</v>
      </c>
      <c r="AN6" s="1749" t="s">
        <v>763</v>
      </c>
      <c r="AP6" s="1864" t="s">
        <v>117</v>
      </c>
      <c r="AQ6" s="1865"/>
      <c r="AR6" s="1865"/>
      <c r="AS6" s="1865"/>
      <c r="AT6" s="1865"/>
      <c r="AU6" s="1866"/>
    </row>
    <row r="7" spans="1:50" ht="15" thickBot="1" x14ac:dyDescent="0.4">
      <c r="A7" s="132">
        <v>1</v>
      </c>
      <c r="E7" s="1867" t="s">
        <v>759</v>
      </c>
      <c r="F7" s="1868"/>
      <c r="G7" s="1868"/>
      <c r="H7" s="1868"/>
      <c r="I7" s="1868"/>
      <c r="J7" s="1869"/>
      <c r="K7" s="181"/>
      <c r="L7" s="928" t="s">
        <v>400</v>
      </c>
      <c r="M7" s="181"/>
      <c r="N7" s="1732" t="s">
        <v>17</v>
      </c>
      <c r="O7" s="183" t="s">
        <v>20</v>
      </c>
      <c r="P7" s="183" t="s">
        <v>20</v>
      </c>
      <c r="Q7" s="183" t="s">
        <v>20</v>
      </c>
      <c r="R7" s="184"/>
      <c r="S7" s="183" t="s">
        <v>20</v>
      </c>
      <c r="T7" s="183" t="s">
        <v>20</v>
      </c>
      <c r="U7" s="183" t="s">
        <v>20</v>
      </c>
      <c r="V7" s="1772" t="s">
        <v>402</v>
      </c>
      <c r="W7" s="1773" t="s">
        <v>402</v>
      </c>
      <c r="X7" s="419" t="s">
        <v>718</v>
      </c>
      <c r="Y7" s="419" t="s">
        <v>718</v>
      </c>
      <c r="Z7" s="419" t="s">
        <v>718</v>
      </c>
      <c r="AA7" s="1743" t="s">
        <v>764</v>
      </c>
      <c r="AB7" s="185"/>
      <c r="AC7" s="182" t="s">
        <v>399</v>
      </c>
      <c r="AD7" s="183" t="s">
        <v>20</v>
      </c>
      <c r="AE7" s="183" t="s">
        <v>20</v>
      </c>
      <c r="AF7" s="183" t="s">
        <v>20</v>
      </c>
      <c r="AG7" s="1772" t="s">
        <v>397</v>
      </c>
      <c r="AH7" s="1772" t="s">
        <v>397</v>
      </c>
      <c r="AI7" s="1773" t="str">
        <f>AG7</f>
        <v>YEAR 2</v>
      </c>
      <c r="AJ7" s="419" t="s">
        <v>718</v>
      </c>
      <c r="AK7" s="419" t="s">
        <v>718</v>
      </c>
      <c r="AL7" s="419" t="s">
        <v>718</v>
      </c>
      <c r="AM7" s="1759" t="s">
        <v>753</v>
      </c>
      <c r="AN7" s="1749" t="s">
        <v>767</v>
      </c>
      <c r="AO7" s="185"/>
      <c r="AP7" s="186" t="s">
        <v>17</v>
      </c>
      <c r="AQ7" s="187" t="s">
        <v>20</v>
      </c>
      <c r="AR7" s="187" t="s">
        <v>17</v>
      </c>
      <c r="AS7" s="187" t="s">
        <v>20</v>
      </c>
      <c r="AT7" s="187" t="s">
        <v>17</v>
      </c>
      <c r="AU7" s="188" t="s">
        <v>20</v>
      </c>
    </row>
    <row r="8" spans="1:50" x14ac:dyDescent="0.35">
      <c r="A8" s="132">
        <f>+A7+1</f>
        <v>2</v>
      </c>
      <c r="E8" s="182"/>
      <c r="F8" s="189"/>
      <c r="G8" s="183"/>
      <c r="H8" s="183"/>
      <c r="I8" s="183"/>
      <c r="J8" s="188">
        <f>+'Avg Bill by RS'!K9</f>
        <v>44136</v>
      </c>
      <c r="K8" s="190"/>
      <c r="L8" s="191" t="str">
        <f>'Allocation = ¢ per Therm'!D12</f>
        <v>WA GRC</v>
      </c>
      <c r="M8" s="190"/>
      <c r="N8" s="1733" t="s">
        <v>18</v>
      </c>
      <c r="O8" s="934" t="str">
        <f>L7</f>
        <v>Year 1</v>
      </c>
      <c r="P8" s="934" t="str">
        <f>O8</f>
        <v>Year 1</v>
      </c>
      <c r="Q8" s="934" t="str">
        <f>O8</f>
        <v>Year 1</v>
      </c>
      <c r="R8" s="184" t="str">
        <f>L7</f>
        <v>Year 1</v>
      </c>
      <c r="S8" s="934" t="str">
        <f>O8</f>
        <v>Year 1</v>
      </c>
      <c r="T8" s="934" t="str">
        <f>P8</f>
        <v>Year 1</v>
      </c>
      <c r="U8" s="934" t="str">
        <f>P8</f>
        <v>Year 1</v>
      </c>
      <c r="V8" s="977"/>
      <c r="W8" s="661"/>
      <c r="X8" s="85" t="s">
        <v>229</v>
      </c>
      <c r="Y8" s="85" t="s">
        <v>229</v>
      </c>
      <c r="Z8" s="85" t="s">
        <v>229</v>
      </c>
      <c r="AA8" s="1747" t="s">
        <v>402</v>
      </c>
      <c r="AB8" s="193"/>
      <c r="AC8" s="411" t="s">
        <v>267</v>
      </c>
      <c r="AD8" s="412" t="str">
        <f>AC7</f>
        <v>Year 2</v>
      </c>
      <c r="AE8" s="934" t="str">
        <f>AD8</f>
        <v>Year 2</v>
      </c>
      <c r="AF8" s="934" t="str">
        <f>AD8</f>
        <v>Year 2</v>
      </c>
      <c r="AG8" s="977" t="s">
        <v>475</v>
      </c>
      <c r="AH8" s="802"/>
      <c r="AI8" s="1770"/>
      <c r="AJ8" s="85" t="s">
        <v>229</v>
      </c>
      <c r="AK8" s="85" t="s">
        <v>229</v>
      </c>
      <c r="AL8" s="85" t="s">
        <v>229</v>
      </c>
      <c r="AM8" s="541" t="s">
        <v>21</v>
      </c>
      <c r="AN8" s="1750" t="s">
        <v>397</v>
      </c>
      <c r="AO8" s="193"/>
      <c r="AP8" s="194">
        <f>E9</f>
        <v>0</v>
      </c>
      <c r="AQ8" s="934" t="str">
        <f>O8</f>
        <v>Year 1</v>
      </c>
      <c r="AR8" s="193">
        <f>E9</f>
        <v>0</v>
      </c>
      <c r="AS8" s="934" t="str">
        <f>O8</f>
        <v>Year 1</v>
      </c>
      <c r="AT8" s="193">
        <f>E9</f>
        <v>0</v>
      </c>
      <c r="AU8" s="927" t="str">
        <f>O8</f>
        <v>Year 1</v>
      </c>
      <c r="AV8" s="195"/>
    </row>
    <row r="9" spans="1:50" x14ac:dyDescent="0.35">
      <c r="A9" s="132">
        <f t="shared" ref="A9:A72" si="0">+A8+1</f>
        <v>3</v>
      </c>
      <c r="E9" s="182"/>
      <c r="F9" s="183"/>
      <c r="G9" s="183" t="s">
        <v>133</v>
      </c>
      <c r="H9" s="183" t="s">
        <v>134</v>
      </c>
      <c r="I9" s="183" t="s">
        <v>30</v>
      </c>
      <c r="J9" s="196" t="s">
        <v>15</v>
      </c>
      <c r="K9" s="197"/>
      <c r="L9" s="198" t="s">
        <v>173</v>
      </c>
      <c r="M9" s="197"/>
      <c r="N9" s="1733" t="s">
        <v>102</v>
      </c>
      <c r="O9" s="910" t="s">
        <v>173</v>
      </c>
      <c r="P9" s="910" t="s">
        <v>391</v>
      </c>
      <c r="Q9" s="1053" t="s">
        <v>360</v>
      </c>
      <c r="R9" s="192" t="s">
        <v>133</v>
      </c>
      <c r="S9" s="910" t="s">
        <v>381</v>
      </c>
      <c r="T9" s="910" t="s">
        <v>392</v>
      </c>
      <c r="U9" s="910" t="s">
        <v>659</v>
      </c>
      <c r="V9" s="802" t="s">
        <v>366</v>
      </c>
      <c r="W9" s="957"/>
      <c r="X9" s="85" t="s">
        <v>719</v>
      </c>
      <c r="Y9" s="85" t="s">
        <v>720</v>
      </c>
      <c r="Z9" s="85" t="s">
        <v>721</v>
      </c>
      <c r="AA9" s="1744" t="s">
        <v>762</v>
      </c>
      <c r="AB9" s="199"/>
      <c r="AC9" s="413" t="s">
        <v>173</v>
      </c>
      <c r="AD9" s="910" t="s">
        <v>398</v>
      </c>
      <c r="AE9" s="910" t="s">
        <v>381</v>
      </c>
      <c r="AF9" s="910" t="s">
        <v>392</v>
      </c>
      <c r="AG9" s="802" t="s">
        <v>87</v>
      </c>
      <c r="AH9" s="802" t="s">
        <v>366</v>
      </c>
      <c r="AI9" s="1770" t="s">
        <v>21</v>
      </c>
      <c r="AJ9" s="85" t="s">
        <v>719</v>
      </c>
      <c r="AK9" s="85" t="s">
        <v>720</v>
      </c>
      <c r="AL9" s="85" t="s">
        <v>721</v>
      </c>
      <c r="AM9" s="541" t="s">
        <v>253</v>
      </c>
      <c r="AN9" s="1751" t="s">
        <v>762</v>
      </c>
      <c r="AO9" s="199"/>
      <c r="AP9" s="200" t="s">
        <v>80</v>
      </c>
      <c r="AQ9" s="775" t="s">
        <v>80</v>
      </c>
      <c r="AR9" s="199" t="s">
        <v>361</v>
      </c>
      <c r="AS9" s="775" t="s">
        <v>361</v>
      </c>
      <c r="AT9" s="199" t="s">
        <v>106</v>
      </c>
      <c r="AU9" s="776" t="s">
        <v>106</v>
      </c>
      <c r="AV9" s="201"/>
    </row>
    <row r="10" spans="1:50" s="133" customFormat="1" ht="15" thickBot="1" x14ac:dyDescent="0.4">
      <c r="A10" s="132">
        <f t="shared" si="0"/>
        <v>4</v>
      </c>
      <c r="B10" s="202"/>
      <c r="C10" s="202"/>
      <c r="D10" s="202"/>
      <c r="E10" s="701" t="s">
        <v>102</v>
      </c>
      <c r="F10" s="702" t="s">
        <v>19</v>
      </c>
      <c r="G10" s="702" t="s">
        <v>356</v>
      </c>
      <c r="H10" s="702" t="s">
        <v>135</v>
      </c>
      <c r="I10" s="702" t="s">
        <v>33</v>
      </c>
      <c r="J10" s="703" t="s">
        <v>16</v>
      </c>
      <c r="K10" s="197"/>
      <c r="L10" s="203" t="s">
        <v>95</v>
      </c>
      <c r="M10" s="197"/>
      <c r="N10" s="1734" t="s">
        <v>103</v>
      </c>
      <c r="O10" s="415" t="s">
        <v>102</v>
      </c>
      <c r="P10" s="414" t="s">
        <v>102</v>
      </c>
      <c r="Q10" s="1144" t="s">
        <v>102</v>
      </c>
      <c r="R10" s="204" t="s">
        <v>16</v>
      </c>
      <c r="S10" s="414" t="s">
        <v>183</v>
      </c>
      <c r="T10" s="414" t="s">
        <v>183</v>
      </c>
      <c r="U10" s="1499" t="s">
        <v>183</v>
      </c>
      <c r="V10" s="803" t="s">
        <v>16</v>
      </c>
      <c r="W10" s="662" t="s">
        <v>16</v>
      </c>
      <c r="X10" s="1716" t="s">
        <v>183</v>
      </c>
      <c r="Y10" s="1716" t="s">
        <v>183</v>
      </c>
      <c r="Z10" s="1716" t="s">
        <v>183</v>
      </c>
      <c r="AA10" s="1744" t="s">
        <v>16</v>
      </c>
      <c r="AB10" s="199"/>
      <c r="AC10" s="926" t="s">
        <v>95</v>
      </c>
      <c r="AD10" s="415" t="s">
        <v>183</v>
      </c>
      <c r="AE10" s="414" t="s">
        <v>183</v>
      </c>
      <c r="AF10" s="414" t="s">
        <v>183</v>
      </c>
      <c r="AG10" s="803" t="s">
        <v>95</v>
      </c>
      <c r="AH10" s="803" t="s">
        <v>16</v>
      </c>
      <c r="AI10" s="1771" t="s">
        <v>16</v>
      </c>
      <c r="AJ10" s="1716" t="s">
        <v>183</v>
      </c>
      <c r="AK10" s="1716" t="s">
        <v>183</v>
      </c>
      <c r="AL10" s="1716" t="s">
        <v>183</v>
      </c>
      <c r="AM10" s="355" t="s">
        <v>754</v>
      </c>
      <c r="AN10" s="1744" t="s">
        <v>16</v>
      </c>
      <c r="AO10" s="199"/>
      <c r="AP10" s="657" t="s">
        <v>69</v>
      </c>
      <c r="AQ10" s="777" t="s">
        <v>69</v>
      </c>
      <c r="AR10" s="658" t="s">
        <v>69</v>
      </c>
      <c r="AS10" s="777" t="s">
        <v>69</v>
      </c>
      <c r="AT10" s="658" t="s">
        <v>69</v>
      </c>
      <c r="AU10" s="778" t="s">
        <v>69</v>
      </c>
      <c r="AV10" s="201"/>
    </row>
    <row r="11" spans="1:50" s="133" customFormat="1" x14ac:dyDescent="0.35">
      <c r="A11" s="132">
        <f t="shared" si="0"/>
        <v>5</v>
      </c>
      <c r="B11" s="173"/>
      <c r="C11" s="173"/>
      <c r="D11" s="173"/>
      <c r="E11" s="205"/>
      <c r="F11" s="206"/>
      <c r="G11" s="206"/>
      <c r="H11" s="206"/>
      <c r="I11" s="206"/>
      <c r="J11" s="207"/>
      <c r="K11" s="206"/>
      <c r="L11" s="1159" t="s">
        <v>440</v>
      </c>
      <c r="M11" s="206"/>
      <c r="N11" s="208"/>
      <c r="O11" s="208"/>
      <c r="P11" s="753" t="s">
        <v>102</v>
      </c>
      <c r="Q11" s="753" t="s">
        <v>102</v>
      </c>
      <c r="R11" s="822" t="s">
        <v>765</v>
      </c>
      <c r="S11" s="209" t="s">
        <v>183</v>
      </c>
      <c r="T11" s="209" t="s">
        <v>183</v>
      </c>
      <c r="U11" s="209" t="s">
        <v>183</v>
      </c>
      <c r="V11" s="804" t="s">
        <v>766</v>
      </c>
      <c r="W11" s="663" t="s">
        <v>178</v>
      </c>
      <c r="X11" s="209" t="s">
        <v>183</v>
      </c>
      <c r="Y11" s="209" t="s">
        <v>183</v>
      </c>
      <c r="Z11" s="209" t="s">
        <v>183</v>
      </c>
      <c r="AA11" s="1745" t="s">
        <v>769</v>
      </c>
      <c r="AB11" s="206"/>
      <c r="AC11" s="1746" t="s">
        <v>102</v>
      </c>
      <c r="AD11" s="209" t="s">
        <v>183</v>
      </c>
      <c r="AE11" s="209" t="s">
        <v>183</v>
      </c>
      <c r="AF11" s="209" t="s">
        <v>183</v>
      </c>
      <c r="AG11" s="804"/>
      <c r="AH11" s="804" t="s">
        <v>770</v>
      </c>
      <c r="AI11" s="663" t="s">
        <v>775</v>
      </c>
      <c r="AJ11" s="209" t="s">
        <v>183</v>
      </c>
      <c r="AK11" s="209" t="s">
        <v>183</v>
      </c>
      <c r="AL11" s="209" t="s">
        <v>183</v>
      </c>
      <c r="AM11" s="1760" t="s">
        <v>183</v>
      </c>
      <c r="AN11" s="1745" t="s">
        <v>774</v>
      </c>
      <c r="AO11" s="206"/>
      <c r="AP11" s="208"/>
      <c r="AU11" s="207"/>
      <c r="AV11" s="201"/>
    </row>
    <row r="12" spans="1:50" s="206" customFormat="1" x14ac:dyDescent="0.35">
      <c r="A12" s="132">
        <f t="shared" si="0"/>
        <v>6</v>
      </c>
      <c r="B12" s="699" t="s">
        <v>2</v>
      </c>
      <c r="C12" s="699"/>
      <c r="D12" s="699" t="s">
        <v>3</v>
      </c>
      <c r="E12" s="210" t="s">
        <v>35</v>
      </c>
      <c r="F12" s="211" t="s">
        <v>36</v>
      </c>
      <c r="G12" s="211" t="s">
        <v>13</v>
      </c>
      <c r="H12" s="211" t="s">
        <v>37</v>
      </c>
      <c r="I12" s="211" t="s">
        <v>38</v>
      </c>
      <c r="J12" s="212" t="s">
        <v>39</v>
      </c>
      <c r="L12" s="211" t="s">
        <v>40</v>
      </c>
      <c r="N12" s="210" t="s">
        <v>41</v>
      </c>
      <c r="O12" s="210" t="s">
        <v>42</v>
      </c>
      <c r="P12" s="211" t="s">
        <v>124</v>
      </c>
      <c r="Q12" s="211"/>
      <c r="R12" s="213" t="s">
        <v>125</v>
      </c>
      <c r="S12" s="211" t="s">
        <v>43</v>
      </c>
      <c r="T12" s="211" t="s">
        <v>126</v>
      </c>
      <c r="U12" s="211" t="s">
        <v>127</v>
      </c>
      <c r="V12" s="805" t="s">
        <v>128</v>
      </c>
      <c r="W12" s="664" t="s">
        <v>129</v>
      </c>
      <c r="X12" s="206" t="s">
        <v>130</v>
      </c>
      <c r="Y12" s="206" t="s">
        <v>86</v>
      </c>
      <c r="Z12" s="206" t="s">
        <v>89</v>
      </c>
      <c r="AA12" s="1745" t="s">
        <v>90</v>
      </c>
      <c r="AC12" s="210" t="s">
        <v>91</v>
      </c>
      <c r="AD12" s="211" t="s">
        <v>180</v>
      </c>
      <c r="AE12" s="211" t="s">
        <v>224</v>
      </c>
      <c r="AF12" s="211" t="s">
        <v>219</v>
      </c>
      <c r="AG12" s="805" t="s">
        <v>225</v>
      </c>
      <c r="AH12" s="805" t="s">
        <v>226</v>
      </c>
      <c r="AI12" s="664" t="s">
        <v>227</v>
      </c>
      <c r="AJ12" s="206" t="s">
        <v>243</v>
      </c>
      <c r="AK12" s="206" t="s">
        <v>410</v>
      </c>
      <c r="AL12" s="206" t="s">
        <v>244</v>
      </c>
      <c r="AM12" s="1761" t="s">
        <v>245</v>
      </c>
      <c r="AN12" s="1779" t="s">
        <v>545</v>
      </c>
      <c r="AP12" s="210" t="s">
        <v>227</v>
      </c>
      <c r="AQ12" s="211" t="s">
        <v>243</v>
      </c>
      <c r="AR12" s="211" t="s">
        <v>410</v>
      </c>
      <c r="AS12" s="211" t="s">
        <v>244</v>
      </c>
      <c r="AT12" s="211" t="s">
        <v>245</v>
      </c>
      <c r="AU12" s="212" t="s">
        <v>545</v>
      </c>
    </row>
    <row r="13" spans="1:50" x14ac:dyDescent="0.35">
      <c r="A13" s="132">
        <f t="shared" si="0"/>
        <v>7</v>
      </c>
      <c r="B13" s="1409" t="s">
        <v>268</v>
      </c>
      <c r="C13" s="1409" t="s">
        <v>419</v>
      </c>
      <c r="D13" s="1409" t="s">
        <v>270</v>
      </c>
      <c r="E13" s="214">
        <v>0.67652999999999996</v>
      </c>
      <c r="F13" s="215">
        <v>0.26333000000000001</v>
      </c>
      <c r="G13" s="216"/>
      <c r="H13" s="215">
        <v>0.10141</v>
      </c>
      <c r="I13" s="215">
        <v>0.11125999999999998</v>
      </c>
      <c r="J13" s="217">
        <f>SUM(E13:I13)</f>
        <v>1.1525299999999998</v>
      </c>
      <c r="K13" s="218"/>
      <c r="L13" s="1408">
        <f>ROUND(E13*(HLOOKUP(C13,'Rate Spread SETTLEMENT'!$E$73:$AA$78,6,FALSE)),5)</f>
        <v>0.11114</v>
      </c>
      <c r="M13" s="218"/>
      <c r="N13" s="219">
        <f>(J13-F13-G13-H13)-I13</f>
        <v>0.67652999999999974</v>
      </c>
      <c r="O13" s="594">
        <f>N13+L13</f>
        <v>0.78766999999999976</v>
      </c>
      <c r="P13" s="1111">
        <f>'Allocation = % of Margin'!AD14</f>
        <v>-9.1000000000000004E-3</v>
      </c>
      <c r="Q13" s="912"/>
      <c r="R13" s="796">
        <f>SUM(O13:Q13)</f>
        <v>0.77856999999999976</v>
      </c>
      <c r="S13" s="1612">
        <f>'Allocation = % of Margin'!U14</f>
        <v>-1.627E-2</v>
      </c>
      <c r="T13" s="1111">
        <f>'Allocation = % of Margin'!X14</f>
        <v>-8.6499999999999997E-3</v>
      </c>
      <c r="U13" s="1111">
        <f>'Allocation = % of Margin'!AA14</f>
        <v>3.0500000000000002E-3</v>
      </c>
      <c r="V13" s="806">
        <f>SUM(S13:U13)</f>
        <v>-2.1869999999999997E-2</v>
      </c>
      <c r="W13" s="807">
        <f>R13+V13+SUM(F13:I13)</f>
        <v>1.2326999999999999</v>
      </c>
      <c r="X13" s="1612">
        <f>'Rates in summary'!I14</f>
        <v>8.5399999999999976E-2</v>
      </c>
      <c r="Y13" s="1111">
        <f>'Rates in summary'!J14</f>
        <v>5.4799999999999988E-3</v>
      </c>
      <c r="Z13" s="1111">
        <f>'Rates in summary'!K14</f>
        <v>2.3890000000000036E-2</v>
      </c>
      <c r="AA13" s="1736">
        <f>W13+SUM(X13:Z13)</f>
        <v>1.3474699999999999</v>
      </c>
      <c r="AB13" s="1198"/>
      <c r="AC13" s="929">
        <f>ROUND(R13*(HLOOKUP(C13,'Rate Spread SETTLEMENT'!$E$101:$AA$106,6,FALSE)),5)</f>
        <v>6.1650000000000003E-2</v>
      </c>
      <c r="AD13" s="911">
        <f>'Allocation = % of Margin'!AM14</f>
        <v>-8.8000000000000003E-4</v>
      </c>
      <c r="AE13" s="915">
        <f>'Allocation = % of Margin'!AG14</f>
        <v>-1.627E-2</v>
      </c>
      <c r="AF13" s="911">
        <f>'Allocation = % of Margin'!AJ14</f>
        <v>-8.6700000000000006E-3</v>
      </c>
      <c r="AG13" s="806">
        <f>SUM(AC13)</f>
        <v>6.1650000000000003E-2</v>
      </c>
      <c r="AH13" s="806">
        <f>SUM(AD13:AF13)</f>
        <v>-2.5819999999999999E-2</v>
      </c>
      <c r="AI13" s="1789">
        <f>AA13+SUM(AC13:AF13)</f>
        <v>1.3833</v>
      </c>
      <c r="AJ13" s="929">
        <f>'Rates in summary'!R14</f>
        <v>0.12099000000000004</v>
      </c>
      <c r="AK13" s="911">
        <f>'Rates in summary'!S14</f>
        <v>-1.9930000000000003E-2</v>
      </c>
      <c r="AL13" s="915">
        <f>'Rates in summary'!T14</f>
        <v>0.10753999999999998</v>
      </c>
      <c r="AM13" s="1762">
        <f>'Rates in summary'!V14</f>
        <v>0</v>
      </c>
      <c r="AN13" s="1752">
        <f>AI13+SUM(AJ13:AM13)</f>
        <v>1.5918999999999999</v>
      </c>
      <c r="AO13" s="222"/>
      <c r="AP13" s="220">
        <f>'WA Volumes &amp; Revenues'!O15</f>
        <v>5.5</v>
      </c>
      <c r="AQ13" s="221">
        <f>'WA Volumes &amp; Revenues'!N15</f>
        <v>5.5</v>
      </c>
      <c r="AR13" s="224"/>
      <c r="AS13" s="222"/>
      <c r="AT13" s="224"/>
      <c r="AU13" s="223"/>
      <c r="AV13" s="222"/>
      <c r="AX13" s="1748">
        <f>AN13-'Rates in summary'!W14</f>
        <v>0</v>
      </c>
    </row>
    <row r="14" spans="1:50" x14ac:dyDescent="0.35">
      <c r="A14" s="132">
        <f t="shared" si="0"/>
        <v>8</v>
      </c>
      <c r="B14" s="1409" t="s">
        <v>269</v>
      </c>
      <c r="C14" s="1409" t="s">
        <v>420</v>
      </c>
      <c r="D14" s="1409" t="s">
        <v>270</v>
      </c>
      <c r="E14" s="214">
        <v>0.73148999999999997</v>
      </c>
      <c r="F14" s="216">
        <f>F13</f>
        <v>0.26333000000000001</v>
      </c>
      <c r="G14" s="216"/>
      <c r="H14" s="216">
        <f>H13</f>
        <v>0.10141</v>
      </c>
      <c r="I14" s="215">
        <v>9.3060000000000004E-2</v>
      </c>
      <c r="J14" s="217">
        <f t="shared" ref="J14:J81" si="1">SUM(E14:I14)</f>
        <v>1.18929</v>
      </c>
      <c r="K14" s="222"/>
      <c r="L14" s="1408">
        <f>ROUND(E14*(HLOOKUP(C14,'Rate Spread SETTLEMENT'!$E$73:$AA$78,6,FALSE)),5)</f>
        <v>9.2410000000000006E-2</v>
      </c>
      <c r="M14" s="222"/>
      <c r="N14" s="219">
        <f t="shared" ref="N14:N77" si="2">(J14-F14-G14-H14)-I14</f>
        <v>0.73148999999999986</v>
      </c>
      <c r="O14" s="594">
        <f t="shared" ref="O14:O77" si="3">N14+L14</f>
        <v>0.82389999999999985</v>
      </c>
      <c r="P14" s="1111">
        <f>'Allocation = % of Margin'!AD15</f>
        <v>-7.5599999999999999E-3</v>
      </c>
      <c r="Q14" s="912"/>
      <c r="R14" s="796">
        <f t="shared" ref="R14:R44" si="4">SUM(O14:Q14)</f>
        <v>0.81633999999999984</v>
      </c>
      <c r="S14" s="1612">
        <f>'Allocation = % of Margin'!U15</f>
        <v>-1.354E-2</v>
      </c>
      <c r="T14" s="1111">
        <f>'Allocation = % of Margin'!X15</f>
        <v>-7.1999999999999998E-3</v>
      </c>
      <c r="U14" s="1111">
        <f>'Allocation = % of Margin'!AA15</f>
        <v>2.5400000000000002E-3</v>
      </c>
      <c r="V14" s="806">
        <f t="shared" ref="V14:V44" si="5">SUM(S14:U14)</f>
        <v>-1.8200000000000001E-2</v>
      </c>
      <c r="W14" s="807">
        <f t="shared" ref="W14:W77" si="6">R14+V14+SUM(F14:I14)</f>
        <v>1.2559399999999998</v>
      </c>
      <c r="X14" s="1612">
        <f>'Rates in summary'!I15</f>
        <v>8.5399999999999976E-2</v>
      </c>
      <c r="Y14" s="1111">
        <f>'Rates in summary'!J15</f>
        <v>5.4799999999999988E-3</v>
      </c>
      <c r="Z14" s="1111">
        <f>'Rates in summary'!K15</f>
        <v>2.1469999999999989E-2</v>
      </c>
      <c r="AA14" s="1736">
        <f t="shared" ref="AA14:AA77" si="7">W14+SUM(X14:Z14)</f>
        <v>1.3682899999999998</v>
      </c>
      <c r="AB14" s="1198"/>
      <c r="AC14" s="935">
        <f>ROUND(R14*(HLOOKUP(C14,'Rate Spread SETTLEMENT'!$E$101:$AA$106,6,FALSE)),5)</f>
        <v>5.126E-2</v>
      </c>
      <c r="AD14" s="911">
        <f>'Allocation = % of Margin'!AM15</f>
        <v>-7.2999999999999996E-4</v>
      </c>
      <c r="AE14" s="911">
        <f>'Allocation = % of Margin'!AG15</f>
        <v>-1.354E-2</v>
      </c>
      <c r="AF14" s="911">
        <f>'Allocation = % of Margin'!AJ15</f>
        <v>-7.1999999999999998E-3</v>
      </c>
      <c r="AG14" s="806">
        <f t="shared" ref="AG14:AG77" si="8">SUM(AC14)</f>
        <v>5.126E-2</v>
      </c>
      <c r="AH14" s="806">
        <f t="shared" ref="AH14:AH77" si="9">SUM(AD14:AF14)</f>
        <v>-2.147E-2</v>
      </c>
      <c r="AI14" s="1789">
        <f t="shared" ref="AI14:AI77" si="10">AA14+SUM(AC14:AF14)</f>
        <v>1.3980799999999998</v>
      </c>
      <c r="AJ14" s="935">
        <f>'Rates in summary'!R15</f>
        <v>0.12099000000000004</v>
      </c>
      <c r="AK14" s="911">
        <f>'Rates in summary'!S15</f>
        <v>-1.9930000000000003E-2</v>
      </c>
      <c r="AL14" s="911">
        <f>'Rates in summary'!T15</f>
        <v>0.10686999999999999</v>
      </c>
      <c r="AM14" s="1762">
        <f>'Rates in summary'!V15</f>
        <v>0</v>
      </c>
      <c r="AN14" s="1752">
        <f t="shared" ref="AN14:AN77" si="11">AI14+SUM(AJ14:AM14)</f>
        <v>1.6060099999999997</v>
      </c>
      <c r="AO14" s="222"/>
      <c r="AP14" s="220">
        <f>'WA Volumes &amp; Revenues'!O16</f>
        <v>7</v>
      </c>
      <c r="AQ14" s="221">
        <f>'WA Volumes &amp; Revenues'!N16</f>
        <v>7</v>
      </c>
      <c r="AR14" s="224"/>
      <c r="AS14" s="222"/>
      <c r="AT14" s="224"/>
      <c r="AU14" s="223"/>
      <c r="AV14" s="222"/>
      <c r="AX14" s="1748">
        <f>AN14-'Rates in summary'!W15</f>
        <v>0</v>
      </c>
    </row>
    <row r="15" spans="1:50" x14ac:dyDescent="0.35">
      <c r="A15" s="132">
        <f t="shared" si="0"/>
        <v>9</v>
      </c>
      <c r="B15" s="1409" t="s">
        <v>12</v>
      </c>
      <c r="C15" s="1409" t="s">
        <v>421</v>
      </c>
      <c r="D15" s="1409" t="s">
        <v>270</v>
      </c>
      <c r="E15" s="214">
        <v>0.45815999999999979</v>
      </c>
      <c r="F15" s="216">
        <f t="shared" ref="F15:F20" si="12">+$F$13</f>
        <v>0.26333000000000001</v>
      </c>
      <c r="G15" s="216"/>
      <c r="H15" s="216">
        <f>H14</f>
        <v>0.10141</v>
      </c>
      <c r="I15" s="215">
        <v>6.6579999999999986E-2</v>
      </c>
      <c r="J15" s="217">
        <f t="shared" si="1"/>
        <v>0.88947999999999972</v>
      </c>
      <c r="K15" s="222"/>
      <c r="L15" s="216">
        <f>ROUND(E15*(HLOOKUP(C15,'Rate Spread SETTLEMENT'!$E$73:$AA$78,6,FALSE)),5)</f>
        <v>7.034E-2</v>
      </c>
      <c r="M15" s="222"/>
      <c r="N15" s="219">
        <f t="shared" si="2"/>
        <v>0.45815999999999979</v>
      </c>
      <c r="O15" s="594">
        <f t="shared" si="3"/>
        <v>0.52849999999999975</v>
      </c>
      <c r="P15" s="1111">
        <f>'Allocation = % of Margin'!AD16</f>
        <v>-5.7600000000000004E-3</v>
      </c>
      <c r="Q15" s="912"/>
      <c r="R15" s="796">
        <f t="shared" si="4"/>
        <v>0.52273999999999976</v>
      </c>
      <c r="S15" s="1684">
        <f>'Allocation = % of Margin'!U16</f>
        <v>-1.03E-2</v>
      </c>
      <c r="T15" s="1111">
        <f>'Allocation = % of Margin'!X16</f>
        <v>-5.47E-3</v>
      </c>
      <c r="U15" s="1111">
        <f>'Allocation = % of Margin'!AA16</f>
        <v>1.9300000000000001E-3</v>
      </c>
      <c r="V15" s="806">
        <f t="shared" si="5"/>
        <v>-1.384E-2</v>
      </c>
      <c r="W15" s="807">
        <f t="shared" si="6"/>
        <v>0.94021999999999983</v>
      </c>
      <c r="X15" s="1684">
        <f>'Rates in summary'!I16</f>
        <v>8.5399999999999976E-2</v>
      </c>
      <c r="Y15" s="1111">
        <f>'Rates in summary'!J16</f>
        <v>5.4799999999999988E-3</v>
      </c>
      <c r="Z15" s="1111">
        <f>'Rates in summary'!K16</f>
        <v>2.0369999999999999E-2</v>
      </c>
      <c r="AA15" s="1736">
        <f t="shared" si="7"/>
        <v>1.0514699999999999</v>
      </c>
      <c r="AB15" s="1198"/>
      <c r="AC15" s="929">
        <f>ROUND(R15*(HLOOKUP(C15,'Rate Spread SETTLEMENT'!$E$101:$AA$106,6,FALSE)),5)</f>
        <v>3.9019999999999999E-2</v>
      </c>
      <c r="AD15" s="911">
        <f>'Allocation = % of Margin'!AM16</f>
        <v>-5.5999999999999995E-4</v>
      </c>
      <c r="AE15" s="915">
        <f>'Allocation = % of Margin'!AG16</f>
        <v>-1.03E-2</v>
      </c>
      <c r="AF15" s="911">
        <f>'Allocation = % of Margin'!AJ16</f>
        <v>-5.4900000000000001E-3</v>
      </c>
      <c r="AG15" s="806">
        <f t="shared" si="8"/>
        <v>3.9019999999999999E-2</v>
      </c>
      <c r="AH15" s="806">
        <f t="shared" si="9"/>
        <v>-1.635E-2</v>
      </c>
      <c r="AI15" s="1789">
        <f t="shared" si="10"/>
        <v>1.0741399999999999</v>
      </c>
      <c r="AJ15" s="929">
        <f>'Rates in summary'!R16</f>
        <v>0.12099000000000004</v>
      </c>
      <c r="AK15" s="911">
        <f>'Rates in summary'!S16</f>
        <v>-1.9930000000000003E-2</v>
      </c>
      <c r="AL15" s="915">
        <f>'Rates in summary'!T16</f>
        <v>0.10496000000000003</v>
      </c>
      <c r="AM15" s="1762">
        <f>'Rates in summary'!V16</f>
        <v>-6.3856382978723369E-2</v>
      </c>
      <c r="AN15" s="1752">
        <f t="shared" si="11"/>
        <v>1.2163036170212767</v>
      </c>
      <c r="AO15" s="222"/>
      <c r="AP15" s="220">
        <f>'WA Volumes &amp; Revenues'!O17</f>
        <v>8</v>
      </c>
      <c r="AQ15" s="221">
        <f>'WA Volumes &amp; Revenues'!N17</f>
        <v>8</v>
      </c>
      <c r="AR15" s="224"/>
      <c r="AS15" s="222"/>
      <c r="AT15" s="224"/>
      <c r="AU15" s="223"/>
      <c r="AV15" s="222"/>
      <c r="AX15" s="1748">
        <f>AN15-'Rates in summary'!W16</f>
        <v>0</v>
      </c>
    </row>
    <row r="16" spans="1:50" x14ac:dyDescent="0.35">
      <c r="A16" s="132">
        <f t="shared" si="0"/>
        <v>10</v>
      </c>
      <c r="B16" s="1409" t="s">
        <v>10</v>
      </c>
      <c r="C16" s="1409" t="s">
        <v>422</v>
      </c>
      <c r="D16" s="1409" t="s">
        <v>270</v>
      </c>
      <c r="E16" s="214">
        <v>0.44368000000000019</v>
      </c>
      <c r="F16" s="216">
        <f t="shared" si="12"/>
        <v>0.26333000000000001</v>
      </c>
      <c r="G16" s="216"/>
      <c r="H16" s="216">
        <f>H15</f>
        <v>0.10141</v>
      </c>
      <c r="I16" s="215">
        <v>5.8480000000000004E-2</v>
      </c>
      <c r="J16" s="217">
        <f t="shared" si="1"/>
        <v>0.86690000000000011</v>
      </c>
      <c r="K16" s="222"/>
      <c r="L16" s="1408">
        <f>ROUND(E16*(HLOOKUP(C16,'Rate Spread SETTLEMENT'!$E$73:$AA$78,6,FALSE)),5)</f>
        <v>6.3159999999999994E-2</v>
      </c>
      <c r="M16" s="222"/>
      <c r="N16" s="219">
        <f t="shared" si="2"/>
        <v>0.44368000000000019</v>
      </c>
      <c r="O16" s="219">
        <f t="shared" si="3"/>
        <v>0.50684000000000018</v>
      </c>
      <c r="P16" s="216">
        <f>'Allocation = % of Margin'!AD17</f>
        <v>-5.1700000000000001E-3</v>
      </c>
      <c r="Q16" s="914"/>
      <c r="R16" s="796">
        <f t="shared" si="4"/>
        <v>0.50167000000000017</v>
      </c>
      <c r="S16" s="1613">
        <f>'Allocation = % of Margin'!U17</f>
        <v>-9.2399999999999999E-3</v>
      </c>
      <c r="T16" s="216">
        <f>'Allocation = % of Margin'!X17</f>
        <v>-4.9100000000000003E-3</v>
      </c>
      <c r="U16" s="216">
        <f>'Allocation = % of Margin'!AA17</f>
        <v>1.73E-3</v>
      </c>
      <c r="V16" s="808">
        <f t="shared" si="5"/>
        <v>-1.2419999999999999E-2</v>
      </c>
      <c r="W16" s="807">
        <f t="shared" si="6"/>
        <v>0.91247000000000023</v>
      </c>
      <c r="X16" s="1613">
        <f>'Rates in summary'!I17</f>
        <v>8.5399999999999976E-2</v>
      </c>
      <c r="Y16" s="216">
        <f>'Rates in summary'!J17</f>
        <v>5.4799999999999988E-3</v>
      </c>
      <c r="Z16" s="216">
        <f>'Rates in summary'!K17</f>
        <v>1.9469999999999987E-2</v>
      </c>
      <c r="AA16" s="1737">
        <f t="shared" si="7"/>
        <v>1.0228200000000003</v>
      </c>
      <c r="AB16" s="1198"/>
      <c r="AC16" s="935">
        <f>ROUND(R16*(HLOOKUP(C16,'Rate Spread SETTLEMENT'!$E$101:$AA$106,6,FALSE)),5)</f>
        <v>3.5029999999999999E-2</v>
      </c>
      <c r="AD16" s="913">
        <f>'Allocation = % of Margin'!AM17</f>
        <v>-5.0000000000000001E-4</v>
      </c>
      <c r="AE16" s="911">
        <f>'Allocation = % of Margin'!AG17</f>
        <v>-9.2399999999999999E-3</v>
      </c>
      <c r="AF16" s="913">
        <f>'Allocation = % of Margin'!AJ17</f>
        <v>-4.9300000000000004E-3</v>
      </c>
      <c r="AG16" s="808">
        <f t="shared" si="8"/>
        <v>3.5029999999999999E-2</v>
      </c>
      <c r="AH16" s="808">
        <f t="shared" si="9"/>
        <v>-1.4670000000000001E-2</v>
      </c>
      <c r="AI16" s="1790">
        <f t="shared" si="10"/>
        <v>1.0431800000000002</v>
      </c>
      <c r="AJ16" s="935">
        <f>'Rates in summary'!R17</f>
        <v>0.12099000000000004</v>
      </c>
      <c r="AK16" s="913">
        <f>'Rates in summary'!S17</f>
        <v>-1.9930000000000003E-2</v>
      </c>
      <c r="AL16" s="911">
        <f>'Rates in summary'!T17</f>
        <v>0.10614</v>
      </c>
      <c r="AM16" s="1763">
        <f>'Rates in summary'!V17</f>
        <v>0</v>
      </c>
      <c r="AN16" s="1753">
        <f t="shared" si="11"/>
        <v>1.2503800000000003</v>
      </c>
      <c r="AO16" s="222"/>
      <c r="AP16" s="220">
        <f>'WA Volumes &amp; Revenues'!O18</f>
        <v>22</v>
      </c>
      <c r="AQ16" s="221">
        <f>'WA Volumes &amp; Revenues'!N18</f>
        <v>22</v>
      </c>
      <c r="AR16" s="224"/>
      <c r="AS16" s="222"/>
      <c r="AT16" s="224"/>
      <c r="AU16" s="223"/>
      <c r="AV16" s="222"/>
      <c r="AX16" s="1748">
        <f>AN16-'Rates in summary'!W17</f>
        <v>0</v>
      </c>
    </row>
    <row r="17" spans="1:50" x14ac:dyDescent="0.35">
      <c r="A17" s="132">
        <f t="shared" si="0"/>
        <v>11</v>
      </c>
      <c r="B17" s="1409" t="s">
        <v>11</v>
      </c>
      <c r="C17" s="1409" t="s">
        <v>423</v>
      </c>
      <c r="D17" s="1409" t="s">
        <v>270</v>
      </c>
      <c r="E17" s="214">
        <v>0.46249000000000001</v>
      </c>
      <c r="F17" s="216">
        <f t="shared" si="12"/>
        <v>0.26333000000000001</v>
      </c>
      <c r="G17" s="216"/>
      <c r="H17" s="216">
        <f>H16</f>
        <v>0.10141</v>
      </c>
      <c r="I17" s="215">
        <v>-8.9999999999999802E-5</v>
      </c>
      <c r="J17" s="217">
        <f t="shared" si="1"/>
        <v>0.82713999999999999</v>
      </c>
      <c r="K17" s="222"/>
      <c r="L17" s="1408">
        <f>ROUND(E17*(HLOOKUP(C17,'Rate Spread SETTLEMENT'!$E$73:$AA$78,6,FALSE)),5)</f>
        <v>5.7209999999999997E-2</v>
      </c>
      <c r="M17" s="222"/>
      <c r="N17" s="219">
        <f t="shared" si="2"/>
        <v>0.4624899999999999</v>
      </c>
      <c r="O17" s="219">
        <f t="shared" si="3"/>
        <v>0.51969999999999994</v>
      </c>
      <c r="P17" s="216">
        <f>'Allocation = % of Margin'!AD18</f>
        <v>-4.6899999999999997E-3</v>
      </c>
      <c r="Q17" s="914"/>
      <c r="R17" s="796">
        <f t="shared" si="4"/>
        <v>0.51500999999999997</v>
      </c>
      <c r="S17" s="1613">
        <f>'Allocation = % of Margin'!U18</f>
        <v>0</v>
      </c>
      <c r="T17" s="216">
        <f>'Allocation = % of Margin'!X18</f>
        <v>-4.45E-3</v>
      </c>
      <c r="U17" s="216">
        <f>'Allocation = % of Margin'!AA18</f>
        <v>1.57E-3</v>
      </c>
      <c r="V17" s="808">
        <f t="shared" si="5"/>
        <v>-2.8799999999999997E-3</v>
      </c>
      <c r="W17" s="807">
        <f t="shared" si="6"/>
        <v>0.87678</v>
      </c>
      <c r="X17" s="1613">
        <f>'Rates in summary'!I18</f>
        <v>8.5399999999999976E-2</v>
      </c>
      <c r="Y17" s="216">
        <f>'Rates in summary'!J18</f>
        <v>5.4799999999999988E-3</v>
      </c>
      <c r="Z17" s="216">
        <f>'Rates in summary'!K18</f>
        <v>1.0919999999999994E-2</v>
      </c>
      <c r="AA17" s="1737">
        <f t="shared" si="7"/>
        <v>0.97858000000000001</v>
      </c>
      <c r="AB17" s="1198"/>
      <c r="AC17" s="935">
        <f>ROUND(R17*(HLOOKUP(C17,'Rate Spread SETTLEMENT'!$E$101:$AA$106,6,FALSE)),5)</f>
        <v>3.1730000000000001E-2</v>
      </c>
      <c r="AD17" s="913">
        <f>'Allocation = % of Margin'!AM18</f>
        <v>-4.4999999999999999E-4</v>
      </c>
      <c r="AE17" s="911">
        <f>'Allocation = % of Margin'!AG18</f>
        <v>0</v>
      </c>
      <c r="AF17" s="913">
        <f>'Allocation = % of Margin'!AJ18</f>
        <v>-4.4600000000000004E-3</v>
      </c>
      <c r="AG17" s="808">
        <f t="shared" si="8"/>
        <v>3.1730000000000001E-2</v>
      </c>
      <c r="AH17" s="808">
        <f t="shared" si="9"/>
        <v>-4.9100000000000003E-3</v>
      </c>
      <c r="AI17" s="1790">
        <f t="shared" si="10"/>
        <v>1.0054000000000001</v>
      </c>
      <c r="AJ17" s="935">
        <f>'Rates in summary'!R18</f>
        <v>0.12099000000000004</v>
      </c>
      <c r="AK17" s="913">
        <f>'Rates in summary'!S18</f>
        <v>-1.9930000000000003E-2</v>
      </c>
      <c r="AL17" s="911">
        <f>'Rates in summary'!T18</f>
        <v>0.12252999999999999</v>
      </c>
      <c r="AM17" s="1763">
        <f>'Rates in summary'!V18</f>
        <v>0</v>
      </c>
      <c r="AN17" s="1753">
        <f t="shared" si="11"/>
        <v>1.22899</v>
      </c>
      <c r="AO17" s="222"/>
      <c r="AP17" s="220">
        <f>'WA Volumes &amp; Revenues'!O19</f>
        <v>22</v>
      </c>
      <c r="AQ17" s="221">
        <f>'WA Volumes &amp; Revenues'!N19</f>
        <v>22</v>
      </c>
      <c r="AR17" s="224"/>
      <c r="AS17" s="222"/>
      <c r="AT17" s="224"/>
      <c r="AU17" s="223"/>
      <c r="AV17" s="222"/>
      <c r="AX17" s="1748">
        <f>AN17-'Rates in summary'!W18</f>
        <v>0</v>
      </c>
    </row>
    <row r="18" spans="1:50" x14ac:dyDescent="0.35">
      <c r="A18" s="132">
        <f t="shared" si="0"/>
        <v>12</v>
      </c>
      <c r="B18" s="1410" t="s">
        <v>434</v>
      </c>
      <c r="C18" s="1410" t="s">
        <v>434</v>
      </c>
      <c r="D18" s="1410" t="s">
        <v>270</v>
      </c>
      <c r="E18" s="214">
        <v>0.24087999999999973</v>
      </c>
      <c r="F18" s="216">
        <f t="shared" si="12"/>
        <v>0.26333000000000001</v>
      </c>
      <c r="G18" s="216"/>
      <c r="H18" s="216">
        <f>H17</f>
        <v>0.10141</v>
      </c>
      <c r="I18" s="215">
        <v>3.8710000000000001E-2</v>
      </c>
      <c r="J18" s="217">
        <f t="shared" si="1"/>
        <v>0.64432999999999974</v>
      </c>
      <c r="K18" s="222"/>
      <c r="L18" s="216">
        <f>ROUND(E18*(HLOOKUP(C18,'Rate Spread SETTLEMENT'!$E$73:$AA$78,6,FALSE)),5)</f>
        <v>5.006E-2</v>
      </c>
      <c r="M18" s="222"/>
      <c r="N18" s="219">
        <f t="shared" si="2"/>
        <v>0.24087999999999973</v>
      </c>
      <c r="O18" s="219">
        <f t="shared" si="3"/>
        <v>0.29093999999999975</v>
      </c>
      <c r="P18" s="216">
        <f>'Allocation = % of Margin'!AD19</f>
        <v>-4.1000000000000003E-3</v>
      </c>
      <c r="Q18" s="914"/>
      <c r="R18" s="796">
        <f t="shared" si="4"/>
        <v>0.28683999999999976</v>
      </c>
      <c r="S18" s="1613">
        <f>'Allocation = % of Margin'!U19</f>
        <v>-7.3299999999999997E-3</v>
      </c>
      <c r="T18" s="216">
        <f>'Allocation = % of Margin'!X19</f>
        <v>-3.8899999999999998E-3</v>
      </c>
      <c r="U18" s="216">
        <f>'Allocation = % of Margin'!AA19</f>
        <v>1.3699999999999999E-3</v>
      </c>
      <c r="V18" s="808">
        <f t="shared" si="5"/>
        <v>-9.8499999999999994E-3</v>
      </c>
      <c r="W18" s="807">
        <f t="shared" si="6"/>
        <v>0.68043999999999971</v>
      </c>
      <c r="X18" s="1613">
        <f>'Rates in summary'!I19</f>
        <v>8.5399999999999976E-2</v>
      </c>
      <c r="Y18" s="216">
        <f>'Rates in summary'!J19</f>
        <v>5.4799999999999988E-3</v>
      </c>
      <c r="Z18" s="216">
        <f>'Rates in summary'!K19</f>
        <v>1.8249999999999988E-2</v>
      </c>
      <c r="AA18" s="1737">
        <f t="shared" si="7"/>
        <v>0.78956999999999966</v>
      </c>
      <c r="AB18" s="1198"/>
      <c r="AC18" s="935">
        <f>ROUND(R18*(HLOOKUP(C18,'Rate Spread SETTLEMENT'!$E$101:$AA$106,6,FALSE)),5)</f>
        <v>2.777E-2</v>
      </c>
      <c r="AD18" s="913">
        <f>'Allocation = % of Margin'!AM19</f>
        <v>-4.0000000000000002E-4</v>
      </c>
      <c r="AE18" s="911">
        <f>'Allocation = % of Margin'!AG19</f>
        <v>-7.3299999999999997E-3</v>
      </c>
      <c r="AF18" s="913">
        <f>'Allocation = % of Margin'!AJ19</f>
        <v>-3.8999999999999998E-3</v>
      </c>
      <c r="AG18" s="808">
        <f t="shared" si="8"/>
        <v>2.777E-2</v>
      </c>
      <c r="AH18" s="808">
        <f t="shared" si="9"/>
        <v>-1.163E-2</v>
      </c>
      <c r="AI18" s="1790">
        <f t="shared" si="10"/>
        <v>0.8057099999999997</v>
      </c>
      <c r="AJ18" s="935">
        <f>'Rates in summary'!R19</f>
        <v>0.12099000000000004</v>
      </c>
      <c r="AK18" s="913">
        <f>'Rates in summary'!S19</f>
        <v>-1.9930000000000003E-2</v>
      </c>
      <c r="AL18" s="911">
        <f>'Rates in summary'!T19</f>
        <v>0.11384999999999999</v>
      </c>
      <c r="AM18" s="1763">
        <f>'Rates in summary'!V19</f>
        <v>0</v>
      </c>
      <c r="AN18" s="1753">
        <f t="shared" si="11"/>
        <v>1.0206199999999996</v>
      </c>
      <c r="AO18" s="222"/>
      <c r="AP18" s="220">
        <f>'WA Volumes &amp; Revenues'!O20</f>
        <v>9</v>
      </c>
      <c r="AQ18" s="221">
        <f>'WA Volumes &amp; Revenues'!N20</f>
        <v>9</v>
      </c>
      <c r="AR18" s="224"/>
      <c r="AS18" s="222"/>
      <c r="AT18" s="224"/>
      <c r="AU18" s="223"/>
      <c r="AV18" s="222"/>
      <c r="AX18" s="1748">
        <f>AN18-'Rates in summary'!W19</f>
        <v>0</v>
      </c>
    </row>
    <row r="19" spans="1:50" x14ac:dyDescent="0.35">
      <c r="A19" s="132">
        <f t="shared" si="0"/>
        <v>13</v>
      </c>
      <c r="B19" s="85" t="s">
        <v>272</v>
      </c>
      <c r="C19" s="85" t="s">
        <v>339</v>
      </c>
      <c r="D19" s="1392" t="s">
        <v>4</v>
      </c>
      <c r="E19" s="225">
        <v>0.34474000000000016</v>
      </c>
      <c r="F19" s="222">
        <f t="shared" si="12"/>
        <v>0.26333000000000001</v>
      </c>
      <c r="G19" s="222"/>
      <c r="H19" s="222"/>
      <c r="I19" s="224">
        <v>4.3429999999999996E-2</v>
      </c>
      <c r="J19" s="223">
        <f t="shared" si="1"/>
        <v>0.65150000000000008</v>
      </c>
      <c r="K19" s="222"/>
      <c r="L19" s="222">
        <f>ROUND(E19*(HLOOKUP($C$19,'Rate Spread SETTLEMENT'!$E$73:$AA$78,6,FALSE)),5)</f>
        <v>5.0160000000000003E-2</v>
      </c>
      <c r="M19" s="222"/>
      <c r="N19" s="226">
        <f t="shared" si="2"/>
        <v>0.34474000000000005</v>
      </c>
      <c r="O19" s="226">
        <f t="shared" si="3"/>
        <v>0.39490000000000003</v>
      </c>
      <c r="P19" s="222">
        <f>'Allocation = % of Margin'!AD20</f>
        <v>-4.1099999999999999E-3</v>
      </c>
      <c r="Q19" s="916"/>
      <c r="R19" s="797">
        <f t="shared" si="4"/>
        <v>0.39079000000000003</v>
      </c>
      <c r="S19" s="1614">
        <f>'Allocation = % of Margin'!U20</f>
        <v>-7.3400000000000002E-3</v>
      </c>
      <c r="T19" s="222">
        <f>'Allocation = % of Margin'!X20</f>
        <v>-3.8999999999999998E-3</v>
      </c>
      <c r="U19" s="222">
        <f>'Allocation = % of Margin'!AA20</f>
        <v>1.3799999999999999E-3</v>
      </c>
      <c r="V19" s="809">
        <f t="shared" si="5"/>
        <v>-9.8600000000000007E-3</v>
      </c>
      <c r="W19" s="810">
        <f t="shared" si="6"/>
        <v>0.68769000000000013</v>
      </c>
      <c r="X19" s="1614">
        <f>'Rates in summary'!I20</f>
        <v>8.5399999999999976E-2</v>
      </c>
      <c r="Y19" s="222">
        <f>'Rates in summary'!J20</f>
        <v>0</v>
      </c>
      <c r="Z19" s="222">
        <f>'Rates in summary'!K20</f>
        <v>1.7569999999999995E-2</v>
      </c>
      <c r="AA19" s="1738">
        <f t="shared" si="7"/>
        <v>0.79066000000000014</v>
      </c>
      <c r="AB19" s="1198"/>
      <c r="AC19" s="936">
        <f>ROUND(R19*(HLOOKUP($C$19,'Rate Spread SETTLEMENT'!$E$101:$AA$106,6,FALSE)),5)</f>
        <v>2.7820000000000001E-2</v>
      </c>
      <c r="AD19" s="915">
        <f>'Allocation = % of Margin'!AM20</f>
        <v>-4.0000000000000002E-4</v>
      </c>
      <c r="AE19" s="1485">
        <f>'Allocation = % of Margin'!AG20</f>
        <v>-7.3400000000000002E-3</v>
      </c>
      <c r="AF19" s="915">
        <f>'Allocation = % of Margin'!AJ20</f>
        <v>-3.9100000000000003E-3</v>
      </c>
      <c r="AG19" s="809">
        <f t="shared" si="8"/>
        <v>2.7820000000000001E-2</v>
      </c>
      <c r="AH19" s="809">
        <f t="shared" si="9"/>
        <v>-1.1650000000000001E-2</v>
      </c>
      <c r="AI19" s="1791">
        <f t="shared" si="10"/>
        <v>0.80683000000000016</v>
      </c>
      <c r="AJ19" s="936">
        <f>'Rates in summary'!R20</f>
        <v>0.12099000000000004</v>
      </c>
      <c r="AK19" s="915">
        <f>'Rates in summary'!S20</f>
        <v>0</v>
      </c>
      <c r="AL19" s="1485">
        <f>'Rates in summary'!T20</f>
        <v>0.10885</v>
      </c>
      <c r="AM19" s="1764">
        <f>'Rates in summary'!V20</f>
        <v>0</v>
      </c>
      <c r="AN19" s="1754">
        <f t="shared" si="11"/>
        <v>1.0366700000000002</v>
      </c>
      <c r="AO19" s="222"/>
      <c r="AP19" s="220">
        <f>'WA Volumes &amp; Revenues'!O21</f>
        <v>250</v>
      </c>
      <c r="AQ19" s="221">
        <f>'WA Volumes &amp; Revenues'!N21</f>
        <v>250</v>
      </c>
      <c r="AR19" s="224"/>
      <c r="AS19" s="222"/>
      <c r="AT19" s="224"/>
      <c r="AU19" s="223"/>
      <c r="AV19" s="222"/>
      <c r="AX19" s="1748">
        <f>AN19-'Rates in summary'!W20</f>
        <v>0</v>
      </c>
    </row>
    <row r="20" spans="1:50" x14ac:dyDescent="0.35">
      <c r="A20" s="132">
        <f t="shared" si="0"/>
        <v>14</v>
      </c>
      <c r="B20" s="160"/>
      <c r="C20" s="160"/>
      <c r="D20" s="1393" t="s">
        <v>5</v>
      </c>
      <c r="E20" s="214">
        <v>0.30376999999999998</v>
      </c>
      <c r="F20" s="216">
        <f t="shared" si="12"/>
        <v>0.26333000000000001</v>
      </c>
      <c r="G20" s="216"/>
      <c r="H20" s="216"/>
      <c r="I20" s="215">
        <v>3.7170000000000002E-2</v>
      </c>
      <c r="J20" s="217">
        <f t="shared" si="1"/>
        <v>0.60426999999999997</v>
      </c>
      <c r="K20" s="222"/>
      <c r="L20" s="216">
        <f>ROUND(E20*(HLOOKUP($C$19,'Rate Spread SETTLEMENT'!$E$73:$AA$78,6,FALSE)),5)</f>
        <v>4.4200000000000003E-2</v>
      </c>
      <c r="M20" s="222"/>
      <c r="N20" s="219">
        <f t="shared" si="2"/>
        <v>0.30376999999999998</v>
      </c>
      <c r="O20" s="219">
        <f t="shared" si="3"/>
        <v>0.34797</v>
      </c>
      <c r="P20" s="216">
        <f>'Allocation = % of Margin'!AD21</f>
        <v>-3.62E-3</v>
      </c>
      <c r="Q20" s="914"/>
      <c r="R20" s="796">
        <f t="shared" si="4"/>
        <v>0.34434999999999999</v>
      </c>
      <c r="S20" s="1613">
        <f>'Allocation = % of Margin'!U21</f>
        <v>-6.4700000000000001E-3</v>
      </c>
      <c r="T20" s="216">
        <f>'Allocation = % of Margin'!X21</f>
        <v>-3.4399999999999999E-3</v>
      </c>
      <c r="U20" s="216">
        <f>'Allocation = % of Margin'!AA21</f>
        <v>1.2099999999999999E-3</v>
      </c>
      <c r="V20" s="808">
        <f t="shared" si="5"/>
        <v>-8.7000000000000011E-3</v>
      </c>
      <c r="W20" s="807">
        <f t="shared" si="6"/>
        <v>0.63614999999999999</v>
      </c>
      <c r="X20" s="1613">
        <f>'Rates in summary'!I21</f>
        <v>8.5399999999999976E-2</v>
      </c>
      <c r="Y20" s="216">
        <f>'Rates in summary'!J21</f>
        <v>0</v>
      </c>
      <c r="Z20" s="216">
        <f>'Rates in summary'!K21</f>
        <v>1.6640000000000002E-2</v>
      </c>
      <c r="AA20" s="1737">
        <f t="shared" si="7"/>
        <v>0.73819000000000001</v>
      </c>
      <c r="AB20" s="1198"/>
      <c r="AC20" s="937">
        <f>ROUND(R20*(HLOOKUP($C$19,'Rate Spread SETTLEMENT'!$E$101:$AA$106,6,FALSE)),5)</f>
        <v>2.4510000000000001E-2</v>
      </c>
      <c r="AD20" s="913">
        <f>'Allocation = % of Margin'!AM21</f>
        <v>-3.5E-4</v>
      </c>
      <c r="AE20" s="913">
        <f>'Allocation = % of Margin'!AG21</f>
        <v>-6.4700000000000001E-3</v>
      </c>
      <c r="AF20" s="913">
        <f>'Allocation = % of Margin'!AJ21</f>
        <v>-3.4499999999999999E-3</v>
      </c>
      <c r="AG20" s="808">
        <f t="shared" si="8"/>
        <v>2.4510000000000001E-2</v>
      </c>
      <c r="AH20" s="808">
        <f t="shared" si="9"/>
        <v>-1.027E-2</v>
      </c>
      <c r="AI20" s="1790">
        <f t="shared" si="10"/>
        <v>0.75243000000000004</v>
      </c>
      <c r="AJ20" s="937">
        <f>'Rates in summary'!R21</f>
        <v>0.12099000000000004</v>
      </c>
      <c r="AK20" s="913">
        <f>'Rates in summary'!S21</f>
        <v>0</v>
      </c>
      <c r="AL20" s="913">
        <f>'Rates in summary'!T21</f>
        <v>0.10977999999999996</v>
      </c>
      <c r="AM20" s="1763">
        <f>'Rates in summary'!V21</f>
        <v>0</v>
      </c>
      <c r="AN20" s="1753">
        <f t="shared" si="11"/>
        <v>0.98320000000000007</v>
      </c>
      <c r="AO20" s="222"/>
      <c r="AP20" s="220"/>
      <c r="AQ20" s="221"/>
      <c r="AR20" s="224"/>
      <c r="AS20" s="222"/>
      <c r="AT20" s="224"/>
      <c r="AU20" s="223"/>
      <c r="AV20" s="222"/>
      <c r="AX20" s="1748">
        <f>AN20-'Rates in summary'!W21</f>
        <v>0</v>
      </c>
    </row>
    <row r="21" spans="1:50" x14ac:dyDescent="0.35">
      <c r="A21" s="132">
        <f t="shared" si="0"/>
        <v>15</v>
      </c>
      <c r="B21" s="85" t="s">
        <v>280</v>
      </c>
      <c r="C21" s="85" t="s">
        <v>340</v>
      </c>
      <c r="D21" s="1392" t="s">
        <v>4</v>
      </c>
      <c r="E21" s="225">
        <v>0.34416000000000024</v>
      </c>
      <c r="F21" s="222">
        <f>F19</f>
        <v>0.26333000000000001</v>
      </c>
      <c r="G21" s="222"/>
      <c r="H21" s="222"/>
      <c r="I21" s="224">
        <v>-1.7200000000000002E-3</v>
      </c>
      <c r="J21" s="223">
        <f t="shared" si="1"/>
        <v>0.60577000000000025</v>
      </c>
      <c r="K21" s="222"/>
      <c r="L21" s="222">
        <f>ROUND(E21*(HLOOKUP($C$21,'Rate Spread SETTLEMENT'!$E$73:$AA$78,6,FALSE)),5)</f>
        <v>2.3040000000000001E-2</v>
      </c>
      <c r="M21" s="222"/>
      <c r="N21" s="226">
        <f>(J21-F21-G21-H21)-I21</f>
        <v>0.34416000000000024</v>
      </c>
      <c r="O21" s="226">
        <f t="shared" si="3"/>
        <v>0.36720000000000025</v>
      </c>
      <c r="P21" s="222">
        <f>'Allocation = % of Margin'!AD22</f>
        <v>-3.9100000000000003E-3</v>
      </c>
      <c r="Q21" s="916"/>
      <c r="R21" s="797">
        <f t="shared" si="4"/>
        <v>0.36329000000000022</v>
      </c>
      <c r="S21" s="1614">
        <f>'Allocation = % of Margin'!U22</f>
        <v>0</v>
      </c>
      <c r="T21" s="222">
        <f>'Allocation = % of Margin'!X22</f>
        <v>-3.5200000000000001E-3</v>
      </c>
      <c r="U21" s="222">
        <f>'Allocation = % of Margin'!AA22</f>
        <v>1.24E-3</v>
      </c>
      <c r="V21" s="809">
        <f t="shared" si="5"/>
        <v>-2.2799999999999999E-3</v>
      </c>
      <c r="W21" s="810">
        <f t="shared" si="6"/>
        <v>0.62262000000000017</v>
      </c>
      <c r="X21" s="1614">
        <f>'Rates in summary'!I22</f>
        <v>8.5399999999999976E-2</v>
      </c>
      <c r="Y21" s="222">
        <f>'Rates in summary'!J22</f>
        <v>0</v>
      </c>
      <c r="Z21" s="222">
        <f>'Rates in summary'!K22</f>
        <v>1.0889999999999993E-2</v>
      </c>
      <c r="AA21" s="1738">
        <f t="shared" si="7"/>
        <v>0.71891000000000016</v>
      </c>
      <c r="AB21" s="1198"/>
      <c r="AC21" s="936">
        <f>ROUND(R21*(HLOOKUP($C$21,'Rate Spread SETTLEMENT'!$E$101:$AA$106,6,FALSE)),5)</f>
        <v>8.7299999999999999E-3</v>
      </c>
      <c r="AD21" s="915">
        <f>'Allocation = % of Margin'!AM22</f>
        <v>-3.5E-4</v>
      </c>
      <c r="AE21" s="1485">
        <f>'Allocation = % of Margin'!AG22</f>
        <v>0</v>
      </c>
      <c r="AF21" s="915">
        <f>'Allocation = % of Margin'!AJ22</f>
        <v>-3.3999999999999998E-3</v>
      </c>
      <c r="AG21" s="809">
        <f t="shared" si="8"/>
        <v>8.7299999999999999E-3</v>
      </c>
      <c r="AH21" s="809">
        <f t="shared" si="9"/>
        <v>-3.7499999999999999E-3</v>
      </c>
      <c r="AI21" s="1791">
        <f t="shared" si="10"/>
        <v>0.72389000000000014</v>
      </c>
      <c r="AJ21" s="936">
        <f>'Rates in summary'!R22</f>
        <v>0.12099000000000004</v>
      </c>
      <c r="AK21" s="915">
        <f>'Rates in summary'!S22</f>
        <v>0</v>
      </c>
      <c r="AL21" s="1485">
        <f>'Rates in summary'!T22</f>
        <v>0.12199</v>
      </c>
      <c r="AM21" s="1764">
        <f>'Rates in summary'!V22</f>
        <v>0</v>
      </c>
      <c r="AN21" s="1754">
        <f t="shared" si="11"/>
        <v>0.96687000000000012</v>
      </c>
      <c r="AO21" s="222"/>
      <c r="AP21" s="220">
        <f>'WA Volumes &amp; Revenues'!O23</f>
        <v>250</v>
      </c>
      <c r="AQ21" s="221">
        <f>'WA Volumes &amp; Revenues'!N23</f>
        <v>250</v>
      </c>
      <c r="AR21" s="224"/>
      <c r="AS21" s="222"/>
      <c r="AT21" s="224"/>
      <c r="AU21" s="223"/>
      <c r="AV21" s="222"/>
      <c r="AX21" s="1748">
        <f>AN21-'Rates in summary'!W22</f>
        <v>0</v>
      </c>
    </row>
    <row r="22" spans="1:50" x14ac:dyDescent="0.35">
      <c r="A22" s="132">
        <f t="shared" si="0"/>
        <v>16</v>
      </c>
      <c r="B22" s="160"/>
      <c r="C22" s="160"/>
      <c r="D22" s="1393" t="s">
        <v>5</v>
      </c>
      <c r="E22" s="214">
        <v>0.30325000000000002</v>
      </c>
      <c r="F22" s="216">
        <f>F20</f>
        <v>0.26333000000000001</v>
      </c>
      <c r="G22" s="216"/>
      <c r="H22" s="216"/>
      <c r="I22" s="215">
        <v>-2.6199999999999999E-3</v>
      </c>
      <c r="J22" s="217">
        <f t="shared" si="1"/>
        <v>0.56396000000000013</v>
      </c>
      <c r="K22" s="222"/>
      <c r="L22" s="216">
        <f>ROUND(E22*(HLOOKUP($C$21,'Rate Spread SETTLEMENT'!$E$73:$AA$78,6,FALSE)),5)</f>
        <v>2.0299999999999999E-2</v>
      </c>
      <c r="M22" s="222"/>
      <c r="N22" s="219">
        <f t="shared" si="2"/>
        <v>0.30325000000000013</v>
      </c>
      <c r="O22" s="219">
        <f t="shared" si="3"/>
        <v>0.32355000000000012</v>
      </c>
      <c r="P22" s="216">
        <f>'Allocation = % of Margin'!AD23</f>
        <v>-3.4399999999999999E-3</v>
      </c>
      <c r="Q22" s="914"/>
      <c r="R22" s="796">
        <f t="shared" si="4"/>
        <v>0.32011000000000012</v>
      </c>
      <c r="S22" s="1613">
        <f>'Allocation = % of Margin'!U23</f>
        <v>0</v>
      </c>
      <c r="T22" s="216">
        <f>'Allocation = % of Margin'!X23</f>
        <v>-3.0999999999999999E-3</v>
      </c>
      <c r="U22" s="216">
        <f>'Allocation = % of Margin'!AA23</f>
        <v>1.09E-3</v>
      </c>
      <c r="V22" s="808">
        <f t="shared" si="5"/>
        <v>-2.0099999999999996E-3</v>
      </c>
      <c r="W22" s="807">
        <f t="shared" si="6"/>
        <v>0.57881000000000005</v>
      </c>
      <c r="X22" s="1613">
        <f>'Rates in summary'!I23</f>
        <v>8.5399999999999976E-2</v>
      </c>
      <c r="Y22" s="216">
        <f>'Rates in summary'!J23</f>
        <v>0</v>
      </c>
      <c r="Z22" s="216">
        <f>'Rates in summary'!K23</f>
        <v>1.0749999999999992E-2</v>
      </c>
      <c r="AA22" s="1737">
        <f t="shared" si="7"/>
        <v>0.67496</v>
      </c>
      <c r="AB22" s="1198"/>
      <c r="AC22" s="937">
        <f>ROUND(R22*(HLOOKUP($C$21,'Rate Spread SETTLEMENT'!$E$101:$AA$106,6,FALSE)),5)</f>
        <v>7.6899999999999998E-3</v>
      </c>
      <c r="AD22" s="913">
        <f>'Allocation = % of Margin'!AM23</f>
        <v>-2.9999999999999997E-4</v>
      </c>
      <c r="AE22" s="913">
        <f>'Allocation = % of Margin'!AG23</f>
        <v>0</v>
      </c>
      <c r="AF22" s="913">
        <f>'Allocation = % of Margin'!AJ23</f>
        <v>-2.99E-3</v>
      </c>
      <c r="AG22" s="808">
        <f t="shared" si="8"/>
        <v>7.6899999999999998E-3</v>
      </c>
      <c r="AH22" s="808">
        <f t="shared" si="9"/>
        <v>-3.29E-3</v>
      </c>
      <c r="AI22" s="1790">
        <f t="shared" si="10"/>
        <v>0.67935999999999996</v>
      </c>
      <c r="AJ22" s="937">
        <f>'Rates in summary'!R23</f>
        <v>0.12099000000000004</v>
      </c>
      <c r="AK22" s="913">
        <f>'Rates in summary'!S23</f>
        <v>0</v>
      </c>
      <c r="AL22" s="913">
        <f>'Rates in summary'!T23</f>
        <v>0.12135000000000001</v>
      </c>
      <c r="AM22" s="1763">
        <f>'Rates in summary'!V23</f>
        <v>0</v>
      </c>
      <c r="AN22" s="1753">
        <f t="shared" si="11"/>
        <v>0.92169999999999996</v>
      </c>
      <c r="AO22" s="222"/>
      <c r="AP22" s="220"/>
      <c r="AQ22" s="221"/>
      <c r="AR22" s="224"/>
      <c r="AS22" s="222"/>
      <c r="AT22" s="224"/>
      <c r="AU22" s="223"/>
      <c r="AV22" s="222"/>
      <c r="AX22" s="1748">
        <f>AN22-'Rates in summary'!W23</f>
        <v>0</v>
      </c>
    </row>
    <row r="23" spans="1:50" x14ac:dyDescent="0.35">
      <c r="A23" s="132">
        <f t="shared" si="0"/>
        <v>17</v>
      </c>
      <c r="B23" s="85" t="s">
        <v>274</v>
      </c>
      <c r="C23" s="85" t="s">
        <v>342</v>
      </c>
      <c r="D23" s="1392" t="s">
        <v>4</v>
      </c>
      <c r="E23" s="225">
        <v>0.34372999999999987</v>
      </c>
      <c r="F23" s="222">
        <f t="shared" ref="F23:F42" si="13">+$F$13</f>
        <v>0.26333000000000001</v>
      </c>
      <c r="G23" s="222"/>
      <c r="H23" s="222"/>
      <c r="I23" s="224">
        <v>5.3189999999999994E-2</v>
      </c>
      <c r="J23" s="223">
        <f t="shared" si="1"/>
        <v>0.66024999999999989</v>
      </c>
      <c r="K23" s="222"/>
      <c r="L23" s="222">
        <f>ROUND(E23*(HLOOKUP($C$23,'Rate Spread SETTLEMENT'!$E$73:$AA$78,6,FALSE)),5)</f>
        <v>3.6089999999999997E-2</v>
      </c>
      <c r="M23" s="222"/>
      <c r="N23" s="226">
        <f t="shared" si="2"/>
        <v>0.34372999999999987</v>
      </c>
      <c r="O23" s="226">
        <f t="shared" si="3"/>
        <v>0.37981999999999988</v>
      </c>
      <c r="P23" s="222">
        <f>'Allocation = % of Margin'!AD24</f>
        <v>-3.2200000000000002E-3</v>
      </c>
      <c r="Q23" s="916"/>
      <c r="R23" s="797">
        <f t="shared" si="4"/>
        <v>0.37659999999999988</v>
      </c>
      <c r="S23" s="1614">
        <f>'Allocation = % of Margin'!U24</f>
        <v>-6.8599999999999998E-3</v>
      </c>
      <c r="T23" s="222">
        <f>'Allocation = % of Margin'!X24</f>
        <v>-3.0300000000000001E-3</v>
      </c>
      <c r="U23" s="222">
        <f>'Allocation = % of Margin'!AA24</f>
        <v>1.3799999999999999E-3</v>
      </c>
      <c r="V23" s="809">
        <f t="shared" si="5"/>
        <v>-8.5100000000000002E-3</v>
      </c>
      <c r="W23" s="810">
        <f>R23+V23+SUM(F23:I23)</f>
        <v>0.68460999999999994</v>
      </c>
      <c r="X23" s="1614">
        <f>'Rates in summary'!I24</f>
        <v>8.5399999999999976E-2</v>
      </c>
      <c r="Y23" s="222">
        <f>'Rates in summary'!J24</f>
        <v>0</v>
      </c>
      <c r="Z23" s="222">
        <f>'Rates in summary'!K24</f>
        <v>4.3799999999999999E-2</v>
      </c>
      <c r="AA23" s="1738">
        <f t="shared" si="7"/>
        <v>0.81380999999999992</v>
      </c>
      <c r="AB23" s="1198"/>
      <c r="AC23" s="936">
        <f>ROUND(R23*(HLOOKUP($C$23,'Rate Spread SETTLEMENT'!$E$101:$AA$106,6,FALSE)),5)</f>
        <v>2.162E-2</v>
      </c>
      <c r="AD23" s="915">
        <f>'Allocation = % of Margin'!AM24</f>
        <v>-3.1E-4</v>
      </c>
      <c r="AE23" s="1485">
        <f>'Allocation = % of Margin'!AG24</f>
        <v>-6.7799999999999996E-3</v>
      </c>
      <c r="AF23" s="915">
        <f>'Allocation = % of Margin'!AJ24</f>
        <v>-3.0400000000000002E-3</v>
      </c>
      <c r="AG23" s="809">
        <f t="shared" si="8"/>
        <v>2.162E-2</v>
      </c>
      <c r="AH23" s="809">
        <f t="shared" si="9"/>
        <v>-1.013E-2</v>
      </c>
      <c r="AI23" s="1791">
        <f t="shared" si="10"/>
        <v>0.82529999999999992</v>
      </c>
      <c r="AJ23" s="936">
        <f>'Rates in summary'!R24</f>
        <v>0.12099000000000004</v>
      </c>
      <c r="AK23" s="915">
        <f>'Rates in summary'!S24</f>
        <v>0</v>
      </c>
      <c r="AL23" s="1485">
        <f>'Rates in summary'!T24</f>
        <v>6.860999999999999E-2</v>
      </c>
      <c r="AM23" s="1764">
        <f>'Rates in summary'!V24</f>
        <v>0</v>
      </c>
      <c r="AN23" s="1754">
        <f t="shared" si="11"/>
        <v>1.0148999999999999</v>
      </c>
      <c r="AO23" s="222"/>
      <c r="AP23" s="220">
        <f>'WA Volumes &amp; Revenues'!O25</f>
        <v>250</v>
      </c>
      <c r="AQ23" s="221">
        <f>'WA Volumes &amp; Revenues'!N25</f>
        <v>250</v>
      </c>
      <c r="AR23" s="224"/>
      <c r="AS23" s="222"/>
      <c r="AT23" s="224"/>
      <c r="AU23" s="223"/>
      <c r="AV23" s="222"/>
      <c r="AX23" s="1748">
        <f>AN23-'Rates in summary'!W24</f>
        <v>0</v>
      </c>
    </row>
    <row r="24" spans="1:50" x14ac:dyDescent="0.35">
      <c r="A24" s="132">
        <f t="shared" si="0"/>
        <v>18</v>
      </c>
      <c r="B24" s="160"/>
      <c r="C24" s="160"/>
      <c r="D24" s="1393" t="s">
        <v>5</v>
      </c>
      <c r="E24" s="214">
        <v>0.30284999999999984</v>
      </c>
      <c r="F24" s="216">
        <f t="shared" si="13"/>
        <v>0.26333000000000001</v>
      </c>
      <c r="G24" s="216"/>
      <c r="H24" s="216"/>
      <c r="I24" s="215">
        <v>4.6990000000000004E-2</v>
      </c>
      <c r="J24" s="217">
        <f t="shared" si="1"/>
        <v>0.61316999999999988</v>
      </c>
      <c r="K24" s="222"/>
      <c r="L24" s="216">
        <f>ROUND(E24*(HLOOKUP($C$23,'Rate Spread SETTLEMENT'!$E$73:$AA$78,6,FALSE)),5)</f>
        <v>3.1800000000000002E-2</v>
      </c>
      <c r="M24" s="222"/>
      <c r="N24" s="219">
        <f t="shared" si="2"/>
        <v>0.30284999999999984</v>
      </c>
      <c r="O24" s="219">
        <f t="shared" si="3"/>
        <v>0.33464999999999984</v>
      </c>
      <c r="P24" s="216">
        <f>'Allocation = % of Margin'!AD25</f>
        <v>-2.8400000000000001E-3</v>
      </c>
      <c r="Q24" s="914"/>
      <c r="R24" s="796">
        <f t="shared" si="4"/>
        <v>0.33180999999999983</v>
      </c>
      <c r="S24" s="1613">
        <f>'Allocation = % of Margin'!U25</f>
        <v>-6.0499999999999998E-3</v>
      </c>
      <c r="T24" s="216">
        <f>'Allocation = % of Margin'!X25</f>
        <v>-2.6700000000000001E-3</v>
      </c>
      <c r="U24" s="216">
        <f>'Allocation = % of Margin'!AA25</f>
        <v>1.2099999999999999E-3</v>
      </c>
      <c r="V24" s="808">
        <f t="shared" si="5"/>
        <v>-7.5100000000000002E-3</v>
      </c>
      <c r="W24" s="807">
        <f t="shared" si="6"/>
        <v>0.63461999999999985</v>
      </c>
      <c r="X24" s="1613">
        <f>'Rates in summary'!I25</f>
        <v>8.5399999999999976E-2</v>
      </c>
      <c r="Y24" s="216">
        <f>'Rates in summary'!J25</f>
        <v>0</v>
      </c>
      <c r="Z24" s="216">
        <f>'Rates in summary'!K25</f>
        <v>4.2849999999999985E-2</v>
      </c>
      <c r="AA24" s="1737">
        <f t="shared" si="7"/>
        <v>0.76286999999999983</v>
      </c>
      <c r="AB24" s="1198"/>
      <c r="AC24" s="929">
        <f>ROUND(R24*(HLOOKUP($C$23,'Rate Spread SETTLEMENT'!$E$101:$AA$106,6,FALSE)),5)</f>
        <v>1.9050000000000001E-2</v>
      </c>
      <c r="AD24" s="913">
        <f>'Allocation = % of Margin'!AM25</f>
        <v>-2.7E-4</v>
      </c>
      <c r="AE24" s="915">
        <f>'Allocation = % of Margin'!AG25</f>
        <v>-5.9699999999999996E-3</v>
      </c>
      <c r="AF24" s="913">
        <f>'Allocation = % of Margin'!AJ25</f>
        <v>-2.6800000000000001E-3</v>
      </c>
      <c r="AG24" s="808">
        <f t="shared" si="8"/>
        <v>1.9050000000000001E-2</v>
      </c>
      <c r="AH24" s="808">
        <f t="shared" si="9"/>
        <v>-8.9200000000000008E-3</v>
      </c>
      <c r="AI24" s="1790">
        <f t="shared" si="10"/>
        <v>0.7729999999999998</v>
      </c>
      <c r="AJ24" s="929">
        <f>'Rates in summary'!R25</f>
        <v>0.12099000000000004</v>
      </c>
      <c r="AK24" s="913">
        <f>'Rates in summary'!S25</f>
        <v>0</v>
      </c>
      <c r="AL24" s="915">
        <f>'Rates in summary'!T25</f>
        <v>6.9940000000000002E-2</v>
      </c>
      <c r="AM24" s="1763">
        <f>'Rates in summary'!V25</f>
        <v>0</v>
      </c>
      <c r="AN24" s="1753">
        <f t="shared" si="11"/>
        <v>0.96392999999999984</v>
      </c>
      <c r="AO24" s="222"/>
      <c r="AP24" s="220"/>
      <c r="AQ24" s="221"/>
      <c r="AR24" s="224"/>
      <c r="AS24" s="222"/>
      <c r="AT24" s="224"/>
      <c r="AU24" s="223"/>
      <c r="AV24" s="222"/>
      <c r="AX24" s="1748">
        <f>AN24-'Rates in summary'!W25</f>
        <v>0</v>
      </c>
    </row>
    <row r="25" spans="1:50" x14ac:dyDescent="0.35">
      <c r="A25" s="132">
        <f t="shared" si="0"/>
        <v>19</v>
      </c>
      <c r="B25" s="85" t="s">
        <v>286</v>
      </c>
      <c r="C25" s="85" t="s">
        <v>343</v>
      </c>
      <c r="D25" s="1392" t="s">
        <v>4</v>
      </c>
      <c r="E25" s="225">
        <f>E23</f>
        <v>0.34372999999999987</v>
      </c>
      <c r="F25" s="222">
        <f t="shared" si="13"/>
        <v>0.26333000000000001</v>
      </c>
      <c r="G25" s="222"/>
      <c r="H25" s="222"/>
      <c r="I25" s="224">
        <v>8.7499999999999991E-3</v>
      </c>
      <c r="J25" s="223">
        <f>SUM(E25:I25)</f>
        <v>0.61580999999999997</v>
      </c>
      <c r="K25" s="222"/>
      <c r="L25" s="222">
        <f>ROUND(E25*(HLOOKUP($C$25,'Rate Spread SETTLEMENT'!$E$73:$AA$78,6,FALSE)),5)</f>
        <v>1.576E-2</v>
      </c>
      <c r="M25" s="222"/>
      <c r="N25" s="226">
        <f>(J25-F25-G25-H25)-I25</f>
        <v>0.34372999999999998</v>
      </c>
      <c r="O25" s="226">
        <f>N25+L25</f>
        <v>0.35948999999999998</v>
      </c>
      <c r="P25" s="222">
        <f>'Allocation = % of Margin'!AD26</f>
        <v>-3.2200000000000002E-3</v>
      </c>
      <c r="Q25" s="916"/>
      <c r="R25" s="797">
        <f>SUM(O25:Q25)</f>
        <v>0.35626999999999998</v>
      </c>
      <c r="S25" s="1614">
        <f>'Allocation = % of Margin'!U26</f>
        <v>0</v>
      </c>
      <c r="T25" s="222">
        <f>'Allocation = % of Margin'!X26</f>
        <v>-2.8700000000000002E-3</v>
      </c>
      <c r="U25" s="222">
        <f>'Allocation = % of Margin'!AA26</f>
        <v>1.2999999999999999E-3</v>
      </c>
      <c r="V25" s="809">
        <f>SUM(S25:U25)</f>
        <v>-1.5700000000000002E-3</v>
      </c>
      <c r="W25" s="810">
        <f>R25+V25+SUM(F25:I25)</f>
        <v>0.62677999999999989</v>
      </c>
      <c r="X25" s="1614">
        <f>'Rates in summary'!I26</f>
        <v>8.5399999999999976E-2</v>
      </c>
      <c r="Y25" s="222">
        <f>'Rates in summary'!J26</f>
        <v>0</v>
      </c>
      <c r="Z25" s="222">
        <f>'Rates in summary'!K26</f>
        <v>3.7399999999999996E-2</v>
      </c>
      <c r="AA25" s="1738">
        <f t="shared" si="7"/>
        <v>0.74957999999999991</v>
      </c>
      <c r="AB25" s="1198"/>
      <c r="AC25" s="936">
        <f>ROUND(R25*(HLOOKUP($C$25,'Rate Spread SETTLEMENT'!$E$101:$AA$106,6,FALSE)),5)</f>
        <v>7.1300000000000001E-3</v>
      </c>
      <c r="AD25" s="915">
        <f>'Allocation = % of Margin'!AM26</f>
        <v>-2.7999999999999998E-4</v>
      </c>
      <c r="AE25" s="1485">
        <f>'Allocation = % of Margin'!AG26</f>
        <v>0</v>
      </c>
      <c r="AF25" s="915">
        <f>'Allocation = % of Margin'!AJ26</f>
        <v>-2.7699999999999999E-3</v>
      </c>
      <c r="AG25" s="809">
        <f t="shared" si="8"/>
        <v>7.1300000000000001E-3</v>
      </c>
      <c r="AH25" s="809">
        <f t="shared" si="9"/>
        <v>-3.0499999999999998E-3</v>
      </c>
      <c r="AI25" s="1791">
        <f t="shared" si="10"/>
        <v>0.75365999999999989</v>
      </c>
      <c r="AJ25" s="936">
        <f>'Rates in summary'!R26</f>
        <v>0.12099000000000004</v>
      </c>
      <c r="AK25" s="915">
        <f>'Rates in summary'!S26</f>
        <v>0</v>
      </c>
      <c r="AL25" s="1485">
        <f>'Rates in summary'!T26</f>
        <v>8.274999999999999E-2</v>
      </c>
      <c r="AM25" s="1764">
        <f>'Rates in summary'!V26</f>
        <v>0</v>
      </c>
      <c r="AN25" s="1754">
        <f t="shared" si="11"/>
        <v>0.95739999999999992</v>
      </c>
      <c r="AO25" s="222"/>
      <c r="AP25" s="220">
        <f>'WA Volumes &amp; Revenues'!O27</f>
        <v>250</v>
      </c>
      <c r="AQ25" s="221">
        <f>'WA Volumes &amp; Revenues'!N27</f>
        <v>250</v>
      </c>
      <c r="AR25" s="224"/>
      <c r="AS25" s="222"/>
      <c r="AT25" s="224"/>
      <c r="AU25" s="223"/>
      <c r="AV25" s="222"/>
      <c r="AX25" s="1748">
        <f>AN25-'Rates in summary'!W26</f>
        <v>0</v>
      </c>
    </row>
    <row r="26" spans="1:50" x14ac:dyDescent="0.35">
      <c r="A26" s="132">
        <f t="shared" si="0"/>
        <v>20</v>
      </c>
      <c r="B26" s="160"/>
      <c r="C26" s="160"/>
      <c r="D26" s="1393" t="s">
        <v>5</v>
      </c>
      <c r="E26" s="214">
        <f>E24</f>
        <v>0.30284999999999984</v>
      </c>
      <c r="F26" s="216">
        <f t="shared" si="13"/>
        <v>0.26333000000000001</v>
      </c>
      <c r="G26" s="216"/>
      <c r="H26" s="216"/>
      <c r="I26" s="215">
        <v>7.8399999999999997E-3</v>
      </c>
      <c r="J26" s="217">
        <f t="shared" ref="J26:J28" si="14">SUM(E26:I26)</f>
        <v>0.57401999999999986</v>
      </c>
      <c r="K26" s="222"/>
      <c r="L26" s="216">
        <f>ROUND(E26*(HLOOKUP($C$25,'Rate Spread SETTLEMENT'!$E$73:$AA$78,6,FALSE)),5)</f>
        <v>1.388E-2</v>
      </c>
      <c r="M26" s="222"/>
      <c r="N26" s="219">
        <f t="shared" si="2"/>
        <v>0.30284999999999984</v>
      </c>
      <c r="O26" s="219">
        <f t="shared" si="3"/>
        <v>0.31672999999999984</v>
      </c>
      <c r="P26" s="216">
        <f>'Allocation = % of Margin'!AD27</f>
        <v>-2.8400000000000001E-3</v>
      </c>
      <c r="Q26" s="914"/>
      <c r="R26" s="796">
        <f t="shared" si="4"/>
        <v>0.31388999999999984</v>
      </c>
      <c r="S26" s="1613">
        <f>'Allocation = % of Margin'!U27</f>
        <v>0</v>
      </c>
      <c r="T26" s="216">
        <f>'Allocation = % of Margin'!X27</f>
        <v>-2.5300000000000001E-3</v>
      </c>
      <c r="U26" s="216">
        <f>'Allocation = % of Margin'!AA27</f>
        <v>1.15E-3</v>
      </c>
      <c r="V26" s="808">
        <f t="shared" si="5"/>
        <v>-1.3800000000000002E-3</v>
      </c>
      <c r="W26" s="807">
        <f t="shared" si="6"/>
        <v>0.58367999999999987</v>
      </c>
      <c r="X26" s="1613">
        <f>'Rates in summary'!I27</f>
        <v>8.5399999999999976E-2</v>
      </c>
      <c r="Y26" s="216">
        <f>'Rates in summary'!J27</f>
        <v>0</v>
      </c>
      <c r="Z26" s="216">
        <f>'Rates in summary'!K27</f>
        <v>3.7199999999999997E-2</v>
      </c>
      <c r="AA26" s="1737">
        <f t="shared" si="7"/>
        <v>0.7062799999999998</v>
      </c>
      <c r="AB26" s="1198"/>
      <c r="AC26" s="937">
        <f>ROUND(R26*(HLOOKUP($C$25,'Rate Spread SETTLEMENT'!$E$101:$AA$106,6,FALSE)),5)</f>
        <v>6.28E-3</v>
      </c>
      <c r="AD26" s="913">
        <f>'Allocation = % of Margin'!AM27</f>
        <v>-2.5000000000000001E-4</v>
      </c>
      <c r="AE26" s="913">
        <f>'Allocation = % of Margin'!AG27</f>
        <v>0</v>
      </c>
      <c r="AF26" s="913">
        <f>'Allocation = % of Margin'!AJ27</f>
        <v>-2.4399999999999999E-3</v>
      </c>
      <c r="AG26" s="808">
        <f t="shared" si="8"/>
        <v>6.28E-3</v>
      </c>
      <c r="AH26" s="808">
        <f t="shared" si="9"/>
        <v>-2.6899999999999997E-3</v>
      </c>
      <c r="AI26" s="1790">
        <f t="shared" si="10"/>
        <v>0.70986999999999978</v>
      </c>
      <c r="AJ26" s="937">
        <f>'Rates in summary'!R27</f>
        <v>0.12099000000000004</v>
      </c>
      <c r="AK26" s="913">
        <f>'Rates in summary'!S27</f>
        <v>0</v>
      </c>
      <c r="AL26" s="913">
        <f>'Rates in summary'!T27</f>
        <v>8.2369999999999999E-2</v>
      </c>
      <c r="AM26" s="1763">
        <f>'Rates in summary'!V27</f>
        <v>0</v>
      </c>
      <c r="AN26" s="1753">
        <f t="shared" si="11"/>
        <v>0.91322999999999976</v>
      </c>
      <c r="AO26" s="222"/>
      <c r="AP26" s="220"/>
      <c r="AQ26" s="221"/>
      <c r="AR26" s="224"/>
      <c r="AS26" s="222"/>
      <c r="AT26" s="224"/>
      <c r="AU26" s="223"/>
      <c r="AV26" s="222"/>
      <c r="AX26" s="1748">
        <f>AN26-'Rates in summary'!W27</f>
        <v>0</v>
      </c>
    </row>
    <row r="27" spans="1:50" x14ac:dyDescent="0.35">
      <c r="A27" s="132">
        <f t="shared" si="0"/>
        <v>21</v>
      </c>
      <c r="B27" s="85" t="s">
        <v>293</v>
      </c>
      <c r="C27" s="85" t="s">
        <v>344</v>
      </c>
      <c r="D27" s="1392" t="s">
        <v>4</v>
      </c>
      <c r="E27" s="225">
        <v>0.34791</v>
      </c>
      <c r="F27" s="222">
        <v>0</v>
      </c>
      <c r="G27" s="222"/>
      <c r="H27" s="222"/>
      <c r="I27" s="224">
        <v>1.5499999999999999E-3</v>
      </c>
      <c r="J27" s="223">
        <f t="shared" si="14"/>
        <v>0.34945999999999999</v>
      </c>
      <c r="K27" s="222"/>
      <c r="L27" s="222">
        <f>ROUND(E27*(HLOOKUP($C$27,'Rate Spread SETTLEMENT'!$E$73:$AA$78,6,FALSE)),5)</f>
        <v>2.562E-2</v>
      </c>
      <c r="M27" s="222"/>
      <c r="N27" s="226">
        <f t="shared" si="2"/>
        <v>0.34791</v>
      </c>
      <c r="O27" s="226">
        <f t="shared" si="3"/>
        <v>0.37352999999999997</v>
      </c>
      <c r="P27" s="222">
        <f>'Allocation = % of Margin'!AD28</f>
        <v>-4.3499999999999997E-3</v>
      </c>
      <c r="Q27" s="916"/>
      <c r="R27" s="797">
        <f t="shared" si="4"/>
        <v>0.36917999999999995</v>
      </c>
      <c r="S27" s="1614">
        <f>'Allocation = % of Margin'!U28</f>
        <v>0</v>
      </c>
      <c r="T27" s="222">
        <f>'Allocation = % of Margin'!X28</f>
        <v>-3.9100000000000003E-3</v>
      </c>
      <c r="U27" s="222">
        <f>'Allocation = % of Margin'!AA28</f>
        <v>1.3799999999999999E-3</v>
      </c>
      <c r="V27" s="809">
        <f t="shared" si="5"/>
        <v>-2.5300000000000001E-3</v>
      </c>
      <c r="W27" s="810">
        <f t="shared" si="6"/>
        <v>0.36819999999999997</v>
      </c>
      <c r="X27" s="1614">
        <f>'Rates in summary'!I28</f>
        <v>0</v>
      </c>
      <c r="Y27" s="222">
        <f>'Rates in summary'!J28</f>
        <v>0</v>
      </c>
      <c r="Z27" s="222">
        <f>'Rates in summary'!K28</f>
        <v>2.7999999999999995E-3</v>
      </c>
      <c r="AA27" s="1738">
        <f t="shared" si="7"/>
        <v>0.371</v>
      </c>
      <c r="AB27" s="1198"/>
      <c r="AC27" s="936">
        <f>ROUND(R27*(HLOOKUP($C$27,'Rate Spread SETTLEMENT'!$E$101:$AA$106,6,FALSE)),5)</f>
        <v>9.7099999999999999E-3</v>
      </c>
      <c r="AD27" s="915">
        <f>'Allocation = % of Margin'!AM28</f>
        <v>-3.8000000000000002E-4</v>
      </c>
      <c r="AE27" s="1485">
        <f>'Allocation = % of Margin'!AG28</f>
        <v>0</v>
      </c>
      <c r="AF27" s="915">
        <f>'Allocation = % of Margin'!AJ28</f>
        <v>-3.7799999999999999E-3</v>
      </c>
      <c r="AG27" s="809">
        <f t="shared" si="8"/>
        <v>9.7099999999999999E-3</v>
      </c>
      <c r="AH27" s="809">
        <f t="shared" si="9"/>
        <v>-4.1599999999999996E-3</v>
      </c>
      <c r="AI27" s="1791">
        <f t="shared" si="10"/>
        <v>0.37655</v>
      </c>
      <c r="AJ27" s="936">
        <f>'Rates in summary'!R28</f>
        <v>0</v>
      </c>
      <c r="AK27" s="915">
        <f>'Rates in summary'!S28</f>
        <v>0</v>
      </c>
      <c r="AL27" s="1485">
        <f>'Rates in summary'!T28</f>
        <v>4.2800000000000008E-3</v>
      </c>
      <c r="AM27" s="1764">
        <f>'Rates in summary'!V28</f>
        <v>0</v>
      </c>
      <c r="AN27" s="1754">
        <f t="shared" si="11"/>
        <v>0.38083</v>
      </c>
      <c r="AO27" s="222"/>
      <c r="AP27" s="220">
        <f>'WA Volumes &amp; Revenues'!O29</f>
        <v>500</v>
      </c>
      <c r="AQ27" s="221">
        <f>'WA Volumes &amp; Revenues'!N29</f>
        <v>500</v>
      </c>
      <c r="AR27" s="224"/>
      <c r="AS27" s="222"/>
      <c r="AT27" s="224"/>
      <c r="AU27" s="223"/>
      <c r="AV27" s="222"/>
      <c r="AX27" s="1748">
        <f>AN27-'Rates in summary'!W28</f>
        <v>0</v>
      </c>
    </row>
    <row r="28" spans="1:50" x14ac:dyDescent="0.35">
      <c r="A28" s="132">
        <f t="shared" si="0"/>
        <v>22</v>
      </c>
      <c r="B28" s="160"/>
      <c r="C28" s="160"/>
      <c r="D28" s="1393" t="s">
        <v>5</v>
      </c>
      <c r="E28" s="214">
        <v>0.30653000000000008</v>
      </c>
      <c r="F28" s="216">
        <v>0</v>
      </c>
      <c r="G28" s="216"/>
      <c r="H28" s="216"/>
      <c r="I28" s="215">
        <v>1.3600000000000001E-3</v>
      </c>
      <c r="J28" s="217">
        <f t="shared" si="14"/>
        <v>0.30789000000000011</v>
      </c>
      <c r="K28" s="222"/>
      <c r="L28" s="216">
        <f>ROUND(E28*(HLOOKUP($C$27,'Rate Spread SETTLEMENT'!$E$73:$AA$78,6,FALSE)),5)</f>
        <v>2.257E-2</v>
      </c>
      <c r="M28" s="222"/>
      <c r="N28" s="219">
        <f t="shared" si="2"/>
        <v>0.30653000000000008</v>
      </c>
      <c r="O28" s="219">
        <f t="shared" si="3"/>
        <v>0.32910000000000006</v>
      </c>
      <c r="P28" s="216">
        <f>'Allocation = % of Margin'!AD29</f>
        <v>-3.8300000000000001E-3</v>
      </c>
      <c r="Q28" s="914"/>
      <c r="R28" s="796">
        <f t="shared" si="4"/>
        <v>0.32527000000000006</v>
      </c>
      <c r="S28" s="1613">
        <f>'Allocation = % of Margin'!U29</f>
        <v>0</v>
      </c>
      <c r="T28" s="216">
        <f>'Allocation = % of Margin'!X29</f>
        <v>-3.4399999999999999E-3</v>
      </c>
      <c r="U28" s="216">
        <f>'Allocation = % of Margin'!AA29</f>
        <v>1.2099999999999999E-3</v>
      </c>
      <c r="V28" s="808">
        <f t="shared" si="5"/>
        <v>-2.2300000000000002E-3</v>
      </c>
      <c r="W28" s="807">
        <f t="shared" si="6"/>
        <v>0.32440000000000002</v>
      </c>
      <c r="X28" s="1613">
        <f>'Rates in summary'!I29</f>
        <v>0</v>
      </c>
      <c r="Y28" s="216">
        <f>'Rates in summary'!J29</f>
        <v>0</v>
      </c>
      <c r="Z28" s="216">
        <f>'Rates in summary'!K29</f>
        <v>2.48E-3</v>
      </c>
      <c r="AA28" s="1737">
        <f t="shared" si="7"/>
        <v>0.32688</v>
      </c>
      <c r="AB28" s="1198"/>
      <c r="AC28" s="937">
        <f>ROUND(R28*(HLOOKUP($C$27,'Rate Spread SETTLEMENT'!$E$101:$AA$106,6,FALSE)),5)</f>
        <v>8.5500000000000003E-3</v>
      </c>
      <c r="AD28" s="913">
        <f>'Allocation = % of Margin'!AM29</f>
        <v>-3.4000000000000002E-4</v>
      </c>
      <c r="AE28" s="913">
        <f>'Allocation = % of Margin'!AG29</f>
        <v>0</v>
      </c>
      <c r="AF28" s="913">
        <f>'Allocation = % of Margin'!AJ29</f>
        <v>-3.3300000000000001E-3</v>
      </c>
      <c r="AG28" s="808">
        <f t="shared" si="8"/>
        <v>8.5500000000000003E-3</v>
      </c>
      <c r="AH28" s="808">
        <f t="shared" si="9"/>
        <v>-3.6700000000000001E-3</v>
      </c>
      <c r="AI28" s="1790">
        <f t="shared" si="10"/>
        <v>0.33176</v>
      </c>
      <c r="AJ28" s="937">
        <f>'Rates in summary'!R29</f>
        <v>0</v>
      </c>
      <c r="AK28" s="913">
        <f>'Rates in summary'!S29</f>
        <v>0</v>
      </c>
      <c r="AL28" s="913">
        <f>'Rates in summary'!T29</f>
        <v>3.7599999999999995E-3</v>
      </c>
      <c r="AM28" s="1763">
        <f>'Rates in summary'!V29</f>
        <v>0</v>
      </c>
      <c r="AN28" s="1753">
        <f t="shared" si="11"/>
        <v>0.33551999999999998</v>
      </c>
      <c r="AO28" s="222"/>
      <c r="AP28" s="220"/>
      <c r="AQ28" s="221"/>
      <c r="AR28" s="224"/>
      <c r="AS28" s="222"/>
      <c r="AT28" s="224"/>
      <c r="AU28" s="223"/>
      <c r="AV28" s="222"/>
      <c r="AX28" s="1748">
        <f>AN28-'Rates in summary'!W29</f>
        <v>0</v>
      </c>
    </row>
    <row r="29" spans="1:50" x14ac:dyDescent="0.35">
      <c r="A29" s="132">
        <f t="shared" si="0"/>
        <v>23</v>
      </c>
      <c r="B29" s="85" t="s">
        <v>283</v>
      </c>
      <c r="C29" s="85" t="s">
        <v>345</v>
      </c>
      <c r="D29" s="1392" t="s">
        <v>4</v>
      </c>
      <c r="E29" s="225">
        <v>0.34791</v>
      </c>
      <c r="F29" s="222">
        <v>0</v>
      </c>
      <c r="G29" s="222"/>
      <c r="H29" s="227"/>
      <c r="I29" s="224">
        <f>I27</f>
        <v>1.5499999999999999E-3</v>
      </c>
      <c r="J29" s="223">
        <f t="shared" si="1"/>
        <v>0.34945999999999999</v>
      </c>
      <c r="K29" s="222"/>
      <c r="L29" s="222">
        <f>ROUND(E29*(HLOOKUP($C$29,'Rate Spread SETTLEMENT'!$E$73:$AA$78,6,FALSE)),5)</f>
        <v>1.5949999999999999E-2</v>
      </c>
      <c r="M29" s="222"/>
      <c r="N29" s="226">
        <f t="shared" si="2"/>
        <v>0.34791</v>
      </c>
      <c r="O29" s="226">
        <f t="shared" si="3"/>
        <v>0.36386000000000002</v>
      </c>
      <c r="P29" s="222">
        <f>'Allocation = % of Margin'!AD30</f>
        <v>-3.2599999999999999E-3</v>
      </c>
      <c r="Q29" s="916"/>
      <c r="R29" s="797">
        <f t="shared" si="4"/>
        <v>0.36060000000000003</v>
      </c>
      <c r="S29" s="1614">
        <f>'Allocation = % of Margin'!U30</f>
        <v>0</v>
      </c>
      <c r="T29" s="222">
        <f>'Allocation = % of Margin'!X30</f>
        <v>-2.8999999999999998E-3</v>
      </c>
      <c r="U29" s="222">
        <f>'Allocation = % of Margin'!AA30</f>
        <v>1.32E-3</v>
      </c>
      <c r="V29" s="809">
        <f t="shared" si="5"/>
        <v>-1.5799999999999998E-3</v>
      </c>
      <c r="W29" s="810">
        <f t="shared" si="6"/>
        <v>0.36057</v>
      </c>
      <c r="X29" s="1614">
        <f>'Rates in summary'!I30</f>
        <v>0</v>
      </c>
      <c r="Y29" s="222">
        <f>'Rates in summary'!J30</f>
        <v>0</v>
      </c>
      <c r="Z29" s="222">
        <f>'Rates in summary'!K30</f>
        <v>2.7999999999999995E-3</v>
      </c>
      <c r="AA29" s="1738">
        <f t="shared" si="7"/>
        <v>0.36337000000000003</v>
      </c>
      <c r="AB29" s="1198"/>
      <c r="AC29" s="936">
        <f>ROUND(R29*(HLOOKUP($C$29,'Rate Spread SETTLEMENT'!$E$101:$AA$106,6,FALSE)),5)</f>
        <v>7.2100000000000003E-3</v>
      </c>
      <c r="AD29" s="915">
        <f>'Allocation = % of Margin'!AM30</f>
        <v>-2.9E-4</v>
      </c>
      <c r="AE29" s="1485">
        <f>'Allocation = % of Margin'!AG30</f>
        <v>0</v>
      </c>
      <c r="AF29" s="915">
        <f>'Allocation = % of Margin'!AJ30</f>
        <v>-2.81E-3</v>
      </c>
      <c r="AG29" s="809">
        <f t="shared" si="8"/>
        <v>7.2100000000000003E-3</v>
      </c>
      <c r="AH29" s="809">
        <f t="shared" si="9"/>
        <v>-3.0999999999999999E-3</v>
      </c>
      <c r="AI29" s="1791">
        <f t="shared" si="10"/>
        <v>0.36748000000000003</v>
      </c>
      <c r="AJ29" s="936">
        <f>'Rates in summary'!R30</f>
        <v>0</v>
      </c>
      <c r="AK29" s="915">
        <f>'Rates in summary'!S30</f>
        <v>0</v>
      </c>
      <c r="AL29" s="1485">
        <f>'Rates in summary'!T30</f>
        <v>3.5000000000000005E-3</v>
      </c>
      <c r="AM29" s="1764">
        <f>'Rates in summary'!V30</f>
        <v>0</v>
      </c>
      <c r="AN29" s="1754">
        <f t="shared" si="11"/>
        <v>0.37098000000000003</v>
      </c>
      <c r="AO29" s="222"/>
      <c r="AP29" s="220">
        <f>'WA Volumes &amp; Revenues'!O31</f>
        <v>500</v>
      </c>
      <c r="AQ29" s="221">
        <f>'WA Volumes &amp; Revenues'!N31</f>
        <v>500</v>
      </c>
      <c r="AR29" s="224"/>
      <c r="AS29" s="222"/>
      <c r="AT29" s="224"/>
      <c r="AU29" s="223"/>
      <c r="AV29" s="222"/>
      <c r="AX29" s="1748">
        <f>AN29-'Rates in summary'!W30</f>
        <v>0</v>
      </c>
    </row>
    <row r="30" spans="1:50" x14ac:dyDescent="0.35">
      <c r="A30" s="132">
        <f t="shared" si="0"/>
        <v>24</v>
      </c>
      <c r="B30" s="160"/>
      <c r="C30" s="160"/>
      <c r="D30" s="1393" t="s">
        <v>5</v>
      </c>
      <c r="E30" s="214">
        <v>0.30653000000000008</v>
      </c>
      <c r="F30" s="216">
        <v>0</v>
      </c>
      <c r="G30" s="216"/>
      <c r="H30" s="216"/>
      <c r="I30" s="215">
        <f>I28</f>
        <v>1.3600000000000001E-3</v>
      </c>
      <c r="J30" s="217">
        <f t="shared" si="1"/>
        <v>0.30789000000000011</v>
      </c>
      <c r="K30" s="222"/>
      <c r="L30" s="216">
        <f>ROUND(E30*(HLOOKUP($C$29,'Rate Spread SETTLEMENT'!$E$73:$AA$78,6,FALSE)),5)</f>
        <v>1.405E-2</v>
      </c>
      <c r="M30" s="222"/>
      <c r="N30" s="219">
        <f t="shared" si="2"/>
        <v>0.30653000000000008</v>
      </c>
      <c r="O30" s="219">
        <f t="shared" si="3"/>
        <v>0.32058000000000009</v>
      </c>
      <c r="P30" s="216">
        <f>'Allocation = % of Margin'!AD31</f>
        <v>-2.8700000000000002E-3</v>
      </c>
      <c r="Q30" s="914"/>
      <c r="R30" s="796">
        <f t="shared" si="4"/>
        <v>0.3177100000000001</v>
      </c>
      <c r="S30" s="1613">
        <f>'Allocation = % of Margin'!U31</f>
        <v>0</v>
      </c>
      <c r="T30" s="216">
        <f>'Allocation = % of Margin'!X31</f>
        <v>-2.5600000000000002E-3</v>
      </c>
      <c r="U30" s="216">
        <f>'Allocation = % of Margin'!AA31</f>
        <v>1.16E-3</v>
      </c>
      <c r="V30" s="808">
        <f t="shared" si="5"/>
        <v>-1.4000000000000002E-3</v>
      </c>
      <c r="W30" s="807">
        <f t="shared" si="6"/>
        <v>0.31767000000000012</v>
      </c>
      <c r="X30" s="1613">
        <f>'Rates in summary'!I31</f>
        <v>0</v>
      </c>
      <c r="Y30" s="216">
        <f>'Rates in summary'!J31</f>
        <v>0</v>
      </c>
      <c r="Z30" s="216">
        <f>'Rates in summary'!K31</f>
        <v>2.48E-3</v>
      </c>
      <c r="AA30" s="1737">
        <f t="shared" si="7"/>
        <v>0.3201500000000001</v>
      </c>
      <c r="AB30" s="1198"/>
      <c r="AC30" s="929">
        <f>ROUND(R30*(HLOOKUP($C$29,'Rate Spread SETTLEMENT'!$E$101:$AA$106,6,FALSE)),5)</f>
        <v>6.3499999999999997E-3</v>
      </c>
      <c r="AD30" s="913">
        <f>'Allocation = % of Margin'!AM31</f>
        <v>-2.5000000000000001E-4</v>
      </c>
      <c r="AE30" s="915">
        <f>'Allocation = % of Margin'!AG31</f>
        <v>0</v>
      </c>
      <c r="AF30" s="913">
        <f>'Allocation = % of Margin'!AJ31</f>
        <v>-2.47E-3</v>
      </c>
      <c r="AG30" s="808">
        <f t="shared" si="8"/>
        <v>6.3499999999999997E-3</v>
      </c>
      <c r="AH30" s="808">
        <f t="shared" si="9"/>
        <v>-2.7200000000000002E-3</v>
      </c>
      <c r="AI30" s="1790">
        <f t="shared" si="10"/>
        <v>0.32378000000000012</v>
      </c>
      <c r="AJ30" s="929">
        <f>'Rates in summary'!R31</f>
        <v>0</v>
      </c>
      <c r="AK30" s="913">
        <f>'Rates in summary'!S31</f>
        <v>0</v>
      </c>
      <c r="AL30" s="915">
        <f>'Rates in summary'!T31</f>
        <v>3.0900000000000003E-3</v>
      </c>
      <c r="AM30" s="1763">
        <f>'Rates in summary'!V31</f>
        <v>0</v>
      </c>
      <c r="AN30" s="1753">
        <f t="shared" si="11"/>
        <v>0.3268700000000001</v>
      </c>
      <c r="AO30" s="222"/>
      <c r="AP30" s="771"/>
      <c r="AQ30" s="131"/>
      <c r="AR30" s="224"/>
      <c r="AS30" s="222"/>
      <c r="AT30" s="224"/>
      <c r="AU30" s="223"/>
      <c r="AV30" s="222"/>
      <c r="AX30" s="1748">
        <f>AN30-'Rates in summary'!W31</f>
        <v>0</v>
      </c>
    </row>
    <row r="31" spans="1:50" x14ac:dyDescent="0.35">
      <c r="A31" s="132">
        <f t="shared" si="0"/>
        <v>25</v>
      </c>
      <c r="B31" s="132" t="str">
        <f>'WA Volumes &amp; Revenues'!B33</f>
        <v>42C Firm Sales</v>
      </c>
      <c r="C31" s="132" t="s">
        <v>346</v>
      </c>
      <c r="D31" s="1411" t="s">
        <v>4</v>
      </c>
      <c r="E31" s="225">
        <v>0.15245999999999996</v>
      </c>
      <c r="F31" s="222">
        <f t="shared" si="13"/>
        <v>0.26333000000000001</v>
      </c>
      <c r="G31" s="222"/>
      <c r="H31" s="222"/>
      <c r="I31" s="224">
        <v>1.9560000000000001E-2</v>
      </c>
      <c r="J31" s="223">
        <f t="shared" si="1"/>
        <v>0.43535000000000001</v>
      </c>
      <c r="K31" s="222"/>
      <c r="L31" s="222">
        <f>ROUND(E31*(HLOOKUP($C$31,'Rate Spread SETTLEMENT'!$E$73:$AA$78,6,FALSE)),5)</f>
        <v>3.7769999999999998E-2</v>
      </c>
      <c r="M31" s="222"/>
      <c r="N31" s="226">
        <f t="shared" si="2"/>
        <v>0.15246000000000001</v>
      </c>
      <c r="O31" s="226">
        <f t="shared" si="3"/>
        <v>0.19023000000000001</v>
      </c>
      <c r="P31" s="222">
        <f>'Allocation = % of Margin'!AD32</f>
        <v>-3.0899999999999999E-3</v>
      </c>
      <c r="Q31" s="916"/>
      <c r="R31" s="797">
        <f t="shared" si="4"/>
        <v>0.18714</v>
      </c>
      <c r="S31" s="1113">
        <f>'Allocation = % of Margin'!U32</f>
        <v>-5.5300000000000002E-3</v>
      </c>
      <c r="T31" s="222">
        <f>'Allocation = % of Margin'!X32</f>
        <v>-2.9399999999999999E-3</v>
      </c>
      <c r="U31" s="222">
        <f>'Allocation = % of Margin'!AA32</f>
        <v>1.0399999999999999E-3</v>
      </c>
      <c r="V31" s="809">
        <f t="shared" si="5"/>
        <v>-7.43E-3</v>
      </c>
      <c r="W31" s="810">
        <f t="shared" si="6"/>
        <v>0.46260000000000001</v>
      </c>
      <c r="X31" s="1113">
        <f>'Rates in summary'!I32</f>
        <v>8.5399999999999976E-2</v>
      </c>
      <c r="Y31" s="222">
        <f>'Rates in summary'!J32</f>
        <v>0</v>
      </c>
      <c r="Z31" s="222">
        <f>'Rates in summary'!K32</f>
        <v>1.4889999999999994E-2</v>
      </c>
      <c r="AA31" s="1738">
        <f t="shared" si="7"/>
        <v>0.56289</v>
      </c>
      <c r="AB31" s="1198"/>
      <c r="AC31" s="936">
        <f>ROUND(R31*(HLOOKUP($C$31,'Rate Spread SETTLEMENT'!$E$101:$AA$106,6,FALSE)),5)</f>
        <v>2.095E-2</v>
      </c>
      <c r="AD31" s="915">
        <f>'Allocation = % of Margin'!AM32</f>
        <v>-2.9999999999999997E-4</v>
      </c>
      <c r="AE31" s="1485">
        <f>'Allocation = % of Margin'!AG32</f>
        <v>-5.5300000000000002E-3</v>
      </c>
      <c r="AF31" s="915">
        <f>'Allocation = % of Margin'!AJ32</f>
        <v>-2.9399999999999999E-3</v>
      </c>
      <c r="AG31" s="809">
        <f t="shared" si="8"/>
        <v>2.095E-2</v>
      </c>
      <c r="AH31" s="809">
        <f t="shared" si="9"/>
        <v>-8.77E-3</v>
      </c>
      <c r="AI31" s="1791">
        <f t="shared" si="10"/>
        <v>0.57506999999999997</v>
      </c>
      <c r="AJ31" s="936">
        <f>'Rates in summary'!R32</f>
        <v>0.12099000000000004</v>
      </c>
      <c r="AK31" s="915">
        <f>'Rates in summary'!S32</f>
        <v>0</v>
      </c>
      <c r="AL31" s="1485">
        <f>'Rates in summary'!T32</f>
        <v>0.11143999999999998</v>
      </c>
      <c r="AM31" s="1764">
        <f>'Rates in summary'!V32</f>
        <v>0</v>
      </c>
      <c r="AN31" s="1754">
        <f t="shared" si="11"/>
        <v>0.8075</v>
      </c>
      <c r="AO31" s="222"/>
      <c r="AP31" s="220">
        <f>'WA Volumes &amp; Revenues'!O33</f>
        <v>1300</v>
      </c>
      <c r="AQ31" s="221">
        <f>'WA Volumes &amp; Revenues'!N33</f>
        <v>1300</v>
      </c>
      <c r="AR31" s="224">
        <v>0.15748000000000001</v>
      </c>
      <c r="AS31" s="224">
        <v>0.15748000000000001</v>
      </c>
      <c r="AT31" s="224">
        <v>0.20415</v>
      </c>
      <c r="AU31" s="774">
        <v>0.20415</v>
      </c>
      <c r="AV31" s="222"/>
      <c r="AX31" s="1748">
        <f>AN31-'Rates in summary'!W32</f>
        <v>0</v>
      </c>
    </row>
    <row r="32" spans="1:50" x14ac:dyDescent="0.35">
      <c r="A32" s="132">
        <f t="shared" si="0"/>
        <v>26</v>
      </c>
      <c r="B32" s="1412"/>
      <c r="C32" s="1412"/>
      <c r="D32" s="1411" t="s">
        <v>5</v>
      </c>
      <c r="E32" s="225">
        <v>0.1364699999999997</v>
      </c>
      <c r="F32" s="222">
        <f t="shared" si="13"/>
        <v>0.26333000000000001</v>
      </c>
      <c r="G32" s="222"/>
      <c r="H32" s="222"/>
      <c r="I32" s="224">
        <v>1.6539999999999999E-2</v>
      </c>
      <c r="J32" s="223">
        <f t="shared" si="1"/>
        <v>0.41633999999999971</v>
      </c>
      <c r="K32" s="222"/>
      <c r="L32" s="222">
        <f>ROUND(E32*(HLOOKUP($C$31,'Rate Spread SETTLEMENT'!$E$73:$AA$78,6,FALSE)),5)</f>
        <v>3.381E-2</v>
      </c>
      <c r="M32" s="222"/>
      <c r="N32" s="226">
        <f t="shared" si="2"/>
        <v>0.1364699999999997</v>
      </c>
      <c r="O32" s="226">
        <f t="shared" si="3"/>
        <v>0.17027999999999971</v>
      </c>
      <c r="P32" s="222">
        <f>'Allocation = % of Margin'!AD33</f>
        <v>-2.7699999999999999E-3</v>
      </c>
      <c r="Q32" s="916"/>
      <c r="R32" s="797">
        <f t="shared" si="4"/>
        <v>0.16750999999999971</v>
      </c>
      <c r="S32" s="1113">
        <f>'Allocation = % of Margin'!U33</f>
        <v>-4.9500000000000004E-3</v>
      </c>
      <c r="T32" s="222">
        <f>'Allocation = % of Margin'!X33</f>
        <v>-2.63E-3</v>
      </c>
      <c r="U32" s="222">
        <f>'Allocation = % of Margin'!AA33</f>
        <v>9.3000000000000005E-4</v>
      </c>
      <c r="V32" s="809">
        <f t="shared" si="5"/>
        <v>-6.6499999999999997E-3</v>
      </c>
      <c r="W32" s="810">
        <f t="shared" si="6"/>
        <v>0.44072999999999973</v>
      </c>
      <c r="X32" s="1113">
        <f>'Rates in summary'!I33</f>
        <v>8.5399999999999976E-2</v>
      </c>
      <c r="Y32" s="222">
        <f>'Rates in summary'!J33</f>
        <v>0</v>
      </c>
      <c r="Z32" s="222">
        <f>'Rates in summary'!K33</f>
        <v>1.4329999999999996E-2</v>
      </c>
      <c r="AA32" s="1738">
        <f t="shared" si="7"/>
        <v>0.54045999999999972</v>
      </c>
      <c r="AB32" s="1198"/>
      <c r="AC32" s="929">
        <f>ROUND(R32*(HLOOKUP($C$31,'Rate Spread SETTLEMENT'!$E$101:$AA$106,6,FALSE)),5)</f>
        <v>1.8749999999999999E-2</v>
      </c>
      <c r="AD32" s="915">
        <f>'Allocation = % of Margin'!AM33</f>
        <v>-2.7E-4</v>
      </c>
      <c r="AE32" s="915">
        <f>'Allocation = % of Margin'!AG33</f>
        <v>-4.9500000000000004E-3</v>
      </c>
      <c r="AF32" s="915">
        <f>'Allocation = % of Margin'!AJ33</f>
        <v>-2.64E-3</v>
      </c>
      <c r="AG32" s="809">
        <f t="shared" si="8"/>
        <v>1.8749999999999999E-2</v>
      </c>
      <c r="AH32" s="809">
        <f t="shared" si="9"/>
        <v>-7.8600000000000007E-3</v>
      </c>
      <c r="AI32" s="1791">
        <f t="shared" si="10"/>
        <v>0.55134999999999967</v>
      </c>
      <c r="AJ32" s="929">
        <f>'Rates in summary'!R33</f>
        <v>0.12099000000000004</v>
      </c>
      <c r="AK32" s="915">
        <f>'Rates in summary'!S33</f>
        <v>0</v>
      </c>
      <c r="AL32" s="915">
        <f>'Rates in summary'!T33</f>
        <v>0.11199999999999999</v>
      </c>
      <c r="AM32" s="1764">
        <f>'Rates in summary'!V33</f>
        <v>0</v>
      </c>
      <c r="AN32" s="1754">
        <f t="shared" si="11"/>
        <v>0.7843399999999997</v>
      </c>
      <c r="AO32" s="222"/>
      <c r="AP32" s="220"/>
      <c r="AQ32" s="221"/>
      <c r="AR32" s="224"/>
      <c r="AS32" s="222"/>
      <c r="AT32" s="224"/>
      <c r="AU32" s="223"/>
      <c r="AV32" s="222"/>
      <c r="AX32" s="1748">
        <f>AN32-'Rates in summary'!W33</f>
        <v>0</v>
      </c>
    </row>
    <row r="33" spans="1:50" x14ac:dyDescent="0.35">
      <c r="A33" s="132">
        <f t="shared" si="0"/>
        <v>27</v>
      </c>
      <c r="B33" s="132"/>
      <c r="C33" s="132"/>
      <c r="D33" s="1411" t="s">
        <v>6</v>
      </c>
      <c r="E33" s="225">
        <v>0.1046699999999999</v>
      </c>
      <c r="F33" s="222">
        <f t="shared" si="13"/>
        <v>0.26333000000000001</v>
      </c>
      <c r="G33" s="222"/>
      <c r="H33" s="222"/>
      <c r="I33" s="224">
        <v>1.052E-2</v>
      </c>
      <c r="J33" s="223">
        <f t="shared" si="1"/>
        <v>0.37851999999999986</v>
      </c>
      <c r="K33" s="222"/>
      <c r="L33" s="222">
        <f>ROUND(E33*(HLOOKUP($C$31,'Rate Spread SETTLEMENT'!$E$73:$AA$78,6,FALSE)),5)</f>
        <v>2.5930000000000002E-2</v>
      </c>
      <c r="M33" s="222"/>
      <c r="N33" s="226">
        <f t="shared" si="2"/>
        <v>0.10466999999999985</v>
      </c>
      <c r="O33" s="226">
        <f t="shared" si="3"/>
        <v>0.13059999999999986</v>
      </c>
      <c r="P33" s="222">
        <f>'Allocation = % of Margin'!AD34</f>
        <v>-2.1199999999999999E-3</v>
      </c>
      <c r="Q33" s="916"/>
      <c r="R33" s="797">
        <f t="shared" si="4"/>
        <v>0.12847999999999984</v>
      </c>
      <c r="S33" s="1113">
        <f>'Allocation = % of Margin'!U34</f>
        <v>-3.8E-3</v>
      </c>
      <c r="T33" s="222">
        <f>'Allocation = % of Margin'!X34</f>
        <v>-2.0200000000000001E-3</v>
      </c>
      <c r="U33" s="222">
        <f>'Allocation = % of Margin'!AA34</f>
        <v>7.1000000000000002E-4</v>
      </c>
      <c r="V33" s="809">
        <f t="shared" si="5"/>
        <v>-5.1100000000000008E-3</v>
      </c>
      <c r="W33" s="810">
        <f t="shared" si="6"/>
        <v>0.3972199999999998</v>
      </c>
      <c r="X33" s="1113">
        <f>'Rates in summary'!I34</f>
        <v>8.5399999999999976E-2</v>
      </c>
      <c r="Y33" s="222">
        <f>'Rates in summary'!J34</f>
        <v>0</v>
      </c>
      <c r="Z33" s="222">
        <f>'Rates in summary'!K34</f>
        <v>1.3239999999999997E-2</v>
      </c>
      <c r="AA33" s="1738">
        <f t="shared" si="7"/>
        <v>0.49585999999999975</v>
      </c>
      <c r="AB33" s="1198"/>
      <c r="AC33" s="929">
        <f>ROUND(R33*(HLOOKUP($C$31,'Rate Spread SETTLEMENT'!$E$101:$AA$106,6,FALSE)),5)</f>
        <v>1.438E-2</v>
      </c>
      <c r="AD33" s="915">
        <f>'Allocation = % of Margin'!AM34</f>
        <v>-2.1000000000000001E-4</v>
      </c>
      <c r="AE33" s="915">
        <f>'Allocation = % of Margin'!AG34</f>
        <v>-3.8E-3</v>
      </c>
      <c r="AF33" s="915">
        <f>'Allocation = % of Margin'!AJ34</f>
        <v>-2.0200000000000001E-3</v>
      </c>
      <c r="AG33" s="809">
        <f t="shared" si="8"/>
        <v>1.438E-2</v>
      </c>
      <c r="AH33" s="809">
        <f t="shared" si="9"/>
        <v>-6.0299999999999998E-3</v>
      </c>
      <c r="AI33" s="1791">
        <f t="shared" si="10"/>
        <v>0.50420999999999971</v>
      </c>
      <c r="AJ33" s="929">
        <f>'Rates in summary'!R34</f>
        <v>0.12099000000000004</v>
      </c>
      <c r="AK33" s="915">
        <f>'Rates in summary'!S34</f>
        <v>0</v>
      </c>
      <c r="AL33" s="915">
        <f>'Rates in summary'!T34</f>
        <v>0.11310999999999999</v>
      </c>
      <c r="AM33" s="1764">
        <f>'Rates in summary'!V34</f>
        <v>0</v>
      </c>
      <c r="AN33" s="1754">
        <f t="shared" si="11"/>
        <v>0.7383099999999998</v>
      </c>
      <c r="AO33" s="222"/>
      <c r="AP33" s="771"/>
      <c r="AQ33" s="131"/>
      <c r="AR33" s="224"/>
      <c r="AS33" s="222"/>
      <c r="AT33" s="224"/>
      <c r="AU33" s="223"/>
      <c r="AV33" s="222"/>
      <c r="AX33" s="1748">
        <f>AN33-'Rates in summary'!W34</f>
        <v>0</v>
      </c>
    </row>
    <row r="34" spans="1:50" x14ac:dyDescent="0.35">
      <c r="A34" s="132">
        <f t="shared" si="0"/>
        <v>28</v>
      </c>
      <c r="B34" s="132"/>
      <c r="C34" s="132"/>
      <c r="D34" s="1411" t="s">
        <v>7</v>
      </c>
      <c r="E34" s="225">
        <v>8.3729999999999999E-2</v>
      </c>
      <c r="F34" s="222">
        <f t="shared" si="13"/>
        <v>0.26333000000000001</v>
      </c>
      <c r="G34" s="222"/>
      <c r="H34" s="222"/>
      <c r="I34" s="224">
        <v>6.550000000000002E-3</v>
      </c>
      <c r="J34" s="223">
        <f t="shared" si="1"/>
        <v>0.35361000000000004</v>
      </c>
      <c r="K34" s="222"/>
      <c r="L34" s="222">
        <f>ROUND(E34*(HLOOKUP($C$31,'Rate Spread SETTLEMENT'!$E$73:$AA$78,6,FALSE)),5)</f>
        <v>2.0740000000000001E-2</v>
      </c>
      <c r="M34" s="222"/>
      <c r="N34" s="226">
        <f t="shared" si="2"/>
        <v>8.3730000000000027E-2</v>
      </c>
      <c r="O34" s="226">
        <f t="shared" si="3"/>
        <v>0.10447000000000004</v>
      </c>
      <c r="P34" s="222">
        <f>'Allocation = % of Margin'!AD35</f>
        <v>-1.6999999999999999E-3</v>
      </c>
      <c r="Q34" s="916"/>
      <c r="R34" s="797">
        <f t="shared" si="4"/>
        <v>0.10277000000000004</v>
      </c>
      <c r="S34" s="1113">
        <f>'Allocation = % of Margin'!U35</f>
        <v>-3.0400000000000002E-3</v>
      </c>
      <c r="T34" s="222">
        <f>'Allocation = % of Margin'!X35</f>
        <v>-1.6100000000000001E-3</v>
      </c>
      <c r="U34" s="222">
        <f>'Allocation = % of Margin'!AA35</f>
        <v>5.6999999999999998E-4</v>
      </c>
      <c r="V34" s="809">
        <f t="shared" si="5"/>
        <v>-4.0800000000000003E-3</v>
      </c>
      <c r="W34" s="810">
        <f t="shared" si="6"/>
        <v>0.36857000000000006</v>
      </c>
      <c r="X34" s="1113">
        <f>'Rates in summary'!I35</f>
        <v>8.5399999999999976E-2</v>
      </c>
      <c r="Y34" s="222">
        <f>'Rates in summary'!J35</f>
        <v>0</v>
      </c>
      <c r="Z34" s="222">
        <f>'Rates in summary'!K35</f>
        <v>1.253999999999999E-2</v>
      </c>
      <c r="AA34" s="1738">
        <f t="shared" si="7"/>
        <v>0.46651000000000004</v>
      </c>
      <c r="AB34" s="1198"/>
      <c r="AC34" s="929">
        <f>ROUND(R34*(HLOOKUP($C$31,'Rate Spread SETTLEMENT'!$E$101:$AA$106,6,FALSE)),5)</f>
        <v>1.1509999999999999E-2</v>
      </c>
      <c r="AD34" s="915">
        <f>'Allocation = % of Margin'!AM35</f>
        <v>-1.6000000000000001E-4</v>
      </c>
      <c r="AE34" s="915">
        <f>'Allocation = % of Margin'!AG35</f>
        <v>-3.0400000000000002E-3</v>
      </c>
      <c r="AF34" s="915">
        <f>'Allocation = % of Margin'!AJ35</f>
        <v>-1.6199999999999999E-3</v>
      </c>
      <c r="AG34" s="809">
        <f t="shared" si="8"/>
        <v>1.1509999999999999E-2</v>
      </c>
      <c r="AH34" s="809">
        <f t="shared" si="9"/>
        <v>-4.8199999999999996E-3</v>
      </c>
      <c r="AI34" s="1791">
        <f t="shared" si="10"/>
        <v>0.47320000000000001</v>
      </c>
      <c r="AJ34" s="929">
        <f>'Rates in summary'!R35</f>
        <v>0.12099000000000004</v>
      </c>
      <c r="AK34" s="915">
        <f>'Rates in summary'!S35</f>
        <v>0</v>
      </c>
      <c r="AL34" s="915">
        <f>'Rates in summary'!T35</f>
        <v>0.11382</v>
      </c>
      <c r="AM34" s="1764">
        <f>'Rates in summary'!V35</f>
        <v>0</v>
      </c>
      <c r="AN34" s="1754">
        <f t="shared" si="11"/>
        <v>0.70801000000000003</v>
      </c>
      <c r="AO34" s="222"/>
      <c r="AP34" s="220"/>
      <c r="AQ34" s="221"/>
      <c r="AR34" s="224"/>
      <c r="AS34" s="222"/>
      <c r="AT34" s="224"/>
      <c r="AU34" s="223"/>
      <c r="AV34" s="222"/>
      <c r="AX34" s="1748">
        <f>AN34-'Rates in summary'!W35</f>
        <v>0</v>
      </c>
    </row>
    <row r="35" spans="1:50" x14ac:dyDescent="0.35">
      <c r="A35" s="132">
        <f t="shared" si="0"/>
        <v>29</v>
      </c>
      <c r="B35" s="132"/>
      <c r="C35" s="132"/>
      <c r="D35" s="1411" t="s">
        <v>8</v>
      </c>
      <c r="E35" s="225">
        <v>5.5809999999999992E-2</v>
      </c>
      <c r="F35" s="222">
        <f t="shared" si="13"/>
        <v>0.26333000000000001</v>
      </c>
      <c r="G35" s="222"/>
      <c r="H35" s="222"/>
      <c r="I35" s="224">
        <v>1.239999999999998E-3</v>
      </c>
      <c r="J35" s="223">
        <f t="shared" si="1"/>
        <v>0.32038</v>
      </c>
      <c r="K35" s="222"/>
      <c r="L35" s="222">
        <f>ROUND(E35*(HLOOKUP($C$31,'Rate Spread SETTLEMENT'!$E$73:$AA$78,6,FALSE)),5)</f>
        <v>1.383E-2</v>
      </c>
      <c r="M35" s="222"/>
      <c r="N35" s="226">
        <f t="shared" si="2"/>
        <v>5.5809999999999992E-2</v>
      </c>
      <c r="O35" s="226">
        <f t="shared" si="3"/>
        <v>6.9639999999999994E-2</v>
      </c>
      <c r="P35" s="222">
        <f>'Allocation = % of Margin'!AD36</f>
        <v>-1.1299999999999999E-3</v>
      </c>
      <c r="Q35" s="916"/>
      <c r="R35" s="797">
        <f t="shared" si="4"/>
        <v>6.8509999999999988E-2</v>
      </c>
      <c r="S35" s="1113">
        <f>'Allocation = % of Margin'!U36</f>
        <v>-2.0200000000000001E-3</v>
      </c>
      <c r="T35" s="222">
        <f>'Allocation = % of Margin'!X36</f>
        <v>-1.08E-3</v>
      </c>
      <c r="U35" s="222">
        <f>'Allocation = % of Margin'!AA36</f>
        <v>3.8000000000000002E-4</v>
      </c>
      <c r="V35" s="809">
        <f t="shared" si="5"/>
        <v>-2.7200000000000002E-3</v>
      </c>
      <c r="W35" s="810">
        <f t="shared" si="6"/>
        <v>0.33035999999999999</v>
      </c>
      <c r="X35" s="1113">
        <f>'Rates in summary'!I36</f>
        <v>8.5399999999999976E-2</v>
      </c>
      <c r="Y35" s="222">
        <f>'Rates in summary'!J36</f>
        <v>0</v>
      </c>
      <c r="Z35" s="222">
        <f>'Rates in summary'!K36</f>
        <v>1.1629999999999996E-2</v>
      </c>
      <c r="AA35" s="1738">
        <f t="shared" si="7"/>
        <v>0.42738999999999994</v>
      </c>
      <c r="AB35" s="1198"/>
      <c r="AC35" s="929">
        <f>ROUND(R35*(HLOOKUP($C$31,'Rate Spread SETTLEMENT'!$E$101:$AA$106,6,FALSE)),5)</f>
        <v>7.6699999999999997E-3</v>
      </c>
      <c r="AD35" s="915">
        <f>'Allocation = % of Margin'!AM36</f>
        <v>-1.1E-4</v>
      </c>
      <c r="AE35" s="915">
        <f>'Allocation = % of Margin'!AG36</f>
        <v>-2.0200000000000001E-3</v>
      </c>
      <c r="AF35" s="915">
        <f>'Allocation = % of Margin'!AJ36</f>
        <v>-1.08E-3</v>
      </c>
      <c r="AG35" s="809">
        <f t="shared" si="8"/>
        <v>7.6699999999999997E-3</v>
      </c>
      <c r="AH35" s="809">
        <f t="shared" si="9"/>
        <v>-3.2100000000000002E-3</v>
      </c>
      <c r="AI35" s="1791">
        <f t="shared" si="10"/>
        <v>0.43184999999999996</v>
      </c>
      <c r="AJ35" s="929">
        <f>'Rates in summary'!R36</f>
        <v>0.12099000000000004</v>
      </c>
      <c r="AK35" s="915">
        <f>'Rates in summary'!S36</f>
        <v>0</v>
      </c>
      <c r="AL35" s="915">
        <f>'Rates in summary'!T36</f>
        <v>0.11477</v>
      </c>
      <c r="AM35" s="1764">
        <f>'Rates in summary'!V36</f>
        <v>0</v>
      </c>
      <c r="AN35" s="1754">
        <f t="shared" si="11"/>
        <v>0.66761000000000004</v>
      </c>
      <c r="AO35" s="222"/>
      <c r="AP35" s="220"/>
      <c r="AQ35" s="221"/>
      <c r="AR35" s="224"/>
      <c r="AS35" s="222"/>
      <c r="AT35" s="224"/>
      <c r="AU35" s="223"/>
      <c r="AV35" s="222"/>
      <c r="AX35" s="1748">
        <f>AN35-'Rates in summary'!W36</f>
        <v>0</v>
      </c>
    </row>
    <row r="36" spans="1:50" x14ac:dyDescent="0.35">
      <c r="A36" s="132">
        <f t="shared" si="0"/>
        <v>30</v>
      </c>
      <c r="B36" s="1410"/>
      <c r="C36" s="1410"/>
      <c r="D36" s="1413" t="s">
        <v>9</v>
      </c>
      <c r="E36" s="214">
        <v>2.0920000000000029E-2</v>
      </c>
      <c r="F36" s="216">
        <f t="shared" si="13"/>
        <v>0.26333000000000001</v>
      </c>
      <c r="G36" s="216"/>
      <c r="H36" s="216"/>
      <c r="I36" s="215">
        <v>-5.3500000000000006E-3</v>
      </c>
      <c r="J36" s="217">
        <f t="shared" si="1"/>
        <v>0.27890000000000004</v>
      </c>
      <c r="K36" s="222"/>
      <c r="L36" s="216">
        <f>ROUND(E36*(HLOOKUP($C$31,'Rate Spread SETTLEMENT'!$E$73:$AA$78,6,FALSE)),5)</f>
        <v>5.1799999999999997E-3</v>
      </c>
      <c r="M36" s="222"/>
      <c r="N36" s="219">
        <f t="shared" si="2"/>
        <v>2.0920000000000029E-2</v>
      </c>
      <c r="O36" s="219">
        <f t="shared" si="3"/>
        <v>2.6100000000000029E-2</v>
      </c>
      <c r="P36" s="216">
        <f>'Allocation = % of Margin'!AD37</f>
        <v>-4.2000000000000002E-4</v>
      </c>
      <c r="Q36" s="914"/>
      <c r="R36" s="796">
        <f t="shared" si="4"/>
        <v>2.5680000000000029E-2</v>
      </c>
      <c r="S36" s="1112">
        <f>'Allocation = % of Margin'!U37</f>
        <v>-7.6000000000000004E-4</v>
      </c>
      <c r="T36" s="216">
        <f>'Allocation = % of Margin'!X37</f>
        <v>-4.0000000000000002E-4</v>
      </c>
      <c r="U36" s="216">
        <f>'Allocation = % of Margin'!AA37</f>
        <v>1.3999999999999999E-4</v>
      </c>
      <c r="V36" s="808">
        <f t="shared" si="5"/>
        <v>-1.0200000000000001E-3</v>
      </c>
      <c r="W36" s="807">
        <f t="shared" si="6"/>
        <v>0.28264</v>
      </c>
      <c r="X36" s="1112">
        <f>'Rates in summary'!I37</f>
        <v>8.5399999999999976E-2</v>
      </c>
      <c r="Y36" s="216">
        <f>'Rates in summary'!J37</f>
        <v>0</v>
      </c>
      <c r="Z36" s="216">
        <f>'Rates in summary'!K37</f>
        <v>1.0419999999999994E-2</v>
      </c>
      <c r="AA36" s="1737">
        <f t="shared" si="7"/>
        <v>0.37845999999999996</v>
      </c>
      <c r="AB36" s="1198"/>
      <c r="AC36" s="937">
        <f>ROUND(R36*(HLOOKUP($C$31,'Rate Spread SETTLEMENT'!$E$101:$AA$106,6,FALSE)),5)</f>
        <v>2.8800000000000002E-3</v>
      </c>
      <c r="AD36" s="913">
        <f>'Allocation = % of Margin'!AM37</f>
        <v>-4.0000000000000003E-5</v>
      </c>
      <c r="AE36" s="913">
        <f>'Allocation = % of Margin'!AG37</f>
        <v>-7.6000000000000004E-4</v>
      </c>
      <c r="AF36" s="913">
        <f>'Allocation = % of Margin'!AJ37</f>
        <v>-4.0000000000000002E-4</v>
      </c>
      <c r="AG36" s="808">
        <f t="shared" si="8"/>
        <v>2.8800000000000002E-3</v>
      </c>
      <c r="AH36" s="808">
        <f t="shared" si="9"/>
        <v>-1.2000000000000001E-3</v>
      </c>
      <c r="AI36" s="1790">
        <f t="shared" si="10"/>
        <v>0.38013999999999998</v>
      </c>
      <c r="AJ36" s="937">
        <f>'Rates in summary'!R37</f>
        <v>0.12099000000000004</v>
      </c>
      <c r="AK36" s="913">
        <f>'Rates in summary'!S37</f>
        <v>0</v>
      </c>
      <c r="AL36" s="913">
        <f>'Rates in summary'!T37</f>
        <v>0.11595999999999999</v>
      </c>
      <c r="AM36" s="1763">
        <f>'Rates in summary'!V37</f>
        <v>0</v>
      </c>
      <c r="AN36" s="1753">
        <f t="shared" si="11"/>
        <v>0.61709000000000003</v>
      </c>
      <c r="AO36" s="222"/>
      <c r="AP36" s="771"/>
      <c r="AQ36" s="131"/>
      <c r="AR36" s="224"/>
      <c r="AS36" s="222"/>
      <c r="AT36" s="224"/>
      <c r="AU36" s="223"/>
      <c r="AV36" s="222"/>
      <c r="AX36" s="1748">
        <f>AN36-'Rates in summary'!W37</f>
        <v>0</v>
      </c>
    </row>
    <row r="37" spans="1:50" x14ac:dyDescent="0.35">
      <c r="A37" s="132">
        <f t="shared" si="0"/>
        <v>31</v>
      </c>
      <c r="B37" s="132" t="str">
        <f>'WA Volumes &amp; Revenues'!B39</f>
        <v>42I Firm Sales</v>
      </c>
      <c r="C37" s="132" t="s">
        <v>347</v>
      </c>
      <c r="D37" s="1411" t="s">
        <v>4</v>
      </c>
      <c r="E37" s="225">
        <v>0.14721000000000001</v>
      </c>
      <c r="F37" s="222">
        <f t="shared" si="13"/>
        <v>0.26333000000000001</v>
      </c>
      <c r="G37" s="222"/>
      <c r="H37" s="222"/>
      <c r="I37" s="224">
        <v>-4.6100000000000012E-3</v>
      </c>
      <c r="J37" s="223">
        <f t="shared" si="1"/>
        <v>0.40593000000000001</v>
      </c>
      <c r="K37" s="222"/>
      <c r="L37" s="222">
        <f>ROUND(E37*(HLOOKUP($C$37,'Rate Spread SETTLEMENT'!$E$73:$AA$78,6,FALSE)),5)</f>
        <v>1.6219999999999998E-2</v>
      </c>
      <c r="M37" s="222"/>
      <c r="N37" s="226">
        <f t="shared" si="2"/>
        <v>0.14721000000000001</v>
      </c>
      <c r="O37" s="226">
        <f t="shared" si="3"/>
        <v>0.16343000000000002</v>
      </c>
      <c r="P37" s="222">
        <f>'Allocation = % of Margin'!AD38</f>
        <v>-2.7499999999999998E-3</v>
      </c>
      <c r="Q37" s="916"/>
      <c r="R37" s="797">
        <f t="shared" si="4"/>
        <v>0.16068000000000002</v>
      </c>
      <c r="S37" s="1113">
        <f>'Allocation = % of Margin'!U38</f>
        <v>0</v>
      </c>
      <c r="T37" s="222">
        <f>'Allocation = % of Margin'!X38</f>
        <v>-2.47E-3</v>
      </c>
      <c r="U37" s="222">
        <f>'Allocation = % of Margin'!AA38</f>
        <v>8.7000000000000001E-4</v>
      </c>
      <c r="V37" s="809">
        <f t="shared" si="5"/>
        <v>-1.5999999999999999E-3</v>
      </c>
      <c r="W37" s="810">
        <f t="shared" si="6"/>
        <v>0.41780000000000006</v>
      </c>
      <c r="X37" s="1113">
        <f>'Rates in summary'!I38</f>
        <v>8.5399999999999976E-2</v>
      </c>
      <c r="Y37" s="222">
        <f>'Rates in summary'!J38</f>
        <v>0</v>
      </c>
      <c r="Z37" s="222">
        <f>'Rates in summary'!K38</f>
        <v>1.0269999999999994E-2</v>
      </c>
      <c r="AA37" s="1738">
        <f t="shared" si="7"/>
        <v>0.51347000000000009</v>
      </c>
      <c r="AB37" s="1198"/>
      <c r="AC37" s="936">
        <f>ROUND(R37*(HLOOKUP($C$37,'Rate Spread SETTLEMENT'!$E$101:$AA$106,6,FALSE)),5)</f>
        <v>6.1399999999999996E-3</v>
      </c>
      <c r="AD37" s="915">
        <f>'Allocation = % of Margin'!AM38</f>
        <v>-2.4000000000000001E-4</v>
      </c>
      <c r="AE37" s="1485">
        <f>'Allocation = % of Margin'!AG38</f>
        <v>0</v>
      </c>
      <c r="AF37" s="915">
        <f>'Allocation = % of Margin'!AJ38</f>
        <v>-2.3900000000000002E-3</v>
      </c>
      <c r="AG37" s="809">
        <f t="shared" si="8"/>
        <v>6.1399999999999996E-3</v>
      </c>
      <c r="AH37" s="809">
        <f t="shared" si="9"/>
        <v>-2.6300000000000004E-3</v>
      </c>
      <c r="AI37" s="1791">
        <f t="shared" si="10"/>
        <v>0.51698000000000011</v>
      </c>
      <c r="AJ37" s="936">
        <f>'Rates in summary'!R38</f>
        <v>0.12099000000000004</v>
      </c>
      <c r="AK37" s="915">
        <f>'Rates in summary'!S38</f>
        <v>0</v>
      </c>
      <c r="AL37" s="1485">
        <f>'Rates in summary'!T38</f>
        <v>0.11663999999999999</v>
      </c>
      <c r="AM37" s="1764">
        <f>'Rates in summary'!V38</f>
        <v>0</v>
      </c>
      <c r="AN37" s="1754">
        <f t="shared" si="11"/>
        <v>0.75461000000000011</v>
      </c>
      <c r="AO37" s="222"/>
      <c r="AP37" s="220">
        <f>'WA Volumes &amp; Revenues'!O39</f>
        <v>1300</v>
      </c>
      <c r="AQ37" s="221">
        <f>'WA Volumes &amp; Revenues'!N39</f>
        <v>1300</v>
      </c>
      <c r="AR37" s="224">
        <v>0.15748000000000001</v>
      </c>
      <c r="AS37" s="224">
        <f>AR37</f>
        <v>0.15748000000000001</v>
      </c>
      <c r="AT37" s="224">
        <v>0.20415</v>
      </c>
      <c r="AU37" s="774">
        <f>AT37</f>
        <v>0.20415</v>
      </c>
      <c r="AV37" s="222"/>
      <c r="AX37" s="1748">
        <f>AN37-'Rates in summary'!W38</f>
        <v>0</v>
      </c>
    </row>
    <row r="38" spans="1:50" x14ac:dyDescent="0.35">
      <c r="A38" s="132">
        <f t="shared" si="0"/>
        <v>32</v>
      </c>
      <c r="B38" s="1412"/>
      <c r="C38" s="1412"/>
      <c r="D38" s="1411" t="s">
        <v>5</v>
      </c>
      <c r="E38" s="225">
        <v>0.13177</v>
      </c>
      <c r="F38" s="222">
        <f t="shared" si="13"/>
        <v>0.26333000000000001</v>
      </c>
      <c r="G38" s="222"/>
      <c r="H38" s="222"/>
      <c r="I38" s="224">
        <v>-5.1100000000000008E-3</v>
      </c>
      <c r="J38" s="223">
        <f t="shared" si="1"/>
        <v>0.38999</v>
      </c>
      <c r="K38" s="222"/>
      <c r="L38" s="222">
        <f>ROUND(E38*(HLOOKUP($C$37,'Rate Spread SETTLEMENT'!$E$73:$AA$78,6,FALSE)),5)</f>
        <v>1.452E-2</v>
      </c>
      <c r="M38" s="222"/>
      <c r="N38" s="226">
        <f t="shared" si="2"/>
        <v>0.13177</v>
      </c>
      <c r="O38" s="226">
        <f t="shared" si="3"/>
        <v>0.14629</v>
      </c>
      <c r="P38" s="222">
        <f>'Allocation = % of Margin'!AD39</f>
        <v>-2.4599999999999999E-3</v>
      </c>
      <c r="Q38" s="916"/>
      <c r="R38" s="797">
        <f t="shared" si="4"/>
        <v>0.14383000000000001</v>
      </c>
      <c r="S38" s="1113">
        <f>'Allocation = % of Margin'!U39</f>
        <v>0</v>
      </c>
      <c r="T38" s="222">
        <f>'Allocation = % of Margin'!X39</f>
        <v>-2.2200000000000002E-3</v>
      </c>
      <c r="U38" s="222">
        <f>'Allocation = % of Margin'!AA39</f>
        <v>7.7999999999999999E-4</v>
      </c>
      <c r="V38" s="809">
        <f t="shared" si="5"/>
        <v>-1.4400000000000003E-3</v>
      </c>
      <c r="W38" s="810">
        <f t="shared" si="6"/>
        <v>0.40061000000000002</v>
      </c>
      <c r="X38" s="1113">
        <f>'Rates in summary'!I39</f>
        <v>8.5399999999999976E-2</v>
      </c>
      <c r="Y38" s="222">
        <f>'Rates in summary'!J39</f>
        <v>0</v>
      </c>
      <c r="Z38" s="222">
        <f>'Rates in summary'!K39</f>
        <v>1.0229999999999996E-2</v>
      </c>
      <c r="AA38" s="1738">
        <f t="shared" si="7"/>
        <v>0.49624000000000001</v>
      </c>
      <c r="AB38" s="1198"/>
      <c r="AC38" s="929">
        <f>ROUND(R38*(HLOOKUP($C$37,'Rate Spread SETTLEMENT'!$E$101:$AA$106,6,FALSE)),5)</f>
        <v>5.4999999999999997E-3</v>
      </c>
      <c r="AD38" s="915">
        <f>'Allocation = % of Margin'!AM39</f>
        <v>-2.2000000000000001E-4</v>
      </c>
      <c r="AE38" s="915">
        <f>'Allocation = % of Margin'!AG39</f>
        <v>0</v>
      </c>
      <c r="AF38" s="915">
        <f>'Allocation = % of Margin'!AJ39</f>
        <v>-2.14E-3</v>
      </c>
      <c r="AG38" s="809">
        <f t="shared" si="8"/>
        <v>5.4999999999999997E-3</v>
      </c>
      <c r="AH38" s="809">
        <f t="shared" si="9"/>
        <v>-2.3600000000000001E-3</v>
      </c>
      <c r="AI38" s="1791">
        <f t="shared" si="10"/>
        <v>0.49937999999999999</v>
      </c>
      <c r="AJ38" s="929">
        <f>'Rates in summary'!R39</f>
        <v>0.12099000000000004</v>
      </c>
      <c r="AK38" s="915">
        <f>'Rates in summary'!S39</f>
        <v>0</v>
      </c>
      <c r="AL38" s="915">
        <f>'Rates in summary'!T39</f>
        <v>0.11663</v>
      </c>
      <c r="AM38" s="1764">
        <f>'Rates in summary'!V39</f>
        <v>0</v>
      </c>
      <c r="AN38" s="1754">
        <f t="shared" si="11"/>
        <v>0.7370000000000001</v>
      </c>
      <c r="AO38" s="222"/>
      <c r="AP38" s="220"/>
      <c r="AQ38" s="221"/>
      <c r="AR38" s="224"/>
      <c r="AS38" s="222"/>
      <c r="AT38" s="224"/>
      <c r="AU38" s="223"/>
      <c r="AV38" s="222"/>
      <c r="AX38" s="1748">
        <f>AN38-'Rates in summary'!W39</f>
        <v>0</v>
      </c>
    </row>
    <row r="39" spans="1:50" x14ac:dyDescent="0.35">
      <c r="A39" s="132">
        <f t="shared" si="0"/>
        <v>33</v>
      </c>
      <c r="B39" s="132"/>
      <c r="C39" s="132"/>
      <c r="D39" s="1411" t="s">
        <v>6</v>
      </c>
      <c r="E39" s="225">
        <v>0.10104999999999985</v>
      </c>
      <c r="F39" s="222">
        <f t="shared" si="13"/>
        <v>0.26333000000000001</v>
      </c>
      <c r="G39" s="222"/>
      <c r="H39" s="222"/>
      <c r="I39" s="224">
        <v>-6.0700000000000007E-3</v>
      </c>
      <c r="J39" s="223">
        <f t="shared" si="1"/>
        <v>0.35830999999999985</v>
      </c>
      <c r="K39" s="222"/>
      <c r="L39" s="222">
        <f>ROUND(E39*(HLOOKUP($C$37,'Rate Spread SETTLEMENT'!$E$73:$AA$78,6,FALSE)),5)</f>
        <v>1.1129999999999999E-2</v>
      </c>
      <c r="M39" s="222"/>
      <c r="N39" s="226">
        <f t="shared" si="2"/>
        <v>0.10104999999999985</v>
      </c>
      <c r="O39" s="226">
        <f t="shared" si="3"/>
        <v>0.11217999999999985</v>
      </c>
      <c r="P39" s="222">
        <f>'Allocation = % of Margin'!AD40</f>
        <v>-1.89E-3</v>
      </c>
      <c r="Q39" s="916"/>
      <c r="R39" s="797">
        <f t="shared" si="4"/>
        <v>0.11028999999999985</v>
      </c>
      <c r="S39" s="1113">
        <f>'Allocation = % of Margin'!U40</f>
        <v>0</v>
      </c>
      <c r="T39" s="222">
        <f>'Allocation = % of Margin'!X40</f>
        <v>-1.6999999999999999E-3</v>
      </c>
      <c r="U39" s="222">
        <f>'Allocation = % of Margin'!AA40</f>
        <v>5.9999999999999995E-4</v>
      </c>
      <c r="V39" s="809">
        <f t="shared" si="5"/>
        <v>-1.0999999999999998E-3</v>
      </c>
      <c r="W39" s="810">
        <f t="shared" si="6"/>
        <v>0.36644999999999983</v>
      </c>
      <c r="X39" s="1113">
        <f>'Rates in summary'!I40</f>
        <v>8.5399999999999976E-2</v>
      </c>
      <c r="Y39" s="222">
        <f>'Rates in summary'!J40</f>
        <v>0</v>
      </c>
      <c r="Z39" s="222">
        <f>'Rates in summary'!K40</f>
        <v>1.0089999999999995E-2</v>
      </c>
      <c r="AA39" s="1738">
        <f t="shared" si="7"/>
        <v>0.4619399999999998</v>
      </c>
      <c r="AB39" s="1198"/>
      <c r="AC39" s="929">
        <f>ROUND(R39*(HLOOKUP($C$37,'Rate Spread SETTLEMENT'!$E$101:$AA$106,6,FALSE)),5)</f>
        <v>4.2199999999999998E-3</v>
      </c>
      <c r="AD39" s="915">
        <f>'Allocation = % of Margin'!AM40</f>
        <v>-1.7000000000000001E-4</v>
      </c>
      <c r="AE39" s="915">
        <f>'Allocation = % of Margin'!AG40</f>
        <v>0</v>
      </c>
      <c r="AF39" s="915">
        <f>'Allocation = % of Margin'!AJ40</f>
        <v>-1.64E-3</v>
      </c>
      <c r="AG39" s="809">
        <f t="shared" si="8"/>
        <v>4.2199999999999998E-3</v>
      </c>
      <c r="AH39" s="809">
        <f t="shared" si="9"/>
        <v>-1.81E-3</v>
      </c>
      <c r="AI39" s="1791">
        <f t="shared" si="10"/>
        <v>0.46434999999999982</v>
      </c>
      <c r="AJ39" s="929">
        <f>'Rates in summary'!R40</f>
        <v>0.12099000000000004</v>
      </c>
      <c r="AK39" s="915">
        <f>'Rates in summary'!S40</f>
        <v>0</v>
      </c>
      <c r="AL39" s="915">
        <f>'Rates in summary'!T40</f>
        <v>0.11663999999999999</v>
      </c>
      <c r="AM39" s="1764">
        <f>'Rates in summary'!V40</f>
        <v>0</v>
      </c>
      <c r="AN39" s="1754">
        <f t="shared" si="11"/>
        <v>0.70197999999999983</v>
      </c>
      <c r="AO39" s="222"/>
      <c r="AP39" s="220"/>
      <c r="AQ39" s="221"/>
      <c r="AR39" s="224"/>
      <c r="AS39" s="222"/>
      <c r="AT39" s="224"/>
      <c r="AU39" s="223"/>
      <c r="AV39" s="222"/>
      <c r="AX39" s="1748">
        <f>AN39-'Rates in summary'!W40</f>
        <v>0</v>
      </c>
    </row>
    <row r="40" spans="1:50" x14ac:dyDescent="0.35">
      <c r="A40" s="132">
        <f t="shared" si="0"/>
        <v>34</v>
      </c>
      <c r="B40" s="132"/>
      <c r="C40" s="132"/>
      <c r="D40" s="1411" t="s">
        <v>7</v>
      </c>
      <c r="E40" s="225">
        <v>8.0839999999999995E-2</v>
      </c>
      <c r="F40" s="222">
        <f t="shared" si="13"/>
        <v>0.26333000000000001</v>
      </c>
      <c r="G40" s="222"/>
      <c r="H40" s="222"/>
      <c r="I40" s="224">
        <v>-6.7300000000000007E-3</v>
      </c>
      <c r="J40" s="223">
        <f t="shared" si="1"/>
        <v>0.33743999999999996</v>
      </c>
      <c r="K40" s="222"/>
      <c r="L40" s="222">
        <f>ROUND(E40*(HLOOKUP($C$37,'Rate Spread SETTLEMENT'!$E$73:$AA$78,6,FALSE)),5)</f>
        <v>8.9099999999999995E-3</v>
      </c>
      <c r="M40" s="222"/>
      <c r="N40" s="226">
        <f t="shared" si="2"/>
        <v>8.0839999999999954E-2</v>
      </c>
      <c r="O40" s="226">
        <f t="shared" si="3"/>
        <v>8.9749999999999955E-2</v>
      </c>
      <c r="P40" s="222">
        <f>'Allocation = % of Margin'!AD41</f>
        <v>-1.5100000000000001E-3</v>
      </c>
      <c r="Q40" s="916"/>
      <c r="R40" s="797">
        <f t="shared" si="4"/>
        <v>8.8239999999999957E-2</v>
      </c>
      <c r="S40" s="1113">
        <f>'Allocation = % of Margin'!U41</f>
        <v>0</v>
      </c>
      <c r="T40" s="222">
        <f>'Allocation = % of Margin'!X41</f>
        <v>-1.3600000000000001E-3</v>
      </c>
      <c r="U40" s="222">
        <f>'Allocation = % of Margin'!AA41</f>
        <v>4.8000000000000001E-4</v>
      </c>
      <c r="V40" s="809">
        <f t="shared" si="5"/>
        <v>-8.8000000000000014E-4</v>
      </c>
      <c r="W40" s="810">
        <f t="shared" si="6"/>
        <v>0.34395999999999993</v>
      </c>
      <c r="X40" s="1113">
        <f>'Rates in summary'!I41</f>
        <v>8.5399999999999976E-2</v>
      </c>
      <c r="Y40" s="222">
        <f>'Rates in summary'!J41</f>
        <v>0</v>
      </c>
      <c r="Z40" s="222">
        <f>'Rates in summary'!K41</f>
        <v>1.0019999999999994E-2</v>
      </c>
      <c r="AA40" s="1738">
        <f t="shared" si="7"/>
        <v>0.43937999999999988</v>
      </c>
      <c r="AB40" s="1198"/>
      <c r="AC40" s="929">
        <f>ROUND(R40*(HLOOKUP($C$37,'Rate Spread SETTLEMENT'!$E$101:$AA$106,6,FALSE)),5)</f>
        <v>3.3700000000000002E-3</v>
      </c>
      <c r="AD40" s="915">
        <f>'Allocation = % of Margin'!AM41</f>
        <v>-1.2999999999999999E-4</v>
      </c>
      <c r="AE40" s="915">
        <f>'Allocation = % of Margin'!AG41</f>
        <v>0</v>
      </c>
      <c r="AF40" s="915">
        <f>'Allocation = % of Margin'!AJ41</f>
        <v>-1.31E-3</v>
      </c>
      <c r="AG40" s="809">
        <f t="shared" si="8"/>
        <v>3.3700000000000002E-3</v>
      </c>
      <c r="AH40" s="809">
        <f t="shared" si="9"/>
        <v>-1.4399999999999999E-3</v>
      </c>
      <c r="AI40" s="1791">
        <f t="shared" si="10"/>
        <v>0.44130999999999987</v>
      </c>
      <c r="AJ40" s="929">
        <f>'Rates in summary'!R41</f>
        <v>0.12099000000000004</v>
      </c>
      <c r="AK40" s="915">
        <f>'Rates in summary'!S41</f>
        <v>0</v>
      </c>
      <c r="AL40" s="915">
        <f>'Rates in summary'!T41</f>
        <v>0.11664999999999999</v>
      </c>
      <c r="AM40" s="1764">
        <f>'Rates in summary'!V41</f>
        <v>0</v>
      </c>
      <c r="AN40" s="1754">
        <f t="shared" si="11"/>
        <v>0.67894999999999994</v>
      </c>
      <c r="AO40" s="222"/>
      <c r="AP40" s="220"/>
      <c r="AQ40" s="221"/>
      <c r="AR40" s="224"/>
      <c r="AS40" s="222"/>
      <c r="AT40" s="224"/>
      <c r="AU40" s="223"/>
      <c r="AV40" s="222"/>
      <c r="AX40" s="1748">
        <f>AN40-'Rates in summary'!W41</f>
        <v>0</v>
      </c>
    </row>
    <row r="41" spans="1:50" x14ac:dyDescent="0.35">
      <c r="A41" s="132">
        <f t="shared" si="0"/>
        <v>35</v>
      </c>
      <c r="B41" s="132"/>
      <c r="C41" s="132"/>
      <c r="D41" s="1411" t="s">
        <v>8</v>
      </c>
      <c r="E41" s="225">
        <v>5.391E-2</v>
      </c>
      <c r="F41" s="222">
        <f t="shared" si="13"/>
        <v>0.26333000000000001</v>
      </c>
      <c r="G41" s="222"/>
      <c r="H41" s="222"/>
      <c r="I41" s="224">
        <v>-7.5900000000000004E-3</v>
      </c>
      <c r="J41" s="223">
        <f t="shared" si="1"/>
        <v>0.30965000000000004</v>
      </c>
      <c r="K41" s="222"/>
      <c r="L41" s="222">
        <f>ROUND(E41*(HLOOKUP($C$37,'Rate Spread SETTLEMENT'!$E$73:$AA$78,6,FALSE)),5)</f>
        <v>5.94E-3</v>
      </c>
      <c r="M41" s="222"/>
      <c r="N41" s="226">
        <f t="shared" si="2"/>
        <v>5.3910000000000027E-2</v>
      </c>
      <c r="O41" s="226">
        <f t="shared" si="3"/>
        <v>5.9850000000000028E-2</v>
      </c>
      <c r="P41" s="222">
        <f>'Allocation = % of Margin'!AD42</f>
        <v>-1.01E-3</v>
      </c>
      <c r="Q41" s="916"/>
      <c r="R41" s="797">
        <f t="shared" si="4"/>
        <v>5.8840000000000031E-2</v>
      </c>
      <c r="S41" s="1113">
        <f>'Allocation = % of Margin'!U42</f>
        <v>0</v>
      </c>
      <c r="T41" s="222">
        <f>'Allocation = % of Margin'!X42</f>
        <v>-9.1E-4</v>
      </c>
      <c r="U41" s="222">
        <f>'Allocation = % of Margin'!AA42</f>
        <v>3.2000000000000003E-4</v>
      </c>
      <c r="V41" s="809">
        <f t="shared" si="5"/>
        <v>-5.9000000000000003E-4</v>
      </c>
      <c r="W41" s="810">
        <f t="shared" si="6"/>
        <v>0.31399000000000005</v>
      </c>
      <c r="X41" s="1113">
        <f>'Rates in summary'!I42</f>
        <v>8.5399999999999976E-2</v>
      </c>
      <c r="Y41" s="222">
        <f>'Rates in summary'!J42</f>
        <v>0</v>
      </c>
      <c r="Z41" s="222">
        <f>'Rates in summary'!K42</f>
        <v>9.9299999999999944E-3</v>
      </c>
      <c r="AA41" s="1738">
        <f t="shared" si="7"/>
        <v>0.40932000000000002</v>
      </c>
      <c r="AB41" s="1198"/>
      <c r="AC41" s="929">
        <f>ROUND(R41*(HLOOKUP($C$37,'Rate Spread SETTLEMENT'!$E$101:$AA$106,6,FALSE)),5)</f>
        <v>2.2499999999999998E-3</v>
      </c>
      <c r="AD41" s="915">
        <f>'Allocation = % of Margin'!AM42</f>
        <v>-9.0000000000000006E-5</v>
      </c>
      <c r="AE41" s="915">
        <f>'Allocation = % of Margin'!AG42</f>
        <v>0</v>
      </c>
      <c r="AF41" s="915">
        <f>'Allocation = % of Margin'!AJ42</f>
        <v>-8.8000000000000003E-4</v>
      </c>
      <c r="AG41" s="809">
        <f t="shared" si="8"/>
        <v>2.2499999999999998E-3</v>
      </c>
      <c r="AH41" s="809">
        <f t="shared" si="9"/>
        <v>-9.7000000000000005E-4</v>
      </c>
      <c r="AI41" s="1791">
        <f t="shared" si="10"/>
        <v>0.41060000000000002</v>
      </c>
      <c r="AJ41" s="929">
        <f>'Rates in summary'!R42</f>
        <v>0.12099000000000004</v>
      </c>
      <c r="AK41" s="915">
        <f>'Rates in summary'!S42</f>
        <v>0</v>
      </c>
      <c r="AL41" s="915">
        <f>'Rates in summary'!T42</f>
        <v>0.11665</v>
      </c>
      <c r="AM41" s="1764">
        <f>'Rates in summary'!V42</f>
        <v>0</v>
      </c>
      <c r="AN41" s="1754">
        <f t="shared" si="11"/>
        <v>0.64824000000000004</v>
      </c>
      <c r="AO41" s="222"/>
      <c r="AP41" s="220"/>
      <c r="AQ41" s="221"/>
      <c r="AR41" s="224"/>
      <c r="AS41" s="222"/>
      <c r="AT41" s="224"/>
      <c r="AU41" s="223"/>
      <c r="AV41" s="222"/>
      <c r="AX41" s="1748">
        <f>AN41-'Rates in summary'!W42</f>
        <v>0</v>
      </c>
    </row>
    <row r="42" spans="1:50" x14ac:dyDescent="0.35">
      <c r="A42" s="132">
        <f t="shared" si="0"/>
        <v>36</v>
      </c>
      <c r="B42" s="1410"/>
      <c r="C42" s="1410"/>
      <c r="D42" s="1413" t="s">
        <v>9</v>
      </c>
      <c r="E42" s="214">
        <v>2.0199999999999999E-2</v>
      </c>
      <c r="F42" s="216">
        <f t="shared" si="13"/>
        <v>0.26333000000000001</v>
      </c>
      <c r="G42" s="216"/>
      <c r="H42" s="216"/>
      <c r="I42" s="215">
        <v>-8.6700000000000006E-3</v>
      </c>
      <c r="J42" s="217">
        <f t="shared" si="1"/>
        <v>0.27485999999999999</v>
      </c>
      <c r="K42" s="222"/>
      <c r="L42" s="216">
        <f>ROUND(E42*(HLOOKUP($C$37,'Rate Spread SETTLEMENT'!$E$73:$AA$78,6,FALSE)),5)</f>
        <v>2.2300000000000002E-3</v>
      </c>
      <c r="M42" s="222"/>
      <c r="N42" s="219">
        <f t="shared" si="2"/>
        <v>2.0199999999999985E-2</v>
      </c>
      <c r="O42" s="219">
        <f t="shared" si="3"/>
        <v>2.2429999999999985E-2</v>
      </c>
      <c r="P42" s="216">
        <f>'Allocation = % of Margin'!AD43</f>
        <v>-3.8000000000000002E-4</v>
      </c>
      <c r="Q42" s="914"/>
      <c r="R42" s="796">
        <f t="shared" si="4"/>
        <v>2.2049999999999986E-2</v>
      </c>
      <c r="S42" s="1112">
        <f>'Allocation = % of Margin'!U43</f>
        <v>0</v>
      </c>
      <c r="T42" s="216">
        <f>'Allocation = % of Margin'!X43</f>
        <v>-3.4000000000000002E-4</v>
      </c>
      <c r="U42" s="216">
        <f>'Allocation = % of Margin'!AA43</f>
        <v>1.2E-4</v>
      </c>
      <c r="V42" s="808">
        <f t="shared" si="5"/>
        <v>-2.2000000000000003E-4</v>
      </c>
      <c r="W42" s="807">
        <f t="shared" si="6"/>
        <v>0.27648999999999996</v>
      </c>
      <c r="X42" s="1112">
        <f>'Rates in summary'!I43</f>
        <v>8.5399999999999976E-2</v>
      </c>
      <c r="Y42" s="216">
        <f>'Rates in summary'!J43</f>
        <v>0</v>
      </c>
      <c r="Z42" s="216">
        <f>'Rates in summary'!K43</f>
        <v>9.8099999999999941E-3</v>
      </c>
      <c r="AA42" s="1737">
        <f t="shared" si="7"/>
        <v>0.37169999999999992</v>
      </c>
      <c r="AB42" s="1198"/>
      <c r="AC42" s="937">
        <f>ROUND(R42*(HLOOKUP($C$37,'Rate Spread SETTLEMENT'!$E$101:$AA$106,6,FALSE)),5)</f>
        <v>8.4000000000000003E-4</v>
      </c>
      <c r="AD42" s="913">
        <f>'Allocation = % of Margin'!AM43</f>
        <v>-3.0000000000000001E-5</v>
      </c>
      <c r="AE42" s="913">
        <f>'Allocation = % of Margin'!AG43</f>
        <v>0</v>
      </c>
      <c r="AF42" s="913">
        <f>'Allocation = % of Margin'!AJ43</f>
        <v>-3.3E-4</v>
      </c>
      <c r="AG42" s="808">
        <f t="shared" si="8"/>
        <v>8.4000000000000003E-4</v>
      </c>
      <c r="AH42" s="808">
        <f t="shared" si="9"/>
        <v>-3.6000000000000002E-4</v>
      </c>
      <c r="AI42" s="1790">
        <f t="shared" si="10"/>
        <v>0.3721799999999999</v>
      </c>
      <c r="AJ42" s="937">
        <f>'Rates in summary'!R43</f>
        <v>0.12099000000000004</v>
      </c>
      <c r="AK42" s="913">
        <f>'Rates in summary'!S43</f>
        <v>0</v>
      </c>
      <c r="AL42" s="913">
        <f>'Rates in summary'!T43</f>
        <v>0.11665</v>
      </c>
      <c r="AM42" s="1763">
        <f>'Rates in summary'!V43</f>
        <v>0</v>
      </c>
      <c r="AN42" s="1753">
        <f t="shared" si="11"/>
        <v>0.60981999999999992</v>
      </c>
      <c r="AO42" s="222"/>
      <c r="AP42" s="220"/>
      <c r="AQ42" s="221"/>
      <c r="AR42" s="224"/>
      <c r="AS42" s="222"/>
      <c r="AT42" s="224"/>
      <c r="AU42" s="223"/>
      <c r="AV42" s="222"/>
      <c r="AX42" s="1748">
        <f>AN42-'Rates in summary'!W43</f>
        <v>0</v>
      </c>
    </row>
    <row r="43" spans="1:50" x14ac:dyDescent="0.35">
      <c r="A43" s="132">
        <f t="shared" si="0"/>
        <v>37</v>
      </c>
      <c r="B43" s="132" t="str">
        <f>'WA Volumes &amp; Revenues'!B45</f>
        <v>42C Firm Transpt</v>
      </c>
      <c r="C43" s="132" t="s">
        <v>348</v>
      </c>
      <c r="D43" s="1411" t="s">
        <v>4</v>
      </c>
      <c r="E43" s="225">
        <v>0.13791999999999999</v>
      </c>
      <c r="F43" s="222">
        <v>0</v>
      </c>
      <c r="G43" s="222"/>
      <c r="H43" s="222"/>
      <c r="I43" s="224">
        <v>5.9999999999999995E-4</v>
      </c>
      <c r="J43" s="223">
        <f t="shared" si="1"/>
        <v>0.13851999999999998</v>
      </c>
      <c r="K43" s="222"/>
      <c r="L43" s="222">
        <f>ROUND(E43*(HLOOKUP($C$43,'Rate Spread SETTLEMENT'!$E$73:$AA$78,6,FALSE)),5)</f>
        <v>1.295E-2</v>
      </c>
      <c r="M43" s="222"/>
      <c r="N43" s="226">
        <f t="shared" si="2"/>
        <v>0.13791999999999999</v>
      </c>
      <c r="O43" s="226">
        <f t="shared" si="3"/>
        <v>0.15086999999999998</v>
      </c>
      <c r="P43" s="222">
        <f>'Allocation = % of Margin'!AD44</f>
        <v>-1.75E-3</v>
      </c>
      <c r="Q43" s="916"/>
      <c r="R43" s="797">
        <f t="shared" si="4"/>
        <v>0.14911999999999997</v>
      </c>
      <c r="S43" s="1113">
        <f>'Allocation = % of Margin'!U44</f>
        <v>0</v>
      </c>
      <c r="T43" s="222">
        <f>'Allocation = % of Margin'!X44</f>
        <v>-1.5900000000000001E-3</v>
      </c>
      <c r="U43" s="222">
        <f>'Allocation = % of Margin'!AA44</f>
        <v>5.5999999999999995E-4</v>
      </c>
      <c r="V43" s="809">
        <f t="shared" si="5"/>
        <v>-1.0300000000000001E-3</v>
      </c>
      <c r="W43" s="810">
        <f t="shared" si="6"/>
        <v>0.14868999999999996</v>
      </c>
      <c r="X43" s="1113">
        <f>'Rates in summary'!I44</f>
        <v>0</v>
      </c>
      <c r="Y43" s="222">
        <f>'Rates in summary'!J44</f>
        <v>0</v>
      </c>
      <c r="Z43" s="222">
        <f>'Rates in summary'!K44</f>
        <v>9.2000000000000014E-4</v>
      </c>
      <c r="AA43" s="1738">
        <f t="shared" si="7"/>
        <v>0.14960999999999997</v>
      </c>
      <c r="AB43" s="1198"/>
      <c r="AC43" s="936">
        <f>ROUND(R43*(HLOOKUP($C$43,'Rate Spread SETTLEMENT'!$E$101:$AA$106,6,FALSE)),5)</f>
        <v>5.94E-3</v>
      </c>
      <c r="AD43" s="915">
        <f>'Allocation = % of Margin'!AM44</f>
        <v>-1.6000000000000001E-4</v>
      </c>
      <c r="AE43" s="1485">
        <f>'Allocation = % of Margin'!AG44</f>
        <v>0</v>
      </c>
      <c r="AF43" s="915">
        <f>'Allocation = % of Margin'!AJ44</f>
        <v>-1.56E-3</v>
      </c>
      <c r="AG43" s="809">
        <f t="shared" si="8"/>
        <v>5.94E-3</v>
      </c>
      <c r="AH43" s="809">
        <f t="shared" si="9"/>
        <v>-1.72E-3</v>
      </c>
      <c r="AI43" s="1791">
        <f t="shared" si="10"/>
        <v>0.15382999999999997</v>
      </c>
      <c r="AJ43" s="936">
        <f>'Rates in summary'!R44</f>
        <v>0</v>
      </c>
      <c r="AK43" s="915">
        <f>'Rates in summary'!S44</f>
        <v>0</v>
      </c>
      <c r="AL43" s="1485">
        <f>'Rates in summary'!T44</f>
        <v>-6.9999999999999967E-5</v>
      </c>
      <c r="AM43" s="1764">
        <f>'Rates in summary'!V44</f>
        <v>0</v>
      </c>
      <c r="AN43" s="1754">
        <f t="shared" si="11"/>
        <v>0.15375999999999998</v>
      </c>
      <c r="AO43" s="222"/>
      <c r="AP43" s="220">
        <f>'WA Volumes &amp; Revenues'!O45</f>
        <v>1550</v>
      </c>
      <c r="AQ43" s="221">
        <f>'WA Volumes &amp; Revenues'!N45</f>
        <v>1550</v>
      </c>
      <c r="AR43" s="224">
        <v>0.15748000000000001</v>
      </c>
      <c r="AS43" s="224">
        <f>AR43</f>
        <v>0.15748000000000001</v>
      </c>
      <c r="AT43" s="224"/>
      <c r="AU43" s="223"/>
      <c r="AV43" s="222"/>
      <c r="AX43" s="1748">
        <f>AN43-'Rates in summary'!W44</f>
        <v>0</v>
      </c>
    </row>
    <row r="44" spans="1:50" x14ac:dyDescent="0.35">
      <c r="A44" s="132">
        <f t="shared" si="0"/>
        <v>38</v>
      </c>
      <c r="B44" s="132"/>
      <c r="C44" s="132"/>
      <c r="D44" s="1411" t="s">
        <v>5</v>
      </c>
      <c r="E44" s="225">
        <v>0.12346999999999998</v>
      </c>
      <c r="F44" s="222">
        <v>0</v>
      </c>
      <c r="G44" s="222"/>
      <c r="H44" s="222"/>
      <c r="I44" s="224">
        <v>5.2999999999999998E-4</v>
      </c>
      <c r="J44" s="223">
        <f t="shared" si="1"/>
        <v>0.12399999999999999</v>
      </c>
      <c r="K44" s="222"/>
      <c r="L44" s="222">
        <f>ROUND(E44*(HLOOKUP($C$43,'Rate Spread SETTLEMENT'!$E$73:$AA$78,6,FALSE)),5)</f>
        <v>1.159E-2</v>
      </c>
      <c r="M44" s="222"/>
      <c r="N44" s="226">
        <f t="shared" si="2"/>
        <v>0.12346999999999998</v>
      </c>
      <c r="O44" s="226">
        <f t="shared" si="3"/>
        <v>0.13505999999999999</v>
      </c>
      <c r="P44" s="222">
        <f>'Allocation = % of Margin'!AD45</f>
        <v>-1.57E-3</v>
      </c>
      <c r="Q44" s="916"/>
      <c r="R44" s="797">
        <f t="shared" si="4"/>
        <v>0.13349</v>
      </c>
      <c r="S44" s="1113">
        <f>'Allocation = % of Margin'!U45</f>
        <v>0</v>
      </c>
      <c r="T44" s="222">
        <f>'Allocation = % of Margin'!X45</f>
        <v>-1.4300000000000001E-3</v>
      </c>
      <c r="U44" s="222">
        <f>'Allocation = % of Margin'!AA45</f>
        <v>5.0000000000000001E-4</v>
      </c>
      <c r="V44" s="809">
        <f t="shared" si="5"/>
        <v>-9.3000000000000005E-4</v>
      </c>
      <c r="W44" s="810">
        <f t="shared" si="6"/>
        <v>0.13309000000000001</v>
      </c>
      <c r="X44" s="1113">
        <f>'Rates in summary'!I45</f>
        <v>0</v>
      </c>
      <c r="Y44" s="222">
        <f>'Rates in summary'!J45</f>
        <v>0</v>
      </c>
      <c r="Z44" s="222">
        <f>'Rates in summary'!K45</f>
        <v>8.3000000000000012E-4</v>
      </c>
      <c r="AA44" s="1738">
        <f t="shared" si="7"/>
        <v>0.13392000000000001</v>
      </c>
      <c r="AB44" s="1198"/>
      <c r="AC44" s="929">
        <f>ROUND(R44*(HLOOKUP($C$43,'Rate Spread SETTLEMENT'!$E$101:$AA$106,6,FALSE)),5)</f>
        <v>5.3099999999999996E-3</v>
      </c>
      <c r="AD44" s="915">
        <f>'Allocation = % of Margin'!AM45</f>
        <v>-1.3999999999999999E-4</v>
      </c>
      <c r="AE44" s="915">
        <f>'Allocation = % of Margin'!AG45</f>
        <v>0</v>
      </c>
      <c r="AF44" s="915">
        <f>'Allocation = % of Margin'!AJ45</f>
        <v>-1.39E-3</v>
      </c>
      <c r="AG44" s="809">
        <f t="shared" si="8"/>
        <v>5.3099999999999996E-3</v>
      </c>
      <c r="AH44" s="809">
        <f t="shared" si="9"/>
        <v>-1.5299999999999999E-3</v>
      </c>
      <c r="AI44" s="1791">
        <f t="shared" si="10"/>
        <v>0.13770000000000002</v>
      </c>
      <c r="AJ44" s="929">
        <f>'Rates in summary'!R45</f>
        <v>0</v>
      </c>
      <c r="AK44" s="915">
        <f>'Rates in summary'!S45</f>
        <v>0</v>
      </c>
      <c r="AL44" s="915">
        <f>'Rates in summary'!T45</f>
        <v>-6.0000000000000049E-5</v>
      </c>
      <c r="AM44" s="1764">
        <f>'Rates in summary'!V45</f>
        <v>0</v>
      </c>
      <c r="AN44" s="1754">
        <f t="shared" si="11"/>
        <v>0.13764000000000001</v>
      </c>
      <c r="AO44" s="222"/>
      <c r="AP44" s="220"/>
      <c r="AQ44" s="221"/>
      <c r="AR44" s="224"/>
      <c r="AS44" s="222"/>
      <c r="AT44" s="224"/>
      <c r="AU44" s="223"/>
      <c r="AV44" s="222"/>
      <c r="AX44" s="1748">
        <f>AN44-'Rates in summary'!W45</f>
        <v>0</v>
      </c>
    </row>
    <row r="45" spans="1:50" x14ac:dyDescent="0.35">
      <c r="A45" s="132">
        <f t="shared" si="0"/>
        <v>39</v>
      </c>
      <c r="B45" s="132"/>
      <c r="C45" s="132"/>
      <c r="D45" s="1411" t="s">
        <v>6</v>
      </c>
      <c r="E45" s="225">
        <v>9.4670000000000004E-2</v>
      </c>
      <c r="F45" s="222">
        <v>0</v>
      </c>
      <c r="G45" s="222"/>
      <c r="H45" s="222"/>
      <c r="I45" s="224">
        <v>4.1000000000000005E-4</v>
      </c>
      <c r="J45" s="223">
        <f t="shared" si="1"/>
        <v>9.5079999999999998E-2</v>
      </c>
      <c r="K45" s="222"/>
      <c r="L45" s="222">
        <f>ROUND(E45*(HLOOKUP($C$43,'Rate Spread SETTLEMENT'!$E$73:$AA$78,6,FALSE)),5)</f>
        <v>8.8900000000000003E-3</v>
      </c>
      <c r="M45" s="222"/>
      <c r="N45" s="226">
        <f t="shared" si="2"/>
        <v>9.4670000000000004E-2</v>
      </c>
      <c r="O45" s="226">
        <f t="shared" si="3"/>
        <v>0.10356</v>
      </c>
      <c r="P45" s="222">
        <f>'Allocation = % of Margin'!AD46</f>
        <v>-1.1999999999999999E-3</v>
      </c>
      <c r="Q45" s="916"/>
      <c r="R45" s="797">
        <f t="shared" ref="R45:R76" si="15">SUM(O45:Q45)</f>
        <v>0.10235999999999999</v>
      </c>
      <c r="S45" s="1113">
        <f>'Allocation = % of Margin'!U46</f>
        <v>0</v>
      </c>
      <c r="T45" s="222">
        <f>'Allocation = % of Margin'!X46</f>
        <v>-1.09E-3</v>
      </c>
      <c r="U45" s="222">
        <f>'Allocation = % of Margin'!AA46</f>
        <v>3.8999999999999999E-4</v>
      </c>
      <c r="V45" s="809">
        <f t="shared" ref="V45:V76" si="16">SUM(S45:U45)</f>
        <v>-7.000000000000001E-4</v>
      </c>
      <c r="W45" s="810">
        <f t="shared" si="6"/>
        <v>0.10206999999999998</v>
      </c>
      <c r="X45" s="1113">
        <f>'Rates in summary'!I46</f>
        <v>0</v>
      </c>
      <c r="Y45" s="222">
        <f>'Rates in summary'!J46</f>
        <v>0</v>
      </c>
      <c r="Z45" s="222">
        <f>'Rates in summary'!K46</f>
        <v>6.2999999999999992E-4</v>
      </c>
      <c r="AA45" s="1738">
        <f t="shared" si="7"/>
        <v>0.10269999999999999</v>
      </c>
      <c r="AB45" s="1198"/>
      <c r="AC45" s="929">
        <f>ROUND(R45*(HLOOKUP($C$43,'Rate Spread SETTLEMENT'!$E$101:$AA$106,6,FALSE)),5)</f>
        <v>4.0699999999999998E-3</v>
      </c>
      <c r="AD45" s="915">
        <f>'Allocation = % of Margin'!AM46</f>
        <v>-1.1E-4</v>
      </c>
      <c r="AE45" s="915">
        <f>'Allocation = % of Margin'!AG46</f>
        <v>0</v>
      </c>
      <c r="AF45" s="915">
        <f>'Allocation = % of Margin'!AJ46</f>
        <v>-1.07E-3</v>
      </c>
      <c r="AG45" s="809">
        <f t="shared" si="8"/>
        <v>4.0699999999999998E-3</v>
      </c>
      <c r="AH45" s="809">
        <f t="shared" si="9"/>
        <v>-1.1800000000000001E-3</v>
      </c>
      <c r="AI45" s="1791">
        <f t="shared" si="10"/>
        <v>0.10558999999999999</v>
      </c>
      <c r="AJ45" s="929">
        <f>'Rates in summary'!R46</f>
        <v>0</v>
      </c>
      <c r="AK45" s="915">
        <f>'Rates in summary'!S46</f>
        <v>0</v>
      </c>
      <c r="AL45" s="915">
        <f>'Rates in summary'!T46</f>
        <v>-5.9999999999999886E-5</v>
      </c>
      <c r="AM45" s="1764">
        <f>'Rates in summary'!V46</f>
        <v>0</v>
      </c>
      <c r="AN45" s="1754">
        <f t="shared" si="11"/>
        <v>0.10552999999999998</v>
      </c>
      <c r="AO45" s="222"/>
      <c r="AP45" s="220"/>
      <c r="AQ45" s="221"/>
      <c r="AR45" s="224"/>
      <c r="AS45" s="222"/>
      <c r="AT45" s="224"/>
      <c r="AU45" s="223"/>
      <c r="AV45" s="222"/>
      <c r="AX45" s="1748">
        <f>AN45-'Rates in summary'!W46</f>
        <v>0</v>
      </c>
    </row>
    <row r="46" spans="1:50" x14ac:dyDescent="0.35">
      <c r="A46" s="132">
        <f t="shared" si="0"/>
        <v>40</v>
      </c>
      <c r="B46" s="132"/>
      <c r="C46" s="132"/>
      <c r="D46" s="1411" t="s">
        <v>7</v>
      </c>
      <c r="E46" s="225">
        <v>7.5750000000000012E-2</v>
      </c>
      <c r="F46" s="222">
        <v>0</v>
      </c>
      <c r="G46" s="222"/>
      <c r="H46" s="222"/>
      <c r="I46" s="224">
        <v>3.1999999999999997E-4</v>
      </c>
      <c r="J46" s="223">
        <f t="shared" si="1"/>
        <v>7.6070000000000013E-2</v>
      </c>
      <c r="K46" s="222"/>
      <c r="L46" s="222">
        <f>ROUND(E46*(HLOOKUP($C$43,'Rate Spread SETTLEMENT'!$E$73:$AA$78,6,FALSE)),5)</f>
        <v>7.11E-3</v>
      </c>
      <c r="M46" s="222"/>
      <c r="N46" s="226">
        <f t="shared" si="2"/>
        <v>7.5750000000000012E-2</v>
      </c>
      <c r="O46" s="226">
        <f t="shared" si="3"/>
        <v>8.2860000000000017E-2</v>
      </c>
      <c r="P46" s="222">
        <f>'Allocation = % of Margin'!AD47</f>
        <v>-9.6000000000000002E-4</v>
      </c>
      <c r="Q46" s="916"/>
      <c r="R46" s="797">
        <f t="shared" si="15"/>
        <v>8.1900000000000014E-2</v>
      </c>
      <c r="S46" s="1113">
        <f>'Allocation = % of Margin'!U47</f>
        <v>0</v>
      </c>
      <c r="T46" s="222">
        <f>'Allocation = % of Margin'!X47</f>
        <v>-8.8000000000000003E-4</v>
      </c>
      <c r="U46" s="222">
        <f>'Allocation = % of Margin'!AA47</f>
        <v>3.1E-4</v>
      </c>
      <c r="V46" s="809">
        <f t="shared" si="16"/>
        <v>-5.6999999999999998E-4</v>
      </c>
      <c r="W46" s="810">
        <f t="shared" si="6"/>
        <v>8.1650000000000014E-2</v>
      </c>
      <c r="X46" s="1113">
        <f>'Rates in summary'!I47</f>
        <v>0</v>
      </c>
      <c r="Y46" s="222">
        <f>'Rates in summary'!J47</f>
        <v>0</v>
      </c>
      <c r="Z46" s="222">
        <f>'Rates in summary'!K47</f>
        <v>5.2000000000000006E-4</v>
      </c>
      <c r="AA46" s="1738">
        <f t="shared" si="7"/>
        <v>8.2170000000000021E-2</v>
      </c>
      <c r="AB46" s="1198"/>
      <c r="AC46" s="929">
        <f>ROUND(R46*(HLOOKUP($C$43,'Rate Spread SETTLEMENT'!$E$101:$AA$106,6,FALSE)),5)</f>
        <v>3.2599999999999999E-3</v>
      </c>
      <c r="AD46" s="915">
        <f>'Allocation = % of Margin'!AM47</f>
        <v>-9.0000000000000006E-5</v>
      </c>
      <c r="AE46" s="915">
        <f>'Allocation = % of Margin'!AG47</f>
        <v>0</v>
      </c>
      <c r="AF46" s="915">
        <f>'Allocation = % of Margin'!AJ47</f>
        <v>-8.4999999999999995E-4</v>
      </c>
      <c r="AG46" s="809">
        <f t="shared" si="8"/>
        <v>3.2599999999999999E-3</v>
      </c>
      <c r="AH46" s="809">
        <f t="shared" si="9"/>
        <v>-9.3999999999999997E-4</v>
      </c>
      <c r="AI46" s="1791">
        <f t="shared" si="10"/>
        <v>8.4490000000000023E-2</v>
      </c>
      <c r="AJ46" s="929">
        <f>'Rates in summary'!R47</f>
        <v>0</v>
      </c>
      <c r="AK46" s="915">
        <f>'Rates in summary'!S47</f>
        <v>0</v>
      </c>
      <c r="AL46" s="915">
        <f>'Rates in summary'!T47</f>
        <v>-3.9999999999999996E-5</v>
      </c>
      <c r="AM46" s="1764">
        <f>'Rates in summary'!V47</f>
        <v>0</v>
      </c>
      <c r="AN46" s="1754">
        <f t="shared" si="11"/>
        <v>8.4450000000000025E-2</v>
      </c>
      <c r="AO46" s="222"/>
      <c r="AP46" s="220"/>
      <c r="AQ46" s="221"/>
      <c r="AR46" s="224"/>
      <c r="AS46" s="222"/>
      <c r="AT46" s="224"/>
      <c r="AU46" s="223"/>
      <c r="AV46" s="222"/>
      <c r="AX46" s="1748">
        <f>AN46-'Rates in summary'!W47</f>
        <v>0</v>
      </c>
    </row>
    <row r="47" spans="1:50" x14ac:dyDescent="0.35">
      <c r="A47" s="132">
        <f t="shared" si="0"/>
        <v>41</v>
      </c>
      <c r="B47" s="132"/>
      <c r="C47" s="132"/>
      <c r="D47" s="1411" t="s">
        <v>8</v>
      </c>
      <c r="E47" s="225">
        <v>5.0500000000000003E-2</v>
      </c>
      <c r="F47" s="222">
        <v>0</v>
      </c>
      <c r="G47" s="222"/>
      <c r="H47" s="222"/>
      <c r="I47" s="224">
        <v>2.1000000000000001E-4</v>
      </c>
      <c r="J47" s="223">
        <f t="shared" si="1"/>
        <v>5.0710000000000005E-2</v>
      </c>
      <c r="K47" s="222"/>
      <c r="L47" s="222">
        <f>ROUND(E47*(HLOOKUP($C$43,'Rate Spread SETTLEMENT'!$E$73:$AA$78,6,FALSE)),5)</f>
        <v>4.7400000000000003E-3</v>
      </c>
      <c r="M47" s="222"/>
      <c r="N47" s="226">
        <f t="shared" si="2"/>
        <v>5.0500000000000003E-2</v>
      </c>
      <c r="O47" s="226">
        <f t="shared" si="3"/>
        <v>5.5240000000000004E-2</v>
      </c>
      <c r="P47" s="222">
        <f>'Allocation = % of Margin'!AD48</f>
        <v>-6.4000000000000005E-4</v>
      </c>
      <c r="Q47" s="916"/>
      <c r="R47" s="797">
        <f t="shared" si="15"/>
        <v>5.4600000000000003E-2</v>
      </c>
      <c r="S47" s="1113">
        <f>'Allocation = % of Margin'!U48</f>
        <v>0</v>
      </c>
      <c r="T47" s="222">
        <f>'Allocation = % of Margin'!X48</f>
        <v>-5.8E-4</v>
      </c>
      <c r="U47" s="222">
        <f>'Allocation = % of Margin'!AA48</f>
        <v>2.1000000000000001E-4</v>
      </c>
      <c r="V47" s="809">
        <f t="shared" si="16"/>
        <v>-3.6999999999999999E-4</v>
      </c>
      <c r="W47" s="810">
        <f t="shared" si="6"/>
        <v>5.4440000000000002E-2</v>
      </c>
      <c r="X47" s="1113">
        <f>'Rates in summary'!I48</f>
        <v>0</v>
      </c>
      <c r="Y47" s="222">
        <f>'Rates in summary'!J48</f>
        <v>0</v>
      </c>
      <c r="Z47" s="222">
        <f>'Rates in summary'!K48</f>
        <v>3.4999999999999994E-4</v>
      </c>
      <c r="AA47" s="1738">
        <f t="shared" si="7"/>
        <v>5.4790000000000005E-2</v>
      </c>
      <c r="AB47" s="1198"/>
      <c r="AC47" s="929">
        <f>ROUND(R47*(HLOOKUP($C$43,'Rate Spread SETTLEMENT'!$E$101:$AA$106,6,FALSE)),5)</f>
        <v>2.1700000000000001E-3</v>
      </c>
      <c r="AD47" s="915">
        <f>'Allocation = % of Margin'!AM48</f>
        <v>-6.0000000000000002E-5</v>
      </c>
      <c r="AE47" s="915">
        <f>'Allocation = % of Margin'!AG48</f>
        <v>0</v>
      </c>
      <c r="AF47" s="915">
        <f>'Allocation = % of Margin'!AJ48</f>
        <v>-5.6999999999999998E-4</v>
      </c>
      <c r="AG47" s="809">
        <f t="shared" si="8"/>
        <v>2.1700000000000001E-3</v>
      </c>
      <c r="AH47" s="809">
        <f t="shared" si="9"/>
        <v>-6.3000000000000003E-4</v>
      </c>
      <c r="AI47" s="1791">
        <f t="shared" si="10"/>
        <v>5.6330000000000005E-2</v>
      </c>
      <c r="AJ47" s="929">
        <f>'Rates in summary'!R48</f>
        <v>0</v>
      </c>
      <c r="AK47" s="915">
        <f>'Rates in summary'!S48</f>
        <v>0</v>
      </c>
      <c r="AL47" s="915">
        <f>'Rates in summary'!T48</f>
        <v>-3.9999999999999969E-5</v>
      </c>
      <c r="AM47" s="1764">
        <f>'Rates in summary'!V48</f>
        <v>0</v>
      </c>
      <c r="AN47" s="1754">
        <f t="shared" si="11"/>
        <v>5.6290000000000007E-2</v>
      </c>
      <c r="AO47" s="222"/>
      <c r="AP47" s="220"/>
      <c r="AQ47" s="221"/>
      <c r="AR47" s="224"/>
      <c r="AS47" s="222"/>
      <c r="AT47" s="224"/>
      <c r="AU47" s="223"/>
      <c r="AV47" s="222"/>
      <c r="AX47" s="1748">
        <f>AN47-'Rates in summary'!W48</f>
        <v>0</v>
      </c>
    </row>
    <row r="48" spans="1:50" x14ac:dyDescent="0.35">
      <c r="A48" s="132">
        <f t="shared" si="0"/>
        <v>42</v>
      </c>
      <c r="B48" s="1410"/>
      <c r="C48" s="1410"/>
      <c r="D48" s="1413" t="s">
        <v>9</v>
      </c>
      <c r="E48" s="214">
        <v>1.8929999999999999E-2</v>
      </c>
      <c r="F48" s="216">
        <v>0</v>
      </c>
      <c r="G48" s="216"/>
      <c r="H48" s="216"/>
      <c r="I48" s="215">
        <v>7.9999999999999993E-5</v>
      </c>
      <c r="J48" s="217">
        <f t="shared" si="1"/>
        <v>1.9009999999999999E-2</v>
      </c>
      <c r="K48" s="222"/>
      <c r="L48" s="216">
        <f>ROUND(E48*(HLOOKUP($C$43,'Rate Spread SETTLEMENT'!$E$73:$AA$78,6,FALSE)),5)</f>
        <v>1.7799999999999999E-3</v>
      </c>
      <c r="M48" s="222"/>
      <c r="N48" s="219">
        <f t="shared" si="2"/>
        <v>1.8929999999999999E-2</v>
      </c>
      <c r="O48" s="219">
        <f t="shared" si="3"/>
        <v>2.0709999999999999E-2</v>
      </c>
      <c r="P48" s="216">
        <f>'Allocation = % of Margin'!AD49</f>
        <v>-2.4000000000000001E-4</v>
      </c>
      <c r="Q48" s="914"/>
      <c r="R48" s="796">
        <f t="shared" si="15"/>
        <v>2.0469999999999999E-2</v>
      </c>
      <c r="S48" s="1112">
        <f>'Allocation = % of Margin'!U49</f>
        <v>0</v>
      </c>
      <c r="T48" s="216">
        <f>'Allocation = % of Margin'!X49</f>
        <v>-2.2000000000000001E-4</v>
      </c>
      <c r="U48" s="216">
        <f>'Allocation = % of Margin'!AA49</f>
        <v>8.0000000000000007E-5</v>
      </c>
      <c r="V48" s="808">
        <f t="shared" si="16"/>
        <v>-1.3999999999999999E-4</v>
      </c>
      <c r="W48" s="807">
        <f t="shared" si="6"/>
        <v>2.0409999999999998E-2</v>
      </c>
      <c r="X48" s="1112">
        <f>'Rates in summary'!I49</f>
        <v>0</v>
      </c>
      <c r="Y48" s="216">
        <f>'Rates in summary'!J49</f>
        <v>0</v>
      </c>
      <c r="Z48" s="216">
        <f>'Rates in summary'!K49</f>
        <v>1.3000000000000002E-4</v>
      </c>
      <c r="AA48" s="1737">
        <f t="shared" si="7"/>
        <v>2.0539999999999999E-2</v>
      </c>
      <c r="AB48" s="1198"/>
      <c r="AC48" s="937">
        <f>ROUND(R48*(HLOOKUP($C$43,'Rate Spread SETTLEMENT'!$E$101:$AA$106,6,FALSE)),5)</f>
        <v>8.0999999999999996E-4</v>
      </c>
      <c r="AD48" s="913">
        <f>'Allocation = % of Margin'!AM49</f>
        <v>-2.0000000000000002E-5</v>
      </c>
      <c r="AE48" s="913">
        <f>'Allocation = % of Margin'!AG49</f>
        <v>0</v>
      </c>
      <c r="AF48" s="913">
        <f>'Allocation = % of Margin'!AJ49</f>
        <v>-2.1000000000000001E-4</v>
      </c>
      <c r="AG48" s="808">
        <f t="shared" si="8"/>
        <v>8.0999999999999996E-4</v>
      </c>
      <c r="AH48" s="808">
        <f t="shared" si="9"/>
        <v>-2.3000000000000001E-4</v>
      </c>
      <c r="AI48" s="1790">
        <f t="shared" si="10"/>
        <v>2.112E-2</v>
      </c>
      <c r="AJ48" s="937">
        <f>'Rates in summary'!R49</f>
        <v>0</v>
      </c>
      <c r="AK48" s="913">
        <f>'Rates in summary'!S49</f>
        <v>0</v>
      </c>
      <c r="AL48" s="913">
        <f>'Rates in summary'!T49</f>
        <v>-1.0000000000000006E-5</v>
      </c>
      <c r="AM48" s="1763">
        <f>'Rates in summary'!V49</f>
        <v>0</v>
      </c>
      <c r="AN48" s="1753">
        <f t="shared" si="11"/>
        <v>2.111E-2</v>
      </c>
      <c r="AO48" s="222"/>
      <c r="AP48" s="220"/>
      <c r="AQ48" s="221"/>
      <c r="AR48" s="224"/>
      <c r="AS48" s="222"/>
      <c r="AT48" s="224"/>
      <c r="AU48" s="223"/>
      <c r="AV48" s="222"/>
      <c r="AX48" s="1748">
        <f>AN48-'Rates in summary'!W49</f>
        <v>0</v>
      </c>
    </row>
    <row r="49" spans="1:50" x14ac:dyDescent="0.35">
      <c r="A49" s="132">
        <f t="shared" si="0"/>
        <v>43</v>
      </c>
      <c r="B49" s="132" t="str">
        <f>'WA Volumes &amp; Revenues'!B51</f>
        <v>42I Firm Transpt</v>
      </c>
      <c r="C49" s="132" t="s">
        <v>349</v>
      </c>
      <c r="D49" s="1411" t="s">
        <v>4</v>
      </c>
      <c r="E49" s="225">
        <v>0.13941000000000001</v>
      </c>
      <c r="F49" s="222">
        <v>0</v>
      </c>
      <c r="G49" s="222"/>
      <c r="H49" s="222"/>
      <c r="I49" s="224">
        <v>5.8999999999999992E-4</v>
      </c>
      <c r="J49" s="223">
        <f t="shared" ref="J49:J54" si="17">SUM(E49:I49)</f>
        <v>0.14000000000000001</v>
      </c>
      <c r="K49" s="222"/>
      <c r="L49" s="222">
        <f>ROUND(E49*(HLOOKUP($C$49,'Rate Spread SETTLEMENT'!$E$73:$AA$78,6,FALSE)),5)</f>
        <v>1.044E-2</v>
      </c>
      <c r="M49" s="222"/>
      <c r="N49" s="226">
        <f t="shared" si="2"/>
        <v>0.13941000000000001</v>
      </c>
      <c r="O49" s="226">
        <f t="shared" si="3"/>
        <v>0.14985000000000001</v>
      </c>
      <c r="P49" s="222">
        <f>'Allocation = % of Margin'!AD50</f>
        <v>-1.7700000000000001E-3</v>
      </c>
      <c r="Q49" s="916"/>
      <c r="R49" s="797">
        <f t="shared" si="15"/>
        <v>0.14808000000000002</v>
      </c>
      <c r="S49" s="1113">
        <f>'Allocation = % of Margin'!U50</f>
        <v>0</v>
      </c>
      <c r="T49" s="222">
        <f>'Allocation = % of Margin'!X50</f>
        <v>-1.5900000000000001E-3</v>
      </c>
      <c r="U49" s="222">
        <f>'Allocation = % of Margin'!AA50</f>
        <v>5.5999999999999995E-4</v>
      </c>
      <c r="V49" s="809">
        <f t="shared" si="16"/>
        <v>-1.0300000000000001E-3</v>
      </c>
      <c r="W49" s="810">
        <f t="shared" si="6"/>
        <v>0.14764000000000002</v>
      </c>
      <c r="X49" s="1113">
        <f>'Rates in summary'!I50</f>
        <v>0</v>
      </c>
      <c r="Y49" s="222">
        <f>'Rates in summary'!J50</f>
        <v>0</v>
      </c>
      <c r="Z49" s="222">
        <f>'Rates in summary'!K50</f>
        <v>1.0300000000000001E-3</v>
      </c>
      <c r="AA49" s="1738">
        <f t="shared" si="7"/>
        <v>0.14867000000000002</v>
      </c>
      <c r="AB49" s="1198"/>
      <c r="AC49" s="936">
        <f>ROUND(R49*(HLOOKUP($C$49,'Rate Spread SETTLEMENT'!$E$101:$AA$106,6,FALSE)),5)</f>
        <v>3.96E-3</v>
      </c>
      <c r="AD49" s="915">
        <f>'Allocation = % of Margin'!AM50</f>
        <v>-1.6000000000000001E-4</v>
      </c>
      <c r="AE49" s="1485">
        <f>'Allocation = % of Margin'!AG50</f>
        <v>0</v>
      </c>
      <c r="AF49" s="915">
        <f>'Allocation = % of Margin'!AJ50</f>
        <v>-1.5399999999999999E-3</v>
      </c>
      <c r="AG49" s="809">
        <f t="shared" si="8"/>
        <v>3.96E-3</v>
      </c>
      <c r="AH49" s="809">
        <f t="shared" si="9"/>
        <v>-1.6999999999999999E-3</v>
      </c>
      <c r="AI49" s="1791">
        <f t="shared" si="10"/>
        <v>0.15093000000000004</v>
      </c>
      <c r="AJ49" s="936">
        <f>'Rates in summary'!R50</f>
        <v>0</v>
      </c>
      <c r="AK49" s="915">
        <f>'Rates in summary'!S50</f>
        <v>0</v>
      </c>
      <c r="AL49" s="1485">
        <f>'Rates in summary'!T50</f>
        <v>-6.9999999999999858E-5</v>
      </c>
      <c r="AM49" s="1764">
        <f>'Rates in summary'!V50</f>
        <v>0</v>
      </c>
      <c r="AN49" s="1754">
        <f t="shared" si="11"/>
        <v>0.15086000000000005</v>
      </c>
      <c r="AO49" s="222"/>
      <c r="AP49" s="220">
        <f>'WA Volumes &amp; Revenues'!O51</f>
        <v>1550</v>
      </c>
      <c r="AQ49" s="221">
        <f>'WA Volumes &amp; Revenues'!N51</f>
        <v>1550</v>
      </c>
      <c r="AR49" s="224">
        <v>0.15748000000000001</v>
      </c>
      <c r="AS49" s="224">
        <f>AR49</f>
        <v>0.15748000000000001</v>
      </c>
      <c r="AT49" s="224"/>
      <c r="AU49" s="223"/>
      <c r="AV49" s="222"/>
      <c r="AX49" s="1748">
        <f>AN49-'Rates in summary'!W50</f>
        <v>0</v>
      </c>
    </row>
    <row r="50" spans="1:50" x14ac:dyDescent="0.35">
      <c r="A50" s="132">
        <f t="shared" si="0"/>
        <v>44</v>
      </c>
      <c r="B50" s="132"/>
      <c r="C50" s="132"/>
      <c r="D50" s="1411" t="s">
        <v>5</v>
      </c>
      <c r="E50" s="225">
        <v>0.12478999999999997</v>
      </c>
      <c r="F50" s="222">
        <v>0</v>
      </c>
      <c r="G50" s="222"/>
      <c r="H50" s="222"/>
      <c r="I50" s="224">
        <v>5.2000000000000006E-4</v>
      </c>
      <c r="J50" s="223">
        <f t="shared" si="17"/>
        <v>0.12530999999999998</v>
      </c>
      <c r="K50" s="222"/>
      <c r="L50" s="222">
        <f>ROUND(E50*(HLOOKUP($C$49,'Rate Spread SETTLEMENT'!$E$73:$AA$78,6,FALSE)),5)</f>
        <v>9.3500000000000007E-3</v>
      </c>
      <c r="M50" s="222"/>
      <c r="N50" s="226">
        <f t="shared" si="2"/>
        <v>0.12478999999999997</v>
      </c>
      <c r="O50" s="226">
        <f t="shared" si="3"/>
        <v>0.13413999999999998</v>
      </c>
      <c r="P50" s="222">
        <f>'Allocation = % of Margin'!AD51</f>
        <v>-1.5900000000000001E-3</v>
      </c>
      <c r="Q50" s="916"/>
      <c r="R50" s="797">
        <f t="shared" si="15"/>
        <v>0.13254999999999997</v>
      </c>
      <c r="S50" s="1113">
        <f>'Allocation = % of Margin'!U51</f>
        <v>0</v>
      </c>
      <c r="T50" s="222">
        <f>'Allocation = % of Margin'!X51</f>
        <v>-1.4300000000000001E-3</v>
      </c>
      <c r="U50" s="222">
        <f>'Allocation = % of Margin'!AA51</f>
        <v>5.0000000000000001E-4</v>
      </c>
      <c r="V50" s="809">
        <f t="shared" si="16"/>
        <v>-9.3000000000000005E-4</v>
      </c>
      <c r="W50" s="810">
        <f t="shared" si="6"/>
        <v>0.13213999999999998</v>
      </c>
      <c r="X50" s="1113">
        <f>'Rates in summary'!I51</f>
        <v>0</v>
      </c>
      <c r="Y50" s="222">
        <f>'Rates in summary'!J51</f>
        <v>0</v>
      </c>
      <c r="Z50" s="222">
        <f>'Rates in summary'!K51</f>
        <v>9.2999999999999984E-4</v>
      </c>
      <c r="AA50" s="1738">
        <f t="shared" si="7"/>
        <v>0.13306999999999997</v>
      </c>
      <c r="AB50" s="1198"/>
      <c r="AC50" s="929">
        <f>ROUND(R50*(HLOOKUP($C$49,'Rate Spread SETTLEMENT'!$E$101:$AA$106,6,FALSE)),5)</f>
        <v>3.5400000000000002E-3</v>
      </c>
      <c r="AD50" s="915">
        <f>'Allocation = % of Margin'!AM51</f>
        <v>-1.3999999999999999E-4</v>
      </c>
      <c r="AE50" s="915">
        <f>'Allocation = % of Margin'!AG51</f>
        <v>0</v>
      </c>
      <c r="AF50" s="915">
        <f>'Allocation = % of Margin'!AJ51</f>
        <v>-1.3799999999999999E-3</v>
      </c>
      <c r="AG50" s="809">
        <f t="shared" si="8"/>
        <v>3.5400000000000002E-3</v>
      </c>
      <c r="AH50" s="809">
        <f t="shared" si="9"/>
        <v>-1.5199999999999999E-3</v>
      </c>
      <c r="AI50" s="1791">
        <f t="shared" si="10"/>
        <v>0.13508999999999996</v>
      </c>
      <c r="AJ50" s="929">
        <f>'Rates in summary'!R51</f>
        <v>0</v>
      </c>
      <c r="AK50" s="915">
        <f>'Rates in summary'!S51</f>
        <v>0</v>
      </c>
      <c r="AL50" s="915">
        <f>'Rates in summary'!T51</f>
        <v>-5.9999999999999832E-5</v>
      </c>
      <c r="AM50" s="1764">
        <f>'Rates in summary'!V51</f>
        <v>0</v>
      </c>
      <c r="AN50" s="1754">
        <f t="shared" si="11"/>
        <v>0.13502999999999996</v>
      </c>
      <c r="AO50" s="222"/>
      <c r="AP50" s="220"/>
      <c r="AQ50" s="221"/>
      <c r="AR50" s="224"/>
      <c r="AS50" s="222"/>
      <c r="AT50" s="224"/>
      <c r="AU50" s="223"/>
      <c r="AV50" s="222"/>
      <c r="AX50" s="1748">
        <f>AN50-'Rates in summary'!W51</f>
        <v>0</v>
      </c>
    </row>
    <row r="51" spans="1:50" x14ac:dyDescent="0.35">
      <c r="A51" s="132">
        <f t="shared" si="0"/>
        <v>45</v>
      </c>
      <c r="B51" s="132"/>
      <c r="C51" s="132"/>
      <c r="D51" s="1411" t="s">
        <v>6</v>
      </c>
      <c r="E51" s="225">
        <v>9.5690000000000011E-2</v>
      </c>
      <c r="F51" s="222">
        <v>0</v>
      </c>
      <c r="G51" s="222"/>
      <c r="H51" s="222"/>
      <c r="I51" s="224">
        <v>4.1000000000000005E-4</v>
      </c>
      <c r="J51" s="223">
        <f t="shared" si="17"/>
        <v>9.6100000000000005E-2</v>
      </c>
      <c r="K51" s="222"/>
      <c r="L51" s="222">
        <f>ROUND(E51*(HLOOKUP($C$49,'Rate Spread SETTLEMENT'!$E$73:$AA$78,6,FALSE)),5)</f>
        <v>7.1700000000000002E-3</v>
      </c>
      <c r="M51" s="222"/>
      <c r="N51" s="226">
        <f t="shared" si="2"/>
        <v>9.5690000000000011E-2</v>
      </c>
      <c r="O51" s="226">
        <f t="shared" si="3"/>
        <v>0.10286000000000001</v>
      </c>
      <c r="P51" s="222">
        <f>'Allocation = % of Margin'!AD52</f>
        <v>-1.2199999999999999E-3</v>
      </c>
      <c r="Q51" s="916"/>
      <c r="R51" s="797">
        <f t="shared" si="15"/>
        <v>0.10164000000000001</v>
      </c>
      <c r="S51" s="1113">
        <f>'Allocation = % of Margin'!U52</f>
        <v>0</v>
      </c>
      <c r="T51" s="222">
        <f>'Allocation = % of Margin'!X52</f>
        <v>-1.09E-3</v>
      </c>
      <c r="U51" s="222">
        <f>'Allocation = % of Margin'!AA52</f>
        <v>3.8999999999999999E-4</v>
      </c>
      <c r="V51" s="809">
        <f t="shared" si="16"/>
        <v>-7.000000000000001E-4</v>
      </c>
      <c r="W51" s="810">
        <f t="shared" si="6"/>
        <v>0.10135</v>
      </c>
      <c r="X51" s="1113">
        <f>'Rates in summary'!I52</f>
        <v>0</v>
      </c>
      <c r="Y51" s="222">
        <f>'Rates in summary'!J52</f>
        <v>0</v>
      </c>
      <c r="Z51" s="222">
        <f>'Rates in summary'!K52</f>
        <v>7.000000000000001E-4</v>
      </c>
      <c r="AA51" s="1738">
        <f t="shared" si="7"/>
        <v>0.10205</v>
      </c>
      <c r="AB51" s="1198"/>
      <c r="AC51" s="929">
        <f>ROUND(R51*(HLOOKUP($C$49,'Rate Spread SETTLEMENT'!$E$101:$AA$106,6,FALSE)),5)</f>
        <v>2.7200000000000002E-3</v>
      </c>
      <c r="AD51" s="915">
        <f>'Allocation = % of Margin'!AM52</f>
        <v>-1.1E-4</v>
      </c>
      <c r="AE51" s="915">
        <f>'Allocation = % of Margin'!AG52</f>
        <v>0</v>
      </c>
      <c r="AF51" s="915">
        <f>'Allocation = % of Margin'!AJ52</f>
        <v>-1.06E-3</v>
      </c>
      <c r="AG51" s="809">
        <f t="shared" si="8"/>
        <v>2.7200000000000002E-3</v>
      </c>
      <c r="AH51" s="809">
        <f t="shared" si="9"/>
        <v>-1.17E-3</v>
      </c>
      <c r="AI51" s="1791">
        <f t="shared" si="10"/>
        <v>0.1036</v>
      </c>
      <c r="AJ51" s="929">
        <f>'Rates in summary'!R52</f>
        <v>0</v>
      </c>
      <c r="AK51" s="915">
        <f>'Rates in summary'!S52</f>
        <v>0</v>
      </c>
      <c r="AL51" s="915">
        <f>'Rates in summary'!T52</f>
        <v>-6.0000000000000049E-5</v>
      </c>
      <c r="AM51" s="1764">
        <f>'Rates in summary'!V52</f>
        <v>0</v>
      </c>
      <c r="AN51" s="1754">
        <f t="shared" si="11"/>
        <v>0.10353999999999999</v>
      </c>
      <c r="AO51" s="222"/>
      <c r="AP51" s="220"/>
      <c r="AQ51" s="221"/>
      <c r="AR51" s="224"/>
      <c r="AS51" s="222"/>
      <c r="AT51" s="224"/>
      <c r="AU51" s="223"/>
      <c r="AV51" s="222"/>
      <c r="AX51" s="1748">
        <f>AN51-'Rates in summary'!W52</f>
        <v>0</v>
      </c>
    </row>
    <row r="52" spans="1:50" x14ac:dyDescent="0.35">
      <c r="A52" s="132">
        <f t="shared" si="0"/>
        <v>46</v>
      </c>
      <c r="B52" s="132"/>
      <c r="C52" s="132"/>
      <c r="D52" s="1411" t="s">
        <v>7</v>
      </c>
      <c r="E52" s="225">
        <v>7.6560000000000017E-2</v>
      </c>
      <c r="F52" s="222">
        <v>0</v>
      </c>
      <c r="G52" s="222"/>
      <c r="H52" s="222"/>
      <c r="I52" s="224">
        <v>3.1999999999999997E-4</v>
      </c>
      <c r="J52" s="223">
        <f t="shared" si="17"/>
        <v>7.6880000000000018E-2</v>
      </c>
      <c r="K52" s="222"/>
      <c r="L52" s="222">
        <f>ROUND(E52*(HLOOKUP($C$49,'Rate Spread SETTLEMENT'!$E$73:$AA$78,6,FALSE)),5)</f>
        <v>5.7299999999999999E-3</v>
      </c>
      <c r="M52" s="222"/>
      <c r="N52" s="226">
        <f t="shared" si="2"/>
        <v>7.6560000000000017E-2</v>
      </c>
      <c r="O52" s="226">
        <f t="shared" si="3"/>
        <v>8.2290000000000016E-2</v>
      </c>
      <c r="P52" s="222">
        <f>'Allocation = % of Margin'!AD53</f>
        <v>-9.7000000000000005E-4</v>
      </c>
      <c r="Q52" s="916"/>
      <c r="R52" s="797">
        <f t="shared" si="15"/>
        <v>8.1320000000000017E-2</v>
      </c>
      <c r="S52" s="1113">
        <f>'Allocation = % of Margin'!U53</f>
        <v>0</v>
      </c>
      <c r="T52" s="222">
        <f>'Allocation = % of Margin'!X53</f>
        <v>-8.7000000000000001E-4</v>
      </c>
      <c r="U52" s="222">
        <f>'Allocation = % of Margin'!AA53</f>
        <v>3.1E-4</v>
      </c>
      <c r="V52" s="809">
        <f t="shared" si="16"/>
        <v>-5.5999999999999995E-4</v>
      </c>
      <c r="W52" s="810">
        <f t="shared" si="6"/>
        <v>8.1080000000000013E-2</v>
      </c>
      <c r="X52" s="1113">
        <f>'Rates in summary'!I53</f>
        <v>0</v>
      </c>
      <c r="Y52" s="222">
        <f>'Rates in summary'!J53</f>
        <v>0</v>
      </c>
      <c r="Z52" s="222">
        <f>'Rates in summary'!K53</f>
        <v>5.6999999999999998E-4</v>
      </c>
      <c r="AA52" s="1738">
        <f t="shared" si="7"/>
        <v>8.1650000000000014E-2</v>
      </c>
      <c r="AB52" s="1198"/>
      <c r="AC52" s="929">
        <f>ROUND(R52*(HLOOKUP($C$49,'Rate Spread SETTLEMENT'!$E$101:$AA$106,6,FALSE)),5)</f>
        <v>2.1700000000000001E-3</v>
      </c>
      <c r="AD52" s="915">
        <f>'Allocation = % of Margin'!AM53</f>
        <v>-9.0000000000000006E-5</v>
      </c>
      <c r="AE52" s="915">
        <f>'Allocation = % of Margin'!AG53</f>
        <v>0</v>
      </c>
      <c r="AF52" s="915">
        <f>'Allocation = % of Margin'!AJ53</f>
        <v>-8.4999999999999995E-4</v>
      </c>
      <c r="AG52" s="809">
        <f t="shared" si="8"/>
        <v>2.1700000000000001E-3</v>
      </c>
      <c r="AH52" s="809">
        <f t="shared" si="9"/>
        <v>-9.3999999999999997E-4</v>
      </c>
      <c r="AI52" s="1791">
        <f t="shared" si="10"/>
        <v>8.2880000000000009E-2</v>
      </c>
      <c r="AJ52" s="929">
        <f>'Rates in summary'!R53</f>
        <v>0</v>
      </c>
      <c r="AK52" s="915">
        <f>'Rates in summary'!S53</f>
        <v>0</v>
      </c>
      <c r="AL52" s="915">
        <f>'Rates in summary'!T53</f>
        <v>-4.9999999999999969E-5</v>
      </c>
      <c r="AM52" s="1764">
        <f>'Rates in summary'!V53</f>
        <v>0</v>
      </c>
      <c r="AN52" s="1754">
        <f t="shared" si="11"/>
        <v>8.2830000000000015E-2</v>
      </c>
      <c r="AO52" s="222"/>
      <c r="AP52" s="220"/>
      <c r="AQ52" s="221"/>
      <c r="AR52" s="224"/>
      <c r="AS52" s="222"/>
      <c r="AT52" s="224"/>
      <c r="AU52" s="223"/>
      <c r="AV52" s="222"/>
      <c r="AX52" s="1748">
        <f>AN52-'Rates in summary'!W53</f>
        <v>0</v>
      </c>
    </row>
    <row r="53" spans="1:50" x14ac:dyDescent="0.35">
      <c r="A53" s="132">
        <f t="shared" si="0"/>
        <v>47</v>
      </c>
      <c r="B53" s="132"/>
      <c r="C53" s="132"/>
      <c r="D53" s="1411" t="s">
        <v>8</v>
      </c>
      <c r="E53" s="225">
        <v>5.1040000000000002E-2</v>
      </c>
      <c r="F53" s="222">
        <v>0</v>
      </c>
      <c r="G53" s="222"/>
      <c r="H53" s="222"/>
      <c r="I53" s="224">
        <v>2.1000000000000001E-4</v>
      </c>
      <c r="J53" s="223">
        <f t="shared" si="17"/>
        <v>5.1250000000000004E-2</v>
      </c>
      <c r="K53" s="222"/>
      <c r="L53" s="222">
        <f>ROUND(E53*(HLOOKUP($C$49,'Rate Spread SETTLEMENT'!$E$73:$AA$78,6,FALSE)),5)</f>
        <v>3.82E-3</v>
      </c>
      <c r="M53" s="222"/>
      <c r="N53" s="226">
        <f t="shared" si="2"/>
        <v>5.1040000000000002E-2</v>
      </c>
      <c r="O53" s="226">
        <f t="shared" si="3"/>
        <v>5.4859999999999999E-2</v>
      </c>
      <c r="P53" s="222">
        <f>'Allocation = % of Margin'!AD54</f>
        <v>-6.4999999999999997E-4</v>
      </c>
      <c r="Q53" s="916"/>
      <c r="R53" s="797">
        <f t="shared" si="15"/>
        <v>5.4210000000000001E-2</v>
      </c>
      <c r="S53" s="1113">
        <f>'Allocation = % of Margin'!U54</f>
        <v>0</v>
      </c>
      <c r="T53" s="222">
        <f>'Allocation = % of Margin'!X54</f>
        <v>-5.8E-4</v>
      </c>
      <c r="U53" s="222">
        <f>'Allocation = % of Margin'!AA54</f>
        <v>2.1000000000000001E-4</v>
      </c>
      <c r="V53" s="809">
        <f t="shared" si="16"/>
        <v>-3.6999999999999999E-4</v>
      </c>
      <c r="W53" s="810">
        <f t="shared" si="6"/>
        <v>5.4050000000000001E-2</v>
      </c>
      <c r="X53" s="1113">
        <f>'Rates in summary'!I54</f>
        <v>0</v>
      </c>
      <c r="Y53" s="222">
        <f>'Rates in summary'!J54</f>
        <v>0</v>
      </c>
      <c r="Z53" s="222">
        <f>'Rates in summary'!K54</f>
        <v>3.8000000000000002E-4</v>
      </c>
      <c r="AA53" s="1738">
        <f t="shared" si="7"/>
        <v>5.4429999999999999E-2</v>
      </c>
      <c r="AB53" s="1198"/>
      <c r="AC53" s="929">
        <f>ROUND(R53*(HLOOKUP($C$49,'Rate Spread SETTLEMENT'!$E$101:$AA$106,6,FALSE)),5)</f>
        <v>1.4499999999999999E-3</v>
      </c>
      <c r="AD53" s="915">
        <f>'Allocation = % of Margin'!AM54</f>
        <v>-6.0000000000000002E-5</v>
      </c>
      <c r="AE53" s="915">
        <f>'Allocation = % of Margin'!AG54</f>
        <v>0</v>
      </c>
      <c r="AF53" s="915">
        <f>'Allocation = % of Margin'!AJ54</f>
        <v>-5.5999999999999995E-4</v>
      </c>
      <c r="AG53" s="809">
        <f t="shared" si="8"/>
        <v>1.4499999999999999E-3</v>
      </c>
      <c r="AH53" s="809">
        <f t="shared" si="9"/>
        <v>-6.2E-4</v>
      </c>
      <c r="AI53" s="1791">
        <f t="shared" si="10"/>
        <v>5.5259999999999997E-2</v>
      </c>
      <c r="AJ53" s="929">
        <f>'Rates in summary'!R54</f>
        <v>0</v>
      </c>
      <c r="AK53" s="915">
        <f>'Rates in summary'!S54</f>
        <v>0</v>
      </c>
      <c r="AL53" s="915">
        <f>'Rates in summary'!T54</f>
        <v>-3.0000000000000024E-5</v>
      </c>
      <c r="AM53" s="1764">
        <f>'Rates in summary'!V54</f>
        <v>0</v>
      </c>
      <c r="AN53" s="1754">
        <f t="shared" si="11"/>
        <v>5.5229999999999994E-2</v>
      </c>
      <c r="AO53" s="222"/>
      <c r="AP53" s="220"/>
      <c r="AQ53" s="221"/>
      <c r="AR53" s="224"/>
      <c r="AS53" s="222"/>
      <c r="AT53" s="224"/>
      <c r="AU53" s="223"/>
      <c r="AV53" s="222"/>
      <c r="AX53" s="1748">
        <f>AN53-'Rates in summary'!W54</f>
        <v>0</v>
      </c>
    </row>
    <row r="54" spans="1:50" x14ac:dyDescent="0.35">
      <c r="A54" s="132">
        <f t="shared" si="0"/>
        <v>48</v>
      </c>
      <c r="B54" s="1410"/>
      <c r="C54" s="1410"/>
      <c r="D54" s="1413" t="s">
        <v>9</v>
      </c>
      <c r="E54" s="214">
        <v>1.9140000000000001E-2</v>
      </c>
      <c r="F54" s="216">
        <v>0</v>
      </c>
      <c r="G54" s="216"/>
      <c r="H54" s="216"/>
      <c r="I54" s="215">
        <v>7.9999999999999993E-5</v>
      </c>
      <c r="J54" s="217">
        <f t="shared" si="17"/>
        <v>1.9220000000000001E-2</v>
      </c>
      <c r="K54" s="222"/>
      <c r="L54" s="216">
        <f>ROUND(E54*(HLOOKUP($C$49,'Rate Spread SETTLEMENT'!$E$73:$AA$78,6,FALSE)),5)</f>
        <v>1.4300000000000001E-3</v>
      </c>
      <c r="M54" s="222"/>
      <c r="N54" s="219">
        <f t="shared" si="2"/>
        <v>1.9140000000000001E-2</v>
      </c>
      <c r="O54" s="219">
        <f t="shared" si="3"/>
        <v>2.0570000000000001E-2</v>
      </c>
      <c r="P54" s="216">
        <f>'Allocation = % of Margin'!AD55</f>
        <v>-2.4000000000000001E-4</v>
      </c>
      <c r="Q54" s="914"/>
      <c r="R54" s="796">
        <f t="shared" si="15"/>
        <v>2.0330000000000001E-2</v>
      </c>
      <c r="S54" s="1112">
        <f>'Allocation = % of Margin'!U55</f>
        <v>0</v>
      </c>
      <c r="T54" s="216">
        <f>'Allocation = % of Margin'!X55</f>
        <v>-2.2000000000000001E-4</v>
      </c>
      <c r="U54" s="216">
        <f>'Allocation = % of Margin'!AA55</f>
        <v>8.0000000000000007E-5</v>
      </c>
      <c r="V54" s="808">
        <f t="shared" si="16"/>
        <v>-1.3999999999999999E-4</v>
      </c>
      <c r="W54" s="807">
        <f t="shared" si="6"/>
        <v>2.027E-2</v>
      </c>
      <c r="X54" s="1112">
        <f>'Rates in summary'!I55</f>
        <v>0</v>
      </c>
      <c r="Y54" s="216">
        <f>'Rates in summary'!J55</f>
        <v>0</v>
      </c>
      <c r="Z54" s="216">
        <f>'Rates in summary'!K55</f>
        <v>1.4000000000000001E-4</v>
      </c>
      <c r="AA54" s="1737">
        <f t="shared" si="7"/>
        <v>2.0410000000000001E-2</v>
      </c>
      <c r="AB54" s="1198"/>
      <c r="AC54" s="929">
        <f>ROUND(R54*(HLOOKUP($C$49,'Rate Spread SETTLEMENT'!$E$101:$AA$106,6,FALSE)),5)</f>
        <v>5.4000000000000001E-4</v>
      </c>
      <c r="AD54" s="913">
        <f>'Allocation = % of Margin'!AM55</f>
        <v>-2.0000000000000002E-5</v>
      </c>
      <c r="AE54" s="915">
        <f>'Allocation = % of Margin'!AG55</f>
        <v>0</v>
      </c>
      <c r="AF54" s="913">
        <f>'Allocation = % of Margin'!AJ55</f>
        <v>-2.1000000000000001E-4</v>
      </c>
      <c r="AG54" s="808">
        <f t="shared" si="8"/>
        <v>5.4000000000000001E-4</v>
      </c>
      <c r="AH54" s="808">
        <f t="shared" si="9"/>
        <v>-2.3000000000000001E-4</v>
      </c>
      <c r="AI54" s="1790">
        <f t="shared" si="10"/>
        <v>2.0720000000000002E-2</v>
      </c>
      <c r="AJ54" s="929">
        <f>'Rates in summary'!R55</f>
        <v>0</v>
      </c>
      <c r="AK54" s="913">
        <f>'Rates in summary'!S55</f>
        <v>0</v>
      </c>
      <c r="AL54" s="915">
        <f>'Rates in summary'!T55</f>
        <v>-1.0000000000000013E-5</v>
      </c>
      <c r="AM54" s="1763">
        <f>'Rates in summary'!V55</f>
        <v>0</v>
      </c>
      <c r="AN54" s="1753">
        <f t="shared" si="11"/>
        <v>2.0710000000000003E-2</v>
      </c>
      <c r="AO54" s="222"/>
      <c r="AP54" s="220"/>
      <c r="AQ54" s="221"/>
      <c r="AR54" s="224"/>
      <c r="AS54" s="222"/>
      <c r="AT54" s="224"/>
      <c r="AU54" s="223"/>
      <c r="AV54" s="222"/>
      <c r="AX54" s="1748">
        <f>AN54-'Rates in summary'!W55</f>
        <v>0</v>
      </c>
    </row>
    <row r="55" spans="1:50" x14ac:dyDescent="0.35">
      <c r="A55" s="132">
        <f t="shared" si="0"/>
        <v>49</v>
      </c>
      <c r="B55" s="132" t="str">
        <f>'WA Volumes &amp; Revenues'!B57</f>
        <v>42C Interr Sales</v>
      </c>
      <c r="C55" s="132" t="s">
        <v>350</v>
      </c>
      <c r="D55" s="1411" t="s">
        <v>4</v>
      </c>
      <c r="E55" s="225">
        <v>0.13682000000000002</v>
      </c>
      <c r="F55" s="222">
        <f t="shared" ref="F55:F66" si="18">+$F$13</f>
        <v>0.26333000000000001</v>
      </c>
      <c r="G55" s="222"/>
      <c r="H55" s="222"/>
      <c r="I55" s="224">
        <v>2.334E-2</v>
      </c>
      <c r="J55" s="223">
        <f t="shared" si="1"/>
        <v>0.42349000000000003</v>
      </c>
      <c r="K55" s="222"/>
      <c r="L55" s="222">
        <f>ROUND(E55*(HLOOKUP($C$55,'Rate Spread SETTLEMENT'!$E$73:$AA$78,6,FALSE)),5)</f>
        <v>2.2440000000000002E-2</v>
      </c>
      <c r="M55" s="222"/>
      <c r="N55" s="226">
        <f t="shared" si="2"/>
        <v>0.13682000000000002</v>
      </c>
      <c r="O55" s="226">
        <f t="shared" si="3"/>
        <v>0.15926000000000001</v>
      </c>
      <c r="P55" s="222">
        <f>'Allocation = % of Margin'!AD56</f>
        <v>-1.8400000000000001E-3</v>
      </c>
      <c r="Q55" s="916"/>
      <c r="R55" s="797">
        <f t="shared" si="15"/>
        <v>0.15742</v>
      </c>
      <c r="S55" s="1113">
        <f>'Allocation = % of Margin'!U56</f>
        <v>-3.2799999999999999E-3</v>
      </c>
      <c r="T55" s="222">
        <f>'Allocation = % of Margin'!X56</f>
        <v>-1.75E-3</v>
      </c>
      <c r="U55" s="222">
        <f>'Allocation = % of Margin'!AA56</f>
        <v>6.2E-4</v>
      </c>
      <c r="V55" s="809">
        <f t="shared" si="16"/>
        <v>-4.4099999999999999E-3</v>
      </c>
      <c r="W55" s="810">
        <f t="shared" si="6"/>
        <v>0.43967999999999996</v>
      </c>
      <c r="X55" s="1113">
        <f>'Rates in summary'!I56</f>
        <v>8.5399999999999976E-2</v>
      </c>
      <c r="Y55" s="222">
        <f>'Rates in summary'!J56</f>
        <v>0</v>
      </c>
      <c r="Z55" s="222">
        <f>'Rates in summary'!K56</f>
        <v>3.8639999999999994E-2</v>
      </c>
      <c r="AA55" s="1738">
        <f t="shared" si="7"/>
        <v>0.56371999999999989</v>
      </c>
      <c r="AB55" s="1198"/>
      <c r="AC55" s="936">
        <f>ROUND(R55*(HLOOKUP($C$55,'Rate Spread SETTLEMENT'!$E$101:$AA$106,6,FALSE)),5)</f>
        <v>1.2449999999999999E-2</v>
      </c>
      <c r="AD55" s="915">
        <f>'Allocation = % of Margin'!AM56</f>
        <v>-1.8000000000000001E-4</v>
      </c>
      <c r="AE55" s="1485">
        <f>'Allocation = % of Margin'!AG56</f>
        <v>-3.2799999999999999E-3</v>
      </c>
      <c r="AF55" s="915">
        <f>'Allocation = % of Margin'!AJ56</f>
        <v>-1.75E-3</v>
      </c>
      <c r="AG55" s="809">
        <f t="shared" si="8"/>
        <v>1.2449999999999999E-2</v>
      </c>
      <c r="AH55" s="809">
        <f t="shared" si="9"/>
        <v>-5.2100000000000002E-3</v>
      </c>
      <c r="AI55" s="1791">
        <f t="shared" si="10"/>
        <v>0.57095999999999991</v>
      </c>
      <c r="AJ55" s="936">
        <f>'Rates in summary'!R56</f>
        <v>0.12099000000000004</v>
      </c>
      <c r="AK55" s="915">
        <f>'Rates in summary'!S56</f>
        <v>0</v>
      </c>
      <c r="AL55" s="1485">
        <f>'Rates in summary'!T56</f>
        <v>7.6439999999999994E-2</v>
      </c>
      <c r="AM55" s="1764">
        <f>'Rates in summary'!V56</f>
        <v>0</v>
      </c>
      <c r="AN55" s="1754">
        <f t="shared" si="11"/>
        <v>0.76838999999999991</v>
      </c>
      <c r="AO55" s="222"/>
      <c r="AP55" s="220">
        <f>'WA Volumes &amp; Revenues'!O57</f>
        <v>1300</v>
      </c>
      <c r="AQ55" s="221">
        <f>'WA Volumes &amp; Revenues'!N57</f>
        <v>1300</v>
      </c>
      <c r="AR55" s="224"/>
      <c r="AS55" s="222"/>
      <c r="AT55" s="224"/>
      <c r="AU55" s="223"/>
      <c r="AV55" s="222"/>
      <c r="AX55" s="1748">
        <f>AN55-'Rates in summary'!W56</f>
        <v>0</v>
      </c>
    </row>
    <row r="56" spans="1:50" x14ac:dyDescent="0.35">
      <c r="A56" s="132">
        <f t="shared" si="0"/>
        <v>50</v>
      </c>
      <c r="B56" s="132"/>
      <c r="C56" s="132"/>
      <c r="D56" s="1411" t="s">
        <v>5</v>
      </c>
      <c r="E56" s="225">
        <v>0.12246999999999988</v>
      </c>
      <c r="F56" s="222">
        <f t="shared" si="18"/>
        <v>0.26333000000000001</v>
      </c>
      <c r="G56" s="222"/>
      <c r="H56" s="222"/>
      <c r="I56" s="224">
        <v>2.0999999999999998E-2</v>
      </c>
      <c r="J56" s="223">
        <f t="shared" si="1"/>
        <v>0.40679999999999994</v>
      </c>
      <c r="K56" s="222"/>
      <c r="L56" s="222">
        <f>ROUND(E56*(HLOOKUP($C$55,'Rate Spread SETTLEMENT'!$E$73:$AA$78,6,FALSE)),5)</f>
        <v>2.009E-2</v>
      </c>
      <c r="M56" s="222"/>
      <c r="N56" s="226">
        <f t="shared" si="2"/>
        <v>0.12246999999999994</v>
      </c>
      <c r="O56" s="226">
        <f t="shared" si="3"/>
        <v>0.14255999999999994</v>
      </c>
      <c r="P56" s="222">
        <f>'Allocation = % of Margin'!AD57</f>
        <v>-1.64E-3</v>
      </c>
      <c r="Q56" s="916"/>
      <c r="R56" s="797">
        <f t="shared" si="15"/>
        <v>0.14091999999999993</v>
      </c>
      <c r="S56" s="1113">
        <f>'Allocation = % of Margin'!U57</f>
        <v>-2.9399999999999999E-3</v>
      </c>
      <c r="T56" s="222">
        <f>'Allocation = % of Margin'!X57</f>
        <v>-1.56E-3</v>
      </c>
      <c r="U56" s="222">
        <f>'Allocation = % of Margin'!AA57</f>
        <v>5.5000000000000003E-4</v>
      </c>
      <c r="V56" s="809">
        <f t="shared" si="16"/>
        <v>-3.9499999999999995E-3</v>
      </c>
      <c r="W56" s="810">
        <f t="shared" si="6"/>
        <v>0.42129999999999995</v>
      </c>
      <c r="X56" s="1113">
        <f>'Rates in summary'!I57</f>
        <v>8.5399999999999976E-2</v>
      </c>
      <c r="Y56" s="222">
        <f>'Rates in summary'!J57</f>
        <v>0</v>
      </c>
      <c r="Z56" s="222">
        <f>'Rates in summary'!K57</f>
        <v>3.8329999999999996E-2</v>
      </c>
      <c r="AA56" s="1738">
        <f t="shared" si="7"/>
        <v>0.5450299999999999</v>
      </c>
      <c r="AB56" s="1198"/>
      <c r="AC56" s="929">
        <f>ROUND(R56*(HLOOKUP($C$55,'Rate Spread SETTLEMENT'!$E$101:$AA$106,6,FALSE)),5)</f>
        <v>1.1140000000000001E-2</v>
      </c>
      <c r="AD56" s="915">
        <f>'Allocation = % of Margin'!AM57</f>
        <v>-1.6000000000000001E-4</v>
      </c>
      <c r="AE56" s="915">
        <f>'Allocation = % of Margin'!AG57</f>
        <v>-2.9399999999999999E-3</v>
      </c>
      <c r="AF56" s="915">
        <f>'Allocation = % of Margin'!AJ57</f>
        <v>-1.57E-3</v>
      </c>
      <c r="AG56" s="809">
        <f t="shared" si="8"/>
        <v>1.1140000000000001E-2</v>
      </c>
      <c r="AH56" s="809">
        <f t="shared" si="9"/>
        <v>-4.6699999999999997E-3</v>
      </c>
      <c r="AI56" s="1791">
        <f t="shared" si="10"/>
        <v>0.55149999999999988</v>
      </c>
      <c r="AJ56" s="929">
        <f>'Rates in summary'!R57</f>
        <v>0.12099000000000004</v>
      </c>
      <c r="AK56" s="915">
        <f>'Rates in summary'!S57</f>
        <v>0</v>
      </c>
      <c r="AL56" s="915">
        <f>'Rates in summary'!T57</f>
        <v>7.6789999999999983E-2</v>
      </c>
      <c r="AM56" s="1764">
        <f>'Rates in summary'!V57</f>
        <v>0</v>
      </c>
      <c r="AN56" s="1754">
        <f t="shared" si="11"/>
        <v>0.74927999999999995</v>
      </c>
      <c r="AO56" s="222"/>
      <c r="AP56" s="771"/>
      <c r="AQ56" s="131"/>
      <c r="AR56" s="224"/>
      <c r="AS56" s="222"/>
      <c r="AT56" s="224"/>
      <c r="AU56" s="223"/>
      <c r="AV56" s="222"/>
      <c r="AX56" s="1748">
        <f>AN56-'Rates in summary'!W57</f>
        <v>0</v>
      </c>
    </row>
    <row r="57" spans="1:50" x14ac:dyDescent="0.35">
      <c r="A57" s="132">
        <f t="shared" si="0"/>
        <v>51</v>
      </c>
      <c r="B57" s="132"/>
      <c r="C57" s="132"/>
      <c r="D57" s="1411" t="s">
        <v>6</v>
      </c>
      <c r="E57" s="225">
        <v>9.3909999999999993E-2</v>
      </c>
      <c r="F57" s="222">
        <f t="shared" si="18"/>
        <v>0.26333000000000001</v>
      </c>
      <c r="G57" s="222"/>
      <c r="H57" s="222"/>
      <c r="I57" s="224">
        <v>1.6370000000000003E-2</v>
      </c>
      <c r="J57" s="223">
        <f t="shared" si="1"/>
        <v>0.37361</v>
      </c>
      <c r="K57" s="222"/>
      <c r="L57" s="222">
        <f>ROUND(E57*(HLOOKUP($C$55,'Rate Spread SETTLEMENT'!$E$73:$AA$78,6,FALSE)),5)</f>
        <v>1.54E-2</v>
      </c>
      <c r="M57" s="222"/>
      <c r="N57" s="226">
        <f t="shared" si="2"/>
        <v>9.3909999999999993E-2</v>
      </c>
      <c r="O57" s="226">
        <f t="shared" si="3"/>
        <v>0.10930999999999999</v>
      </c>
      <c r="P57" s="222">
        <f>'Allocation = % of Margin'!AD58</f>
        <v>-1.2600000000000001E-3</v>
      </c>
      <c r="Q57" s="916"/>
      <c r="R57" s="797">
        <f t="shared" si="15"/>
        <v>0.10804999999999999</v>
      </c>
      <c r="S57" s="1113">
        <f>'Allocation = % of Margin'!U58</f>
        <v>-2.2499999999999998E-3</v>
      </c>
      <c r="T57" s="222">
        <f>'Allocation = % of Margin'!X58</f>
        <v>-1.1999999999999999E-3</v>
      </c>
      <c r="U57" s="222">
        <f>'Allocation = % of Margin'!AA58</f>
        <v>4.2000000000000002E-4</v>
      </c>
      <c r="V57" s="809">
        <f t="shared" si="16"/>
        <v>-3.0299999999999997E-3</v>
      </c>
      <c r="W57" s="810">
        <f t="shared" si="6"/>
        <v>0.38472000000000001</v>
      </c>
      <c r="X57" s="1113">
        <f>'Rates in summary'!I58</f>
        <v>8.5399999999999976E-2</v>
      </c>
      <c r="Y57" s="222">
        <f>'Rates in summary'!J58</f>
        <v>0</v>
      </c>
      <c r="Z57" s="222">
        <f>'Rates in summary'!K58</f>
        <v>3.7689999999999994E-2</v>
      </c>
      <c r="AA57" s="1738">
        <f t="shared" si="7"/>
        <v>0.50780999999999998</v>
      </c>
      <c r="AB57" s="1198"/>
      <c r="AC57" s="929">
        <f>ROUND(R57*(HLOOKUP($C$55,'Rate Spread SETTLEMENT'!$E$101:$AA$106,6,FALSE)),5)</f>
        <v>8.5400000000000007E-3</v>
      </c>
      <c r="AD57" s="915">
        <f>'Allocation = % of Margin'!AM58</f>
        <v>-1.2E-4</v>
      </c>
      <c r="AE57" s="915">
        <f>'Allocation = % of Margin'!AG58</f>
        <v>-2.2499999999999998E-3</v>
      </c>
      <c r="AF57" s="915">
        <f>'Allocation = % of Margin'!AJ58</f>
        <v>-1.1999999999999999E-3</v>
      </c>
      <c r="AG57" s="809">
        <f t="shared" si="8"/>
        <v>8.5400000000000007E-3</v>
      </c>
      <c r="AH57" s="809">
        <f t="shared" si="9"/>
        <v>-3.5699999999999994E-3</v>
      </c>
      <c r="AI57" s="1791">
        <f t="shared" si="10"/>
        <v>0.51278000000000001</v>
      </c>
      <c r="AJ57" s="929">
        <f>'Rates in summary'!R58</f>
        <v>0.12099000000000004</v>
      </c>
      <c r="AK57" s="915">
        <f>'Rates in summary'!S58</f>
        <v>0</v>
      </c>
      <c r="AL57" s="915">
        <f>'Rates in summary'!T58</f>
        <v>7.7479999999999993E-2</v>
      </c>
      <c r="AM57" s="1764">
        <f>'Rates in summary'!V58</f>
        <v>0</v>
      </c>
      <c r="AN57" s="1754">
        <f t="shared" si="11"/>
        <v>0.71125000000000005</v>
      </c>
      <c r="AO57" s="222"/>
      <c r="AP57" s="220"/>
      <c r="AQ57" s="221"/>
      <c r="AR57" s="224"/>
      <c r="AS57" s="222"/>
      <c r="AT57" s="224"/>
      <c r="AU57" s="223"/>
      <c r="AV57" s="222"/>
      <c r="AX57" s="1748">
        <f>AN57-'Rates in summary'!W58</f>
        <v>0</v>
      </c>
    </row>
    <row r="58" spans="1:50" x14ac:dyDescent="0.35">
      <c r="A58" s="132">
        <f t="shared" si="0"/>
        <v>52</v>
      </c>
      <c r="B58" s="132"/>
      <c r="C58" s="132"/>
      <c r="D58" s="1411" t="s">
        <v>7</v>
      </c>
      <c r="E58" s="225">
        <v>7.5130000000000044E-2</v>
      </c>
      <c r="F58" s="222">
        <f t="shared" si="18"/>
        <v>0.26333000000000001</v>
      </c>
      <c r="G58" s="222"/>
      <c r="H58" s="222"/>
      <c r="I58" s="224">
        <v>1.3339999999999999E-2</v>
      </c>
      <c r="J58" s="223">
        <f t="shared" si="1"/>
        <v>0.35180000000000006</v>
      </c>
      <c r="K58" s="222"/>
      <c r="L58" s="222">
        <f>ROUND(E58*(HLOOKUP($C$55,'Rate Spread SETTLEMENT'!$E$73:$AA$78,6,FALSE)),5)</f>
        <v>1.2319999999999999E-2</v>
      </c>
      <c r="M58" s="222"/>
      <c r="N58" s="226">
        <f t="shared" si="2"/>
        <v>7.5130000000000044E-2</v>
      </c>
      <c r="O58" s="226">
        <f t="shared" si="3"/>
        <v>8.7450000000000042E-2</v>
      </c>
      <c r="P58" s="222">
        <f>'Allocation = % of Margin'!AD59</f>
        <v>-1.01E-3</v>
      </c>
      <c r="Q58" s="916"/>
      <c r="R58" s="797">
        <f t="shared" si="15"/>
        <v>8.6440000000000045E-2</v>
      </c>
      <c r="S58" s="1113">
        <f>'Allocation = % of Margin'!U59</f>
        <v>-1.8E-3</v>
      </c>
      <c r="T58" s="222">
        <f>'Allocation = % of Margin'!X59</f>
        <v>-9.6000000000000002E-4</v>
      </c>
      <c r="U58" s="222">
        <f>'Allocation = % of Margin'!AA59</f>
        <v>3.4000000000000002E-4</v>
      </c>
      <c r="V58" s="809">
        <f t="shared" si="16"/>
        <v>-2.4199999999999998E-3</v>
      </c>
      <c r="W58" s="810">
        <f t="shared" si="6"/>
        <v>0.36069000000000007</v>
      </c>
      <c r="X58" s="1113">
        <f>'Rates in summary'!I59</f>
        <v>8.5399999999999976E-2</v>
      </c>
      <c r="Y58" s="222">
        <f>'Rates in summary'!J59</f>
        <v>0</v>
      </c>
      <c r="Z58" s="222">
        <f>'Rates in summary'!K59</f>
        <v>3.7249999999999998E-2</v>
      </c>
      <c r="AA58" s="1738">
        <f t="shared" si="7"/>
        <v>0.48334000000000005</v>
      </c>
      <c r="AB58" s="1198"/>
      <c r="AC58" s="929">
        <f>ROUND(R58*(HLOOKUP($C$55,'Rate Spread SETTLEMENT'!$E$101:$AA$106,6,FALSE)),5)</f>
        <v>6.8300000000000001E-3</v>
      </c>
      <c r="AD58" s="915">
        <f>'Allocation = % of Margin'!AM59</f>
        <v>-1E-4</v>
      </c>
      <c r="AE58" s="915">
        <f>'Allocation = % of Margin'!AG59</f>
        <v>-1.8E-3</v>
      </c>
      <c r="AF58" s="915">
        <f>'Allocation = % of Margin'!AJ59</f>
        <v>-9.6000000000000002E-4</v>
      </c>
      <c r="AG58" s="809">
        <f t="shared" si="8"/>
        <v>6.8300000000000001E-3</v>
      </c>
      <c r="AH58" s="809">
        <f t="shared" si="9"/>
        <v>-2.8600000000000001E-3</v>
      </c>
      <c r="AI58" s="1791">
        <f t="shared" si="10"/>
        <v>0.48731000000000002</v>
      </c>
      <c r="AJ58" s="929">
        <f>'Rates in summary'!R59</f>
        <v>0.12099000000000004</v>
      </c>
      <c r="AK58" s="915">
        <f>'Rates in summary'!S59</f>
        <v>0</v>
      </c>
      <c r="AL58" s="915">
        <f>'Rates in summary'!T59</f>
        <v>7.7910000000000007E-2</v>
      </c>
      <c r="AM58" s="1764">
        <f>'Rates in summary'!V59</f>
        <v>0</v>
      </c>
      <c r="AN58" s="1754">
        <f t="shared" si="11"/>
        <v>0.6862100000000001</v>
      </c>
      <c r="AO58" s="222"/>
      <c r="AP58" s="220"/>
      <c r="AQ58" s="221"/>
      <c r="AR58" s="224"/>
      <c r="AS58" s="222"/>
      <c r="AT58" s="224"/>
      <c r="AU58" s="223"/>
      <c r="AV58" s="222"/>
      <c r="AX58" s="1748">
        <f>AN58-'Rates in summary'!W59</f>
        <v>0</v>
      </c>
    </row>
    <row r="59" spans="1:50" x14ac:dyDescent="0.35">
      <c r="A59" s="132">
        <f t="shared" si="0"/>
        <v>53</v>
      </c>
      <c r="B59" s="132"/>
      <c r="C59" s="132"/>
      <c r="D59" s="1411" t="s">
        <v>8</v>
      </c>
      <c r="E59" s="225">
        <v>5.0089999999999968E-2</v>
      </c>
      <c r="F59" s="222">
        <f t="shared" si="18"/>
        <v>0.26333000000000001</v>
      </c>
      <c r="G59" s="222"/>
      <c r="H59" s="222"/>
      <c r="I59" s="224">
        <v>9.2699999999999987E-3</v>
      </c>
      <c r="J59" s="223">
        <f t="shared" si="1"/>
        <v>0.32268999999999998</v>
      </c>
      <c r="K59" s="222"/>
      <c r="L59" s="222">
        <f>ROUND(E59*(HLOOKUP($C$55,'Rate Spread SETTLEMENT'!$E$73:$AA$78,6,FALSE)),5)</f>
        <v>8.2199999999999999E-3</v>
      </c>
      <c r="M59" s="222"/>
      <c r="N59" s="226">
        <f t="shared" si="2"/>
        <v>5.0089999999999968E-2</v>
      </c>
      <c r="O59" s="226">
        <f t="shared" si="3"/>
        <v>5.8309999999999966E-2</v>
      </c>
      <c r="P59" s="222">
        <f>'Allocation = % of Margin'!AD60</f>
        <v>-6.7000000000000002E-4</v>
      </c>
      <c r="Q59" s="916"/>
      <c r="R59" s="797">
        <f t="shared" si="15"/>
        <v>5.7639999999999969E-2</v>
      </c>
      <c r="S59" s="1113">
        <f>'Allocation = % of Margin'!U60</f>
        <v>-1.1999999999999999E-3</v>
      </c>
      <c r="T59" s="222">
        <f>'Allocation = % of Margin'!X60</f>
        <v>-6.4000000000000005E-4</v>
      </c>
      <c r="U59" s="222">
        <f>'Allocation = % of Margin'!AA60</f>
        <v>2.3000000000000001E-4</v>
      </c>
      <c r="V59" s="809">
        <f t="shared" si="16"/>
        <v>-1.6100000000000001E-3</v>
      </c>
      <c r="W59" s="810">
        <f t="shared" si="6"/>
        <v>0.32862999999999998</v>
      </c>
      <c r="X59" s="1113">
        <f>'Rates in summary'!I60</f>
        <v>8.5399999999999976E-2</v>
      </c>
      <c r="Y59" s="222">
        <f>'Rates in summary'!J60</f>
        <v>0</v>
      </c>
      <c r="Z59" s="222">
        <f>'Rates in summary'!K60</f>
        <v>3.6699999999999997E-2</v>
      </c>
      <c r="AA59" s="1738">
        <f t="shared" si="7"/>
        <v>0.45072999999999996</v>
      </c>
      <c r="AB59" s="1198"/>
      <c r="AC59" s="929">
        <f>ROUND(R59*(HLOOKUP($C$55,'Rate Spread SETTLEMENT'!$E$101:$AA$106,6,FALSE)),5)</f>
        <v>4.5599999999999998E-3</v>
      </c>
      <c r="AD59" s="915">
        <f>'Allocation = % of Margin'!AM60</f>
        <v>-6.9999999999999994E-5</v>
      </c>
      <c r="AE59" s="915">
        <f>'Allocation = % of Margin'!AG60</f>
        <v>-1.1999999999999999E-3</v>
      </c>
      <c r="AF59" s="915">
        <f>'Allocation = % of Margin'!AJ60</f>
        <v>-6.4000000000000005E-4</v>
      </c>
      <c r="AG59" s="809">
        <f t="shared" si="8"/>
        <v>4.5599999999999998E-3</v>
      </c>
      <c r="AH59" s="809">
        <f t="shared" si="9"/>
        <v>-1.9099999999999998E-3</v>
      </c>
      <c r="AI59" s="1791">
        <f t="shared" si="10"/>
        <v>0.45337999999999995</v>
      </c>
      <c r="AJ59" s="929">
        <f>'Rates in summary'!R60</f>
        <v>0.12099000000000004</v>
      </c>
      <c r="AK59" s="915">
        <f>'Rates in summary'!S60</f>
        <v>0</v>
      </c>
      <c r="AL59" s="915">
        <f>'Rates in summary'!T60</f>
        <v>7.8509999999999996E-2</v>
      </c>
      <c r="AM59" s="1764">
        <f>'Rates in summary'!V60</f>
        <v>0</v>
      </c>
      <c r="AN59" s="1754">
        <f t="shared" si="11"/>
        <v>0.65288000000000002</v>
      </c>
      <c r="AO59" s="222"/>
      <c r="AP59" s="220"/>
      <c r="AQ59" s="221"/>
      <c r="AR59" s="224"/>
      <c r="AS59" s="222"/>
      <c r="AT59" s="224"/>
      <c r="AU59" s="223"/>
      <c r="AV59" s="222"/>
      <c r="AX59" s="1748">
        <f>AN59-'Rates in summary'!W60</f>
        <v>0</v>
      </c>
    </row>
    <row r="60" spans="1:50" x14ac:dyDescent="0.35">
      <c r="A60" s="132">
        <f t="shared" si="0"/>
        <v>54</v>
      </c>
      <c r="B60" s="1410"/>
      <c r="C60" s="1410"/>
      <c r="D60" s="1413" t="s">
        <v>9</v>
      </c>
      <c r="E60" s="214">
        <v>1.8790000000000001E-2</v>
      </c>
      <c r="F60" s="216">
        <f t="shared" si="18"/>
        <v>0.26333000000000001</v>
      </c>
      <c r="G60" s="216"/>
      <c r="H60" s="216"/>
      <c r="I60" s="215">
        <v>4.1999999999999989E-3</v>
      </c>
      <c r="J60" s="217">
        <f t="shared" si="1"/>
        <v>0.28632000000000002</v>
      </c>
      <c r="K60" s="222"/>
      <c r="L60" s="216">
        <f>ROUND(E60*(HLOOKUP($C$55,'Rate Spread SETTLEMENT'!$E$73:$AA$78,6,FALSE)),5)</f>
        <v>3.0799999999999998E-3</v>
      </c>
      <c r="M60" s="222"/>
      <c r="N60" s="219">
        <f t="shared" si="2"/>
        <v>1.8790000000000012E-2</v>
      </c>
      <c r="O60" s="219">
        <f t="shared" si="3"/>
        <v>2.1870000000000011E-2</v>
      </c>
      <c r="P60" s="216">
        <f>'Allocation = % of Margin'!AD61</f>
        <v>-2.5000000000000001E-4</v>
      </c>
      <c r="Q60" s="914"/>
      <c r="R60" s="796">
        <f t="shared" si="15"/>
        <v>2.1620000000000011E-2</v>
      </c>
      <c r="S60" s="1112">
        <f>'Allocation = % of Margin'!U61</f>
        <v>-4.4999999999999999E-4</v>
      </c>
      <c r="T60" s="216">
        <f>'Allocation = % of Margin'!X61</f>
        <v>-2.4000000000000001E-4</v>
      </c>
      <c r="U60" s="216">
        <f>'Allocation = % of Margin'!AA61</f>
        <v>8.0000000000000007E-5</v>
      </c>
      <c r="V60" s="808">
        <f t="shared" si="16"/>
        <v>-6.0999999999999997E-4</v>
      </c>
      <c r="W60" s="807">
        <f t="shared" si="6"/>
        <v>0.28854000000000002</v>
      </c>
      <c r="X60" s="1112">
        <f>'Rates in summary'!I61</f>
        <v>8.5399999999999976E-2</v>
      </c>
      <c r="Y60" s="216">
        <f>'Rates in summary'!J61</f>
        <v>0</v>
      </c>
      <c r="Z60" s="216">
        <f>'Rates in summary'!K61</f>
        <v>3.601E-2</v>
      </c>
      <c r="AA60" s="1737">
        <f t="shared" si="7"/>
        <v>0.40994999999999998</v>
      </c>
      <c r="AB60" s="1198"/>
      <c r="AC60" s="937">
        <f>ROUND(R60*(HLOOKUP($C$55,'Rate Spread SETTLEMENT'!$E$101:$AA$106,6,FALSE)),5)</f>
        <v>1.7099999999999999E-3</v>
      </c>
      <c r="AD60" s="913">
        <f>'Allocation = % of Margin'!AM61</f>
        <v>-2.0000000000000002E-5</v>
      </c>
      <c r="AE60" s="913">
        <f>'Allocation = % of Margin'!AG61</f>
        <v>-4.4999999999999999E-4</v>
      </c>
      <c r="AF60" s="913">
        <f>'Allocation = % of Margin'!AJ61</f>
        <v>-2.4000000000000001E-4</v>
      </c>
      <c r="AG60" s="808">
        <f t="shared" si="8"/>
        <v>1.7099999999999999E-3</v>
      </c>
      <c r="AH60" s="808">
        <f t="shared" si="9"/>
        <v>-7.1000000000000002E-4</v>
      </c>
      <c r="AI60" s="1790">
        <f t="shared" si="10"/>
        <v>0.41094999999999998</v>
      </c>
      <c r="AJ60" s="937">
        <f>'Rates in summary'!R61</f>
        <v>0.12099000000000004</v>
      </c>
      <c r="AK60" s="913">
        <f>'Rates in summary'!S61</f>
        <v>0</v>
      </c>
      <c r="AL60" s="913">
        <f>'Rates in summary'!T61</f>
        <v>7.9239999999999991E-2</v>
      </c>
      <c r="AM60" s="1763">
        <f>'Rates in summary'!V61</f>
        <v>0</v>
      </c>
      <c r="AN60" s="1753">
        <f t="shared" si="11"/>
        <v>0.61118000000000006</v>
      </c>
      <c r="AO60" s="222"/>
      <c r="AP60" s="220"/>
      <c r="AQ60" s="221"/>
      <c r="AR60" s="224"/>
      <c r="AS60" s="222"/>
      <c r="AT60" s="224"/>
      <c r="AU60" s="223"/>
      <c r="AV60" s="222"/>
      <c r="AX60" s="1748">
        <f>AN60-'Rates in summary'!W61</f>
        <v>0</v>
      </c>
    </row>
    <row r="61" spans="1:50" x14ac:dyDescent="0.35">
      <c r="A61" s="132">
        <f t="shared" si="0"/>
        <v>55</v>
      </c>
      <c r="B61" s="132" t="str">
        <f>'WA Volumes &amp; Revenues'!B63</f>
        <v>42I Interr Sales</v>
      </c>
      <c r="C61" s="132" t="s">
        <v>351</v>
      </c>
      <c r="D61" s="1411" t="s">
        <v>4</v>
      </c>
      <c r="E61" s="225">
        <v>0.14583999999999989</v>
      </c>
      <c r="F61" s="222">
        <f t="shared" si="18"/>
        <v>0.26333000000000001</v>
      </c>
      <c r="G61" s="222"/>
      <c r="H61" s="222"/>
      <c r="I61" s="224">
        <v>6.9699999999999996E-3</v>
      </c>
      <c r="J61" s="223">
        <f t="shared" si="1"/>
        <v>0.4161399999999999</v>
      </c>
      <c r="K61" s="222"/>
      <c r="L61" s="222">
        <f>ROUND(E61*(HLOOKUP($C$61,'Rate Spread SETTLEMENT'!$E$73:$AA$78,6,FALSE)),5)</f>
        <v>1.495E-2</v>
      </c>
      <c r="M61" s="222"/>
      <c r="N61" s="226">
        <f t="shared" si="2"/>
        <v>0.14583999999999989</v>
      </c>
      <c r="O61" s="226">
        <f t="shared" si="3"/>
        <v>0.16078999999999988</v>
      </c>
      <c r="P61" s="222">
        <f>'Allocation = % of Margin'!AD62</f>
        <v>-2.5400000000000002E-3</v>
      </c>
      <c r="Q61" s="916"/>
      <c r="R61" s="797">
        <f t="shared" si="15"/>
        <v>0.15824999999999989</v>
      </c>
      <c r="S61" s="1113">
        <f>'Allocation = % of Margin'!U62</f>
        <v>0</v>
      </c>
      <c r="T61" s="222">
        <f>'Allocation = % of Margin'!X62</f>
        <v>-2.2799999999999999E-3</v>
      </c>
      <c r="U61" s="222">
        <f>'Allocation = % of Margin'!AA62</f>
        <v>8.0000000000000004E-4</v>
      </c>
      <c r="V61" s="809">
        <f t="shared" si="16"/>
        <v>-1.48E-3</v>
      </c>
      <c r="W61" s="810">
        <f t="shared" si="6"/>
        <v>0.42706999999999984</v>
      </c>
      <c r="X61" s="1113">
        <f>'Rates in summary'!I62</f>
        <v>8.5399999999999976E-2</v>
      </c>
      <c r="Y61" s="222">
        <f>'Rates in summary'!J62</f>
        <v>0</v>
      </c>
      <c r="Z61" s="222">
        <f>'Rates in summary'!K62</f>
        <v>3.6379999999999996E-2</v>
      </c>
      <c r="AA61" s="1738">
        <f t="shared" si="7"/>
        <v>0.54884999999999984</v>
      </c>
      <c r="AB61" s="1198"/>
      <c r="AC61" s="936">
        <f>ROUND(R61*(HLOOKUP($C$61,'Rate Spread SETTLEMENT'!$E$101:$AA$106,6,FALSE)),5)</f>
        <v>5.6600000000000001E-3</v>
      </c>
      <c r="AD61" s="915">
        <f>'Allocation = % of Margin'!AM62</f>
        <v>-2.2000000000000001E-4</v>
      </c>
      <c r="AE61" s="1485">
        <f>'Allocation = % of Margin'!AG62</f>
        <v>0</v>
      </c>
      <c r="AF61" s="915">
        <f>'Allocation = % of Margin'!AJ62</f>
        <v>-2.2100000000000002E-3</v>
      </c>
      <c r="AG61" s="809">
        <f t="shared" si="8"/>
        <v>5.6600000000000001E-3</v>
      </c>
      <c r="AH61" s="809">
        <f t="shared" si="9"/>
        <v>-2.4300000000000003E-3</v>
      </c>
      <c r="AI61" s="1791">
        <f t="shared" si="10"/>
        <v>0.55207999999999979</v>
      </c>
      <c r="AJ61" s="936">
        <f>'Rates in summary'!R62</f>
        <v>0.12099000000000004</v>
      </c>
      <c r="AK61" s="915">
        <f>'Rates in summary'!S62</f>
        <v>0</v>
      </c>
      <c r="AL61" s="1485">
        <f>'Rates in summary'!T62</f>
        <v>7.7979999999999994E-2</v>
      </c>
      <c r="AM61" s="1764">
        <f>'Rates in summary'!V62</f>
        <v>0</v>
      </c>
      <c r="AN61" s="1754">
        <f t="shared" si="11"/>
        <v>0.75104999999999977</v>
      </c>
      <c r="AO61" s="222"/>
      <c r="AP61" s="220">
        <f>'WA Volumes &amp; Revenues'!O63</f>
        <v>1300</v>
      </c>
      <c r="AQ61" s="221">
        <f>'WA Volumes &amp; Revenues'!N63</f>
        <v>1300</v>
      </c>
      <c r="AR61" s="224"/>
      <c r="AS61" s="222"/>
      <c r="AT61" s="224"/>
      <c r="AU61" s="223"/>
      <c r="AV61" s="222"/>
      <c r="AX61" s="1748">
        <f>AN61-'Rates in summary'!W62</f>
        <v>0</v>
      </c>
    </row>
    <row r="62" spans="1:50" x14ac:dyDescent="0.35">
      <c r="A62" s="132">
        <f t="shared" si="0"/>
        <v>56</v>
      </c>
      <c r="B62" s="132"/>
      <c r="C62" s="132"/>
      <c r="D62" s="1411" t="s">
        <v>5</v>
      </c>
      <c r="E62" s="225">
        <v>0.13054999999999992</v>
      </c>
      <c r="F62" s="222">
        <f t="shared" si="18"/>
        <v>0.26333000000000001</v>
      </c>
      <c r="G62" s="222"/>
      <c r="H62" s="222"/>
      <c r="I62" s="224">
        <v>6.3499999999999997E-3</v>
      </c>
      <c r="J62" s="223">
        <f t="shared" si="1"/>
        <v>0.40022999999999992</v>
      </c>
      <c r="K62" s="222"/>
      <c r="L62" s="222">
        <f>ROUND(E62*(HLOOKUP($C$61,'Rate Spread SETTLEMENT'!$E$73:$AA$78,6,FALSE)),5)</f>
        <v>1.338E-2</v>
      </c>
      <c r="M62" s="222"/>
      <c r="N62" s="226">
        <f t="shared" si="2"/>
        <v>0.13054999999999992</v>
      </c>
      <c r="O62" s="226">
        <f t="shared" si="3"/>
        <v>0.14392999999999992</v>
      </c>
      <c r="P62" s="222">
        <f>'Allocation = % of Margin'!AD63</f>
        <v>-2.2699999999999999E-3</v>
      </c>
      <c r="Q62" s="916"/>
      <c r="R62" s="797">
        <f t="shared" si="15"/>
        <v>0.14165999999999992</v>
      </c>
      <c r="S62" s="1113">
        <f>'Allocation = % of Margin'!U63</f>
        <v>0</v>
      </c>
      <c r="T62" s="222">
        <f>'Allocation = % of Margin'!X63</f>
        <v>-2.0400000000000001E-3</v>
      </c>
      <c r="U62" s="222">
        <f>'Allocation = % of Margin'!AA63</f>
        <v>7.2000000000000005E-4</v>
      </c>
      <c r="V62" s="809">
        <f t="shared" si="16"/>
        <v>-1.32E-3</v>
      </c>
      <c r="W62" s="810">
        <f t="shared" si="6"/>
        <v>0.41001999999999994</v>
      </c>
      <c r="X62" s="1113">
        <f>'Rates in summary'!I63</f>
        <v>8.5399999999999976E-2</v>
      </c>
      <c r="Y62" s="222">
        <f>'Rates in summary'!J63</f>
        <v>0</v>
      </c>
      <c r="Z62" s="222">
        <f>'Rates in summary'!K63</f>
        <v>3.6299999999999992E-2</v>
      </c>
      <c r="AA62" s="1738">
        <f t="shared" si="7"/>
        <v>0.53171999999999997</v>
      </c>
      <c r="AB62" s="1198"/>
      <c r="AC62" s="929">
        <f>ROUND(R62*(HLOOKUP($C$61,'Rate Spread SETTLEMENT'!$E$101:$AA$106,6,FALSE)),5)</f>
        <v>5.0699999999999999E-3</v>
      </c>
      <c r="AD62" s="915">
        <f>'Allocation = % of Margin'!AM63</f>
        <v>-2.0000000000000001E-4</v>
      </c>
      <c r="AE62" s="915">
        <f>'Allocation = % of Margin'!AG63</f>
        <v>0</v>
      </c>
      <c r="AF62" s="915">
        <f>'Allocation = % of Margin'!AJ63</f>
        <v>-1.97E-3</v>
      </c>
      <c r="AG62" s="809">
        <f t="shared" si="8"/>
        <v>5.0699999999999999E-3</v>
      </c>
      <c r="AH62" s="809">
        <f t="shared" si="9"/>
        <v>-2.1700000000000001E-3</v>
      </c>
      <c r="AI62" s="1791">
        <f t="shared" si="10"/>
        <v>0.53461999999999998</v>
      </c>
      <c r="AJ62" s="929">
        <f>'Rates in summary'!R63</f>
        <v>0.12099000000000004</v>
      </c>
      <c r="AK62" s="915">
        <f>'Rates in summary'!S63</f>
        <v>0</v>
      </c>
      <c r="AL62" s="915">
        <f>'Rates in summary'!T63</f>
        <v>7.8149999999999997E-2</v>
      </c>
      <c r="AM62" s="1764">
        <f>'Rates in summary'!V63</f>
        <v>0</v>
      </c>
      <c r="AN62" s="1754">
        <f t="shared" si="11"/>
        <v>0.73375999999999997</v>
      </c>
      <c r="AO62" s="222"/>
      <c r="AP62" s="220"/>
      <c r="AQ62" s="221"/>
      <c r="AR62" s="224"/>
      <c r="AS62" s="222"/>
      <c r="AT62" s="224"/>
      <c r="AU62" s="223"/>
      <c r="AV62" s="222"/>
      <c r="AX62" s="1748">
        <f>AN62-'Rates in summary'!W63</f>
        <v>0</v>
      </c>
    </row>
    <row r="63" spans="1:50" x14ac:dyDescent="0.35">
      <c r="A63" s="132">
        <f t="shared" si="0"/>
        <v>57</v>
      </c>
      <c r="B63" s="132"/>
      <c r="C63" s="132"/>
      <c r="D63" s="1411" t="s">
        <v>6</v>
      </c>
      <c r="E63" s="225">
        <v>0.10011</v>
      </c>
      <c r="F63" s="222">
        <f t="shared" si="18"/>
        <v>0.26333000000000001</v>
      </c>
      <c r="G63" s="222"/>
      <c r="H63" s="222"/>
      <c r="I63" s="224">
        <v>5.1399999999999996E-3</v>
      </c>
      <c r="J63" s="223">
        <f t="shared" si="1"/>
        <v>0.36857999999999996</v>
      </c>
      <c r="K63" s="222"/>
      <c r="L63" s="222">
        <f>ROUND(E63*(HLOOKUP($C$61,'Rate Spread SETTLEMENT'!$E$73:$AA$78,6,FALSE)),5)</f>
        <v>1.026E-2</v>
      </c>
      <c r="M63" s="222"/>
      <c r="N63" s="226">
        <f t="shared" si="2"/>
        <v>0.10010999999999995</v>
      </c>
      <c r="O63" s="226">
        <f t="shared" si="3"/>
        <v>0.11036999999999995</v>
      </c>
      <c r="P63" s="222">
        <f>'Allocation = % of Margin'!AD64</f>
        <v>-1.74E-3</v>
      </c>
      <c r="Q63" s="916"/>
      <c r="R63" s="797">
        <f t="shared" si="15"/>
        <v>0.10862999999999995</v>
      </c>
      <c r="S63" s="1113">
        <f>'Allocation = % of Margin'!U64</f>
        <v>0</v>
      </c>
      <c r="T63" s="222">
        <f>'Allocation = % of Margin'!X64</f>
        <v>-1.56E-3</v>
      </c>
      <c r="U63" s="222">
        <f>'Allocation = % of Margin'!AA64</f>
        <v>5.5000000000000003E-4</v>
      </c>
      <c r="V63" s="809">
        <f t="shared" si="16"/>
        <v>-1.01E-3</v>
      </c>
      <c r="W63" s="810">
        <f t="shared" si="6"/>
        <v>0.37608999999999992</v>
      </c>
      <c r="X63" s="1113">
        <f>'Rates in summary'!I64</f>
        <v>8.5399999999999976E-2</v>
      </c>
      <c r="Y63" s="222">
        <f>'Rates in summary'!J64</f>
        <v>0</v>
      </c>
      <c r="Z63" s="222">
        <f>'Rates in summary'!K64</f>
        <v>3.6129999999999995E-2</v>
      </c>
      <c r="AA63" s="1738">
        <f t="shared" si="7"/>
        <v>0.4976199999999999</v>
      </c>
      <c r="AB63" s="1198"/>
      <c r="AC63" s="929">
        <f>ROUND(R63*(HLOOKUP($C$61,'Rate Spread SETTLEMENT'!$E$101:$AA$106,6,FALSE)),5)</f>
        <v>3.8899999999999998E-3</v>
      </c>
      <c r="AD63" s="915">
        <f>'Allocation = % of Margin'!AM64</f>
        <v>-1.4999999999999999E-4</v>
      </c>
      <c r="AE63" s="915">
        <f>'Allocation = % of Margin'!AG64</f>
        <v>0</v>
      </c>
      <c r="AF63" s="915">
        <f>'Allocation = % of Margin'!AJ64</f>
        <v>-1.5100000000000001E-3</v>
      </c>
      <c r="AG63" s="809">
        <f t="shared" si="8"/>
        <v>3.8899999999999998E-3</v>
      </c>
      <c r="AH63" s="809">
        <f t="shared" si="9"/>
        <v>-1.66E-3</v>
      </c>
      <c r="AI63" s="1791">
        <f t="shared" si="10"/>
        <v>0.49984999999999991</v>
      </c>
      <c r="AJ63" s="929">
        <f>'Rates in summary'!R64</f>
        <v>0.12099000000000004</v>
      </c>
      <c r="AK63" s="915">
        <f>'Rates in summary'!S64</f>
        <v>0</v>
      </c>
      <c r="AL63" s="915">
        <f>'Rates in summary'!T64</f>
        <v>7.8520000000000006E-2</v>
      </c>
      <c r="AM63" s="1764">
        <f>'Rates in summary'!V64</f>
        <v>0</v>
      </c>
      <c r="AN63" s="1754">
        <f t="shared" si="11"/>
        <v>0.69935999999999998</v>
      </c>
      <c r="AO63" s="222"/>
      <c r="AP63" s="220"/>
      <c r="AQ63" s="221"/>
      <c r="AR63" s="224"/>
      <c r="AS63" s="222"/>
      <c r="AT63" s="224"/>
      <c r="AU63" s="223"/>
      <c r="AV63" s="222"/>
      <c r="AX63" s="1748">
        <f>AN63-'Rates in summary'!W64</f>
        <v>0</v>
      </c>
    </row>
    <row r="64" spans="1:50" x14ac:dyDescent="0.35">
      <c r="A64" s="132">
        <f t="shared" si="0"/>
        <v>58</v>
      </c>
      <c r="B64" s="132"/>
      <c r="C64" s="132"/>
      <c r="D64" s="1411" t="s">
        <v>7</v>
      </c>
      <c r="E64" s="225">
        <v>8.0089999999999995E-2</v>
      </c>
      <c r="F64" s="222">
        <f t="shared" si="18"/>
        <v>0.26333000000000001</v>
      </c>
      <c r="G64" s="222"/>
      <c r="H64" s="222"/>
      <c r="I64" s="224">
        <v>4.3499999999999997E-3</v>
      </c>
      <c r="J64" s="223">
        <f t="shared" si="1"/>
        <v>0.34777000000000002</v>
      </c>
      <c r="K64" s="222"/>
      <c r="L64" s="222">
        <f>ROUND(E64*(HLOOKUP($C$61,'Rate Spread SETTLEMENT'!$E$73:$AA$78,6,FALSE)),5)</f>
        <v>8.2100000000000003E-3</v>
      </c>
      <c r="M64" s="222"/>
      <c r="N64" s="226">
        <f t="shared" si="2"/>
        <v>8.0090000000000022E-2</v>
      </c>
      <c r="O64" s="226">
        <f t="shared" si="3"/>
        <v>8.8300000000000017E-2</v>
      </c>
      <c r="P64" s="222">
        <f>'Allocation = % of Margin'!AD65</f>
        <v>-1.39E-3</v>
      </c>
      <c r="Q64" s="916"/>
      <c r="R64" s="797">
        <f t="shared" si="15"/>
        <v>8.6910000000000015E-2</v>
      </c>
      <c r="S64" s="1113">
        <f>'Allocation = % of Margin'!U65</f>
        <v>0</v>
      </c>
      <c r="T64" s="222">
        <f>'Allocation = % of Margin'!X65</f>
        <v>-1.25E-3</v>
      </c>
      <c r="U64" s="222">
        <f>'Allocation = % of Margin'!AA65</f>
        <v>4.4000000000000002E-4</v>
      </c>
      <c r="V64" s="809">
        <f t="shared" si="16"/>
        <v>-8.0999999999999996E-4</v>
      </c>
      <c r="W64" s="810">
        <f t="shared" si="6"/>
        <v>0.35378000000000004</v>
      </c>
      <c r="X64" s="1113">
        <f>'Rates in summary'!I65</f>
        <v>8.5399999999999976E-2</v>
      </c>
      <c r="Y64" s="222">
        <f>'Rates in summary'!J65</f>
        <v>0</v>
      </c>
      <c r="Z64" s="222">
        <f>'Rates in summary'!K65</f>
        <v>3.6019999999999996E-2</v>
      </c>
      <c r="AA64" s="1738">
        <f t="shared" si="7"/>
        <v>0.47520000000000001</v>
      </c>
      <c r="AB64" s="1198"/>
      <c r="AC64" s="929">
        <f>ROUND(R64*(HLOOKUP($C$61,'Rate Spread SETTLEMENT'!$E$101:$AA$106,6,FALSE)),5)</f>
        <v>3.1099999999999999E-3</v>
      </c>
      <c r="AD64" s="915">
        <f>'Allocation = % of Margin'!AM65</f>
        <v>-1.2E-4</v>
      </c>
      <c r="AE64" s="915">
        <f>'Allocation = % of Margin'!AG65</f>
        <v>0</v>
      </c>
      <c r="AF64" s="915">
        <f>'Allocation = % of Margin'!AJ65</f>
        <v>-1.2099999999999999E-3</v>
      </c>
      <c r="AG64" s="809">
        <f t="shared" si="8"/>
        <v>3.1099999999999999E-3</v>
      </c>
      <c r="AH64" s="809">
        <f t="shared" si="9"/>
        <v>-1.33E-3</v>
      </c>
      <c r="AI64" s="1791">
        <f t="shared" si="10"/>
        <v>0.47698000000000002</v>
      </c>
      <c r="AJ64" s="929">
        <f>'Rates in summary'!R65</f>
        <v>0.12099000000000004</v>
      </c>
      <c r="AK64" s="915">
        <f>'Rates in summary'!S65</f>
        <v>0</v>
      </c>
      <c r="AL64" s="915">
        <f>'Rates in summary'!T65</f>
        <v>7.8739999999999991E-2</v>
      </c>
      <c r="AM64" s="1764">
        <f>'Rates in summary'!V65</f>
        <v>0</v>
      </c>
      <c r="AN64" s="1754">
        <f t="shared" si="11"/>
        <v>0.67671000000000003</v>
      </c>
      <c r="AO64" s="222"/>
      <c r="AP64" s="220"/>
      <c r="AQ64" s="221"/>
      <c r="AR64" s="224"/>
      <c r="AS64" s="222"/>
      <c r="AT64" s="224"/>
      <c r="AU64" s="223"/>
      <c r="AV64" s="222"/>
      <c r="AX64" s="1748">
        <f>AN64-'Rates in summary'!W65</f>
        <v>0</v>
      </c>
    </row>
    <row r="65" spans="1:50" x14ac:dyDescent="0.35">
      <c r="A65" s="132">
        <f t="shared" si="0"/>
        <v>59</v>
      </c>
      <c r="B65" s="132"/>
      <c r="C65" s="132"/>
      <c r="D65" s="1411" t="s">
        <v>8</v>
      </c>
      <c r="E65" s="225">
        <v>5.339E-2</v>
      </c>
      <c r="F65" s="222">
        <f t="shared" si="18"/>
        <v>0.26333000000000001</v>
      </c>
      <c r="G65" s="222"/>
      <c r="H65" s="222"/>
      <c r="I65" s="224">
        <v>3.2999999999999995E-3</v>
      </c>
      <c r="J65" s="223">
        <f t="shared" si="1"/>
        <v>0.32002000000000003</v>
      </c>
      <c r="K65" s="222"/>
      <c r="L65" s="222">
        <f>ROUND(E65*(HLOOKUP($C$61,'Rate Spread SETTLEMENT'!$E$73:$AA$78,6,FALSE)),5)</f>
        <v>5.47E-3</v>
      </c>
      <c r="M65" s="222"/>
      <c r="N65" s="226">
        <f t="shared" si="2"/>
        <v>5.3390000000000021E-2</v>
      </c>
      <c r="O65" s="226">
        <f t="shared" si="3"/>
        <v>5.8860000000000023E-2</v>
      </c>
      <c r="P65" s="222">
        <f>'Allocation = % of Margin'!AD66</f>
        <v>-9.3000000000000005E-4</v>
      </c>
      <c r="Q65" s="916"/>
      <c r="R65" s="797">
        <f t="shared" si="15"/>
        <v>5.7930000000000023E-2</v>
      </c>
      <c r="S65" s="1113">
        <f>'Allocation = % of Margin'!U66</f>
        <v>0</v>
      </c>
      <c r="T65" s="222">
        <f>'Allocation = % of Margin'!X66</f>
        <v>-8.3000000000000001E-4</v>
      </c>
      <c r="U65" s="222">
        <f>'Allocation = % of Margin'!AA66</f>
        <v>2.9E-4</v>
      </c>
      <c r="V65" s="809">
        <f t="shared" si="16"/>
        <v>-5.4000000000000001E-4</v>
      </c>
      <c r="W65" s="810">
        <f t="shared" si="6"/>
        <v>0.32402000000000009</v>
      </c>
      <c r="X65" s="1113">
        <f>'Rates in summary'!I66</f>
        <v>8.5399999999999976E-2</v>
      </c>
      <c r="Y65" s="222">
        <f>'Rates in summary'!J66</f>
        <v>0</v>
      </c>
      <c r="Z65" s="222">
        <f>'Rates in summary'!K66</f>
        <v>3.5859999999999996E-2</v>
      </c>
      <c r="AA65" s="1738">
        <f t="shared" si="7"/>
        <v>0.44528000000000006</v>
      </c>
      <c r="AB65" s="1198"/>
      <c r="AC65" s="929">
        <f>ROUND(R65*(HLOOKUP($C$61,'Rate Spread SETTLEMENT'!$E$101:$AA$106,6,FALSE)),5)</f>
        <v>2.0699999999999998E-3</v>
      </c>
      <c r="AD65" s="915">
        <f>'Allocation = % of Margin'!AM66</f>
        <v>-8.0000000000000007E-5</v>
      </c>
      <c r="AE65" s="915">
        <f>'Allocation = % of Margin'!AG66</f>
        <v>0</v>
      </c>
      <c r="AF65" s="915">
        <f>'Allocation = % of Margin'!AJ66</f>
        <v>-8.0999999999999996E-4</v>
      </c>
      <c r="AG65" s="809">
        <f t="shared" si="8"/>
        <v>2.0699999999999998E-3</v>
      </c>
      <c r="AH65" s="809">
        <f t="shared" si="9"/>
        <v>-8.8999999999999995E-4</v>
      </c>
      <c r="AI65" s="1791">
        <f t="shared" si="10"/>
        <v>0.44646000000000008</v>
      </c>
      <c r="AJ65" s="929">
        <f>'Rates in summary'!R66</f>
        <v>0.12099000000000004</v>
      </c>
      <c r="AK65" s="915">
        <f>'Rates in summary'!S66</f>
        <v>0</v>
      </c>
      <c r="AL65" s="915">
        <f>'Rates in summary'!T66</f>
        <v>7.9070000000000001E-2</v>
      </c>
      <c r="AM65" s="1764">
        <f>'Rates in summary'!V66</f>
        <v>0</v>
      </c>
      <c r="AN65" s="1754">
        <f t="shared" si="11"/>
        <v>0.64652000000000009</v>
      </c>
      <c r="AO65" s="222"/>
      <c r="AP65" s="220"/>
      <c r="AQ65" s="221"/>
      <c r="AR65" s="224"/>
      <c r="AS65" s="222"/>
      <c r="AT65" s="224"/>
      <c r="AU65" s="223"/>
      <c r="AV65" s="222"/>
      <c r="AX65" s="1748">
        <f>AN65-'Rates in summary'!W66</f>
        <v>0</v>
      </c>
    </row>
    <row r="66" spans="1:50" x14ac:dyDescent="0.35">
      <c r="A66" s="132">
        <f t="shared" si="0"/>
        <v>60</v>
      </c>
      <c r="B66" s="1410"/>
      <c r="C66" s="1410"/>
      <c r="D66" s="1413" t="s">
        <v>9</v>
      </c>
      <c r="E66" s="214">
        <v>2.002E-2</v>
      </c>
      <c r="F66" s="216">
        <f t="shared" si="18"/>
        <v>0.26333000000000001</v>
      </c>
      <c r="G66" s="216"/>
      <c r="H66" s="216"/>
      <c r="I66" s="215">
        <v>1.9499999999999995E-3</v>
      </c>
      <c r="J66" s="217">
        <f t="shared" si="1"/>
        <v>0.2853</v>
      </c>
      <c r="K66" s="222"/>
      <c r="L66" s="216">
        <f>ROUND(E66*(HLOOKUP($C$61,'Rate Spread SETTLEMENT'!$E$73:$AA$78,6,FALSE)),5)</f>
        <v>2.0500000000000002E-3</v>
      </c>
      <c r="M66" s="222"/>
      <c r="N66" s="219">
        <f t="shared" si="2"/>
        <v>2.0019999999999989E-2</v>
      </c>
      <c r="O66" s="219">
        <f t="shared" si="3"/>
        <v>2.2069999999999989E-2</v>
      </c>
      <c r="P66" s="216">
        <f>'Allocation = % of Margin'!AD67</f>
        <v>-3.5E-4</v>
      </c>
      <c r="Q66" s="914"/>
      <c r="R66" s="796">
        <f t="shared" si="15"/>
        <v>2.1719999999999989E-2</v>
      </c>
      <c r="S66" s="1112">
        <f>'Allocation = % of Margin'!U67</f>
        <v>0</v>
      </c>
      <c r="T66" s="216">
        <f>'Allocation = % of Margin'!X67</f>
        <v>-3.1E-4</v>
      </c>
      <c r="U66" s="216">
        <f>'Allocation = % of Margin'!AA67</f>
        <v>1.1E-4</v>
      </c>
      <c r="V66" s="808">
        <f t="shared" si="16"/>
        <v>-1.9999999999999998E-4</v>
      </c>
      <c r="W66" s="807">
        <f t="shared" si="6"/>
        <v>0.2868</v>
      </c>
      <c r="X66" s="1112">
        <f>'Rates in summary'!I67</f>
        <v>8.5399999999999976E-2</v>
      </c>
      <c r="Y66" s="216">
        <f>'Rates in summary'!J67</f>
        <v>0</v>
      </c>
      <c r="Z66" s="216">
        <f>'Rates in summary'!K67</f>
        <v>3.5699999999999996E-2</v>
      </c>
      <c r="AA66" s="1737">
        <f t="shared" si="7"/>
        <v>0.40789999999999998</v>
      </c>
      <c r="AB66" s="1198"/>
      <c r="AC66" s="929">
        <f>ROUND(R66*(HLOOKUP($C$61,'Rate Spread SETTLEMENT'!$E$101:$AA$106,6,FALSE)),5)</f>
        <v>7.7999999999999999E-4</v>
      </c>
      <c r="AD66" s="913">
        <f>'Allocation = % of Margin'!AM67</f>
        <v>-3.0000000000000001E-5</v>
      </c>
      <c r="AE66" s="915">
        <f>'Allocation = % of Margin'!AG67</f>
        <v>0</v>
      </c>
      <c r="AF66" s="913">
        <f>'Allocation = % of Margin'!AJ67</f>
        <v>-2.9999999999999997E-4</v>
      </c>
      <c r="AG66" s="808">
        <f t="shared" si="8"/>
        <v>7.7999999999999999E-4</v>
      </c>
      <c r="AH66" s="808">
        <f t="shared" si="9"/>
        <v>-3.3E-4</v>
      </c>
      <c r="AI66" s="1790">
        <f t="shared" si="10"/>
        <v>0.40834999999999999</v>
      </c>
      <c r="AJ66" s="929">
        <f>'Rates in summary'!R67</f>
        <v>0.12099000000000004</v>
      </c>
      <c r="AK66" s="913">
        <f>'Rates in summary'!S67</f>
        <v>0</v>
      </c>
      <c r="AL66" s="915">
        <f>'Rates in summary'!T67</f>
        <v>7.9449999999999993E-2</v>
      </c>
      <c r="AM66" s="1763">
        <f>'Rates in summary'!V67</f>
        <v>0</v>
      </c>
      <c r="AN66" s="1753">
        <f t="shared" si="11"/>
        <v>0.60879000000000005</v>
      </c>
      <c r="AO66" s="222"/>
      <c r="AP66" s="771"/>
      <c r="AQ66" s="131"/>
      <c r="AR66" s="224"/>
      <c r="AS66" s="222"/>
      <c r="AT66" s="224"/>
      <c r="AU66" s="223"/>
      <c r="AV66" s="222"/>
      <c r="AX66" s="1748">
        <f>AN66-'Rates in summary'!W67</f>
        <v>0</v>
      </c>
    </row>
    <row r="67" spans="1:50" x14ac:dyDescent="0.35">
      <c r="A67" s="132">
        <f t="shared" si="0"/>
        <v>61</v>
      </c>
      <c r="B67" s="132" t="s">
        <v>320</v>
      </c>
      <c r="C67" s="132" t="s">
        <v>353</v>
      </c>
      <c r="D67" s="1411" t="s">
        <v>4</v>
      </c>
      <c r="E67" s="225">
        <v>0.13402999999999998</v>
      </c>
      <c r="F67" s="222">
        <v>0</v>
      </c>
      <c r="G67" s="222"/>
      <c r="H67" s="222"/>
      <c r="I67" s="224">
        <v>5.6999999999999998E-4</v>
      </c>
      <c r="J67" s="223">
        <f t="shared" ref="J67:J72" si="19">SUM(E67:I67)</f>
        <v>0.13459999999999997</v>
      </c>
      <c r="K67" s="222"/>
      <c r="L67" s="222">
        <f>ROUND(E67*(HLOOKUP($C$67,'Rate Spread SETTLEMENT'!$E$73:$AA$78,6,FALSE)),5)</f>
        <v>6.1399999999999996E-3</v>
      </c>
      <c r="M67" s="222"/>
      <c r="N67" s="226">
        <f t="shared" si="2"/>
        <v>0.13402999999999998</v>
      </c>
      <c r="O67" s="226">
        <f t="shared" si="3"/>
        <v>0.14016999999999999</v>
      </c>
      <c r="P67" s="222">
        <f>'Allocation = % of Margin'!AD68</f>
        <v>-1.2600000000000001E-3</v>
      </c>
      <c r="Q67" s="916"/>
      <c r="R67" s="797">
        <f t="shared" si="15"/>
        <v>0.13890999999999998</v>
      </c>
      <c r="S67" s="1113">
        <f>'Allocation = % of Margin'!U68</f>
        <v>0</v>
      </c>
      <c r="T67" s="222">
        <f>'Allocation = % of Margin'!X68</f>
        <v>-1.1199999999999999E-3</v>
      </c>
      <c r="U67" s="222">
        <f>'Allocation = % of Margin'!AA68</f>
        <v>5.1000000000000004E-4</v>
      </c>
      <c r="V67" s="809">
        <f t="shared" si="16"/>
        <v>-6.0999999999999987E-4</v>
      </c>
      <c r="W67" s="810">
        <f t="shared" si="6"/>
        <v>0.13886999999999997</v>
      </c>
      <c r="X67" s="1113">
        <f>'Rates in summary'!I68</f>
        <v>0</v>
      </c>
      <c r="Y67" s="222">
        <f>'Rates in summary'!J68</f>
        <v>0</v>
      </c>
      <c r="Z67" s="222">
        <f>'Rates in summary'!K68</f>
        <v>1.0300000000000001E-3</v>
      </c>
      <c r="AA67" s="1738">
        <f t="shared" si="7"/>
        <v>0.13989999999999997</v>
      </c>
      <c r="AB67" s="1198"/>
      <c r="AC67" s="936">
        <f>ROUND(R67*(HLOOKUP($C$67,'Rate Spread SETTLEMENT'!$E$101:$AA$106,6,FALSE)),5)</f>
        <v>2.7799999999999999E-3</v>
      </c>
      <c r="AD67" s="915">
        <f>'Allocation = % of Margin'!AM68</f>
        <v>-1.1E-4</v>
      </c>
      <c r="AE67" s="1485">
        <f>'Allocation = % of Margin'!AG68</f>
        <v>0</v>
      </c>
      <c r="AF67" s="915">
        <f>'Allocation = % of Margin'!AJ68</f>
        <v>-1.08E-3</v>
      </c>
      <c r="AG67" s="809">
        <f t="shared" si="8"/>
        <v>2.7799999999999999E-3</v>
      </c>
      <c r="AH67" s="809">
        <f t="shared" si="9"/>
        <v>-1.1900000000000001E-3</v>
      </c>
      <c r="AI67" s="1791">
        <f t="shared" si="10"/>
        <v>0.14148999999999998</v>
      </c>
      <c r="AJ67" s="936">
        <f>'Rates in summary'!R68</f>
        <v>0</v>
      </c>
      <c r="AK67" s="915">
        <f>'Rates in summary'!S68</f>
        <v>0</v>
      </c>
      <c r="AL67" s="1485">
        <f>'Rates in summary'!T68</f>
        <v>1.4599999999999997E-3</v>
      </c>
      <c r="AM67" s="1764">
        <f>'Rates in summary'!V68</f>
        <v>0</v>
      </c>
      <c r="AN67" s="1754">
        <f t="shared" si="11"/>
        <v>0.14294999999999997</v>
      </c>
      <c r="AO67" s="222"/>
      <c r="AP67" s="220">
        <f>'WA Volumes &amp; Revenues'!O69</f>
        <v>1550</v>
      </c>
      <c r="AQ67" s="221">
        <f>'WA Volumes &amp; Revenues'!N69</f>
        <v>1550</v>
      </c>
      <c r="AR67" s="224"/>
      <c r="AS67" s="222"/>
      <c r="AT67" s="224"/>
      <c r="AU67" s="223"/>
      <c r="AV67" s="222"/>
      <c r="AX67" s="1748">
        <f>AN67-'Rates in summary'!W68</f>
        <v>0</v>
      </c>
    </row>
    <row r="68" spans="1:50" x14ac:dyDescent="0.35">
      <c r="A68" s="132">
        <f t="shared" si="0"/>
        <v>62</v>
      </c>
      <c r="B68" s="132"/>
      <c r="C68" s="132"/>
      <c r="D68" s="1411" t="s">
        <v>5</v>
      </c>
      <c r="E68" s="225">
        <v>0.11997999999999999</v>
      </c>
      <c r="F68" s="222">
        <v>0</v>
      </c>
      <c r="G68" s="222"/>
      <c r="H68" s="222"/>
      <c r="I68" s="224">
        <v>5.1000000000000004E-4</v>
      </c>
      <c r="J68" s="223">
        <f t="shared" si="19"/>
        <v>0.12048999999999999</v>
      </c>
      <c r="K68" s="222"/>
      <c r="L68" s="222">
        <f>ROUND(E68*(HLOOKUP($C$67,'Rate Spread SETTLEMENT'!$E$73:$AA$78,6,FALSE)),5)</f>
        <v>5.4999999999999997E-3</v>
      </c>
      <c r="M68" s="222"/>
      <c r="N68" s="226">
        <f t="shared" si="2"/>
        <v>0.11997999999999999</v>
      </c>
      <c r="O68" s="226">
        <f t="shared" si="3"/>
        <v>0.12547999999999998</v>
      </c>
      <c r="P68" s="222">
        <f>'Allocation = % of Margin'!AD69</f>
        <v>-1.1199999999999999E-3</v>
      </c>
      <c r="Q68" s="916"/>
      <c r="R68" s="797">
        <f t="shared" si="15"/>
        <v>0.12435999999999998</v>
      </c>
      <c r="S68" s="1113">
        <f>'Allocation = % of Margin'!U69</f>
        <v>0</v>
      </c>
      <c r="T68" s="222">
        <f>'Allocation = % of Margin'!X69</f>
        <v>-1E-3</v>
      </c>
      <c r="U68" s="222">
        <f>'Allocation = % of Margin'!AA69</f>
        <v>4.4999999999999999E-4</v>
      </c>
      <c r="V68" s="809">
        <f t="shared" si="16"/>
        <v>-5.5000000000000003E-4</v>
      </c>
      <c r="W68" s="810">
        <f t="shared" si="6"/>
        <v>0.12431999999999999</v>
      </c>
      <c r="X68" s="1113">
        <f>'Rates in summary'!I69</f>
        <v>0</v>
      </c>
      <c r="Y68" s="222">
        <f>'Rates in summary'!J69</f>
        <v>0</v>
      </c>
      <c r="Z68" s="222">
        <f>'Rates in summary'!K69</f>
        <v>9.2000000000000003E-4</v>
      </c>
      <c r="AA68" s="1738">
        <f t="shared" si="7"/>
        <v>0.12523999999999999</v>
      </c>
      <c r="AB68" s="1198"/>
      <c r="AC68" s="929">
        <f>ROUND(R68*(HLOOKUP($C$67,'Rate Spread SETTLEMENT'!$E$101:$AA$106,6,FALSE)),5)</f>
        <v>2.49E-3</v>
      </c>
      <c r="AD68" s="915">
        <f>'Allocation = % of Margin'!AM69</f>
        <v>-1E-4</v>
      </c>
      <c r="AE68" s="915">
        <f>'Allocation = % of Margin'!AG69</f>
        <v>0</v>
      </c>
      <c r="AF68" s="915">
        <f>'Allocation = % of Margin'!AJ69</f>
        <v>-9.7000000000000005E-4</v>
      </c>
      <c r="AG68" s="809">
        <f t="shared" si="8"/>
        <v>2.49E-3</v>
      </c>
      <c r="AH68" s="809">
        <f t="shared" si="9"/>
        <v>-1.07E-3</v>
      </c>
      <c r="AI68" s="1791">
        <f t="shared" si="10"/>
        <v>0.12665999999999999</v>
      </c>
      <c r="AJ68" s="929">
        <f>'Rates in summary'!R69</f>
        <v>0</v>
      </c>
      <c r="AK68" s="915">
        <f>'Rates in summary'!S69</f>
        <v>0</v>
      </c>
      <c r="AL68" s="915">
        <f>'Rates in summary'!T69</f>
        <v>1.31E-3</v>
      </c>
      <c r="AM68" s="1764">
        <f>'Rates in summary'!V69</f>
        <v>0</v>
      </c>
      <c r="AN68" s="1754">
        <f t="shared" si="11"/>
        <v>0.12797</v>
      </c>
      <c r="AO68" s="222"/>
      <c r="AP68" s="220"/>
      <c r="AQ68" s="221"/>
      <c r="AR68" s="224"/>
      <c r="AS68" s="222"/>
      <c r="AT68" s="224"/>
      <c r="AU68" s="223"/>
      <c r="AV68" s="222"/>
      <c r="AX68" s="1748">
        <f>AN68-'Rates in summary'!W69</f>
        <v>0</v>
      </c>
    </row>
    <row r="69" spans="1:50" x14ac:dyDescent="0.35">
      <c r="A69" s="132">
        <f t="shared" si="0"/>
        <v>63</v>
      </c>
      <c r="B69" s="132"/>
      <c r="C69" s="132"/>
      <c r="D69" s="1411" t="s">
        <v>6</v>
      </c>
      <c r="E69" s="225">
        <v>9.1999999999999998E-2</v>
      </c>
      <c r="F69" s="222">
        <v>0</v>
      </c>
      <c r="G69" s="222"/>
      <c r="H69" s="222"/>
      <c r="I69" s="224">
        <v>3.7999999999999997E-4</v>
      </c>
      <c r="J69" s="223">
        <f t="shared" si="19"/>
        <v>9.2380000000000004E-2</v>
      </c>
      <c r="K69" s="222"/>
      <c r="L69" s="222">
        <f>ROUND(E69*(HLOOKUP($C$67,'Rate Spread SETTLEMENT'!$E$73:$AA$78,6,FALSE)),5)</f>
        <v>4.2199999999999998E-3</v>
      </c>
      <c r="M69" s="222"/>
      <c r="N69" s="226">
        <f t="shared" si="2"/>
        <v>9.1999999999999998E-2</v>
      </c>
      <c r="O69" s="226">
        <f t="shared" si="3"/>
        <v>9.622E-2</v>
      </c>
      <c r="P69" s="222">
        <f>'Allocation = % of Margin'!AD70</f>
        <v>-8.5999999999999998E-4</v>
      </c>
      <c r="Q69" s="916"/>
      <c r="R69" s="797">
        <f t="shared" si="15"/>
        <v>9.536E-2</v>
      </c>
      <c r="S69" s="1113">
        <f>'Allocation = % of Margin'!U70</f>
        <v>0</v>
      </c>
      <c r="T69" s="222">
        <f>'Allocation = % of Margin'!X70</f>
        <v>-7.6999999999999996E-4</v>
      </c>
      <c r="U69" s="222">
        <f>'Allocation = % of Margin'!AA70</f>
        <v>3.5E-4</v>
      </c>
      <c r="V69" s="809">
        <f t="shared" si="16"/>
        <v>-4.1999999999999996E-4</v>
      </c>
      <c r="W69" s="810">
        <f t="shared" si="6"/>
        <v>9.5320000000000002E-2</v>
      </c>
      <c r="X69" s="1113">
        <f>'Rates in summary'!I70</f>
        <v>0</v>
      </c>
      <c r="Y69" s="222">
        <f>'Rates in summary'!J70</f>
        <v>0</v>
      </c>
      <c r="Z69" s="222">
        <f>'Rates in summary'!K70</f>
        <v>7.2000000000000015E-4</v>
      </c>
      <c r="AA69" s="1738">
        <f t="shared" si="7"/>
        <v>9.604E-2</v>
      </c>
      <c r="AB69" s="1198"/>
      <c r="AC69" s="929">
        <f>ROUND(R69*(HLOOKUP($C$67,'Rate Spread SETTLEMENT'!$E$101:$AA$106,6,FALSE)),5)</f>
        <v>1.91E-3</v>
      </c>
      <c r="AD69" s="915">
        <f>'Allocation = % of Margin'!AM70</f>
        <v>-8.0000000000000007E-5</v>
      </c>
      <c r="AE69" s="915">
        <f>'Allocation = % of Margin'!AG70</f>
        <v>0</v>
      </c>
      <c r="AF69" s="915">
        <f>'Allocation = % of Margin'!AJ70</f>
        <v>-7.3999999999999999E-4</v>
      </c>
      <c r="AG69" s="809">
        <f t="shared" si="8"/>
        <v>1.91E-3</v>
      </c>
      <c r="AH69" s="809">
        <f t="shared" si="9"/>
        <v>-8.1999999999999998E-4</v>
      </c>
      <c r="AI69" s="1791">
        <f t="shared" si="10"/>
        <v>9.7129999999999994E-2</v>
      </c>
      <c r="AJ69" s="929">
        <f>'Rates in summary'!R70</f>
        <v>0</v>
      </c>
      <c r="AK69" s="915">
        <f>'Rates in summary'!S70</f>
        <v>0</v>
      </c>
      <c r="AL69" s="915">
        <f>'Rates in summary'!T70</f>
        <v>1E-3</v>
      </c>
      <c r="AM69" s="1764">
        <f>'Rates in summary'!V70</f>
        <v>0</v>
      </c>
      <c r="AN69" s="1754">
        <f t="shared" si="11"/>
        <v>9.8129999999999995E-2</v>
      </c>
      <c r="AO69" s="222"/>
      <c r="AP69" s="220"/>
      <c r="AQ69" s="221"/>
      <c r="AR69" s="224"/>
      <c r="AS69" s="222"/>
      <c r="AT69" s="224"/>
      <c r="AU69" s="223"/>
      <c r="AV69" s="222"/>
      <c r="AX69" s="1748">
        <f>AN69-'Rates in summary'!W70</f>
        <v>0</v>
      </c>
    </row>
    <row r="70" spans="1:50" x14ac:dyDescent="0.35">
      <c r="A70" s="132">
        <f t="shared" si="0"/>
        <v>64</v>
      </c>
      <c r="B70" s="132"/>
      <c r="C70" s="132"/>
      <c r="D70" s="1411" t="s">
        <v>7</v>
      </c>
      <c r="E70" s="225">
        <v>7.3609999999999995E-2</v>
      </c>
      <c r="F70" s="222">
        <v>0</v>
      </c>
      <c r="G70" s="222"/>
      <c r="H70" s="222"/>
      <c r="I70" s="224">
        <v>3.0999999999999995E-4</v>
      </c>
      <c r="J70" s="223">
        <f t="shared" si="19"/>
        <v>7.392E-2</v>
      </c>
      <c r="K70" s="222"/>
      <c r="L70" s="222">
        <f>ROUND(E70*(HLOOKUP($C$67,'Rate Spread SETTLEMENT'!$E$73:$AA$78,6,FALSE)),5)</f>
        <v>3.3700000000000002E-3</v>
      </c>
      <c r="M70" s="222"/>
      <c r="N70" s="226">
        <f t="shared" si="2"/>
        <v>7.3609999999999995E-2</v>
      </c>
      <c r="O70" s="226">
        <f t="shared" si="3"/>
        <v>7.6979999999999993E-2</v>
      </c>
      <c r="P70" s="222">
        <f>'Allocation = % of Margin'!AD71</f>
        <v>-6.8999999999999997E-4</v>
      </c>
      <c r="Q70" s="916"/>
      <c r="R70" s="797">
        <f t="shared" si="15"/>
        <v>7.6289999999999997E-2</v>
      </c>
      <c r="S70" s="1113">
        <f>'Allocation = % of Margin'!U71</f>
        <v>0</v>
      </c>
      <c r="T70" s="222">
        <f>'Allocation = % of Margin'!X71</f>
        <v>-6.0999999999999997E-4</v>
      </c>
      <c r="U70" s="222">
        <f>'Allocation = % of Margin'!AA71</f>
        <v>2.7999999999999998E-4</v>
      </c>
      <c r="V70" s="809">
        <f t="shared" si="16"/>
        <v>-3.3E-4</v>
      </c>
      <c r="W70" s="810">
        <f t="shared" si="6"/>
        <v>7.6270000000000004E-2</v>
      </c>
      <c r="X70" s="1113">
        <f>'Rates in summary'!I71</f>
        <v>0</v>
      </c>
      <c r="Y70" s="222">
        <f>'Rates in summary'!J71</f>
        <v>0</v>
      </c>
      <c r="Z70" s="222">
        <f>'Rates in summary'!K71</f>
        <v>5.7000000000000009E-4</v>
      </c>
      <c r="AA70" s="1738">
        <f t="shared" si="7"/>
        <v>7.6840000000000006E-2</v>
      </c>
      <c r="AB70" s="1198"/>
      <c r="AC70" s="929">
        <f>ROUND(R70*(HLOOKUP($C$67,'Rate Spread SETTLEMENT'!$E$101:$AA$106,6,FALSE)),5)</f>
        <v>1.5299999999999999E-3</v>
      </c>
      <c r="AD70" s="915">
        <f>'Allocation = % of Margin'!AM71</f>
        <v>-6.0000000000000002E-5</v>
      </c>
      <c r="AE70" s="915">
        <f>'Allocation = % of Margin'!AG71</f>
        <v>0</v>
      </c>
      <c r="AF70" s="915">
        <f>'Allocation = % of Margin'!AJ71</f>
        <v>-5.9000000000000003E-4</v>
      </c>
      <c r="AG70" s="809">
        <f t="shared" si="8"/>
        <v>1.5299999999999999E-3</v>
      </c>
      <c r="AH70" s="809">
        <f t="shared" si="9"/>
        <v>-6.5000000000000008E-4</v>
      </c>
      <c r="AI70" s="1791">
        <f t="shared" si="10"/>
        <v>7.7720000000000011E-2</v>
      </c>
      <c r="AJ70" s="929">
        <f>'Rates in summary'!R71</f>
        <v>0</v>
      </c>
      <c r="AK70" s="915">
        <f>'Rates in summary'!S71</f>
        <v>0</v>
      </c>
      <c r="AL70" s="915">
        <f>'Rates in summary'!T71</f>
        <v>7.9000000000000001E-4</v>
      </c>
      <c r="AM70" s="1764">
        <f>'Rates in summary'!V71</f>
        <v>0</v>
      </c>
      <c r="AN70" s="1754">
        <f t="shared" si="11"/>
        <v>7.851000000000001E-2</v>
      </c>
      <c r="AO70" s="222"/>
      <c r="AP70" s="220"/>
      <c r="AQ70" s="221"/>
      <c r="AR70" s="224"/>
      <c r="AS70" s="222"/>
      <c r="AT70" s="224"/>
      <c r="AU70" s="223"/>
      <c r="AV70" s="222"/>
      <c r="AX70" s="1748">
        <f>AN70-'Rates in summary'!W71</f>
        <v>0</v>
      </c>
    </row>
    <row r="71" spans="1:50" x14ac:dyDescent="0.35">
      <c r="A71" s="132">
        <f t="shared" si="0"/>
        <v>65</v>
      </c>
      <c r="B71" s="132"/>
      <c r="C71" s="132"/>
      <c r="D71" s="1411" t="s">
        <v>8</v>
      </c>
      <c r="E71" s="225">
        <v>4.9079999999999999E-2</v>
      </c>
      <c r="F71" s="222">
        <v>0</v>
      </c>
      <c r="G71" s="222"/>
      <c r="H71" s="222"/>
      <c r="I71" s="224">
        <v>2.0999999999999998E-4</v>
      </c>
      <c r="J71" s="223">
        <f t="shared" si="19"/>
        <v>4.929E-2</v>
      </c>
      <c r="K71" s="222"/>
      <c r="L71" s="222">
        <f>ROUND(E71*(HLOOKUP($C$67,'Rate Spread SETTLEMENT'!$E$73:$AA$78,6,FALSE)),5)</f>
        <v>2.2499999999999998E-3</v>
      </c>
      <c r="M71" s="222"/>
      <c r="N71" s="226">
        <f t="shared" si="2"/>
        <v>4.9079999999999999E-2</v>
      </c>
      <c r="O71" s="226">
        <f t="shared" si="3"/>
        <v>5.1330000000000001E-2</v>
      </c>
      <c r="P71" s="222">
        <f>'Allocation = % of Margin'!AD72</f>
        <v>-4.6000000000000001E-4</v>
      </c>
      <c r="Q71" s="916"/>
      <c r="R71" s="797">
        <f t="shared" si="15"/>
        <v>5.0869999999999999E-2</v>
      </c>
      <c r="S71" s="1113">
        <f>'Allocation = % of Margin'!U72</f>
        <v>0</v>
      </c>
      <c r="T71" s="222">
        <f>'Allocation = % of Margin'!X72</f>
        <v>-4.0999999999999999E-4</v>
      </c>
      <c r="U71" s="222">
        <f>'Allocation = % of Margin'!AA72</f>
        <v>1.9000000000000001E-4</v>
      </c>
      <c r="V71" s="809">
        <f t="shared" si="16"/>
        <v>-2.1999999999999998E-4</v>
      </c>
      <c r="W71" s="810">
        <f t="shared" si="6"/>
        <v>5.0860000000000002E-2</v>
      </c>
      <c r="X71" s="1113">
        <f>'Rates in summary'!I72</f>
        <v>0</v>
      </c>
      <c r="Y71" s="222">
        <f>'Rates in summary'!J72</f>
        <v>0</v>
      </c>
      <c r="Z71" s="222">
        <f>'Rates in summary'!K72</f>
        <v>3.8000000000000002E-4</v>
      </c>
      <c r="AA71" s="1738">
        <f t="shared" si="7"/>
        <v>5.1240000000000001E-2</v>
      </c>
      <c r="AB71" s="1198"/>
      <c r="AC71" s="929">
        <f>ROUND(R71*(HLOOKUP($C$67,'Rate Spread SETTLEMENT'!$E$101:$AA$106,6,FALSE)),5)</f>
        <v>1.0200000000000001E-3</v>
      </c>
      <c r="AD71" s="915">
        <f>'Allocation = % of Margin'!AM72</f>
        <v>-4.0000000000000003E-5</v>
      </c>
      <c r="AE71" s="915">
        <f>'Allocation = % of Margin'!AG72</f>
        <v>0</v>
      </c>
      <c r="AF71" s="915">
        <f>'Allocation = % of Margin'!AJ72</f>
        <v>-4.0000000000000002E-4</v>
      </c>
      <c r="AG71" s="809">
        <f t="shared" si="8"/>
        <v>1.0200000000000001E-3</v>
      </c>
      <c r="AH71" s="809">
        <f t="shared" si="9"/>
        <v>-4.4000000000000002E-4</v>
      </c>
      <c r="AI71" s="1791">
        <f t="shared" si="10"/>
        <v>5.1819999999999998E-2</v>
      </c>
      <c r="AJ71" s="929">
        <f>'Rates in summary'!R72</f>
        <v>0</v>
      </c>
      <c r="AK71" s="915">
        <f>'Rates in summary'!S72</f>
        <v>0</v>
      </c>
      <c r="AL71" s="915">
        <f>'Rates in summary'!T72</f>
        <v>5.2999999999999987E-4</v>
      </c>
      <c r="AM71" s="1764">
        <f>'Rates in summary'!V72</f>
        <v>0</v>
      </c>
      <c r="AN71" s="1754">
        <f t="shared" si="11"/>
        <v>5.2350000000000001E-2</v>
      </c>
      <c r="AO71" s="222"/>
      <c r="AP71" s="220"/>
      <c r="AQ71" s="221"/>
      <c r="AR71" s="224"/>
      <c r="AS71" s="222"/>
      <c r="AT71" s="224"/>
      <c r="AU71" s="223"/>
      <c r="AV71" s="222"/>
      <c r="AX71" s="1748">
        <f>AN71-'Rates in summary'!W72</f>
        <v>0</v>
      </c>
    </row>
    <row r="72" spans="1:50" x14ac:dyDescent="0.35">
      <c r="A72" s="132">
        <f t="shared" si="0"/>
        <v>66</v>
      </c>
      <c r="B72" s="1410"/>
      <c r="C72" s="1410"/>
      <c r="D72" s="1413" t="s">
        <v>9</v>
      </c>
      <c r="E72" s="214">
        <v>1.839E-2</v>
      </c>
      <c r="F72" s="216">
        <v>0</v>
      </c>
      <c r="G72" s="216"/>
      <c r="H72" s="216"/>
      <c r="I72" s="215">
        <v>6.9999999999999994E-5</v>
      </c>
      <c r="J72" s="217">
        <f t="shared" si="19"/>
        <v>1.8460000000000001E-2</v>
      </c>
      <c r="K72" s="222"/>
      <c r="L72" s="216">
        <f>ROUND(E72*(HLOOKUP($C$67,'Rate Spread SETTLEMENT'!$E$73:$AA$78,6,FALSE)),5)</f>
        <v>8.4000000000000003E-4</v>
      </c>
      <c r="M72" s="222"/>
      <c r="N72" s="219">
        <f t="shared" si="2"/>
        <v>1.839E-2</v>
      </c>
      <c r="O72" s="219">
        <f t="shared" si="3"/>
        <v>1.9230000000000001E-2</v>
      </c>
      <c r="P72" s="216">
        <f>'Allocation = % of Margin'!AD73</f>
        <v>-1.7000000000000001E-4</v>
      </c>
      <c r="Q72" s="914"/>
      <c r="R72" s="796">
        <f t="shared" si="15"/>
        <v>1.9060000000000001E-2</v>
      </c>
      <c r="S72" s="1112">
        <f>'Allocation = % of Margin'!U73</f>
        <v>0</v>
      </c>
      <c r="T72" s="216">
        <f>'Allocation = % of Margin'!X73</f>
        <v>-1.4999999999999999E-4</v>
      </c>
      <c r="U72" s="216">
        <f>'Allocation = % of Margin'!AA73</f>
        <v>6.9999999999999994E-5</v>
      </c>
      <c r="V72" s="808">
        <f t="shared" si="16"/>
        <v>-7.9999999999999993E-5</v>
      </c>
      <c r="W72" s="807">
        <f t="shared" si="6"/>
        <v>1.9050000000000001E-2</v>
      </c>
      <c r="X72" s="1112">
        <f>'Rates in summary'!I73</f>
        <v>0</v>
      </c>
      <c r="Y72" s="216">
        <f>'Rates in summary'!J73</f>
        <v>0</v>
      </c>
      <c r="Z72" s="216">
        <f>'Rates in summary'!K73</f>
        <v>1.5000000000000001E-4</v>
      </c>
      <c r="AA72" s="1737">
        <f t="shared" si="7"/>
        <v>1.9200000000000002E-2</v>
      </c>
      <c r="AB72" s="1198"/>
      <c r="AC72" s="937">
        <f>ROUND(R72*(HLOOKUP($C$67,'Rate Spread SETTLEMENT'!$E$101:$AA$106,6,FALSE)),5)</f>
        <v>3.8000000000000002E-4</v>
      </c>
      <c r="AD72" s="913">
        <f>'Allocation = % of Margin'!AM73</f>
        <v>-2.0000000000000002E-5</v>
      </c>
      <c r="AE72" s="913">
        <f>'Allocation = % of Margin'!AG73</f>
        <v>0</v>
      </c>
      <c r="AF72" s="913">
        <f>'Allocation = % of Margin'!AJ73</f>
        <v>-1.4999999999999999E-4</v>
      </c>
      <c r="AG72" s="808">
        <f t="shared" si="8"/>
        <v>3.8000000000000002E-4</v>
      </c>
      <c r="AH72" s="808">
        <f t="shared" si="9"/>
        <v>-1.6999999999999999E-4</v>
      </c>
      <c r="AI72" s="1790">
        <f t="shared" si="10"/>
        <v>1.941E-2</v>
      </c>
      <c r="AJ72" s="937">
        <f>'Rates in summary'!R73</f>
        <v>0</v>
      </c>
      <c r="AK72" s="913">
        <f>'Rates in summary'!S73</f>
        <v>0</v>
      </c>
      <c r="AL72" s="913">
        <f>'Rates in summary'!T73</f>
        <v>2.0000000000000001E-4</v>
      </c>
      <c r="AM72" s="1763">
        <f>'Rates in summary'!V73</f>
        <v>0</v>
      </c>
      <c r="AN72" s="1753">
        <f t="shared" si="11"/>
        <v>1.9609999999999999E-2</v>
      </c>
      <c r="AO72" s="222"/>
      <c r="AP72" s="771"/>
      <c r="AQ72" s="131"/>
      <c r="AR72" s="224"/>
      <c r="AS72" s="222"/>
      <c r="AT72" s="224"/>
      <c r="AU72" s="223"/>
      <c r="AV72" s="222"/>
      <c r="AX72" s="1748">
        <f>AN72-'Rates in summary'!W73</f>
        <v>0</v>
      </c>
    </row>
    <row r="73" spans="1:50" x14ac:dyDescent="0.35">
      <c r="A73" s="132">
        <f t="shared" ref="A73:A83" si="20">+A72+1</f>
        <v>67</v>
      </c>
      <c r="B73" s="132" t="s">
        <v>327</v>
      </c>
      <c r="C73" s="132" t="s">
        <v>354</v>
      </c>
      <c r="D73" s="1411" t="s">
        <v>4</v>
      </c>
      <c r="E73" s="228">
        <f>E67</f>
        <v>0.13402999999999998</v>
      </c>
      <c r="F73" s="229">
        <v>0</v>
      </c>
      <c r="G73" s="222"/>
      <c r="H73" s="229"/>
      <c r="I73" s="230">
        <f>I67</f>
        <v>5.6999999999999998E-4</v>
      </c>
      <c r="J73" s="231">
        <f t="shared" ref="J73:J78" si="21">SUM(E73:I73)</f>
        <v>0.13459999999999997</v>
      </c>
      <c r="K73" s="229"/>
      <c r="L73" s="229">
        <f>ROUND(E73*(HLOOKUP($C$73,'Rate Spread SETTLEMENT'!$E$73:$AA$78,6,FALSE)),5)</f>
        <v>8.7899999999999992E-3</v>
      </c>
      <c r="M73" s="229"/>
      <c r="N73" s="232">
        <f t="shared" si="2"/>
        <v>0.13402999999999998</v>
      </c>
      <c r="O73" s="232">
        <f t="shared" si="3"/>
        <v>0.14281999999999997</v>
      </c>
      <c r="P73" s="229">
        <f>'Allocation = % of Margin'!AD74</f>
        <v>-1.49E-3</v>
      </c>
      <c r="Q73" s="918"/>
      <c r="R73" s="798">
        <f t="shared" si="15"/>
        <v>0.14132999999999998</v>
      </c>
      <c r="S73" s="1114">
        <f>'Allocation = % of Margin'!U74</f>
        <v>0</v>
      </c>
      <c r="T73" s="229">
        <f>'Allocation = % of Margin'!X74</f>
        <v>-1.34E-3</v>
      </c>
      <c r="U73" s="229">
        <f>'Allocation = % of Margin'!AA74</f>
        <v>4.6999999999999999E-4</v>
      </c>
      <c r="V73" s="811">
        <f t="shared" si="16"/>
        <v>-8.7000000000000011E-4</v>
      </c>
      <c r="W73" s="812">
        <f t="shared" si="6"/>
        <v>0.14102999999999996</v>
      </c>
      <c r="X73" s="1114">
        <f>'Rates in summary'!I74</f>
        <v>0</v>
      </c>
      <c r="Y73" s="229">
        <f>'Rates in summary'!J74</f>
        <v>0</v>
      </c>
      <c r="Z73" s="229">
        <f>'Rates in summary'!K74</f>
        <v>1.0300000000000001E-3</v>
      </c>
      <c r="AA73" s="1739">
        <f t="shared" si="7"/>
        <v>0.14205999999999996</v>
      </c>
      <c r="AB73" s="1198"/>
      <c r="AC73" s="938">
        <f>ROUND(R73*(HLOOKUP($C$73,'Rate Spread SETTLEMENT'!$E$101:$AA$106,6,FALSE)),5)</f>
        <v>3.3300000000000001E-3</v>
      </c>
      <c r="AD73" s="917">
        <f>'Allocation = % of Margin'!AM74</f>
        <v>-1.2999999999999999E-4</v>
      </c>
      <c r="AE73" s="1486">
        <f>'Allocation = % of Margin'!AG74</f>
        <v>0</v>
      </c>
      <c r="AF73" s="917">
        <f>'Allocation = % of Margin'!AJ74</f>
        <v>-1.2999999999999999E-3</v>
      </c>
      <c r="AG73" s="811">
        <f t="shared" si="8"/>
        <v>3.3300000000000001E-3</v>
      </c>
      <c r="AH73" s="811">
        <f t="shared" si="9"/>
        <v>-1.4299999999999998E-3</v>
      </c>
      <c r="AI73" s="1792">
        <f t="shared" si="10"/>
        <v>0.14395999999999998</v>
      </c>
      <c r="AJ73" s="938">
        <f>'Rates in summary'!R74</f>
        <v>0</v>
      </c>
      <c r="AK73" s="917">
        <f>'Rates in summary'!S74</f>
        <v>0</v>
      </c>
      <c r="AL73" s="1486">
        <f>'Rates in summary'!T74</f>
        <v>-2.3999999999999998E-4</v>
      </c>
      <c r="AM73" s="1765">
        <f>'Rates in summary'!V74</f>
        <v>0</v>
      </c>
      <c r="AN73" s="1755">
        <f t="shared" si="11"/>
        <v>0.14371999999999999</v>
      </c>
      <c r="AO73" s="229"/>
      <c r="AP73" s="220">
        <f>'WA Volumes &amp; Revenues'!O75</f>
        <v>1550</v>
      </c>
      <c r="AQ73" s="221">
        <f>'WA Volumes &amp; Revenues'!N75</f>
        <v>1550</v>
      </c>
      <c r="AR73" s="224"/>
      <c r="AS73" s="222"/>
      <c r="AT73" s="224"/>
      <c r="AU73" s="223"/>
      <c r="AV73" s="222"/>
      <c r="AX73" s="1748">
        <f>AN73-'Rates in summary'!W74</f>
        <v>0</v>
      </c>
    </row>
    <row r="74" spans="1:50" x14ac:dyDescent="0.35">
      <c r="A74" s="132">
        <f t="shared" si="20"/>
        <v>68</v>
      </c>
      <c r="B74" s="132"/>
      <c r="C74" s="132"/>
      <c r="D74" s="1411" t="s">
        <v>5</v>
      </c>
      <c r="E74" s="228">
        <f t="shared" ref="E74:E78" si="22">E68</f>
        <v>0.11997999999999999</v>
      </c>
      <c r="F74" s="229">
        <v>0</v>
      </c>
      <c r="G74" s="222"/>
      <c r="H74" s="229"/>
      <c r="I74" s="230">
        <f t="shared" ref="I74:I78" si="23">I68</f>
        <v>5.1000000000000004E-4</v>
      </c>
      <c r="J74" s="231">
        <f t="shared" si="21"/>
        <v>0.12048999999999999</v>
      </c>
      <c r="K74" s="229"/>
      <c r="L74" s="229">
        <f>ROUND(E74*(HLOOKUP($C$73,'Rate Spread SETTLEMENT'!$E$73:$AA$78,6,FALSE)),5)</f>
        <v>7.8600000000000007E-3</v>
      </c>
      <c r="M74" s="229"/>
      <c r="N74" s="232">
        <f t="shared" si="2"/>
        <v>0.11997999999999999</v>
      </c>
      <c r="O74" s="232">
        <f t="shared" si="3"/>
        <v>0.12783999999999998</v>
      </c>
      <c r="P74" s="229">
        <f>'Allocation = % of Margin'!AD75</f>
        <v>-1.33E-3</v>
      </c>
      <c r="Q74" s="918"/>
      <c r="R74" s="798">
        <f t="shared" si="15"/>
        <v>0.12650999999999998</v>
      </c>
      <c r="S74" s="1114">
        <f>'Allocation = % of Margin'!U75</f>
        <v>0</v>
      </c>
      <c r="T74" s="229">
        <f>'Allocation = % of Margin'!X75</f>
        <v>-1.1999999999999999E-3</v>
      </c>
      <c r="U74" s="229">
        <f>'Allocation = % of Margin'!AA75</f>
        <v>4.2000000000000002E-4</v>
      </c>
      <c r="V74" s="811">
        <f t="shared" si="16"/>
        <v>-7.7999999999999988E-4</v>
      </c>
      <c r="W74" s="812">
        <f t="shared" si="6"/>
        <v>0.12623999999999999</v>
      </c>
      <c r="X74" s="1114">
        <f>'Rates in summary'!I75</f>
        <v>0</v>
      </c>
      <c r="Y74" s="229">
        <f>'Rates in summary'!J75</f>
        <v>0</v>
      </c>
      <c r="Z74" s="229">
        <f>'Rates in summary'!K75</f>
        <v>9.2000000000000003E-4</v>
      </c>
      <c r="AA74" s="1739">
        <f t="shared" si="7"/>
        <v>0.12716</v>
      </c>
      <c r="AB74" s="1198"/>
      <c r="AC74" s="930">
        <f>ROUND(R74*(HLOOKUP($C$73,'Rate Spread SETTLEMENT'!$E$101:$AA$106,6,FALSE)),5)</f>
        <v>2.98E-3</v>
      </c>
      <c r="AD74" s="917">
        <f>'Allocation = % of Margin'!AM75</f>
        <v>-1.2E-4</v>
      </c>
      <c r="AE74" s="917">
        <f>'Allocation = % of Margin'!AG75</f>
        <v>0</v>
      </c>
      <c r="AF74" s="917">
        <f>'Allocation = % of Margin'!AJ75</f>
        <v>-1.16E-3</v>
      </c>
      <c r="AG74" s="811">
        <f t="shared" si="8"/>
        <v>2.98E-3</v>
      </c>
      <c r="AH74" s="811">
        <f t="shared" si="9"/>
        <v>-1.2800000000000001E-3</v>
      </c>
      <c r="AI74" s="1792">
        <f t="shared" si="10"/>
        <v>0.12886</v>
      </c>
      <c r="AJ74" s="930">
        <f>'Rates in summary'!R75</f>
        <v>0</v>
      </c>
      <c r="AK74" s="917">
        <f>'Rates in summary'!S75</f>
        <v>0</v>
      </c>
      <c r="AL74" s="917">
        <f>'Rates in summary'!T75</f>
        <v>-2.1000000000000017E-4</v>
      </c>
      <c r="AM74" s="1765">
        <f>'Rates in summary'!V75</f>
        <v>0</v>
      </c>
      <c r="AN74" s="1755">
        <f t="shared" si="11"/>
        <v>0.12865000000000001</v>
      </c>
      <c r="AO74" s="229"/>
      <c r="AP74" s="771"/>
      <c r="AQ74" s="131"/>
      <c r="AR74" s="224"/>
      <c r="AS74" s="222"/>
      <c r="AT74" s="224"/>
      <c r="AU74" s="223"/>
      <c r="AV74" s="222"/>
      <c r="AX74" s="1748">
        <f>AN74-'Rates in summary'!W75</f>
        <v>0</v>
      </c>
    </row>
    <row r="75" spans="1:50" x14ac:dyDescent="0.35">
      <c r="A75" s="132">
        <f t="shared" si="20"/>
        <v>69</v>
      </c>
      <c r="B75" s="132"/>
      <c r="C75" s="132"/>
      <c r="D75" s="1411" t="s">
        <v>6</v>
      </c>
      <c r="E75" s="228">
        <f t="shared" si="22"/>
        <v>9.1999999999999998E-2</v>
      </c>
      <c r="F75" s="229">
        <v>0</v>
      </c>
      <c r="G75" s="222"/>
      <c r="H75" s="229"/>
      <c r="I75" s="230">
        <f t="shared" si="23"/>
        <v>3.7999999999999997E-4</v>
      </c>
      <c r="J75" s="231">
        <f t="shared" si="21"/>
        <v>9.2380000000000004E-2</v>
      </c>
      <c r="K75" s="229"/>
      <c r="L75" s="229">
        <f>ROUND(E75*(HLOOKUP($C$73,'Rate Spread SETTLEMENT'!$E$73:$AA$78,6,FALSE)),5)</f>
        <v>6.0299999999999998E-3</v>
      </c>
      <c r="M75" s="229"/>
      <c r="N75" s="232">
        <f t="shared" si="2"/>
        <v>9.1999999999999998E-2</v>
      </c>
      <c r="O75" s="232">
        <f t="shared" si="3"/>
        <v>9.8029999999999992E-2</v>
      </c>
      <c r="P75" s="229">
        <f>'Allocation = % of Margin'!AD76</f>
        <v>-1.0200000000000001E-3</v>
      </c>
      <c r="Q75" s="918"/>
      <c r="R75" s="798">
        <f t="shared" si="15"/>
        <v>9.7009999999999985E-2</v>
      </c>
      <c r="S75" s="1114">
        <f>'Allocation = % of Margin'!U76</f>
        <v>0</v>
      </c>
      <c r="T75" s="229">
        <f>'Allocation = % of Margin'!X76</f>
        <v>-9.2000000000000003E-4</v>
      </c>
      <c r="U75" s="229">
        <f>'Allocation = % of Margin'!AA76</f>
        <v>3.2000000000000003E-4</v>
      </c>
      <c r="V75" s="811">
        <f t="shared" si="16"/>
        <v>-6.0000000000000006E-4</v>
      </c>
      <c r="W75" s="812">
        <f t="shared" si="6"/>
        <v>9.6789999999999987E-2</v>
      </c>
      <c r="X75" s="1114">
        <f>'Rates in summary'!I76</f>
        <v>0</v>
      </c>
      <c r="Y75" s="229">
        <f>'Rates in summary'!J76</f>
        <v>0</v>
      </c>
      <c r="Z75" s="229">
        <f>'Rates in summary'!K76</f>
        <v>7.2000000000000015E-4</v>
      </c>
      <c r="AA75" s="1739">
        <f t="shared" si="7"/>
        <v>9.7509999999999986E-2</v>
      </c>
      <c r="AB75" s="1198"/>
      <c r="AC75" s="930">
        <f>ROUND(R75*(HLOOKUP($C$73,'Rate Spread SETTLEMENT'!$E$101:$AA$106,6,FALSE)),5)</f>
        <v>2.2799999999999999E-3</v>
      </c>
      <c r="AD75" s="917">
        <f>'Allocation = % of Margin'!AM76</f>
        <v>-9.0000000000000006E-5</v>
      </c>
      <c r="AE75" s="917">
        <f>'Allocation = % of Margin'!AG76</f>
        <v>0</v>
      </c>
      <c r="AF75" s="917">
        <f>'Allocation = % of Margin'!AJ76</f>
        <v>-8.8999999999999995E-4</v>
      </c>
      <c r="AG75" s="811">
        <f t="shared" si="8"/>
        <v>2.2799999999999999E-3</v>
      </c>
      <c r="AH75" s="811">
        <f t="shared" si="9"/>
        <v>-9.7999999999999997E-4</v>
      </c>
      <c r="AI75" s="1792">
        <f t="shared" si="10"/>
        <v>9.8809999999999981E-2</v>
      </c>
      <c r="AJ75" s="930">
        <f>'Rates in summary'!R76</f>
        <v>0</v>
      </c>
      <c r="AK75" s="917">
        <f>'Rates in summary'!S76</f>
        <v>0</v>
      </c>
      <c r="AL75" s="917">
        <f>'Rates in summary'!T76</f>
        <v>-1.5999999999999999E-4</v>
      </c>
      <c r="AM75" s="1765">
        <f>'Rates in summary'!V76</f>
        <v>0</v>
      </c>
      <c r="AN75" s="1755">
        <f t="shared" si="11"/>
        <v>9.8649999999999988E-2</v>
      </c>
      <c r="AO75" s="229"/>
      <c r="AP75" s="220"/>
      <c r="AQ75" s="221"/>
      <c r="AR75" s="224"/>
      <c r="AS75" s="222"/>
      <c r="AT75" s="224"/>
      <c r="AU75" s="223"/>
      <c r="AV75" s="222"/>
      <c r="AX75" s="1748">
        <f>AN75-'Rates in summary'!W76</f>
        <v>0</v>
      </c>
    </row>
    <row r="76" spans="1:50" x14ac:dyDescent="0.35">
      <c r="A76" s="132">
        <f t="shared" si="20"/>
        <v>70</v>
      </c>
      <c r="B76" s="132"/>
      <c r="C76" s="132"/>
      <c r="D76" s="1411" t="s">
        <v>7</v>
      </c>
      <c r="E76" s="228">
        <f t="shared" si="22"/>
        <v>7.3609999999999995E-2</v>
      </c>
      <c r="F76" s="229">
        <v>0</v>
      </c>
      <c r="G76" s="222"/>
      <c r="H76" s="229"/>
      <c r="I76" s="230">
        <f t="shared" si="23"/>
        <v>3.0999999999999995E-4</v>
      </c>
      <c r="J76" s="231">
        <f t="shared" si="21"/>
        <v>7.392E-2</v>
      </c>
      <c r="K76" s="229"/>
      <c r="L76" s="229">
        <f>ROUND(E76*(HLOOKUP($C$73,'Rate Spread SETTLEMENT'!$E$73:$AA$78,6,FALSE)),5)</f>
        <v>4.8300000000000001E-3</v>
      </c>
      <c r="M76" s="229"/>
      <c r="N76" s="232">
        <f t="shared" si="2"/>
        <v>7.3609999999999995E-2</v>
      </c>
      <c r="O76" s="232">
        <f t="shared" si="3"/>
        <v>7.8439999999999996E-2</v>
      </c>
      <c r="P76" s="229">
        <f>'Allocation = % of Margin'!AD77</f>
        <v>-8.1999999999999998E-4</v>
      </c>
      <c r="Q76" s="918"/>
      <c r="R76" s="798">
        <f t="shared" si="15"/>
        <v>7.7619999999999995E-2</v>
      </c>
      <c r="S76" s="1114">
        <f>'Allocation = % of Margin'!U77</f>
        <v>0</v>
      </c>
      <c r="T76" s="229">
        <f>'Allocation = % of Margin'!X77</f>
        <v>-7.3999999999999999E-4</v>
      </c>
      <c r="U76" s="229">
        <f>'Allocation = % of Margin'!AA77</f>
        <v>2.5999999999999998E-4</v>
      </c>
      <c r="V76" s="811">
        <f t="shared" si="16"/>
        <v>-4.8000000000000001E-4</v>
      </c>
      <c r="W76" s="812">
        <f t="shared" si="6"/>
        <v>7.7450000000000005E-2</v>
      </c>
      <c r="X76" s="1114">
        <f>'Rates in summary'!I77</f>
        <v>0</v>
      </c>
      <c r="Y76" s="229">
        <f>'Rates in summary'!J77</f>
        <v>0</v>
      </c>
      <c r="Z76" s="229">
        <f>'Rates in summary'!K77</f>
        <v>5.7000000000000009E-4</v>
      </c>
      <c r="AA76" s="1739">
        <f t="shared" si="7"/>
        <v>7.8020000000000006E-2</v>
      </c>
      <c r="AB76" s="1198"/>
      <c r="AC76" s="930">
        <f>ROUND(R76*(HLOOKUP($C$73,'Rate Spread SETTLEMENT'!$E$101:$AA$106,6,FALSE)),5)</f>
        <v>1.83E-3</v>
      </c>
      <c r="AD76" s="917">
        <f>'Allocation = % of Margin'!AM77</f>
        <v>-6.9999999999999994E-5</v>
      </c>
      <c r="AE76" s="917">
        <f>'Allocation = % of Margin'!AG77</f>
        <v>0</v>
      </c>
      <c r="AF76" s="917">
        <f>'Allocation = % of Margin'!AJ77</f>
        <v>-7.1000000000000002E-4</v>
      </c>
      <c r="AG76" s="811">
        <f t="shared" si="8"/>
        <v>1.83E-3</v>
      </c>
      <c r="AH76" s="811">
        <f t="shared" si="9"/>
        <v>-7.7999999999999999E-4</v>
      </c>
      <c r="AI76" s="1792">
        <f t="shared" si="10"/>
        <v>7.9070000000000001E-2</v>
      </c>
      <c r="AJ76" s="930">
        <f>'Rates in summary'!R77</f>
        <v>0</v>
      </c>
      <c r="AK76" s="917">
        <f>'Rates in summary'!S77</f>
        <v>0</v>
      </c>
      <c r="AL76" s="917">
        <f>'Rates in summary'!T77</f>
        <v>-1.3000000000000002E-4</v>
      </c>
      <c r="AM76" s="1765">
        <f>'Rates in summary'!V77</f>
        <v>0</v>
      </c>
      <c r="AN76" s="1755">
        <f t="shared" si="11"/>
        <v>7.8939999999999996E-2</v>
      </c>
      <c r="AO76" s="229"/>
      <c r="AP76" s="220"/>
      <c r="AQ76" s="221"/>
      <c r="AR76" s="224"/>
      <c r="AS76" s="222"/>
      <c r="AT76" s="224"/>
      <c r="AU76" s="223"/>
      <c r="AV76" s="222"/>
      <c r="AX76" s="1748">
        <f>AN76-'Rates in summary'!W77</f>
        <v>0</v>
      </c>
    </row>
    <row r="77" spans="1:50" x14ac:dyDescent="0.35">
      <c r="A77" s="132">
        <f t="shared" si="20"/>
        <v>71</v>
      </c>
      <c r="B77" s="132"/>
      <c r="C77" s="132"/>
      <c r="D77" s="1411" t="s">
        <v>8</v>
      </c>
      <c r="E77" s="228">
        <f t="shared" si="22"/>
        <v>4.9079999999999999E-2</v>
      </c>
      <c r="F77" s="229">
        <v>0</v>
      </c>
      <c r="G77" s="222"/>
      <c r="H77" s="229"/>
      <c r="I77" s="230">
        <f t="shared" si="23"/>
        <v>2.0999999999999998E-4</v>
      </c>
      <c r="J77" s="231">
        <f t="shared" si="21"/>
        <v>4.929E-2</v>
      </c>
      <c r="K77" s="229"/>
      <c r="L77" s="229">
        <f>ROUND(E77*(HLOOKUP($C$73,'Rate Spread SETTLEMENT'!$E$73:$AA$78,6,FALSE)),5)</f>
        <v>3.2200000000000002E-3</v>
      </c>
      <c r="M77" s="229"/>
      <c r="N77" s="232">
        <f t="shared" si="2"/>
        <v>4.9079999999999999E-2</v>
      </c>
      <c r="O77" s="232">
        <f t="shared" si="3"/>
        <v>5.2299999999999999E-2</v>
      </c>
      <c r="P77" s="229">
        <f>'Allocation = % of Margin'!AD78</f>
        <v>-5.5000000000000003E-4</v>
      </c>
      <c r="Q77" s="918"/>
      <c r="R77" s="798">
        <f t="shared" ref="R77:R81" si="24">SUM(O77:Q77)</f>
        <v>5.1749999999999997E-2</v>
      </c>
      <c r="S77" s="1114">
        <f>'Allocation = % of Margin'!U78</f>
        <v>0</v>
      </c>
      <c r="T77" s="229">
        <f>'Allocation = % of Margin'!X78</f>
        <v>-4.8999999999999998E-4</v>
      </c>
      <c r="U77" s="229">
        <f>'Allocation = % of Margin'!AA78</f>
        <v>1.7000000000000001E-4</v>
      </c>
      <c r="V77" s="811">
        <f t="shared" ref="V77:V81" si="25">SUM(S77:U77)</f>
        <v>-3.1999999999999997E-4</v>
      </c>
      <c r="W77" s="812">
        <f t="shared" si="6"/>
        <v>5.1639999999999998E-2</v>
      </c>
      <c r="X77" s="1114">
        <f>'Rates in summary'!I78</f>
        <v>0</v>
      </c>
      <c r="Y77" s="229">
        <f>'Rates in summary'!J78</f>
        <v>0</v>
      </c>
      <c r="Z77" s="229">
        <f>'Rates in summary'!K78</f>
        <v>3.8000000000000002E-4</v>
      </c>
      <c r="AA77" s="1739">
        <f t="shared" si="7"/>
        <v>5.2019999999999997E-2</v>
      </c>
      <c r="AB77" s="1198"/>
      <c r="AC77" s="930">
        <f>ROUND(R77*(HLOOKUP($C$73,'Rate Spread SETTLEMENT'!$E$101:$AA$106,6,FALSE)),5)</f>
        <v>1.2199999999999999E-3</v>
      </c>
      <c r="AD77" s="917">
        <f>'Allocation = % of Margin'!AM78</f>
        <v>-5.0000000000000002E-5</v>
      </c>
      <c r="AE77" s="917">
        <f>'Allocation = % of Margin'!AG78</f>
        <v>0</v>
      </c>
      <c r="AF77" s="917">
        <f>'Allocation = % of Margin'!AJ78</f>
        <v>-4.6999999999999999E-4</v>
      </c>
      <c r="AG77" s="811">
        <f t="shared" si="8"/>
        <v>1.2199999999999999E-3</v>
      </c>
      <c r="AH77" s="811">
        <f t="shared" si="9"/>
        <v>-5.1999999999999995E-4</v>
      </c>
      <c r="AI77" s="1792">
        <f t="shared" si="10"/>
        <v>5.2719999999999996E-2</v>
      </c>
      <c r="AJ77" s="930">
        <f>'Rates in summary'!R78</f>
        <v>0</v>
      </c>
      <c r="AK77" s="917">
        <f>'Rates in summary'!S78</f>
        <v>0</v>
      </c>
      <c r="AL77" s="917">
        <f>'Rates in summary'!T78</f>
        <v>-9.0000000000000046E-5</v>
      </c>
      <c r="AM77" s="1765">
        <f>'Rates in summary'!V78</f>
        <v>0</v>
      </c>
      <c r="AN77" s="1755">
        <f t="shared" si="11"/>
        <v>5.2629999999999996E-2</v>
      </c>
      <c r="AO77" s="229"/>
      <c r="AP77" s="220"/>
      <c r="AQ77" s="221"/>
      <c r="AR77" s="224"/>
      <c r="AS77" s="222"/>
      <c r="AT77" s="224"/>
      <c r="AU77" s="223"/>
      <c r="AV77" s="222"/>
      <c r="AX77" s="1748">
        <f>AN77-'Rates in summary'!W78</f>
        <v>0</v>
      </c>
    </row>
    <row r="78" spans="1:50" x14ac:dyDescent="0.35">
      <c r="A78" s="132">
        <f t="shared" si="20"/>
        <v>72</v>
      </c>
      <c r="B78" s="1410"/>
      <c r="C78" s="1410"/>
      <c r="D78" s="1413" t="s">
        <v>9</v>
      </c>
      <c r="E78" s="233">
        <f t="shared" si="22"/>
        <v>1.839E-2</v>
      </c>
      <c r="F78" s="234">
        <v>0</v>
      </c>
      <c r="G78" s="216"/>
      <c r="H78" s="234"/>
      <c r="I78" s="235">
        <f t="shared" si="23"/>
        <v>6.9999999999999994E-5</v>
      </c>
      <c r="J78" s="236">
        <f t="shared" si="21"/>
        <v>1.8460000000000001E-2</v>
      </c>
      <c r="K78" s="229"/>
      <c r="L78" s="234">
        <f>ROUND(E78*(HLOOKUP($C$73,'Rate Spread SETTLEMENT'!$E$73:$AA$78,6,FALSE)),5)</f>
        <v>1.2099999999999999E-3</v>
      </c>
      <c r="M78" s="229"/>
      <c r="N78" s="237">
        <f t="shared" ref="N78:N81" si="26">(J78-F78-G78-H78)-I78</f>
        <v>1.839E-2</v>
      </c>
      <c r="O78" s="237">
        <f t="shared" ref="O78:O80" si="27">N78+L78</f>
        <v>1.9599999999999999E-2</v>
      </c>
      <c r="P78" s="234">
        <f>'Allocation = % of Margin'!AD79</f>
        <v>-2.0000000000000001E-4</v>
      </c>
      <c r="Q78" s="920"/>
      <c r="R78" s="799">
        <f t="shared" si="24"/>
        <v>1.9400000000000001E-2</v>
      </c>
      <c r="S78" s="1115">
        <f>'Allocation = % of Margin'!U79</f>
        <v>0</v>
      </c>
      <c r="T78" s="234">
        <f>'Allocation = % of Margin'!X79</f>
        <v>-1.8000000000000001E-4</v>
      </c>
      <c r="U78" s="234">
        <f>'Allocation = % of Margin'!AA79</f>
        <v>6.0000000000000002E-5</v>
      </c>
      <c r="V78" s="813">
        <f t="shared" si="25"/>
        <v>-1.2000000000000002E-4</v>
      </c>
      <c r="W78" s="814">
        <f t="shared" ref="W78:W81" si="28">R78+V78+SUM(F78:I78)</f>
        <v>1.9350000000000003E-2</v>
      </c>
      <c r="X78" s="1115">
        <f>'Rates in summary'!I79</f>
        <v>0</v>
      </c>
      <c r="Y78" s="234">
        <f>'Rates in summary'!J79</f>
        <v>0</v>
      </c>
      <c r="Z78" s="234">
        <f>'Rates in summary'!K79</f>
        <v>1.5000000000000001E-4</v>
      </c>
      <c r="AA78" s="1740">
        <f t="shared" ref="AA78:AA81" si="29">W78+SUM(X78:Z78)</f>
        <v>1.9500000000000003E-2</v>
      </c>
      <c r="AB78" s="1198"/>
      <c r="AC78" s="930">
        <f>ROUND(R78*(HLOOKUP($C$73,'Rate Spread SETTLEMENT'!$E$101:$AA$106,6,FALSE)),5)</f>
        <v>4.6000000000000001E-4</v>
      </c>
      <c r="AD78" s="919">
        <f>'Allocation = % of Margin'!AM79</f>
        <v>-2.0000000000000002E-5</v>
      </c>
      <c r="AE78" s="917">
        <f>'Allocation = % of Margin'!AG79</f>
        <v>0</v>
      </c>
      <c r="AF78" s="919">
        <f>'Allocation = % of Margin'!AJ79</f>
        <v>-1.8000000000000001E-4</v>
      </c>
      <c r="AG78" s="813">
        <f t="shared" ref="AG78:AG81" si="30">SUM(AC78)</f>
        <v>4.6000000000000001E-4</v>
      </c>
      <c r="AH78" s="813">
        <f t="shared" ref="AH78:AH81" si="31">SUM(AD78:AF78)</f>
        <v>-2.0000000000000001E-4</v>
      </c>
      <c r="AI78" s="1793">
        <f t="shared" ref="AI78:AI81" si="32">AA78+SUM(AC78:AF78)</f>
        <v>1.9760000000000003E-2</v>
      </c>
      <c r="AJ78" s="930">
        <f>'Rates in summary'!R79</f>
        <v>0</v>
      </c>
      <c r="AK78" s="919">
        <f>'Rates in summary'!S79</f>
        <v>0</v>
      </c>
      <c r="AL78" s="917">
        <f>'Rates in summary'!T79</f>
        <v>-2.9999999999999997E-5</v>
      </c>
      <c r="AM78" s="1766">
        <f>'Rates in summary'!V79</f>
        <v>0</v>
      </c>
      <c r="AN78" s="1756">
        <f t="shared" ref="AN78:AN81" si="33">AI78+SUM(AJ78:AM78)</f>
        <v>1.9730000000000004E-2</v>
      </c>
      <c r="AO78" s="229"/>
      <c r="AP78" s="220"/>
      <c r="AQ78" s="221"/>
      <c r="AR78" s="224"/>
      <c r="AS78" s="222"/>
      <c r="AT78" s="224"/>
      <c r="AU78" s="223"/>
      <c r="AV78" s="222"/>
      <c r="AX78" s="1748">
        <f>AN78-'Rates in summary'!W79</f>
        <v>0</v>
      </c>
    </row>
    <row r="79" spans="1:50" x14ac:dyDescent="0.35">
      <c r="A79" s="132">
        <f t="shared" si="20"/>
        <v>73</v>
      </c>
      <c r="B79" s="1410" t="s">
        <v>334</v>
      </c>
      <c r="C79" s="1410" t="s">
        <v>56</v>
      </c>
      <c r="D79" s="1410" t="s">
        <v>270</v>
      </c>
      <c r="E79" s="238">
        <v>4.9099999999999994E-3</v>
      </c>
      <c r="F79" s="239">
        <v>0</v>
      </c>
      <c r="G79" s="239"/>
      <c r="H79" s="239"/>
      <c r="I79" s="240">
        <v>1.0000000000000001E-5</v>
      </c>
      <c r="J79" s="241">
        <f t="shared" si="1"/>
        <v>4.919999999999999E-3</v>
      </c>
      <c r="K79" s="229"/>
      <c r="L79" s="239">
        <f>ROUND(E79*(HLOOKUP(C79,'Rate Spread SETTLEMENT'!$E$73:$AA$78,6,FALSE)),5)</f>
        <v>0</v>
      </c>
      <c r="M79" s="229"/>
      <c r="N79" s="242">
        <f t="shared" si="26"/>
        <v>4.9099999999999994E-3</v>
      </c>
      <c r="O79" s="242">
        <f>N79+L79</f>
        <v>4.9099999999999994E-3</v>
      </c>
      <c r="P79" s="239">
        <f>'Allocation = % of Margin'!AD80</f>
        <v>0</v>
      </c>
      <c r="Q79" s="922"/>
      <c r="R79" s="800">
        <f t="shared" si="24"/>
        <v>4.9099999999999994E-3</v>
      </c>
      <c r="S79" s="1116">
        <f>'Allocation = % of Margin'!U80</f>
        <v>0</v>
      </c>
      <c r="T79" s="239">
        <f>'Allocation = % of Margin'!X80</f>
        <v>-4.0000000000000003E-5</v>
      </c>
      <c r="U79" s="239">
        <f>'Allocation = % of Margin'!AA80</f>
        <v>2.0000000000000002E-5</v>
      </c>
      <c r="V79" s="815">
        <f t="shared" si="25"/>
        <v>-2.0000000000000002E-5</v>
      </c>
      <c r="W79" s="816">
        <f t="shared" si="28"/>
        <v>4.899999999999999E-3</v>
      </c>
      <c r="X79" s="1116">
        <f>'Rates in summary'!I80</f>
        <v>0</v>
      </c>
      <c r="Y79" s="239">
        <f>'Rates in summary'!J80</f>
        <v>0</v>
      </c>
      <c r="Z79" s="239">
        <f>'Rates in summary'!K80</f>
        <v>5.0000000000000002E-5</v>
      </c>
      <c r="AA79" s="1741">
        <f t="shared" si="29"/>
        <v>4.9499999999999987E-3</v>
      </c>
      <c r="AB79" s="1198"/>
      <c r="AC79" s="939">
        <f>ROUND(R79*(HLOOKUP(C79,'Rate Spread SETTLEMENT'!$E$101:$AA$106,6,FALSE)),5)</f>
        <v>0</v>
      </c>
      <c r="AD79" s="921">
        <f>'Allocation = % of Margin'!AM80</f>
        <v>0</v>
      </c>
      <c r="AE79" s="921">
        <f>'Allocation = % of Margin'!AG80</f>
        <v>0</v>
      </c>
      <c r="AF79" s="921">
        <f>'Allocation = % of Margin'!AJ80</f>
        <v>-4.0000000000000003E-5</v>
      </c>
      <c r="AG79" s="815">
        <f t="shared" si="30"/>
        <v>0</v>
      </c>
      <c r="AH79" s="815">
        <f t="shared" si="31"/>
        <v>-4.0000000000000003E-5</v>
      </c>
      <c r="AI79" s="1794">
        <f t="shared" si="32"/>
        <v>4.9099999999999986E-3</v>
      </c>
      <c r="AJ79" s="939">
        <f>'Rates in summary'!R80</f>
        <v>0</v>
      </c>
      <c r="AK79" s="921">
        <f>'Rates in summary'!S80</f>
        <v>0</v>
      </c>
      <c r="AL79" s="921">
        <f>'Rates in summary'!T80</f>
        <v>8.7000000000000001E-4</v>
      </c>
      <c r="AM79" s="1767">
        <f>'Rates in summary'!V80</f>
        <v>0</v>
      </c>
      <c r="AN79" s="1757">
        <f t="shared" si="33"/>
        <v>5.7799999999999987E-3</v>
      </c>
      <c r="AO79" s="229"/>
      <c r="AP79" s="220">
        <f>'WA Volumes &amp; Revenues'!O81</f>
        <v>38000</v>
      </c>
      <c r="AQ79" s="221">
        <f>'WA Volumes &amp; Revenues'!N81</f>
        <v>38000</v>
      </c>
      <c r="AR79" s="224">
        <v>0.15748000000000001</v>
      </c>
      <c r="AS79" s="222"/>
      <c r="AT79" s="224"/>
      <c r="AU79" s="223"/>
      <c r="AV79" s="222"/>
      <c r="AX79" s="1748">
        <f>AN79-'Rates in summary'!W80</f>
        <v>0</v>
      </c>
    </row>
    <row r="80" spans="1:50" x14ac:dyDescent="0.35">
      <c r="A80" s="132">
        <f t="shared" si="20"/>
        <v>74</v>
      </c>
      <c r="B80" s="1409" t="s">
        <v>336</v>
      </c>
      <c r="C80" s="1409" t="s">
        <v>335</v>
      </c>
      <c r="D80" s="1409" t="s">
        <v>270</v>
      </c>
      <c r="E80" s="233">
        <v>4.9099999999999994E-3</v>
      </c>
      <c r="F80" s="234">
        <v>0</v>
      </c>
      <c r="G80" s="234"/>
      <c r="H80" s="234"/>
      <c r="I80" s="235">
        <v>1.0000000000000001E-5</v>
      </c>
      <c r="J80" s="236">
        <f t="shared" si="1"/>
        <v>4.919999999999999E-3</v>
      </c>
      <c r="K80" s="229"/>
      <c r="L80" s="1657">
        <f>ROUND(E80*(HLOOKUP(C80,'Rate Spread SETTLEMENT'!$E$73:$AA$78,6,FALSE)),5)</f>
        <v>0</v>
      </c>
      <c r="M80" s="229"/>
      <c r="N80" s="237">
        <f t="shared" si="26"/>
        <v>4.9099999999999994E-3</v>
      </c>
      <c r="O80" s="237">
        <f t="shared" si="27"/>
        <v>4.9099999999999994E-3</v>
      </c>
      <c r="P80" s="234">
        <f>'Allocation = % of Margin'!AD81</f>
        <v>0</v>
      </c>
      <c r="Q80" s="919"/>
      <c r="R80" s="800">
        <f t="shared" si="24"/>
        <v>4.9099999999999994E-3</v>
      </c>
      <c r="S80" s="1115">
        <f>'Allocation = % of Margin'!U81</f>
        <v>0</v>
      </c>
      <c r="T80" s="234">
        <f>'Allocation = % of Margin'!X81</f>
        <v>-4.0000000000000003E-5</v>
      </c>
      <c r="U80" s="234">
        <f>'Allocation = % of Margin'!AA81</f>
        <v>2.0000000000000002E-5</v>
      </c>
      <c r="V80" s="815">
        <f t="shared" si="25"/>
        <v>-2.0000000000000002E-5</v>
      </c>
      <c r="W80" s="816">
        <f t="shared" si="28"/>
        <v>4.899999999999999E-3</v>
      </c>
      <c r="X80" s="1115">
        <f>'Rates in summary'!I81</f>
        <v>0</v>
      </c>
      <c r="Y80" s="234">
        <f>'Rates in summary'!J81</f>
        <v>0</v>
      </c>
      <c r="Z80" s="234">
        <f>'Rates in summary'!K81</f>
        <v>5.0000000000000002E-5</v>
      </c>
      <c r="AA80" s="1741">
        <f t="shared" si="29"/>
        <v>4.9499999999999987E-3</v>
      </c>
      <c r="AB80" s="1198"/>
      <c r="AC80" s="939">
        <f>ROUND(R80*(HLOOKUP(C80,'Rate Spread SETTLEMENT'!$E$101:$AA$106,6,FALSE)),5)</f>
        <v>0</v>
      </c>
      <c r="AD80" s="919">
        <f>'Allocation = % of Margin'!AM81</f>
        <v>0</v>
      </c>
      <c r="AE80" s="921">
        <f>'Allocation = % of Margin'!AG81</f>
        <v>0</v>
      </c>
      <c r="AF80" s="919">
        <f>'Allocation = % of Margin'!AJ81</f>
        <v>-4.0000000000000003E-5</v>
      </c>
      <c r="AG80" s="815">
        <f t="shared" si="30"/>
        <v>0</v>
      </c>
      <c r="AH80" s="815">
        <f t="shared" si="31"/>
        <v>-4.0000000000000003E-5</v>
      </c>
      <c r="AI80" s="1794">
        <f t="shared" si="32"/>
        <v>4.9099999999999986E-3</v>
      </c>
      <c r="AJ80" s="939">
        <f>'Rates in summary'!R81</f>
        <v>0</v>
      </c>
      <c r="AK80" s="919">
        <f>'Rates in summary'!S81</f>
        <v>0</v>
      </c>
      <c r="AL80" s="921">
        <f>'Rates in summary'!T81</f>
        <v>3.0000000000000003E-4</v>
      </c>
      <c r="AM80" s="1766">
        <f>'Rates in summary'!V81</f>
        <v>0</v>
      </c>
      <c r="AN80" s="1757">
        <f t="shared" si="33"/>
        <v>5.2099999999999985E-3</v>
      </c>
      <c r="AO80" s="229"/>
      <c r="AP80" s="220">
        <f>'WA Volumes &amp; Revenues'!O82</f>
        <v>38000</v>
      </c>
      <c r="AQ80" s="221">
        <f>'WA Volumes &amp; Revenues'!N82</f>
        <v>38000</v>
      </c>
      <c r="AR80" s="224"/>
      <c r="AS80" s="222"/>
      <c r="AT80" s="224"/>
      <c r="AU80" s="223"/>
      <c r="AV80" s="222"/>
      <c r="AX80" s="1748">
        <f>AN80-'Rates in summary'!W81</f>
        <v>0</v>
      </c>
    </row>
    <row r="81" spans="1:50" ht="15" thickBot="1" x14ac:dyDescent="0.4">
      <c r="A81" s="132">
        <f t="shared" si="20"/>
        <v>75</v>
      </c>
      <c r="B81" s="1409" t="s">
        <v>355</v>
      </c>
      <c r="C81" s="1409" t="s">
        <v>373</v>
      </c>
      <c r="D81" s="1409" t="s">
        <v>270</v>
      </c>
      <c r="E81" s="1065"/>
      <c r="F81" s="244">
        <v>0</v>
      </c>
      <c r="G81" s="704"/>
      <c r="H81" s="244"/>
      <c r="I81" s="659">
        <v>0</v>
      </c>
      <c r="J81" s="716">
        <f t="shared" si="1"/>
        <v>0</v>
      </c>
      <c r="K81" s="229"/>
      <c r="L81" s="1658">
        <f>ROUND(E81*(HLOOKUP(C81,'Rate Spread SETTLEMENT'!$E$73:$AA$78,6,FALSE)),5)</f>
        <v>0</v>
      </c>
      <c r="M81" s="229"/>
      <c r="N81" s="243">
        <f t="shared" si="26"/>
        <v>0</v>
      </c>
      <c r="O81" s="1118">
        <f>N81+L81</f>
        <v>0</v>
      </c>
      <c r="P81" s="244">
        <f>'Allocation = % of Margin'!AD82</f>
        <v>0</v>
      </c>
      <c r="Q81" s="923"/>
      <c r="R81" s="801">
        <f t="shared" si="24"/>
        <v>0</v>
      </c>
      <c r="S81" s="1117">
        <f>'Allocation = % of Margin'!U82</f>
        <v>0</v>
      </c>
      <c r="T81" s="244">
        <f>'Allocation = % of Margin'!X82</f>
        <v>0</v>
      </c>
      <c r="U81" s="244">
        <f>'Allocation = % of Margin'!AA82</f>
        <v>0</v>
      </c>
      <c r="V81" s="817">
        <f t="shared" si="25"/>
        <v>0</v>
      </c>
      <c r="W81" s="818">
        <f t="shared" si="28"/>
        <v>0</v>
      </c>
      <c r="X81" s="1117">
        <f>'Rates in summary'!I82</f>
        <v>0</v>
      </c>
      <c r="Y81" s="244">
        <f>'Rates in summary'!J82</f>
        <v>0</v>
      </c>
      <c r="Z81" s="244">
        <f>'Rates in summary'!K82</f>
        <v>0</v>
      </c>
      <c r="AA81" s="1742">
        <f t="shared" si="29"/>
        <v>0</v>
      </c>
      <c r="AB81" s="1198"/>
      <c r="AC81" s="931">
        <f>ROUND(R81*(HLOOKUP(C81,'Rate Spread SETTLEMENT'!$E$101:$AA$106,6,FALSE)),5)</f>
        <v>0</v>
      </c>
      <c r="AD81" s="924">
        <f>'Allocation = % of Margin'!AM82</f>
        <v>0</v>
      </c>
      <c r="AE81" s="924">
        <f>'Allocation = % of Margin'!AG82</f>
        <v>0</v>
      </c>
      <c r="AF81" s="924">
        <f>'Allocation = % of Margin'!AJ82</f>
        <v>0</v>
      </c>
      <c r="AG81" s="817">
        <f t="shared" si="30"/>
        <v>0</v>
      </c>
      <c r="AH81" s="817">
        <f t="shared" si="31"/>
        <v>0</v>
      </c>
      <c r="AI81" s="1795">
        <f t="shared" si="32"/>
        <v>0</v>
      </c>
      <c r="AJ81" s="931">
        <f>'Rates in summary'!R82</f>
        <v>0</v>
      </c>
      <c r="AK81" s="924">
        <f>'Rates in summary'!S82</f>
        <v>0</v>
      </c>
      <c r="AL81" s="924">
        <f>'Rates in summary'!T82</f>
        <v>0</v>
      </c>
      <c r="AM81" s="1768">
        <f>'Rates in summary'!V82</f>
        <v>0</v>
      </c>
      <c r="AN81" s="1758">
        <f t="shared" si="33"/>
        <v>0</v>
      </c>
      <c r="AO81" s="229"/>
      <c r="AP81" s="772">
        <f>'WA Volumes &amp; Revenues'!O83</f>
        <v>0</v>
      </c>
      <c r="AQ81" s="773">
        <f>'WA Volumes &amp; Revenues'!N83</f>
        <v>0</v>
      </c>
      <c r="AR81" s="659"/>
      <c r="AS81" s="244"/>
      <c r="AT81" s="659"/>
      <c r="AU81" s="660"/>
      <c r="AV81" s="229"/>
      <c r="AX81" s="1748">
        <f>AN81-'Rates in summary'!W82</f>
        <v>0</v>
      </c>
    </row>
    <row r="82" spans="1:50" x14ac:dyDescent="0.35">
      <c r="A82" s="132">
        <f t="shared" si="20"/>
        <v>76</v>
      </c>
    </row>
    <row r="83" spans="1:50" x14ac:dyDescent="0.35">
      <c r="A83" s="132">
        <f t="shared" si="20"/>
        <v>77</v>
      </c>
      <c r="B83" s="246" t="s">
        <v>177</v>
      </c>
      <c r="C83" s="246"/>
    </row>
    <row r="84" spans="1:50" x14ac:dyDescent="0.35">
      <c r="A84" s="132"/>
      <c r="B84" s="245"/>
      <c r="C84" s="245"/>
    </row>
    <row r="85" spans="1:50" x14ac:dyDescent="0.35">
      <c r="B85" s="245"/>
      <c r="C85" s="245"/>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7">
    <mergeCell ref="AC5:AN5"/>
    <mergeCell ref="O5:AA5"/>
    <mergeCell ref="AP6:AU6"/>
    <mergeCell ref="E7:J7"/>
    <mergeCell ref="O6:Q6"/>
    <mergeCell ref="S6:U6"/>
    <mergeCell ref="AC6:AF6"/>
  </mergeCells>
  <printOptions horizont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CL108"/>
  <sheetViews>
    <sheetView view="pageLayout" topLeftCell="BW1" zoomScaleNormal="85" workbookViewId="0">
      <selection activeCell="CK27" sqref="CK27"/>
    </sheetView>
  </sheetViews>
  <sheetFormatPr defaultColWidth="9.296875" defaultRowHeight="13" outlineLevelCol="2" x14ac:dyDescent="0.3"/>
  <cols>
    <col min="1" max="1" width="6.796875" style="54" customWidth="1"/>
    <col min="2" max="2" width="17.796875" style="55" customWidth="1"/>
    <col min="3" max="3" width="9.296875" style="55"/>
    <col min="4" max="5" width="17.5" style="55" customWidth="1" outlineLevel="1"/>
    <col min="6" max="6" width="13.296875" style="55" customWidth="1" outlineLevel="1"/>
    <col min="7" max="8" width="13.69921875" style="55" customWidth="1" outlineLevel="1"/>
    <col min="9" max="9" width="14" style="55" customWidth="1" outlineLevel="1"/>
    <col min="10" max="10" width="14.19921875" style="55" customWidth="1" outlineLevel="1"/>
    <col min="11" max="12" width="11.796875" style="55" customWidth="1" outlineLevel="1"/>
    <col min="13" max="16" width="15.5" style="55" customWidth="1" outlineLevel="1"/>
    <col min="17" max="19" width="16.69921875" style="55" customWidth="1"/>
    <col min="20" max="34" width="15.5" style="55" customWidth="1"/>
    <col min="35" max="38" width="16.69921875" style="55" customWidth="1"/>
    <col min="39" max="41" width="16.69921875" style="55" customWidth="1" outlineLevel="1"/>
    <col min="42" max="44" width="15.5" style="55" customWidth="1" outlineLevel="2"/>
    <col min="45" max="47" width="15.5" style="55" customWidth="1" outlineLevel="1"/>
    <col min="48" max="48" width="15.5" style="55" customWidth="1" outlineLevel="1" collapsed="1"/>
    <col min="49" max="50" width="15.5" style="55" customWidth="1" outlineLevel="1"/>
    <col min="51" max="51" width="15.5" style="55" customWidth="1" outlineLevel="1" collapsed="1"/>
    <col min="52" max="56" width="15.5" style="55" customWidth="1" outlineLevel="1"/>
    <col min="57" max="59" width="16.69921875" style="55" customWidth="1" outlineLevel="1"/>
    <col min="60" max="60" width="17.69921875" style="54" bestFit="1" customWidth="1"/>
    <col min="61" max="61" width="9.19921875" style="54" customWidth="1"/>
    <col min="62" max="62" width="13.19921875" style="54" bestFit="1" customWidth="1"/>
    <col min="63" max="63" width="10.796875" style="54" customWidth="1"/>
    <col min="64" max="64" width="18" style="54" customWidth="1"/>
    <col min="65" max="65" width="12.296875" style="54" customWidth="1"/>
    <col min="66" max="70" width="12.69921875" style="54" customWidth="1"/>
    <col min="71" max="71" width="12" style="54" customWidth="1"/>
    <col min="72" max="77" width="16.19921875" style="54" customWidth="1"/>
    <col min="78" max="83" width="15.19921875" style="54" customWidth="1" outlineLevel="1"/>
    <col min="84" max="84" width="20.69921875" style="54" bestFit="1" customWidth="1"/>
    <col min="85" max="85" width="11.5" style="54" bestFit="1" customWidth="1"/>
    <col min="86" max="87" width="9.296875" style="54"/>
    <col min="88" max="88" width="11.19921875" style="54" customWidth="1"/>
    <col min="89" max="89" width="12.5" style="54" bestFit="1" customWidth="1" outlineLevel="1"/>
    <col min="90" max="16384" width="9.296875" style="54"/>
  </cols>
  <sheetData>
    <row r="1" spans="1:88" ht="14.5" x14ac:dyDescent="0.35">
      <c r="A1" s="172" t="str">
        <f>+'WA Volumes &amp; Revenues'!A1</f>
        <v>NW Natural</v>
      </c>
      <c r="R1" s="347"/>
      <c r="V1" s="347"/>
      <c r="Y1" s="347"/>
      <c r="Z1" s="347"/>
      <c r="AA1" s="347"/>
      <c r="AB1" s="347"/>
      <c r="AC1" s="347"/>
      <c r="AD1" s="347"/>
      <c r="AE1" s="347"/>
      <c r="AF1" s="347"/>
      <c r="AG1" s="347"/>
      <c r="AH1" s="347"/>
      <c r="AI1" s="347"/>
      <c r="AJ1" s="347"/>
      <c r="AN1" s="347"/>
      <c r="AO1" s="347"/>
      <c r="AR1" s="347"/>
      <c r="AS1" s="347"/>
      <c r="AT1" s="347"/>
      <c r="AU1" s="347"/>
      <c r="AV1" s="347"/>
      <c r="AW1" s="347"/>
      <c r="AX1" s="347"/>
      <c r="AY1" s="347"/>
      <c r="AZ1" s="347"/>
      <c r="BA1" s="347"/>
      <c r="BB1" s="347"/>
      <c r="BC1" s="347"/>
      <c r="BD1" s="347"/>
      <c r="BE1" s="347"/>
      <c r="BF1" s="347"/>
    </row>
    <row r="2" spans="1:88" ht="14.5" x14ac:dyDescent="0.35">
      <c r="A2" s="172" t="str">
        <f>+'WA Volumes &amp; Revenues'!A2</f>
        <v>Rates &amp; Regulatory Affairs</v>
      </c>
      <c r="I2" s="54"/>
      <c r="J2" s="54"/>
      <c r="K2" s="54"/>
      <c r="L2" s="54"/>
      <c r="Q2" s="139"/>
      <c r="R2" s="346"/>
      <c r="S2" s="1204"/>
      <c r="V2" s="347"/>
      <c r="Y2" s="347"/>
      <c r="Z2" s="347"/>
      <c r="AA2" s="347"/>
      <c r="AB2" s="347"/>
      <c r="AC2" s="347"/>
      <c r="AD2" s="347"/>
      <c r="AE2" s="347"/>
      <c r="AF2" s="347"/>
      <c r="AG2" s="347"/>
      <c r="AH2" s="347"/>
      <c r="AI2" s="347"/>
      <c r="AJ2" s="347"/>
      <c r="AK2" s="346"/>
      <c r="AL2" s="346"/>
      <c r="AM2" s="139"/>
      <c r="AN2" s="347"/>
      <c r="AO2" s="347"/>
      <c r="AR2" s="347"/>
      <c r="AS2" s="347"/>
      <c r="AT2" s="347"/>
      <c r="AU2" s="347"/>
      <c r="AV2" s="347"/>
      <c r="AW2" s="347"/>
      <c r="AX2" s="347"/>
      <c r="AY2" s="347"/>
      <c r="AZ2" s="347"/>
      <c r="BA2" s="347"/>
      <c r="BB2" s="347"/>
      <c r="BC2" s="347"/>
      <c r="BD2" s="347"/>
      <c r="BE2" s="347"/>
      <c r="BF2" s="347"/>
      <c r="BG2" s="346"/>
    </row>
    <row r="3" spans="1:88" ht="14.5" customHeight="1" thickBot="1" x14ac:dyDescent="0.4">
      <c r="A3" s="172" t="str">
        <f>+'WA Volumes &amp; Revenues'!A3</f>
        <v>Test Year Ending September 30, 2020</v>
      </c>
      <c r="I3" s="588"/>
      <c r="J3" s="85"/>
      <c r="K3" s="367"/>
      <c r="L3" s="367"/>
      <c r="Q3" s="170"/>
      <c r="R3" s="347"/>
      <c r="S3" s="170"/>
      <c r="AB3" s="170"/>
      <c r="AC3" s="170"/>
      <c r="AF3" s="170"/>
      <c r="AI3" s="170"/>
      <c r="AJ3" s="347"/>
      <c r="AK3" s="347"/>
      <c r="AL3" s="347"/>
      <c r="AM3" s="170"/>
      <c r="AN3" s="347"/>
      <c r="AO3" s="347"/>
      <c r="AP3" s="170"/>
      <c r="AS3" s="170"/>
      <c r="AV3" s="170"/>
      <c r="AY3" s="170"/>
      <c r="BB3" s="170"/>
      <c r="BE3" s="170"/>
      <c r="BF3" s="170"/>
      <c r="BG3" s="1729"/>
    </row>
    <row r="4" spans="1:88" ht="14.5" customHeight="1" thickBot="1" x14ac:dyDescent="0.4">
      <c r="A4" s="410" t="s">
        <v>230</v>
      </c>
      <c r="I4" s="588"/>
      <c r="J4" s="155"/>
      <c r="K4" s="647"/>
      <c r="L4" s="647"/>
      <c r="AI4" s="1881" t="s">
        <v>781</v>
      </c>
      <c r="AJ4" s="1882"/>
      <c r="AK4" s="1882"/>
      <c r="AL4" s="1883"/>
      <c r="BE4" s="1881" t="s">
        <v>780</v>
      </c>
      <c r="BF4" s="1882"/>
      <c r="BG4" s="1882"/>
      <c r="BH4" s="1883"/>
    </row>
    <row r="5" spans="1:88" ht="15" thickBot="1" x14ac:dyDescent="0.4">
      <c r="I5" s="588"/>
      <c r="J5" s="155"/>
      <c r="K5" s="647"/>
      <c r="L5" s="647"/>
      <c r="M5" s="399"/>
      <c r="N5" s="399"/>
      <c r="O5" s="399"/>
      <c r="P5" s="399"/>
      <c r="Q5" s="1875" t="s">
        <v>778</v>
      </c>
      <c r="R5" s="1876"/>
      <c r="S5" s="1876"/>
      <c r="T5" s="1876"/>
      <c r="U5" s="1876"/>
      <c r="V5" s="1876"/>
      <c r="W5" s="1876"/>
      <c r="X5" s="1876"/>
      <c r="Y5" s="1876"/>
      <c r="Z5" s="1876"/>
      <c r="AA5" s="1876"/>
      <c r="AB5" s="1876"/>
      <c r="AC5" s="1876"/>
      <c r="AD5" s="1876"/>
      <c r="AE5" s="1876"/>
      <c r="AF5" s="1876"/>
      <c r="AG5" s="1876"/>
      <c r="AH5" s="1876"/>
      <c r="AI5" s="1876"/>
      <c r="AJ5" s="1876"/>
      <c r="AK5" s="1876"/>
      <c r="AL5" s="1877"/>
      <c r="AM5" s="1878" t="s">
        <v>779</v>
      </c>
      <c r="AN5" s="1879"/>
      <c r="AO5" s="1879"/>
      <c r="AP5" s="1879"/>
      <c r="AQ5" s="1879"/>
      <c r="AR5" s="1879"/>
      <c r="AS5" s="1879"/>
      <c r="AT5" s="1879"/>
      <c r="AU5" s="1879"/>
      <c r="AV5" s="1879"/>
      <c r="AW5" s="1879"/>
      <c r="AX5" s="1879"/>
      <c r="AY5" s="1879"/>
      <c r="AZ5" s="1879"/>
      <c r="BA5" s="1879"/>
      <c r="BB5" s="1879"/>
      <c r="BC5" s="1879"/>
      <c r="BD5" s="1879"/>
      <c r="BE5" s="1879"/>
      <c r="BF5" s="1879"/>
      <c r="BG5" s="1879"/>
      <c r="BH5" s="1880"/>
    </row>
    <row r="6" spans="1:88" ht="15" thickBot="1" x14ac:dyDescent="0.4">
      <c r="A6" s="653"/>
      <c r="I6" s="54"/>
      <c r="J6" s="54"/>
      <c r="K6" s="54"/>
      <c r="M6" s="54"/>
      <c r="N6" s="54"/>
      <c r="O6" s="54"/>
      <c r="P6" s="54"/>
      <c r="Q6" s="1894" t="s">
        <v>417</v>
      </c>
      <c r="R6" s="1895"/>
      <c r="S6" s="1896"/>
      <c r="T6" s="1897" t="s">
        <v>401</v>
      </c>
      <c r="U6" s="1898"/>
      <c r="V6" s="1899"/>
      <c r="W6" s="1897" t="s">
        <v>478</v>
      </c>
      <c r="X6" s="1898"/>
      <c r="Y6" s="1899"/>
      <c r="Z6" s="1897" t="s">
        <v>479</v>
      </c>
      <c r="AA6" s="1898"/>
      <c r="AB6" s="1899"/>
      <c r="AC6" s="1897" t="s">
        <v>480</v>
      </c>
      <c r="AD6" s="1898"/>
      <c r="AE6" s="1899"/>
      <c r="AF6" s="1897" t="s">
        <v>677</v>
      </c>
      <c r="AG6" s="1898"/>
      <c r="AH6" s="1899"/>
      <c r="AI6" s="1894" t="s">
        <v>182</v>
      </c>
      <c r="AJ6" s="1895"/>
      <c r="AK6" s="1896"/>
      <c r="AL6" s="1196"/>
      <c r="AM6" s="1894" t="s">
        <v>234</v>
      </c>
      <c r="AN6" s="1895"/>
      <c r="AO6" s="1896"/>
      <c r="AP6" s="1897" t="s">
        <v>757</v>
      </c>
      <c r="AQ6" s="1898"/>
      <c r="AR6" s="1899"/>
      <c r="AS6" s="1894" t="s">
        <v>481</v>
      </c>
      <c r="AT6" s="1895"/>
      <c r="AU6" s="1896"/>
      <c r="AV6" s="1897" t="str">
        <f>Z6</f>
        <v xml:space="preserve">Historical EE </v>
      </c>
      <c r="AW6" s="1898"/>
      <c r="AX6" s="1899"/>
      <c r="AY6" s="1897" t="str">
        <f>AC6</f>
        <v>Block 24 (Truck Lot) Sale Credit</v>
      </c>
      <c r="AZ6" s="1898"/>
      <c r="BA6" s="1899"/>
      <c r="BB6" s="1897" t="s">
        <v>755</v>
      </c>
      <c r="BC6" s="1898"/>
      <c r="BD6" s="1899"/>
      <c r="BE6" s="1894" t="s">
        <v>182</v>
      </c>
      <c r="BF6" s="1895"/>
      <c r="BG6" s="1896"/>
      <c r="BH6" s="1201"/>
    </row>
    <row r="7" spans="1:88" ht="13.5" thickBot="1" x14ac:dyDescent="0.35">
      <c r="G7" s="436" t="str">
        <f>D8</f>
        <v>UG-200994</v>
      </c>
      <c r="H7" s="436" t="s">
        <v>228</v>
      </c>
      <c r="I7" s="54"/>
      <c r="K7" s="107" t="s">
        <v>776</v>
      </c>
      <c r="L7" s="107" t="s">
        <v>402</v>
      </c>
      <c r="M7" s="107" t="s">
        <v>776</v>
      </c>
      <c r="N7" s="54"/>
      <c r="O7" s="107" t="s">
        <v>402</v>
      </c>
      <c r="P7" s="54"/>
      <c r="Q7" s="401"/>
      <c r="R7" s="400"/>
      <c r="S7" s="402"/>
      <c r="T7" s="268"/>
      <c r="U7" s="54"/>
      <c r="V7" s="567"/>
      <c r="W7" s="268"/>
      <c r="X7" s="419" t="s">
        <v>482</v>
      </c>
      <c r="Y7" s="567"/>
      <c r="Z7" s="268"/>
      <c r="AA7" s="419" t="s">
        <v>183</v>
      </c>
      <c r="AB7" s="567"/>
      <c r="AC7" s="268"/>
      <c r="AD7" s="419" t="s">
        <v>183</v>
      </c>
      <c r="AE7" s="567"/>
      <c r="AF7" s="268"/>
      <c r="AG7" s="419" t="s">
        <v>183</v>
      </c>
      <c r="AH7" s="567"/>
      <c r="AI7" s="1782" t="s">
        <v>777</v>
      </c>
      <c r="AJ7" s="1785" t="s">
        <v>777</v>
      </c>
      <c r="AK7" s="1783" t="s">
        <v>777</v>
      </c>
      <c r="AL7" s="400"/>
      <c r="AM7" s="401"/>
      <c r="AN7" s="400"/>
      <c r="AO7" s="402"/>
      <c r="AP7" s="268"/>
      <c r="AQ7" s="54"/>
      <c r="AR7" s="567"/>
      <c r="AS7" s="268"/>
      <c r="AT7" s="419" t="s">
        <v>183</v>
      </c>
      <c r="AU7" s="567"/>
      <c r="AV7" s="268"/>
      <c r="AW7" s="419" t="s">
        <v>183</v>
      </c>
      <c r="AX7" s="567"/>
      <c r="AY7" s="268"/>
      <c r="AZ7" s="419" t="s">
        <v>183</v>
      </c>
      <c r="BA7" s="567"/>
      <c r="BB7" s="54"/>
      <c r="BC7" s="54" t="s">
        <v>183</v>
      </c>
      <c r="BD7" s="54"/>
      <c r="BE7" s="1782" t="s">
        <v>777</v>
      </c>
      <c r="BF7" s="1785" t="s">
        <v>777</v>
      </c>
      <c r="BG7" s="1783" t="s">
        <v>777</v>
      </c>
      <c r="BH7" s="1202"/>
    </row>
    <row r="8" spans="1:88" x14ac:dyDescent="0.3">
      <c r="A8" s="85">
        <v>1</v>
      </c>
      <c r="D8" s="436" t="s">
        <v>599</v>
      </c>
      <c r="E8" s="436" t="s">
        <v>228</v>
      </c>
      <c r="G8" s="348" t="s">
        <v>79</v>
      </c>
      <c r="H8" s="348" t="s">
        <v>79</v>
      </c>
      <c r="I8" s="60" t="s">
        <v>18</v>
      </c>
      <c r="J8" s="349" t="str">
        <f>D8</f>
        <v>UG-200994</v>
      </c>
      <c r="K8" s="107" t="s">
        <v>599</v>
      </c>
      <c r="L8" s="107" t="s">
        <v>599</v>
      </c>
      <c r="M8" s="107" t="s">
        <v>599</v>
      </c>
      <c r="N8" s="349" t="s">
        <v>228</v>
      </c>
      <c r="O8" s="107" t="s">
        <v>599</v>
      </c>
      <c r="P8" s="349" t="s">
        <v>228</v>
      </c>
      <c r="Q8" s="566" t="str">
        <f>D8</f>
        <v>UG-200994</v>
      </c>
      <c r="R8" s="351" t="str">
        <f>Q8</f>
        <v>UG-200994</v>
      </c>
      <c r="S8" s="978" t="str">
        <f>Q8</f>
        <v>UG-200994</v>
      </c>
      <c r="T8" s="566" t="s">
        <v>228</v>
      </c>
      <c r="U8" s="351" t="str">
        <f t="shared" ref="U8:V10" si="0">T8</f>
        <v>PGA</v>
      </c>
      <c r="V8" s="978" t="str">
        <f t="shared" si="0"/>
        <v>PGA</v>
      </c>
      <c r="W8" s="566" t="str">
        <f>Q8</f>
        <v>UG-200994</v>
      </c>
      <c r="X8" s="351" t="str">
        <f t="shared" ref="X8:X10" si="1">W8</f>
        <v>UG-200994</v>
      </c>
      <c r="Y8" s="978" t="str">
        <f t="shared" ref="Y8:Y10" si="2">X8</f>
        <v>UG-200994</v>
      </c>
      <c r="Z8" s="566" t="str">
        <f>W8</f>
        <v>UG-200994</v>
      </c>
      <c r="AA8" s="351" t="str">
        <f t="shared" ref="AA8:AA10" si="3">Z8</f>
        <v>UG-200994</v>
      </c>
      <c r="AB8" s="978" t="str">
        <f t="shared" ref="AB8:AB10" si="4">AA8</f>
        <v>UG-200994</v>
      </c>
      <c r="AC8" s="351" t="str">
        <f>Z8</f>
        <v>UG-200994</v>
      </c>
      <c r="AD8" s="351" t="str">
        <f t="shared" ref="AD8:AD10" si="5">AC8</f>
        <v>UG-200994</v>
      </c>
      <c r="AE8" s="978" t="str">
        <f t="shared" ref="AE8:AE10" si="6">AD8</f>
        <v>UG-200994</v>
      </c>
      <c r="AF8" s="351" t="str">
        <f>AC8</f>
        <v>UG-200994</v>
      </c>
      <c r="AG8" s="351" t="str">
        <f t="shared" ref="AG8:AG10" si="7">AF8</f>
        <v>UG-200994</v>
      </c>
      <c r="AH8" s="978" t="str">
        <f t="shared" ref="AH8:AH10" si="8">AG8</f>
        <v>UG-200994</v>
      </c>
      <c r="AI8" s="1781" t="s">
        <v>764</v>
      </c>
      <c r="AJ8" s="1786" t="s">
        <v>764</v>
      </c>
      <c r="AK8" s="1784" t="s">
        <v>764</v>
      </c>
      <c r="AL8" s="351"/>
      <c r="AM8" s="566" t="str">
        <f>Q8</f>
        <v>UG-200994</v>
      </c>
      <c r="AN8" s="351" t="str">
        <f>Q8</f>
        <v>UG-200994</v>
      </c>
      <c r="AO8" s="978" t="str">
        <f>AM8</f>
        <v>UG-200994</v>
      </c>
      <c r="AP8" s="566" t="str">
        <f>AM8</f>
        <v>UG-200994</v>
      </c>
      <c r="AQ8" s="351" t="str">
        <f t="shared" ref="AQ8:AQ10" si="9">AP8</f>
        <v>UG-200994</v>
      </c>
      <c r="AR8" s="978" t="str">
        <f t="shared" ref="AR8:AR10" si="10">AQ8</f>
        <v>UG-200994</v>
      </c>
      <c r="AS8" s="566" t="str">
        <f>AP8</f>
        <v>UG-200994</v>
      </c>
      <c r="AT8" s="351" t="str">
        <f t="shared" ref="AT8:AT10" si="11">AS8</f>
        <v>UG-200994</v>
      </c>
      <c r="AU8" s="978" t="str">
        <f t="shared" ref="AU8:AU10" si="12">AT8</f>
        <v>UG-200994</v>
      </c>
      <c r="AV8" s="566" t="str">
        <f>AS8</f>
        <v>UG-200994</v>
      </c>
      <c r="AW8" s="351" t="str">
        <f t="shared" ref="AW8:AW10" si="13">AV8</f>
        <v>UG-200994</v>
      </c>
      <c r="AX8" s="978" t="str">
        <f t="shared" ref="AX8:AX10" si="14">AW8</f>
        <v>UG-200994</v>
      </c>
      <c r="AY8" s="566" t="str">
        <f>AS8</f>
        <v>UG-200994</v>
      </c>
      <c r="AZ8" s="351" t="str">
        <f t="shared" ref="AZ8:AZ10" si="15">AY8</f>
        <v>UG-200994</v>
      </c>
      <c r="BA8" s="978" t="str">
        <f t="shared" ref="BA8:BA10" si="16">AZ8</f>
        <v>UG-200994</v>
      </c>
      <c r="BB8" s="566" t="s">
        <v>756</v>
      </c>
      <c r="BC8" s="351" t="s">
        <v>756</v>
      </c>
      <c r="BD8" s="978" t="s">
        <v>756</v>
      </c>
      <c r="BE8" s="1781" t="s">
        <v>767</v>
      </c>
      <c r="BF8" s="1786" t="s">
        <v>767</v>
      </c>
      <c r="BG8" s="1784" t="s">
        <v>767</v>
      </c>
      <c r="BH8" s="352"/>
    </row>
    <row r="9" spans="1:88" ht="13.5" thickBot="1" x14ac:dyDescent="0.35">
      <c r="A9" s="85">
        <f t="shared" ref="A9:A91" si="17">+A8+1</f>
        <v>2</v>
      </c>
      <c r="D9" s="60" t="s">
        <v>357</v>
      </c>
      <c r="E9" s="60" t="str">
        <f>D9</f>
        <v>Washington</v>
      </c>
      <c r="F9" s="348"/>
      <c r="G9" s="348" t="s">
        <v>65</v>
      </c>
      <c r="H9" s="348" t="s">
        <v>65</v>
      </c>
      <c r="I9" s="60" t="s">
        <v>67</v>
      </c>
      <c r="J9" s="60" t="s">
        <v>67</v>
      </c>
      <c r="K9" s="349">
        <v>44136</v>
      </c>
      <c r="L9" s="349">
        <v>44501</v>
      </c>
      <c r="M9" s="348">
        <f>+K9</f>
        <v>44136</v>
      </c>
      <c r="N9" s="348">
        <f>+M9</f>
        <v>44136</v>
      </c>
      <c r="O9" s="348">
        <v>44501</v>
      </c>
      <c r="P9" s="348">
        <f>+O9</f>
        <v>44501</v>
      </c>
      <c r="Q9" s="350">
        <v>44501</v>
      </c>
      <c r="R9" s="351">
        <f>Q9</f>
        <v>44501</v>
      </c>
      <c r="S9" s="352">
        <f>R9</f>
        <v>44501</v>
      </c>
      <c r="T9" s="566">
        <f>Q9</f>
        <v>44501</v>
      </c>
      <c r="U9" s="351">
        <f t="shared" si="0"/>
        <v>44501</v>
      </c>
      <c r="V9" s="352">
        <f t="shared" si="0"/>
        <v>44501</v>
      </c>
      <c r="W9" s="566">
        <f>T9</f>
        <v>44501</v>
      </c>
      <c r="X9" s="351">
        <f t="shared" si="1"/>
        <v>44501</v>
      </c>
      <c r="Y9" s="352">
        <f t="shared" si="2"/>
        <v>44501</v>
      </c>
      <c r="Z9" s="566">
        <f>W9</f>
        <v>44501</v>
      </c>
      <c r="AA9" s="351">
        <f t="shared" si="3"/>
        <v>44501</v>
      </c>
      <c r="AB9" s="352">
        <f t="shared" si="4"/>
        <v>44501</v>
      </c>
      <c r="AC9" s="351">
        <f>Z9</f>
        <v>44501</v>
      </c>
      <c r="AD9" s="351">
        <f t="shared" si="5"/>
        <v>44501</v>
      </c>
      <c r="AE9" s="352">
        <f t="shared" si="6"/>
        <v>44501</v>
      </c>
      <c r="AF9" s="351">
        <f>AC9</f>
        <v>44501</v>
      </c>
      <c r="AG9" s="351">
        <f t="shared" si="7"/>
        <v>44501</v>
      </c>
      <c r="AH9" s="352">
        <f t="shared" si="8"/>
        <v>44501</v>
      </c>
      <c r="AI9" s="566">
        <f>Q9</f>
        <v>44501</v>
      </c>
      <c r="AJ9" s="351">
        <f t="shared" ref="AJ9:AJ10" si="18">AI9</f>
        <v>44501</v>
      </c>
      <c r="AK9" s="352">
        <f t="shared" ref="AK9:AK10" si="19">AJ9</f>
        <v>44501</v>
      </c>
      <c r="AL9" s="351"/>
      <c r="AM9" s="350">
        <v>44866</v>
      </c>
      <c r="AN9" s="351">
        <f>AM9</f>
        <v>44866</v>
      </c>
      <c r="AO9" s="352">
        <f>AN9</f>
        <v>44866</v>
      </c>
      <c r="AP9" s="566">
        <f>AM9</f>
        <v>44866</v>
      </c>
      <c r="AQ9" s="351">
        <f t="shared" si="9"/>
        <v>44866</v>
      </c>
      <c r="AR9" s="352">
        <f t="shared" si="10"/>
        <v>44866</v>
      </c>
      <c r="AS9" s="350">
        <f>AP9</f>
        <v>44866</v>
      </c>
      <c r="AT9" s="351">
        <f t="shared" si="11"/>
        <v>44866</v>
      </c>
      <c r="AU9" s="352">
        <f t="shared" si="12"/>
        <v>44866</v>
      </c>
      <c r="AV9" s="350">
        <f>AS9</f>
        <v>44866</v>
      </c>
      <c r="AW9" s="351">
        <f t="shared" si="13"/>
        <v>44866</v>
      </c>
      <c r="AX9" s="352">
        <f t="shared" si="14"/>
        <v>44866</v>
      </c>
      <c r="AY9" s="350">
        <f>AS9</f>
        <v>44866</v>
      </c>
      <c r="AZ9" s="351">
        <f t="shared" si="15"/>
        <v>44866</v>
      </c>
      <c r="BA9" s="352">
        <f t="shared" si="16"/>
        <v>44866</v>
      </c>
      <c r="BB9" s="350">
        <f>AV9</f>
        <v>44866</v>
      </c>
      <c r="BC9" s="351">
        <f t="shared" ref="BC9:BC10" si="20">BB9</f>
        <v>44866</v>
      </c>
      <c r="BD9" s="352">
        <f t="shared" ref="BD9:BD10" si="21">BC9</f>
        <v>44866</v>
      </c>
      <c r="BE9" s="566">
        <f>AM9</f>
        <v>44866</v>
      </c>
      <c r="BF9" s="351">
        <f t="shared" ref="BF9:BG10" si="22">BE9</f>
        <v>44866</v>
      </c>
      <c r="BG9" s="352">
        <f t="shared" si="22"/>
        <v>44866</v>
      </c>
      <c r="BH9" s="352"/>
    </row>
    <row r="10" spans="1:88" ht="13.5" thickBot="1" x14ac:dyDescent="0.35">
      <c r="A10" s="85">
        <f t="shared" si="17"/>
        <v>3</v>
      </c>
      <c r="D10" s="60" t="s">
        <v>185</v>
      </c>
      <c r="E10" s="60" t="s">
        <v>185</v>
      </c>
      <c r="F10" s="60" t="s">
        <v>64</v>
      </c>
      <c r="G10" s="60" t="s">
        <v>68</v>
      </c>
      <c r="H10" s="60" t="s">
        <v>68</v>
      </c>
      <c r="I10" s="60" t="s">
        <v>68</v>
      </c>
      <c r="J10" s="60" t="s">
        <v>68</v>
      </c>
      <c r="K10" s="60" t="s">
        <v>15</v>
      </c>
      <c r="L10" s="60" t="s">
        <v>15</v>
      </c>
      <c r="M10" s="60" t="s">
        <v>18</v>
      </c>
      <c r="N10" s="60" t="s">
        <v>18</v>
      </c>
      <c r="O10" s="60" t="s">
        <v>18</v>
      </c>
      <c r="P10" s="60" t="s">
        <v>18</v>
      </c>
      <c r="Q10" s="417" t="s">
        <v>21</v>
      </c>
      <c r="R10" s="85" t="str">
        <f>Q10</f>
        <v>Proposed</v>
      </c>
      <c r="S10" s="565" t="str">
        <f>R10</f>
        <v>Proposed</v>
      </c>
      <c r="T10" s="417" t="s">
        <v>21</v>
      </c>
      <c r="U10" s="85" t="str">
        <f t="shared" si="0"/>
        <v>Proposed</v>
      </c>
      <c r="V10" s="568" t="str">
        <f t="shared" si="0"/>
        <v>Proposed</v>
      </c>
      <c r="W10" s="417" t="s">
        <v>21</v>
      </c>
      <c r="X10" s="85" t="str">
        <f t="shared" si="1"/>
        <v>Proposed</v>
      </c>
      <c r="Y10" s="568" t="str">
        <f t="shared" si="2"/>
        <v>Proposed</v>
      </c>
      <c r="Z10" s="417" t="s">
        <v>21</v>
      </c>
      <c r="AA10" s="85" t="str">
        <f t="shared" si="3"/>
        <v>Proposed</v>
      </c>
      <c r="AB10" s="568" t="str">
        <f t="shared" si="4"/>
        <v>Proposed</v>
      </c>
      <c r="AC10" s="85" t="s">
        <v>21</v>
      </c>
      <c r="AD10" s="85" t="str">
        <f t="shared" si="5"/>
        <v>Proposed</v>
      </c>
      <c r="AE10" s="568" t="str">
        <f t="shared" si="6"/>
        <v>Proposed</v>
      </c>
      <c r="AF10" s="85" t="s">
        <v>21</v>
      </c>
      <c r="AG10" s="85" t="str">
        <f t="shared" si="7"/>
        <v>Proposed</v>
      </c>
      <c r="AH10" s="568" t="str">
        <f t="shared" si="8"/>
        <v>Proposed</v>
      </c>
      <c r="AI10" s="417" t="s">
        <v>21</v>
      </c>
      <c r="AJ10" s="85" t="str">
        <f t="shared" si="18"/>
        <v>Proposed</v>
      </c>
      <c r="AK10" s="565" t="str">
        <f t="shared" si="19"/>
        <v>Proposed</v>
      </c>
      <c r="AL10" s="1158" t="s">
        <v>483</v>
      </c>
      <c r="AM10" s="417" t="s">
        <v>21</v>
      </c>
      <c r="AN10" s="85" t="str">
        <f>AM10</f>
        <v>Proposed</v>
      </c>
      <c r="AO10" s="565" t="str">
        <f>AN10</f>
        <v>Proposed</v>
      </c>
      <c r="AP10" s="417" t="s">
        <v>21</v>
      </c>
      <c r="AQ10" s="85" t="str">
        <f t="shared" si="9"/>
        <v>Proposed</v>
      </c>
      <c r="AR10" s="568" t="str">
        <f t="shared" si="10"/>
        <v>Proposed</v>
      </c>
      <c r="AS10" s="417" t="s">
        <v>21</v>
      </c>
      <c r="AT10" s="85" t="str">
        <f t="shared" si="11"/>
        <v>Proposed</v>
      </c>
      <c r="AU10" s="565" t="str">
        <f t="shared" si="12"/>
        <v>Proposed</v>
      </c>
      <c r="AV10" s="417" t="s">
        <v>21</v>
      </c>
      <c r="AW10" s="85" t="str">
        <f t="shared" si="13"/>
        <v>Proposed</v>
      </c>
      <c r="AX10" s="565" t="str">
        <f t="shared" si="14"/>
        <v>Proposed</v>
      </c>
      <c r="AY10" s="417" t="s">
        <v>21</v>
      </c>
      <c r="AZ10" s="85" t="str">
        <f t="shared" si="15"/>
        <v>Proposed</v>
      </c>
      <c r="BA10" s="565" t="str">
        <f t="shared" si="16"/>
        <v>Proposed</v>
      </c>
      <c r="BB10" s="417" t="s">
        <v>21</v>
      </c>
      <c r="BC10" s="85" t="str">
        <f t="shared" si="20"/>
        <v>Proposed</v>
      </c>
      <c r="BD10" s="565" t="str">
        <f t="shared" si="21"/>
        <v>Proposed</v>
      </c>
      <c r="BE10" s="417" t="s">
        <v>21</v>
      </c>
      <c r="BF10" s="85" t="str">
        <f t="shared" si="22"/>
        <v>Proposed</v>
      </c>
      <c r="BG10" s="565" t="str">
        <f t="shared" si="22"/>
        <v>Proposed</v>
      </c>
      <c r="BH10" s="565" t="s">
        <v>486</v>
      </c>
      <c r="BT10" s="1846" t="s">
        <v>511</v>
      </c>
      <c r="BU10" s="1847"/>
      <c r="BV10" s="1847"/>
      <c r="BW10" s="1847"/>
      <c r="BX10" s="1847"/>
      <c r="BY10" s="1848"/>
      <c r="BZ10" s="1846" t="s">
        <v>512</v>
      </c>
      <c r="CA10" s="1847"/>
      <c r="CB10" s="1847"/>
      <c r="CC10" s="1847"/>
      <c r="CD10" s="1847"/>
      <c r="CE10" s="1848"/>
    </row>
    <row r="11" spans="1:88" s="56" customFormat="1" ht="13.5" thickBot="1" x14ac:dyDescent="0.35">
      <c r="A11" s="85">
        <f t="shared" si="17"/>
        <v>4</v>
      </c>
      <c r="B11" s="55"/>
      <c r="C11" s="55"/>
      <c r="D11" s="353" t="s">
        <v>168</v>
      </c>
      <c r="E11" s="353" t="s">
        <v>168</v>
      </c>
      <c r="F11" s="353" t="s">
        <v>3</v>
      </c>
      <c r="G11" s="353" t="s">
        <v>66</v>
      </c>
      <c r="H11" s="353" t="s">
        <v>66</v>
      </c>
      <c r="I11" s="353" t="s">
        <v>69</v>
      </c>
      <c r="J11" s="353" t="s">
        <v>69</v>
      </c>
      <c r="K11" s="353" t="s">
        <v>16</v>
      </c>
      <c r="L11" s="353" t="s">
        <v>16</v>
      </c>
      <c r="M11" s="353" t="s">
        <v>70</v>
      </c>
      <c r="N11" s="353" t="s">
        <v>70</v>
      </c>
      <c r="O11" s="353" t="s">
        <v>70</v>
      </c>
      <c r="P11" s="353" t="s">
        <v>70</v>
      </c>
      <c r="Q11" s="290" t="s">
        <v>16</v>
      </c>
      <c r="R11" s="289" t="s">
        <v>70</v>
      </c>
      <c r="S11" s="355" t="s">
        <v>71</v>
      </c>
      <c r="T11" s="290" t="s">
        <v>28</v>
      </c>
      <c r="U11" s="289" t="s">
        <v>70</v>
      </c>
      <c r="V11" s="543" t="s">
        <v>71</v>
      </c>
      <c r="W11" s="290" t="s">
        <v>28</v>
      </c>
      <c r="X11" s="289" t="s">
        <v>70</v>
      </c>
      <c r="Y11" s="543" t="s">
        <v>71</v>
      </c>
      <c r="Z11" s="290" t="s">
        <v>28</v>
      </c>
      <c r="AA11" s="289" t="s">
        <v>70</v>
      </c>
      <c r="AB11" s="543" t="s">
        <v>71</v>
      </c>
      <c r="AC11" s="290" t="s">
        <v>28</v>
      </c>
      <c r="AD11" s="289" t="s">
        <v>70</v>
      </c>
      <c r="AE11" s="543" t="s">
        <v>71</v>
      </c>
      <c r="AF11" s="290" t="s">
        <v>28</v>
      </c>
      <c r="AG11" s="1491" t="s">
        <v>70</v>
      </c>
      <c r="AH11" s="543" t="s">
        <v>71</v>
      </c>
      <c r="AI11" s="290" t="s">
        <v>16</v>
      </c>
      <c r="AJ11" s="289" t="s">
        <v>70</v>
      </c>
      <c r="AK11" s="355" t="s">
        <v>71</v>
      </c>
      <c r="AL11" s="1715" t="s">
        <v>484</v>
      </c>
      <c r="AM11" s="290" t="s">
        <v>16</v>
      </c>
      <c r="AN11" s="289" t="s">
        <v>70</v>
      </c>
      <c r="AO11" s="355" t="s">
        <v>71</v>
      </c>
      <c r="AP11" s="290" t="s">
        <v>28</v>
      </c>
      <c r="AQ11" s="289" t="s">
        <v>70</v>
      </c>
      <c r="AR11" s="543" t="s">
        <v>71</v>
      </c>
      <c r="AS11" s="290" t="s">
        <v>28</v>
      </c>
      <c r="AT11" s="289" t="s">
        <v>70</v>
      </c>
      <c r="AU11" s="355" t="s">
        <v>71</v>
      </c>
      <c r="AV11" s="290" t="s">
        <v>28</v>
      </c>
      <c r="AW11" s="289" t="s">
        <v>70</v>
      </c>
      <c r="AX11" s="355" t="s">
        <v>71</v>
      </c>
      <c r="AY11" s="290" t="s">
        <v>28</v>
      </c>
      <c r="AZ11" s="289" t="s">
        <v>70</v>
      </c>
      <c r="BA11" s="355" t="s">
        <v>71</v>
      </c>
      <c r="BB11" s="290" t="s">
        <v>28</v>
      </c>
      <c r="BC11" s="1695" t="s">
        <v>70</v>
      </c>
      <c r="BD11" s="355" t="s">
        <v>71</v>
      </c>
      <c r="BE11" s="290" t="s">
        <v>16</v>
      </c>
      <c r="BF11" s="289" t="s">
        <v>70</v>
      </c>
      <c r="BG11" s="355" t="s">
        <v>71</v>
      </c>
      <c r="BH11" s="543" t="s">
        <v>484</v>
      </c>
      <c r="BT11" s="1886" t="str">
        <f>Q6</f>
        <v xml:space="preserve">REVENUE REQUIREMENT </v>
      </c>
      <c r="BU11" s="1887"/>
      <c r="BV11" s="1887" t="str">
        <f>T6</f>
        <v>2021-2022 PGA</v>
      </c>
      <c r="BW11" s="1887"/>
      <c r="BX11" s="1888" t="s">
        <v>260</v>
      </c>
      <c r="BY11" s="1887"/>
      <c r="BZ11" s="1886" t="str">
        <f>AM6</f>
        <v>REVENUE REQUIREMENT</v>
      </c>
      <c r="CA11" s="1887"/>
      <c r="CB11" s="1887" t="str">
        <f>AP6</f>
        <v>2022-2023 PGA + Other Filings</v>
      </c>
      <c r="CC11" s="1887"/>
      <c r="CD11" s="1888" t="s">
        <v>260</v>
      </c>
      <c r="CE11" s="1887"/>
    </row>
    <row r="12" spans="1:88" s="56" customFormat="1" x14ac:dyDescent="0.3">
      <c r="A12" s="85">
        <f t="shared" si="17"/>
        <v>5</v>
      </c>
      <c r="B12" s="55"/>
      <c r="C12" s="406"/>
      <c r="D12" s="149"/>
      <c r="E12" s="149"/>
      <c r="F12" s="149"/>
      <c r="G12" s="149"/>
      <c r="H12" s="149"/>
      <c r="I12" s="149"/>
      <c r="J12" s="149"/>
      <c r="K12" s="149"/>
      <c r="L12" s="149"/>
      <c r="M12" s="58" t="s">
        <v>543</v>
      </c>
      <c r="N12" s="58" t="s">
        <v>542</v>
      </c>
      <c r="O12" s="58" t="s">
        <v>722</v>
      </c>
      <c r="P12" s="58" t="s">
        <v>544</v>
      </c>
      <c r="Q12" s="147"/>
      <c r="R12" s="356"/>
      <c r="S12" s="357"/>
      <c r="T12" s="147"/>
      <c r="U12" s="57"/>
      <c r="V12" s="541"/>
      <c r="W12" s="147"/>
      <c r="X12" s="57"/>
      <c r="Y12" s="541"/>
      <c r="Z12" s="147"/>
      <c r="AA12" s="57"/>
      <c r="AB12" s="541"/>
      <c r="AC12" s="57"/>
      <c r="AD12" s="57"/>
      <c r="AE12" s="541"/>
      <c r="AF12" s="57"/>
      <c r="AG12" s="57"/>
      <c r="AH12" s="147"/>
      <c r="AI12" s="147"/>
      <c r="AJ12" s="356"/>
      <c r="AK12" s="357"/>
      <c r="AL12" s="150"/>
      <c r="AM12" s="147"/>
      <c r="AN12" s="1440"/>
      <c r="AO12" s="357"/>
      <c r="AP12" s="147"/>
      <c r="AQ12" s="57"/>
      <c r="AR12" s="541"/>
      <c r="AS12" s="147"/>
      <c r="AT12" s="1440"/>
      <c r="AU12" s="357"/>
      <c r="AV12" s="147"/>
      <c r="AW12" s="1440"/>
      <c r="AX12" s="357"/>
      <c r="AY12" s="147"/>
      <c r="AZ12" s="1440"/>
      <c r="BA12" s="357"/>
      <c r="BB12" s="150"/>
      <c r="BC12" s="150"/>
      <c r="BD12" s="150"/>
      <c r="BE12" s="147"/>
      <c r="BF12" s="356"/>
      <c r="BG12" s="357"/>
      <c r="BH12" s="844"/>
      <c r="BS12" s="1577" t="s">
        <v>258</v>
      </c>
      <c r="BT12" s="1891" t="s">
        <v>257</v>
      </c>
      <c r="BU12" s="1889" t="s">
        <v>259</v>
      </c>
      <c r="BV12" s="1891" t="s">
        <v>257</v>
      </c>
      <c r="BW12" s="1889" t="s">
        <v>259</v>
      </c>
      <c r="BX12" s="1884" t="s">
        <v>257</v>
      </c>
      <c r="BY12" s="1889" t="s">
        <v>259</v>
      </c>
      <c r="BZ12" s="1891" t="s">
        <v>257</v>
      </c>
      <c r="CA12" s="1889" t="s">
        <v>259</v>
      </c>
      <c r="CB12" s="1891" t="s">
        <v>257</v>
      </c>
      <c r="CC12" s="1889" t="s">
        <v>259</v>
      </c>
      <c r="CD12" s="1884" t="s">
        <v>257</v>
      </c>
      <c r="CE12" s="1889" t="s">
        <v>259</v>
      </c>
    </row>
    <row r="13" spans="1:88" s="56" customFormat="1" ht="12.75" customHeight="1" x14ac:dyDescent="0.3">
      <c r="A13" s="85">
        <f t="shared" si="17"/>
        <v>6</v>
      </c>
      <c r="B13" s="725" t="s">
        <v>2</v>
      </c>
      <c r="C13" s="857" t="s">
        <v>3</v>
      </c>
      <c r="D13" s="123" t="s">
        <v>35</v>
      </c>
      <c r="E13" s="123" t="s">
        <v>36</v>
      </c>
      <c r="F13" s="123" t="s">
        <v>13</v>
      </c>
      <c r="G13" s="123" t="s">
        <v>37</v>
      </c>
      <c r="H13" s="123" t="s">
        <v>38</v>
      </c>
      <c r="I13" s="123" t="s">
        <v>39</v>
      </c>
      <c r="J13" s="123" t="s">
        <v>40</v>
      </c>
      <c r="K13" s="123" t="s">
        <v>41</v>
      </c>
      <c r="L13" s="706" t="s">
        <v>42</v>
      </c>
      <c r="M13" s="123" t="s">
        <v>124</v>
      </c>
      <c r="N13" s="123" t="s">
        <v>125</v>
      </c>
      <c r="O13" s="706" t="s">
        <v>43</v>
      </c>
      <c r="P13" s="706" t="s">
        <v>126</v>
      </c>
      <c r="Q13" s="151" t="s">
        <v>127</v>
      </c>
      <c r="R13" s="654" t="s">
        <v>128</v>
      </c>
      <c r="S13" s="358" t="s">
        <v>129</v>
      </c>
      <c r="T13" s="151" t="s">
        <v>130</v>
      </c>
      <c r="U13" s="123" t="s">
        <v>86</v>
      </c>
      <c r="V13" s="358" t="s">
        <v>89</v>
      </c>
      <c r="W13" s="151" t="s">
        <v>90</v>
      </c>
      <c r="X13" s="706" t="s">
        <v>91</v>
      </c>
      <c r="Y13" s="358" t="s">
        <v>180</v>
      </c>
      <c r="Z13" s="151" t="s">
        <v>224</v>
      </c>
      <c r="AA13" s="706" t="s">
        <v>219</v>
      </c>
      <c r="AB13" s="358" t="s">
        <v>225</v>
      </c>
      <c r="AC13" s="57" t="s">
        <v>226</v>
      </c>
      <c r="AD13" s="706" t="s">
        <v>227</v>
      </c>
      <c r="AE13" s="358" t="s">
        <v>243</v>
      </c>
      <c r="AF13" s="57" t="s">
        <v>410</v>
      </c>
      <c r="AG13" s="706" t="s">
        <v>244</v>
      </c>
      <c r="AH13" s="151" t="s">
        <v>245</v>
      </c>
      <c r="AI13" s="151" t="s">
        <v>545</v>
      </c>
      <c r="AJ13" s="706" t="s">
        <v>249</v>
      </c>
      <c r="AK13" s="358" t="s">
        <v>458</v>
      </c>
      <c r="AL13" s="151" t="s">
        <v>546</v>
      </c>
      <c r="AM13" s="151" t="s">
        <v>411</v>
      </c>
      <c r="AN13" s="706" t="s">
        <v>459</v>
      </c>
      <c r="AO13" s="358" t="s">
        <v>250</v>
      </c>
      <c r="AP13" s="151" t="s">
        <v>90</v>
      </c>
      <c r="AQ13" s="706" t="s">
        <v>91</v>
      </c>
      <c r="AR13" s="358" t="s">
        <v>180</v>
      </c>
      <c r="AS13" s="151" t="s">
        <v>251</v>
      </c>
      <c r="AT13" s="706" t="s">
        <v>412</v>
      </c>
      <c r="AU13" s="358" t="s">
        <v>723</v>
      </c>
      <c r="AV13" s="151" t="s">
        <v>252</v>
      </c>
      <c r="AW13" s="706" t="s">
        <v>460</v>
      </c>
      <c r="AX13" s="358" t="s">
        <v>413</v>
      </c>
      <c r="AY13" s="151" t="s">
        <v>414</v>
      </c>
      <c r="AZ13" s="706" t="s">
        <v>415</v>
      </c>
      <c r="BA13" s="358" t="s">
        <v>724</v>
      </c>
      <c r="BB13" s="151"/>
      <c r="BC13" s="151"/>
      <c r="BD13" s="151"/>
      <c r="BE13" s="151" t="s">
        <v>725</v>
      </c>
      <c r="BF13" s="123" t="s">
        <v>726</v>
      </c>
      <c r="BG13" s="358" t="s">
        <v>727</v>
      </c>
      <c r="BH13" s="358" t="s">
        <v>728</v>
      </c>
      <c r="BS13" s="1578" t="s">
        <v>2</v>
      </c>
      <c r="BT13" s="1892"/>
      <c r="BU13" s="1890"/>
      <c r="BV13" s="1892"/>
      <c r="BW13" s="1890"/>
      <c r="BX13" s="1885"/>
      <c r="BY13" s="1890"/>
      <c r="BZ13" s="1892"/>
      <c r="CA13" s="1890"/>
      <c r="CB13" s="1892"/>
      <c r="CC13" s="1890"/>
      <c r="CD13" s="1885"/>
      <c r="CE13" s="1890"/>
      <c r="CF13" s="54"/>
      <c r="CG13" s="54"/>
      <c r="CH13" s="54"/>
      <c r="CI13" s="54"/>
      <c r="CJ13" s="1222"/>
    </row>
    <row r="14" spans="1:88" x14ac:dyDescent="0.3">
      <c r="A14" s="85">
        <f t="shared" si="17"/>
        <v>7</v>
      </c>
      <c r="B14" s="708" t="str">
        <f>'WA Volumes &amp; Revenues'!B15</f>
        <v>1R</v>
      </c>
      <c r="C14" s="829" t="s">
        <v>270</v>
      </c>
      <c r="D14" s="359">
        <f>'WA Volumes &amp; Revenues'!E15</f>
        <v>214704.20066131229</v>
      </c>
      <c r="E14" s="359">
        <f>'WA Volumes &amp; Revenues'!F15</f>
        <v>218577.4</v>
      </c>
      <c r="F14" s="360" t="s">
        <v>270</v>
      </c>
      <c r="G14" s="361">
        <f>'WA Volumes &amp; Revenues'!I15</f>
        <v>19.639970000000002</v>
      </c>
      <c r="H14" s="361">
        <f>'WA Volumes &amp; Revenues'!L15</f>
        <v>20</v>
      </c>
      <c r="I14" s="861">
        <f>'WA Volumes &amp; Revenues'!O15</f>
        <v>5.5</v>
      </c>
      <c r="J14" s="362">
        <f>'WA Volumes &amp; Revenues'!N15</f>
        <v>5.5</v>
      </c>
      <c r="K14" s="122">
        <f>+'Rates in summary'!D14</f>
        <v>1.1525299999999998</v>
      </c>
      <c r="L14" s="122">
        <f>+'Rates in summary'!M14</f>
        <v>1.3474699999999995</v>
      </c>
      <c r="M14" s="362">
        <f>ROUND(+$I14+(K14*$G14),2)</f>
        <v>28.14</v>
      </c>
      <c r="N14" s="362">
        <f>ROUND(I14+(K14*H14),2)</f>
        <v>28.55</v>
      </c>
      <c r="O14" s="362">
        <f>ROUND(+$I14+(L14*$G14),2)</f>
        <v>31.96</v>
      </c>
      <c r="P14" s="362">
        <f>ROUND(I14+(L14*H14),2)</f>
        <v>32.450000000000003</v>
      </c>
      <c r="Q14" s="363">
        <f>'Rates in summary'!H14-'Rates in summary'!F14</f>
        <v>1.2545699999999997</v>
      </c>
      <c r="R14" s="362">
        <f>ROUND(J14+(Q14*G14),2)</f>
        <v>30.14</v>
      </c>
      <c r="S14" s="364">
        <f>ROUND((R14-M14)/M14,3)</f>
        <v>7.0999999999999994E-2</v>
      </c>
      <c r="T14" s="363">
        <f>'Rates in summary'!L14</f>
        <v>1.2672999999999996</v>
      </c>
      <c r="U14" s="362">
        <f>ROUND(I14+(T14*H14),2)</f>
        <v>30.85</v>
      </c>
      <c r="V14" s="569">
        <f>ROUND((U14-N14)/N14,3)</f>
        <v>8.1000000000000003E-2</v>
      </c>
      <c r="W14" s="363">
        <f>'Rates in Detail'!J13+'Rates in Detail'!P13</f>
        <v>1.1434299999999997</v>
      </c>
      <c r="X14" s="362">
        <f>ROUND($J14+($W14*$G14),2)</f>
        <v>27.96</v>
      </c>
      <c r="Y14" s="569">
        <f>ROUND(($X14-$M14)/$M14,3)</f>
        <v>-6.0000000000000001E-3</v>
      </c>
      <c r="Z14" s="363">
        <f>'Rates in Detail'!J13+'Rates in Detail'!S13</f>
        <v>1.1362599999999998</v>
      </c>
      <c r="AA14" s="362">
        <f t="shared" ref="AA14:AA19" si="23">ROUND($J14+($Z14*$G14),2)</f>
        <v>27.82</v>
      </c>
      <c r="AB14" s="569">
        <f t="shared" ref="AB14:AB19" si="24">ROUND(($AA14-$M14)/$M14,3)</f>
        <v>-1.0999999999999999E-2</v>
      </c>
      <c r="AC14" s="363">
        <f>'Rates in Detail'!J13+'Rates in Detail'!T13</f>
        <v>1.1438799999999998</v>
      </c>
      <c r="AD14" s="362">
        <f t="shared" ref="AD14:AD19" si="25">ROUND($J14+($AC14*$G14),2)</f>
        <v>27.97</v>
      </c>
      <c r="AE14" s="569">
        <f t="shared" ref="AE14:AE19" si="26">ROUND(($AD14-$M14)/$M14,3)</f>
        <v>-6.0000000000000001E-3</v>
      </c>
      <c r="AF14" s="363">
        <f>'Rates in Detail'!J13+'Rates in Detail'!U13</f>
        <v>1.1555799999999998</v>
      </c>
      <c r="AG14" s="362">
        <f>ROUND($J14+($AF14*$G14),2)</f>
        <v>28.2</v>
      </c>
      <c r="AH14" s="569">
        <f>ROUND(($AG14-$M14)/$M14,3)</f>
        <v>2E-3</v>
      </c>
      <c r="AI14" s="363">
        <f>'Rates in summary'!M14</f>
        <v>1.3474699999999995</v>
      </c>
      <c r="AJ14" s="362">
        <f>ROUND(J14+(G14*AI14),2)</f>
        <v>31.96</v>
      </c>
      <c r="AK14" s="364">
        <f>ROUND((AJ14-M14)/M14,3)</f>
        <v>0.13600000000000001</v>
      </c>
      <c r="AL14" s="1575">
        <f>AJ14-M14</f>
        <v>3.8200000000000003</v>
      </c>
      <c r="AM14" s="363">
        <f>L14+'Rates in summary'!N14</f>
        <v>1.4091199999999995</v>
      </c>
      <c r="AN14" s="362">
        <f>ROUND(J14+(AM14*G14),2)</f>
        <v>33.18</v>
      </c>
      <c r="AO14" s="364">
        <f t="shared" ref="AO14:AO19" si="27">ROUND((AN14-O14)/O14,3)</f>
        <v>3.7999999999999999E-2</v>
      </c>
      <c r="AP14" s="363">
        <f>'Rates in summary'!U14</f>
        <v>1.5560699999999994</v>
      </c>
      <c r="AQ14" s="362">
        <f>ROUND(I14+(AP14*G14),2)</f>
        <v>36.06</v>
      </c>
      <c r="AR14" s="569">
        <f>ROUND((AQ14-O14)/O14,3)</f>
        <v>0.128</v>
      </c>
      <c r="AS14" s="363">
        <f>L14+'Rates in Detail'!AD13</f>
        <v>1.3465899999999995</v>
      </c>
      <c r="AT14" s="362">
        <f t="shared" ref="AT14:AT19" si="28">ROUND($J14+($AS14*$G14),2)</f>
        <v>31.95</v>
      </c>
      <c r="AU14" s="364">
        <f t="shared" ref="AU14:AU19" si="29">ROUND(($AT14-$O14)/$O14,3)</f>
        <v>0</v>
      </c>
      <c r="AV14" s="363">
        <f>L14+'Rates in Detail'!AE13</f>
        <v>1.3311999999999995</v>
      </c>
      <c r="AW14" s="362">
        <f>ROUND($J14+($AV14*$G14),2)</f>
        <v>31.64</v>
      </c>
      <c r="AX14" s="364">
        <f>ROUND(($AW14-$O14)/$O14,3)</f>
        <v>-0.01</v>
      </c>
      <c r="AY14" s="363">
        <f>L14+'Rates in Detail'!AF13</f>
        <v>1.3387999999999995</v>
      </c>
      <c r="AZ14" s="362">
        <f>ROUND($J14+($AY14*$G14),2)</f>
        <v>31.79</v>
      </c>
      <c r="BA14" s="364">
        <f>ROUND(($AZ14-$O14)/$O14,3)</f>
        <v>-5.0000000000000001E-3</v>
      </c>
      <c r="BB14" s="363">
        <f>L14</f>
        <v>1.3474699999999995</v>
      </c>
      <c r="BC14" s="1725">
        <f>O14</f>
        <v>31.96</v>
      </c>
      <c r="BD14" s="1719">
        <f t="shared" ref="BD14:BD15" si="30">(BC14-O14)/O14</f>
        <v>0</v>
      </c>
      <c r="BE14" s="363">
        <f>'Rates in summary'!W14</f>
        <v>1.5918999999999996</v>
      </c>
      <c r="BF14" s="362">
        <f t="shared" ref="BF14:BF19" si="31">ROUND(J14+(G14*BE14),2)</f>
        <v>36.76</v>
      </c>
      <c r="BG14" s="364">
        <f t="shared" ref="BG14:BG19" si="32">ROUND((BF14-O14)/O14,3)</f>
        <v>0.15</v>
      </c>
      <c r="BH14" s="1203">
        <f>BF14-O14</f>
        <v>4.7999999999999972</v>
      </c>
      <c r="BI14" s="365"/>
      <c r="BJ14" s="365" t="s">
        <v>747</v>
      </c>
      <c r="BK14" s="365" t="s">
        <v>734</v>
      </c>
      <c r="BL14" s="54" t="s">
        <v>749</v>
      </c>
      <c r="BM14" s="54" t="s">
        <v>748</v>
      </c>
      <c r="BN14" s="365"/>
      <c r="BO14" s="365"/>
      <c r="BP14" s="365"/>
      <c r="BQ14" s="365"/>
      <c r="BR14" s="365"/>
      <c r="BS14" s="1579" t="s">
        <v>268</v>
      </c>
      <c r="BT14" s="1580">
        <f t="shared" ref="BT14:BT19" si="33">R14-M14</f>
        <v>2</v>
      </c>
      <c r="BU14" s="1581">
        <f t="shared" ref="BU14:BU19" si="34">S14</f>
        <v>7.0999999999999994E-2</v>
      </c>
      <c r="BV14" s="1580">
        <f t="shared" ref="BV14:BV19" si="35">U14-N14</f>
        <v>2.3000000000000007</v>
      </c>
      <c r="BW14" s="1581">
        <f>V14</f>
        <v>8.1000000000000003E-2</v>
      </c>
      <c r="BX14" s="367">
        <f>AJ14-M14</f>
        <v>3.8200000000000003</v>
      </c>
      <c r="BY14" s="1581">
        <f t="shared" ref="BY14:BY19" si="36">AK14</f>
        <v>0.13600000000000001</v>
      </c>
      <c r="BZ14" s="1580">
        <f t="shared" ref="BZ14:BZ19" si="37">AN14-O14</f>
        <v>1.2199999999999989</v>
      </c>
      <c r="CA14" s="1581">
        <f t="shared" ref="CA14:CA19" si="38">AO14</f>
        <v>3.7999999999999999E-2</v>
      </c>
      <c r="CB14" s="1580">
        <f t="shared" ref="CB14:CB19" si="39">AQ14-P14</f>
        <v>3.6099999999999994</v>
      </c>
      <c r="CC14" s="1581">
        <f t="shared" ref="CC14:CC19" si="40">AR14</f>
        <v>0.128</v>
      </c>
      <c r="CD14" s="367">
        <f>BF14-O14</f>
        <v>4.7999999999999972</v>
      </c>
      <c r="CE14" s="1582">
        <f>BG14</f>
        <v>0.15</v>
      </c>
      <c r="CF14" s="288"/>
    </row>
    <row r="15" spans="1:88" x14ac:dyDescent="0.3">
      <c r="A15" s="85">
        <f t="shared" si="17"/>
        <v>8</v>
      </c>
      <c r="B15" s="708" t="str">
        <f>'WA Volumes &amp; Revenues'!B16</f>
        <v>1C</v>
      </c>
      <c r="C15" s="829" t="s">
        <v>270</v>
      </c>
      <c r="D15" s="359">
        <f>'WA Volumes &amp; Revenues'!E16</f>
        <v>46539.057144390383</v>
      </c>
      <c r="E15" s="359">
        <f>'WA Volumes &amp; Revenues'!F16</f>
        <v>38726</v>
      </c>
      <c r="F15" s="360" t="s">
        <v>270</v>
      </c>
      <c r="G15" s="361">
        <f>'WA Volumes &amp; Revenues'!I16</f>
        <v>114.06632</v>
      </c>
      <c r="H15" s="361">
        <f>'WA Volumes &amp; Revenues'!L16</f>
        <v>92</v>
      </c>
      <c r="I15" s="861">
        <f>'WA Volumes &amp; Revenues'!O16</f>
        <v>7</v>
      </c>
      <c r="J15" s="362">
        <f>'WA Volumes &amp; Revenues'!N16</f>
        <v>7</v>
      </c>
      <c r="K15" s="122">
        <f>+'Rates in summary'!D15</f>
        <v>1.18929</v>
      </c>
      <c r="L15" s="122">
        <f>+'Rates in summary'!M15</f>
        <v>1.36829</v>
      </c>
      <c r="M15" s="362">
        <f t="shared" ref="M15:M19" si="41">ROUND(+$I15+(K15*$G15),2)</f>
        <v>142.66</v>
      </c>
      <c r="N15" s="362">
        <f t="shared" ref="N15" si="42">ROUND(I15+(K15*H15),2)</f>
        <v>116.41</v>
      </c>
      <c r="O15" s="362">
        <f t="shared" ref="O15:O18" si="43">ROUND(+$I15+(L15*$G15),2)</f>
        <v>163.08000000000001</v>
      </c>
      <c r="P15" s="362">
        <f t="shared" ref="P15:P19" si="44">ROUND(I15+(L15*H15),2)</f>
        <v>132.88</v>
      </c>
      <c r="Q15" s="363">
        <f>'Rates in summary'!H15-'Rates in summary'!F15</f>
        <v>1.2741400000000001</v>
      </c>
      <c r="R15" s="362">
        <f t="shared" ref="R15" si="45">ROUND(J15+(Q15*G15),2)</f>
        <v>152.34</v>
      </c>
      <c r="S15" s="364">
        <f t="shared" ref="S15" si="46">ROUND((R15-M15)/M15,3)</f>
        <v>6.8000000000000005E-2</v>
      </c>
      <c r="T15" s="363">
        <f>'Rates in summary'!L15</f>
        <v>1.3016399999999999</v>
      </c>
      <c r="U15" s="362">
        <f t="shared" ref="U15:U18" si="47">ROUND(I15+(T15*H15),2)</f>
        <v>126.75</v>
      </c>
      <c r="V15" s="569">
        <f t="shared" ref="V15:V19" si="48">ROUND((U15-N15)/N15,3)</f>
        <v>8.8999999999999996E-2</v>
      </c>
      <c r="W15" s="363">
        <f>'Rates in Detail'!J14+'Rates in Detail'!P14</f>
        <v>1.1817299999999999</v>
      </c>
      <c r="X15" s="362">
        <f t="shared" ref="X15:X19" si="49">ROUND($J15+($W15*$G15),2)</f>
        <v>141.80000000000001</v>
      </c>
      <c r="Y15" s="569">
        <f t="shared" ref="Y15:Y19" si="50">ROUND(($X15-$M15)/$M15,3)</f>
        <v>-6.0000000000000001E-3</v>
      </c>
      <c r="Z15" s="363">
        <f>'Rates in Detail'!J14+'Rates in Detail'!S14</f>
        <v>1.1757499999999999</v>
      </c>
      <c r="AA15" s="362">
        <f t="shared" si="23"/>
        <v>141.11000000000001</v>
      </c>
      <c r="AB15" s="569">
        <f t="shared" si="24"/>
        <v>-1.0999999999999999E-2</v>
      </c>
      <c r="AC15" s="122">
        <f>'Rates in Detail'!J14+'Rates in Detail'!T14</f>
        <v>1.1820899999999999</v>
      </c>
      <c r="AD15" s="362">
        <f t="shared" si="25"/>
        <v>141.84</v>
      </c>
      <c r="AE15" s="569">
        <f t="shared" si="26"/>
        <v>-6.0000000000000001E-3</v>
      </c>
      <c r="AF15" s="122">
        <f>'Rates in Detail'!J14+'Rates in Detail'!U14</f>
        <v>1.1918299999999999</v>
      </c>
      <c r="AG15" s="362">
        <f t="shared" ref="AG15:AG19" si="51">ROUND($J15+($AF15*$G15),2)</f>
        <v>142.94999999999999</v>
      </c>
      <c r="AH15" s="569">
        <f t="shared" ref="AH15:AH19" si="52">ROUND(($AG15-$M15)/$M15,3)</f>
        <v>2E-3</v>
      </c>
      <c r="AI15" s="363">
        <f>'Rates in summary'!M15</f>
        <v>1.36829</v>
      </c>
      <c r="AJ15" s="362">
        <f t="shared" ref="AJ15:AJ19" si="53">ROUND(J15+(G15*AI15),2)</f>
        <v>163.08000000000001</v>
      </c>
      <c r="AK15" s="364">
        <f t="shared" ref="AK15:AK19" si="54">ROUND((AJ15-M15)/M15,3)</f>
        <v>0.14299999999999999</v>
      </c>
      <c r="AL15" s="1575">
        <f t="shared" ref="AL15:AL72" si="55">AJ15-M15</f>
        <v>20.420000000000016</v>
      </c>
      <c r="AM15" s="363">
        <f>L15+'Rates in summary'!N15</f>
        <v>1.4195500000000001</v>
      </c>
      <c r="AN15" s="362">
        <f t="shared" ref="AN15:AN19" si="56">ROUND(J15+(AM15*G15),2)</f>
        <v>168.92</v>
      </c>
      <c r="AO15" s="364">
        <f t="shared" si="27"/>
        <v>3.5999999999999997E-2</v>
      </c>
      <c r="AP15" s="363">
        <f>'Rates in summary'!U15</f>
        <v>1.57622</v>
      </c>
      <c r="AQ15" s="362">
        <f t="shared" ref="AQ15:AQ19" si="57">ROUND(I15+(AP15*G15),2)</f>
        <v>186.79</v>
      </c>
      <c r="AR15" s="569">
        <f t="shared" ref="AR15:AR72" si="58">ROUND((AQ15-O15)/O15,3)</f>
        <v>0.14499999999999999</v>
      </c>
      <c r="AS15" s="363">
        <f>L15+'Rates in Detail'!AD14</f>
        <v>1.3675600000000001</v>
      </c>
      <c r="AT15" s="362">
        <f t="shared" si="28"/>
        <v>162.99</v>
      </c>
      <c r="AU15" s="364">
        <f t="shared" si="29"/>
        <v>-1E-3</v>
      </c>
      <c r="AV15" s="363">
        <f>L15+'Rates in Detail'!AE14</f>
        <v>1.3547499999999999</v>
      </c>
      <c r="AW15" s="362">
        <f t="shared" ref="AW15:AW19" si="59">ROUND($J15+($AV15*$G15),2)</f>
        <v>161.53</v>
      </c>
      <c r="AX15" s="364">
        <f t="shared" ref="AX15:AX19" si="60">ROUND(($AW15-$O15)/$O15,3)</f>
        <v>-0.01</v>
      </c>
      <c r="AY15" s="363">
        <f>L15+'Rates in Detail'!AF14</f>
        <v>1.3610899999999999</v>
      </c>
      <c r="AZ15" s="362">
        <f t="shared" ref="AZ15:AZ19" si="61">ROUND($J15+($AY15*$G15),2)</f>
        <v>162.25</v>
      </c>
      <c r="BA15" s="364">
        <f t="shared" ref="BA15:BA19" si="62">ROUND(($AZ15-$O15)/$O15,3)</f>
        <v>-5.0000000000000001E-3</v>
      </c>
      <c r="BB15" s="363">
        <f>L15</f>
        <v>1.36829</v>
      </c>
      <c r="BC15" s="1725">
        <f>O15</f>
        <v>163.08000000000001</v>
      </c>
      <c r="BD15" s="1719">
        <f t="shared" si="30"/>
        <v>0</v>
      </c>
      <c r="BE15" s="363">
        <f>'Rates in summary'!W15</f>
        <v>1.6060100000000002</v>
      </c>
      <c r="BF15" s="362">
        <f t="shared" si="31"/>
        <v>190.19</v>
      </c>
      <c r="BG15" s="364">
        <f t="shared" si="32"/>
        <v>0.16600000000000001</v>
      </c>
      <c r="BH15" s="1203">
        <f t="shared" ref="BH15:BH72" si="63">BF15-O15</f>
        <v>27.109999999999985</v>
      </c>
      <c r="BI15" s="365"/>
      <c r="BJ15" s="365"/>
      <c r="BK15" s="365"/>
      <c r="BN15" s="365"/>
      <c r="BO15" s="365"/>
      <c r="BP15" s="365"/>
      <c r="BQ15" s="365"/>
      <c r="BR15" s="365"/>
      <c r="BS15" s="1583" t="s">
        <v>269</v>
      </c>
      <c r="BT15" s="1580">
        <f t="shared" si="33"/>
        <v>9.6800000000000068</v>
      </c>
      <c r="BU15" s="1581">
        <f t="shared" si="34"/>
        <v>6.8000000000000005E-2</v>
      </c>
      <c r="BV15" s="1580">
        <f t="shared" si="35"/>
        <v>10.340000000000003</v>
      </c>
      <c r="BW15" s="1581">
        <f t="shared" ref="BW15:BW19" si="64">V15</f>
        <v>8.8999999999999996E-2</v>
      </c>
      <c r="BX15" s="367">
        <f t="shared" ref="BX15:BX19" si="65">AJ15-M15</f>
        <v>20.420000000000016</v>
      </c>
      <c r="BY15" s="1581">
        <f t="shared" si="36"/>
        <v>0.14299999999999999</v>
      </c>
      <c r="BZ15" s="1580">
        <f t="shared" si="37"/>
        <v>5.839999999999975</v>
      </c>
      <c r="CA15" s="1581">
        <f t="shared" si="38"/>
        <v>3.5999999999999997E-2</v>
      </c>
      <c r="CB15" s="1580">
        <f t="shared" si="39"/>
        <v>53.91</v>
      </c>
      <c r="CC15" s="1581">
        <f t="shared" si="40"/>
        <v>0.14499999999999999</v>
      </c>
      <c r="CD15" s="367">
        <f t="shared" ref="CD15:CD19" si="66">BF15-O15</f>
        <v>27.109999999999985</v>
      </c>
      <c r="CE15" s="1581">
        <f t="shared" ref="CE15:CE19" si="67">BG15</f>
        <v>0.16600000000000001</v>
      </c>
      <c r="CF15" s="288"/>
      <c r="CI15" s="644"/>
      <c r="CJ15" s="367"/>
    </row>
    <row r="16" spans="1:88" x14ac:dyDescent="0.3">
      <c r="A16" s="85">
        <f t="shared" si="17"/>
        <v>9</v>
      </c>
      <c r="B16" s="708" t="str">
        <f>'WA Volumes &amp; Revenues'!B17</f>
        <v>2R</v>
      </c>
      <c r="C16" s="829" t="s">
        <v>270</v>
      </c>
      <c r="D16" s="359">
        <f>'WA Volumes &amp; Revenues'!E17</f>
        <v>54953515.785084128</v>
      </c>
      <c r="E16" s="359">
        <f>'WA Volumes &amp; Revenues'!F17</f>
        <v>55009539.100000001</v>
      </c>
      <c r="F16" s="360" t="s">
        <v>270</v>
      </c>
      <c r="G16" s="361">
        <f>'WA Volumes &amp; Revenues'!I17</f>
        <v>56.453600000000002</v>
      </c>
      <c r="H16" s="361">
        <f>'WA Volumes &amp; Revenues'!L17</f>
        <v>57</v>
      </c>
      <c r="I16" s="861">
        <f>'WA Volumes &amp; Revenues'!O17</f>
        <v>8</v>
      </c>
      <c r="J16" s="362">
        <f>'WA Volumes &amp; Revenues'!N17</f>
        <v>8</v>
      </c>
      <c r="K16" s="122">
        <f>+'Rates in summary'!D16</f>
        <v>0.88947999999999972</v>
      </c>
      <c r="L16" s="122">
        <f>+'Rates in summary'!M16</f>
        <v>1.0514699999999997</v>
      </c>
      <c r="M16" s="362">
        <f>ROUND(+$I16+(K16*$G16),2)</f>
        <v>58.21</v>
      </c>
      <c r="N16" s="362">
        <f>ROUND(I16+(K16*H16),2)</f>
        <v>58.7</v>
      </c>
      <c r="O16" s="362">
        <f t="shared" si="43"/>
        <v>67.36</v>
      </c>
      <c r="P16" s="362">
        <f t="shared" si="44"/>
        <v>67.930000000000007</v>
      </c>
      <c r="Q16" s="363">
        <f>'Rates in summary'!H16-'Rates in summary'!F16</f>
        <v>0.95405999999999969</v>
      </c>
      <c r="R16" s="362">
        <f>ROUND(J16+(Q16*G16),2)</f>
        <v>61.86</v>
      </c>
      <c r="S16" s="364">
        <f>ROUND((R16-M16)/M16,3)</f>
        <v>6.3E-2</v>
      </c>
      <c r="T16" s="363">
        <f>'Rates in summary'!L16</f>
        <v>1.0007299999999999</v>
      </c>
      <c r="U16" s="362">
        <f t="shared" si="47"/>
        <v>65.040000000000006</v>
      </c>
      <c r="V16" s="569">
        <f t="shared" si="48"/>
        <v>0.108</v>
      </c>
      <c r="W16" s="363">
        <f>'Rates in Detail'!J15+'Rates in Detail'!P15</f>
        <v>0.88371999999999973</v>
      </c>
      <c r="X16" s="362">
        <f t="shared" si="49"/>
        <v>57.89</v>
      </c>
      <c r="Y16" s="569">
        <f t="shared" si="50"/>
        <v>-5.0000000000000001E-3</v>
      </c>
      <c r="Z16" s="363">
        <f>'Rates in Detail'!J15+'Rates in Detail'!S15</f>
        <v>0.87917999999999974</v>
      </c>
      <c r="AA16" s="362">
        <f t="shared" si="23"/>
        <v>57.63</v>
      </c>
      <c r="AB16" s="569">
        <f t="shared" si="24"/>
        <v>-0.01</v>
      </c>
      <c r="AC16" s="122">
        <f>'Rates in Detail'!J15+'Rates in Detail'!T15</f>
        <v>0.88400999999999974</v>
      </c>
      <c r="AD16" s="362">
        <f t="shared" si="25"/>
        <v>57.91</v>
      </c>
      <c r="AE16" s="569">
        <f t="shared" si="26"/>
        <v>-5.0000000000000001E-3</v>
      </c>
      <c r="AF16" s="122">
        <f>'Rates in Detail'!J15+'Rates in Detail'!U15</f>
        <v>0.8914099999999997</v>
      </c>
      <c r="AG16" s="362">
        <f t="shared" si="51"/>
        <v>58.32</v>
      </c>
      <c r="AH16" s="569">
        <f t="shared" si="52"/>
        <v>2E-3</v>
      </c>
      <c r="AI16" s="363">
        <f>'Rates in summary'!M16</f>
        <v>1.0514699999999997</v>
      </c>
      <c r="AJ16" s="362">
        <f>ROUND(J16+(G16*AI16),2)</f>
        <v>67.36</v>
      </c>
      <c r="AK16" s="364">
        <f t="shared" si="54"/>
        <v>0.157</v>
      </c>
      <c r="AL16" s="1575">
        <f>AJ16-M16</f>
        <v>9.1499999999999986</v>
      </c>
      <c r="AM16" s="363">
        <f>L16+'Rates in summary'!N16</f>
        <v>1.0904899999999997</v>
      </c>
      <c r="AN16" s="362">
        <f t="shared" si="56"/>
        <v>69.56</v>
      </c>
      <c r="AO16" s="364">
        <f>ROUND(($AN16-$O16)/$O16,3)</f>
        <v>3.3000000000000002E-2</v>
      </c>
      <c r="AP16" s="363">
        <f>'Rates in summary'!U16</f>
        <v>1.2574899999999996</v>
      </c>
      <c r="AQ16" s="362">
        <f t="shared" si="57"/>
        <v>78.989999999999995</v>
      </c>
      <c r="AR16" s="364">
        <f>ROUND(($AQ16-$O16)/$O16,3)</f>
        <v>0.17299999999999999</v>
      </c>
      <c r="AS16" s="363">
        <f>L16+'Rates in Detail'!AD15</f>
        <v>1.0509099999999998</v>
      </c>
      <c r="AT16" s="362">
        <f t="shared" si="28"/>
        <v>67.33</v>
      </c>
      <c r="AU16" s="364">
        <f t="shared" si="29"/>
        <v>0</v>
      </c>
      <c r="AV16" s="363">
        <f>L16+'Rates in Detail'!AE15</f>
        <v>1.0411699999999997</v>
      </c>
      <c r="AW16" s="362">
        <f t="shared" si="59"/>
        <v>66.78</v>
      </c>
      <c r="AX16" s="364">
        <f t="shared" si="60"/>
        <v>-8.9999999999999993E-3</v>
      </c>
      <c r="AY16" s="363">
        <f>L16+'Rates in Detail'!AF15</f>
        <v>1.0459799999999997</v>
      </c>
      <c r="AZ16" s="362">
        <f t="shared" si="61"/>
        <v>67.05</v>
      </c>
      <c r="BA16" s="364">
        <f t="shared" si="62"/>
        <v>-5.0000000000000001E-3</v>
      </c>
      <c r="BB16" s="363">
        <f>L16+BJ16</f>
        <v>0.98761361702127637</v>
      </c>
      <c r="BC16" s="1725">
        <f>ROUND($J16+($BB16*$G16),2)</f>
        <v>63.75</v>
      </c>
      <c r="BD16" s="364">
        <f>ROUND(($BC16-$O16)/$O16,3)</f>
        <v>-5.3999999999999999E-2</v>
      </c>
      <c r="BE16" s="363">
        <f>'Rates in summary'!W16</f>
        <v>1.2163036170212764</v>
      </c>
      <c r="BF16" s="362">
        <f>ROUND(J16+(G16*BE16),2)</f>
        <v>76.66</v>
      </c>
      <c r="BG16" s="364">
        <f>ROUND((BF16-O16)/O16,3)</f>
        <v>0.13800000000000001</v>
      </c>
      <c r="BH16" s="1203">
        <f t="shared" si="63"/>
        <v>9.2999999999999972</v>
      </c>
      <c r="BI16" s="365"/>
      <c r="BJ16" s="1780">
        <v>-6.3856382978723369E-2</v>
      </c>
      <c r="BK16" s="1685">
        <f>BE16</f>
        <v>1.2163036170212764</v>
      </c>
      <c r="BL16" s="153">
        <f>ROUND(J16+(G16*(BK16+BJ16)),2)</f>
        <v>73.06</v>
      </c>
      <c r="BM16" s="333">
        <f>ROUND((BL16-O16)/O16,3)</f>
        <v>8.5000000000000006E-2</v>
      </c>
      <c r="BN16" s="365"/>
      <c r="BO16" s="365"/>
      <c r="BP16" s="365"/>
      <c r="BQ16" s="365"/>
      <c r="BR16" s="365"/>
      <c r="BS16" s="1583" t="s">
        <v>12</v>
      </c>
      <c r="BT16" s="1580">
        <f t="shared" si="33"/>
        <v>3.6499999999999986</v>
      </c>
      <c r="BU16" s="1581">
        <f t="shared" si="34"/>
        <v>6.3E-2</v>
      </c>
      <c r="BV16" s="1580">
        <f t="shared" si="35"/>
        <v>6.3400000000000034</v>
      </c>
      <c r="BW16" s="1581">
        <f t="shared" si="64"/>
        <v>0.108</v>
      </c>
      <c r="BX16" s="367">
        <f t="shared" si="65"/>
        <v>9.1499999999999986</v>
      </c>
      <c r="BY16" s="1581">
        <f t="shared" si="36"/>
        <v>0.157</v>
      </c>
      <c r="BZ16" s="1580">
        <f t="shared" si="37"/>
        <v>2.2000000000000028</v>
      </c>
      <c r="CA16" s="1581">
        <f t="shared" si="38"/>
        <v>3.3000000000000002E-2</v>
      </c>
      <c r="CB16" s="1580">
        <f t="shared" si="39"/>
        <v>11.059999999999988</v>
      </c>
      <c r="CC16" s="1581">
        <f t="shared" si="40"/>
        <v>0.17299999999999999</v>
      </c>
      <c r="CD16" s="367">
        <f t="shared" si="66"/>
        <v>9.2999999999999972</v>
      </c>
      <c r="CE16" s="1581">
        <f t="shared" si="67"/>
        <v>0.13800000000000001</v>
      </c>
      <c r="CF16" s="288"/>
      <c r="CI16" s="644"/>
      <c r="CJ16" s="367"/>
    </row>
    <row r="17" spans="1:88" s="1675" customFormat="1" x14ac:dyDescent="0.3">
      <c r="A17" s="1659">
        <f t="shared" si="17"/>
        <v>10</v>
      </c>
      <c r="B17" s="708" t="str">
        <f>'WA Volumes &amp; Revenues'!B18</f>
        <v>3 CFS</v>
      </c>
      <c r="C17" s="829" t="s">
        <v>270</v>
      </c>
      <c r="D17" s="1660">
        <f>'WA Volumes &amp; Revenues'!E18</f>
        <v>17867210.60654201</v>
      </c>
      <c r="E17" s="1660">
        <f>'WA Volumes &amp; Revenues'!F18</f>
        <v>18385904.899999999</v>
      </c>
      <c r="F17" s="1661" t="s">
        <v>270</v>
      </c>
      <c r="G17" s="1662">
        <f>'WA Volumes &amp; Revenues'!I18</f>
        <v>235.66542999999999</v>
      </c>
      <c r="H17" s="1662">
        <f>'WA Volumes &amp; Revenues'!L18</f>
        <v>242</v>
      </c>
      <c r="I17" s="1663">
        <f>'WA Volumes &amp; Revenues'!O18</f>
        <v>22</v>
      </c>
      <c r="J17" s="1664">
        <f>'WA Volumes &amp; Revenues'!N18</f>
        <v>22</v>
      </c>
      <c r="K17" s="1665">
        <f>+'Rates in summary'!D17</f>
        <v>0.86690000000000011</v>
      </c>
      <c r="L17" s="1665">
        <f>+'Rates in summary'!M17</f>
        <v>1.0228199999999998</v>
      </c>
      <c r="M17" s="1664">
        <f t="shared" si="41"/>
        <v>226.3</v>
      </c>
      <c r="N17" s="1664">
        <f>ROUND(I17+(K17*H17),2)</f>
        <v>231.79</v>
      </c>
      <c r="O17" s="1664">
        <f t="shared" si="43"/>
        <v>263.04000000000002</v>
      </c>
      <c r="P17" s="1664">
        <f t="shared" si="44"/>
        <v>269.52</v>
      </c>
      <c r="Q17" s="1666">
        <f>'Rates in summary'!H17-'Rates in summary'!F17</f>
        <v>0.9248900000000001</v>
      </c>
      <c r="R17" s="1664">
        <f t="shared" ref="R17:R18" si="68">ROUND(J17+(Q17*G17),2)</f>
        <v>239.96</v>
      </c>
      <c r="S17" s="1667">
        <f t="shared" ref="S17:S19" si="69">ROUND((R17-M17)/M17,3)</f>
        <v>0.06</v>
      </c>
      <c r="T17" s="1666">
        <f>'Rates in summary'!L17</f>
        <v>0.97725000000000017</v>
      </c>
      <c r="U17" s="1664">
        <f t="shared" si="47"/>
        <v>258.49</v>
      </c>
      <c r="V17" s="1668">
        <f t="shared" si="48"/>
        <v>0.115</v>
      </c>
      <c r="W17" s="1666">
        <f>'Rates in Detail'!J16+'Rates in Detail'!P16</f>
        <v>0.86173000000000011</v>
      </c>
      <c r="X17" s="1664">
        <f t="shared" si="49"/>
        <v>225.08</v>
      </c>
      <c r="Y17" s="1668">
        <f t="shared" si="50"/>
        <v>-5.0000000000000001E-3</v>
      </c>
      <c r="Z17" s="1666">
        <f>'Rates in Detail'!J16+'Rates in Detail'!S16</f>
        <v>0.85766000000000009</v>
      </c>
      <c r="AA17" s="1664">
        <f t="shared" si="23"/>
        <v>224.12</v>
      </c>
      <c r="AB17" s="1668">
        <f t="shared" si="24"/>
        <v>-0.01</v>
      </c>
      <c r="AC17" s="1665">
        <f>'Rates in Detail'!J16+'Rates in Detail'!T16</f>
        <v>0.86199000000000014</v>
      </c>
      <c r="AD17" s="1664">
        <f t="shared" si="25"/>
        <v>225.14</v>
      </c>
      <c r="AE17" s="1668">
        <f t="shared" si="26"/>
        <v>-5.0000000000000001E-3</v>
      </c>
      <c r="AF17" s="1665">
        <f>'Rates in Detail'!J16+'Rates in Detail'!U16</f>
        <v>0.86863000000000012</v>
      </c>
      <c r="AG17" s="1664">
        <f t="shared" si="51"/>
        <v>226.71</v>
      </c>
      <c r="AH17" s="1668">
        <f t="shared" si="52"/>
        <v>2E-3</v>
      </c>
      <c r="AI17" s="1666">
        <f>'Rates in summary'!M17</f>
        <v>1.0228199999999998</v>
      </c>
      <c r="AJ17" s="1664">
        <f t="shared" si="53"/>
        <v>263.04000000000002</v>
      </c>
      <c r="AK17" s="1667">
        <f t="shared" si="54"/>
        <v>0.16200000000000001</v>
      </c>
      <c r="AL17" s="1669">
        <f t="shared" si="55"/>
        <v>36.740000000000009</v>
      </c>
      <c r="AM17" s="1666">
        <f>L17+'Rates in summary'!N17</f>
        <v>1.0578499999999997</v>
      </c>
      <c r="AN17" s="1664">
        <f t="shared" si="56"/>
        <v>271.3</v>
      </c>
      <c r="AO17" s="1667">
        <f t="shared" si="27"/>
        <v>3.1E-2</v>
      </c>
      <c r="AP17" s="363">
        <f>'Rates in summary'!U17</f>
        <v>1.2300199999999997</v>
      </c>
      <c r="AQ17" s="1664">
        <f t="shared" si="57"/>
        <v>311.87</v>
      </c>
      <c r="AR17" s="1668">
        <f t="shared" si="58"/>
        <v>0.186</v>
      </c>
      <c r="AS17" s="1666">
        <f>L17+'Rates in Detail'!AD16</f>
        <v>1.0223199999999999</v>
      </c>
      <c r="AT17" s="1664">
        <f t="shared" si="28"/>
        <v>262.93</v>
      </c>
      <c r="AU17" s="1667">
        <f t="shared" si="29"/>
        <v>0</v>
      </c>
      <c r="AV17" s="1666">
        <f>L17+'Rates in Detail'!AE16</f>
        <v>1.0135799999999999</v>
      </c>
      <c r="AW17" s="1664">
        <f t="shared" si="59"/>
        <v>260.87</v>
      </c>
      <c r="AX17" s="1667">
        <f t="shared" si="60"/>
        <v>-8.0000000000000002E-3</v>
      </c>
      <c r="AY17" s="1666">
        <f>L17+'Rates in Detail'!AF16</f>
        <v>1.0178899999999997</v>
      </c>
      <c r="AZ17" s="1664">
        <f t="shared" si="61"/>
        <v>261.88</v>
      </c>
      <c r="BA17" s="1667">
        <f t="shared" si="62"/>
        <v>-4.0000000000000001E-3</v>
      </c>
      <c r="BB17" s="1666">
        <f>L17</f>
        <v>1.0228199999999998</v>
      </c>
      <c r="BC17" s="1725">
        <f>O17</f>
        <v>263.04000000000002</v>
      </c>
      <c r="BD17" s="1720">
        <f t="shared" ref="BD17:BD79" si="70">(BC17-O17)/O17</f>
        <v>0</v>
      </c>
      <c r="BE17" s="1666">
        <f>'Rates in summary'!W17</f>
        <v>1.2503799999999998</v>
      </c>
      <c r="BF17" s="1664">
        <f t="shared" si="31"/>
        <v>316.67</v>
      </c>
      <c r="BG17" s="1667">
        <f t="shared" si="32"/>
        <v>0.20399999999999999</v>
      </c>
      <c r="BH17" s="1670">
        <f t="shared" si="63"/>
        <v>53.629999999999995</v>
      </c>
      <c r="BI17" s="365"/>
      <c r="BJ17" s="365"/>
      <c r="BK17" s="365"/>
      <c r="BL17" s="153">
        <f>BL16-O16</f>
        <v>5.7000000000000028</v>
      </c>
      <c r="BM17" s="365"/>
      <c r="BN17" s="365"/>
      <c r="BO17" s="365"/>
      <c r="BP17" s="365"/>
      <c r="BQ17" s="365"/>
      <c r="BR17" s="365"/>
      <c r="BS17" s="1671" t="s">
        <v>10</v>
      </c>
      <c r="BT17" s="1672">
        <f t="shared" si="33"/>
        <v>13.659999999999997</v>
      </c>
      <c r="BU17" s="1673">
        <f t="shared" si="34"/>
        <v>0.06</v>
      </c>
      <c r="BV17" s="1672">
        <f t="shared" si="35"/>
        <v>26.700000000000017</v>
      </c>
      <c r="BW17" s="1673">
        <f t="shared" si="64"/>
        <v>0.115</v>
      </c>
      <c r="BX17" s="1674">
        <f t="shared" si="65"/>
        <v>36.740000000000009</v>
      </c>
      <c r="BY17" s="1673">
        <f t="shared" si="36"/>
        <v>0.16200000000000001</v>
      </c>
      <c r="BZ17" s="1672">
        <f t="shared" si="37"/>
        <v>8.2599999999999909</v>
      </c>
      <c r="CA17" s="1673">
        <f t="shared" si="38"/>
        <v>3.1E-2</v>
      </c>
      <c r="CB17" s="1580">
        <f t="shared" si="39"/>
        <v>42.350000000000023</v>
      </c>
      <c r="CC17" s="1581">
        <f t="shared" si="40"/>
        <v>0.186</v>
      </c>
      <c r="CD17" s="1674">
        <f t="shared" si="66"/>
        <v>53.629999999999995</v>
      </c>
      <c r="CE17" s="1673">
        <f t="shared" si="67"/>
        <v>0.20399999999999999</v>
      </c>
      <c r="CF17" s="288"/>
      <c r="CG17" s="54"/>
      <c r="CH17" s="54"/>
      <c r="CI17" s="644"/>
      <c r="CJ17" s="367"/>
    </row>
    <row r="18" spans="1:88" x14ac:dyDescent="0.3">
      <c r="A18" s="85">
        <f>+A17+1</f>
        <v>11</v>
      </c>
      <c r="B18" s="708" t="str">
        <f>'WA Volumes &amp; Revenues'!B19</f>
        <v>3 IFS</v>
      </c>
      <c r="C18" s="829" t="s">
        <v>270</v>
      </c>
      <c r="D18" s="359">
        <f>'WA Volumes &amp; Revenues'!E19</f>
        <v>283651.99999999994</v>
      </c>
      <c r="E18" s="359">
        <f>'WA Volumes &amp; Revenues'!F19</f>
        <v>263842</v>
      </c>
      <c r="F18" s="360" t="s">
        <v>270</v>
      </c>
      <c r="G18" s="361">
        <f>'WA Volumes &amp; Revenues'!I19</f>
        <v>974.74914000000001</v>
      </c>
      <c r="H18" s="361">
        <f>'WA Volumes &amp; Revenues'!L19</f>
        <v>916</v>
      </c>
      <c r="I18" s="861">
        <f>'WA Volumes &amp; Revenues'!O19</f>
        <v>22</v>
      </c>
      <c r="J18" s="362">
        <f>'WA Volumes &amp; Revenues'!N19</f>
        <v>22</v>
      </c>
      <c r="K18" s="122">
        <f>+'Rates in summary'!D18</f>
        <v>0.82713999999999999</v>
      </c>
      <c r="L18" s="122">
        <f>+'Rates in summary'!M18</f>
        <v>0.97858000000000012</v>
      </c>
      <c r="M18" s="362">
        <f t="shared" si="41"/>
        <v>828.25</v>
      </c>
      <c r="N18" s="362">
        <f>ROUND(I18+(K18*H18),2)</f>
        <v>779.66</v>
      </c>
      <c r="O18" s="362">
        <f t="shared" si="43"/>
        <v>975.87</v>
      </c>
      <c r="P18" s="362">
        <f t="shared" si="44"/>
        <v>918.38</v>
      </c>
      <c r="Q18" s="363">
        <f>'Rates in summary'!H18-'Rates in summary'!F18</f>
        <v>0.87966</v>
      </c>
      <c r="R18" s="362">
        <f t="shared" si="68"/>
        <v>879.45</v>
      </c>
      <c r="S18" s="364">
        <f t="shared" si="69"/>
        <v>6.2E-2</v>
      </c>
      <c r="T18" s="363">
        <f>'Rates in summary'!L18</f>
        <v>0.92893999999999999</v>
      </c>
      <c r="U18" s="362">
        <f t="shared" si="47"/>
        <v>872.91</v>
      </c>
      <c r="V18" s="569">
        <f t="shared" si="48"/>
        <v>0.12</v>
      </c>
      <c r="W18" s="363">
        <f>'Rates in Detail'!J17+'Rates in Detail'!P17</f>
        <v>0.82245000000000001</v>
      </c>
      <c r="X18" s="362">
        <f t="shared" si="49"/>
        <v>823.68</v>
      </c>
      <c r="Y18" s="569">
        <f t="shared" si="50"/>
        <v>-6.0000000000000001E-3</v>
      </c>
      <c r="Z18" s="363">
        <f>'Rates in Detail'!J17+'Rates in Detail'!S17</f>
        <v>0.82713999999999999</v>
      </c>
      <c r="AA18" s="362">
        <f t="shared" si="23"/>
        <v>828.25</v>
      </c>
      <c r="AB18" s="569">
        <f t="shared" si="24"/>
        <v>0</v>
      </c>
      <c r="AC18" s="122">
        <f>'Rates in Detail'!J17+'Rates in Detail'!T17</f>
        <v>0.82269000000000003</v>
      </c>
      <c r="AD18" s="362">
        <f t="shared" si="25"/>
        <v>823.92</v>
      </c>
      <c r="AE18" s="569">
        <f t="shared" si="26"/>
        <v>-5.0000000000000001E-3</v>
      </c>
      <c r="AF18" s="122">
        <f>'Rates in Detail'!J17+'Rates in Detail'!U17</f>
        <v>0.82870999999999995</v>
      </c>
      <c r="AG18" s="362">
        <f t="shared" si="51"/>
        <v>829.78</v>
      </c>
      <c r="AH18" s="569">
        <f t="shared" si="52"/>
        <v>2E-3</v>
      </c>
      <c r="AI18" s="363">
        <f>'Rates in summary'!M18</f>
        <v>0.97858000000000012</v>
      </c>
      <c r="AJ18" s="362">
        <f t="shared" si="53"/>
        <v>975.87</v>
      </c>
      <c r="AK18" s="364">
        <f t="shared" si="54"/>
        <v>0.17799999999999999</v>
      </c>
      <c r="AL18" s="1575">
        <f t="shared" si="55"/>
        <v>147.62</v>
      </c>
      <c r="AM18" s="363">
        <f>L18+'Rates in summary'!N18</f>
        <v>1.01031</v>
      </c>
      <c r="AN18" s="362">
        <f t="shared" si="56"/>
        <v>1006.8</v>
      </c>
      <c r="AO18" s="364">
        <f t="shared" si="27"/>
        <v>3.2000000000000001E-2</v>
      </c>
      <c r="AP18" s="363">
        <f>'Rates in summary'!U18</f>
        <v>1.2021700000000002</v>
      </c>
      <c r="AQ18" s="362">
        <f t="shared" si="57"/>
        <v>1193.81</v>
      </c>
      <c r="AR18" s="569">
        <f t="shared" si="58"/>
        <v>0.223</v>
      </c>
      <c r="AS18" s="363">
        <f>L18+'Rates in Detail'!AD17</f>
        <v>0.97813000000000017</v>
      </c>
      <c r="AT18" s="362">
        <f t="shared" si="28"/>
        <v>975.43</v>
      </c>
      <c r="AU18" s="364">
        <f t="shared" si="29"/>
        <v>0</v>
      </c>
      <c r="AV18" s="363">
        <f>L18+'Rates in Detail'!AE17</f>
        <v>0.97858000000000012</v>
      </c>
      <c r="AW18" s="362">
        <f t="shared" si="59"/>
        <v>975.87</v>
      </c>
      <c r="AX18" s="364">
        <f t="shared" si="60"/>
        <v>0</v>
      </c>
      <c r="AY18" s="363">
        <f>L18+'Rates in Detail'!AF17</f>
        <v>0.9741200000000001</v>
      </c>
      <c r="AZ18" s="362">
        <f t="shared" si="61"/>
        <v>971.52</v>
      </c>
      <c r="BA18" s="364">
        <f t="shared" si="62"/>
        <v>-4.0000000000000001E-3</v>
      </c>
      <c r="BB18" s="363">
        <f t="shared" ref="BB18:BB81" si="71">L18</f>
        <v>0.97858000000000012</v>
      </c>
      <c r="BC18" s="1725">
        <f t="shared" ref="BC18:BC79" si="72">O18</f>
        <v>975.87</v>
      </c>
      <c r="BD18" s="1719">
        <f t="shared" si="70"/>
        <v>0</v>
      </c>
      <c r="BE18" s="363">
        <f>'Rates in summary'!W18</f>
        <v>1.2289900000000002</v>
      </c>
      <c r="BF18" s="362">
        <f t="shared" si="31"/>
        <v>1219.96</v>
      </c>
      <c r="BG18" s="364">
        <f t="shared" si="32"/>
        <v>0.25</v>
      </c>
      <c r="BH18" s="1203">
        <f t="shared" si="63"/>
        <v>244.09000000000003</v>
      </c>
      <c r="BI18" s="365"/>
      <c r="BJ18" s="365"/>
      <c r="BK18" s="365"/>
      <c r="BL18" s="365"/>
      <c r="BM18" s="365"/>
      <c r="BN18" s="365"/>
      <c r="BO18" s="365"/>
      <c r="BP18" s="365"/>
      <c r="BQ18" s="365"/>
      <c r="BR18" s="365"/>
      <c r="BS18" s="1583" t="s">
        <v>11</v>
      </c>
      <c r="BT18" s="1580">
        <f t="shared" si="33"/>
        <v>51.200000000000045</v>
      </c>
      <c r="BU18" s="1581">
        <f t="shared" si="34"/>
        <v>6.2E-2</v>
      </c>
      <c r="BV18" s="1580">
        <f t="shared" si="35"/>
        <v>93.25</v>
      </c>
      <c r="BW18" s="1581">
        <f t="shared" si="64"/>
        <v>0.12</v>
      </c>
      <c r="BX18" s="367">
        <f t="shared" si="65"/>
        <v>147.62</v>
      </c>
      <c r="BY18" s="1581">
        <f t="shared" si="36"/>
        <v>0.17799999999999999</v>
      </c>
      <c r="BZ18" s="1580">
        <f t="shared" si="37"/>
        <v>30.92999999999995</v>
      </c>
      <c r="CA18" s="1581">
        <f t="shared" si="38"/>
        <v>3.2000000000000001E-2</v>
      </c>
      <c r="CB18" s="1580">
        <f t="shared" si="39"/>
        <v>275.42999999999995</v>
      </c>
      <c r="CC18" s="1581">
        <f t="shared" si="40"/>
        <v>0.223</v>
      </c>
      <c r="CD18" s="367">
        <f t="shared" si="66"/>
        <v>244.09000000000003</v>
      </c>
      <c r="CE18" s="1581">
        <f t="shared" si="67"/>
        <v>0.25</v>
      </c>
      <c r="CF18" s="288"/>
      <c r="CI18" s="644"/>
      <c r="CJ18" s="367"/>
    </row>
    <row r="19" spans="1:88" x14ac:dyDescent="0.3">
      <c r="A19" s="85">
        <f t="shared" si="17"/>
        <v>12</v>
      </c>
      <c r="B19" s="708" t="str">
        <f>'WA Volumes &amp; Revenues'!B20</f>
        <v>27R</v>
      </c>
      <c r="C19" s="829" t="s">
        <v>270</v>
      </c>
      <c r="D19" s="359">
        <f>'WA Volumes &amp; Revenues'!E20</f>
        <v>461371.76933137607</v>
      </c>
      <c r="E19" s="359">
        <f>'WA Volumes &amp; Revenues'!F20</f>
        <v>591910</v>
      </c>
      <c r="F19" s="360" t="s">
        <v>270</v>
      </c>
      <c r="G19" s="361">
        <f>'WA Volumes &amp; Revenues'!I20</f>
        <v>49.545940000000002</v>
      </c>
      <c r="H19" s="361">
        <f>'WA Volumes &amp; Revenues'!L20</f>
        <v>65</v>
      </c>
      <c r="I19" s="861">
        <f>'WA Volumes &amp; Revenues'!O20</f>
        <v>9</v>
      </c>
      <c r="J19" s="362">
        <f>'WA Volumes &amp; Revenues'!N20</f>
        <v>9</v>
      </c>
      <c r="K19" s="122">
        <f>+'Rates in summary'!D19</f>
        <v>0.64432999999999974</v>
      </c>
      <c r="L19" s="122">
        <f>+'Rates in summary'!M19</f>
        <v>0.78956999999999966</v>
      </c>
      <c r="M19" s="362">
        <f t="shared" si="41"/>
        <v>40.92</v>
      </c>
      <c r="N19" s="362">
        <f>ROUND(I19+(K19*H19),2)</f>
        <v>50.88</v>
      </c>
      <c r="O19" s="362">
        <f>ROUND(+$I19+(L19*$G19),2)</f>
        <v>48.12</v>
      </c>
      <c r="P19" s="362">
        <f t="shared" si="44"/>
        <v>60.32</v>
      </c>
      <c r="Q19" s="363">
        <f>'Rates in summary'!H19-'Rates in summary'!F19</f>
        <v>0.69028999999999974</v>
      </c>
      <c r="R19" s="362">
        <f>ROUND(J19+(Q19*G19),2)</f>
        <v>43.2</v>
      </c>
      <c r="S19" s="364">
        <f t="shared" si="69"/>
        <v>5.6000000000000001E-2</v>
      </c>
      <c r="T19" s="363">
        <f>'Rates in summary'!L19</f>
        <v>0.7534599999999998</v>
      </c>
      <c r="U19" s="362">
        <f>ROUND(I19+(T19*H19),2)</f>
        <v>57.97</v>
      </c>
      <c r="V19" s="569">
        <f t="shared" si="48"/>
        <v>0.13900000000000001</v>
      </c>
      <c r="W19" s="363">
        <f>'Rates in Detail'!J18+'Rates in Detail'!P18</f>
        <v>0.64022999999999974</v>
      </c>
      <c r="X19" s="362">
        <f t="shared" si="49"/>
        <v>40.72</v>
      </c>
      <c r="Y19" s="569">
        <f t="shared" si="50"/>
        <v>-5.0000000000000001E-3</v>
      </c>
      <c r="Z19" s="363">
        <f>'Rates in Detail'!J18+'Rates in Detail'!S18</f>
        <v>0.63699999999999979</v>
      </c>
      <c r="AA19" s="362">
        <f t="shared" si="23"/>
        <v>40.56</v>
      </c>
      <c r="AB19" s="569">
        <f t="shared" si="24"/>
        <v>-8.9999999999999993E-3</v>
      </c>
      <c r="AC19" s="122">
        <f>'Rates in Detail'!J18+'Rates in Detail'!T18</f>
        <v>0.64043999999999979</v>
      </c>
      <c r="AD19" s="362">
        <f t="shared" si="25"/>
        <v>40.729999999999997</v>
      </c>
      <c r="AE19" s="569">
        <f t="shared" si="26"/>
        <v>-5.0000000000000001E-3</v>
      </c>
      <c r="AF19" s="122">
        <f>'Rates in Detail'!J18+'Rates in Detail'!U18</f>
        <v>0.64569999999999972</v>
      </c>
      <c r="AG19" s="362">
        <f t="shared" si="51"/>
        <v>40.99</v>
      </c>
      <c r="AH19" s="569">
        <f t="shared" si="52"/>
        <v>2E-3</v>
      </c>
      <c r="AI19" s="363">
        <f>'Rates in summary'!M19</f>
        <v>0.78956999999999966</v>
      </c>
      <c r="AJ19" s="362">
        <f t="shared" si="53"/>
        <v>48.12</v>
      </c>
      <c r="AK19" s="364">
        <f t="shared" si="54"/>
        <v>0.17599999999999999</v>
      </c>
      <c r="AL19" s="1575">
        <f t="shared" si="55"/>
        <v>7.1999999999999957</v>
      </c>
      <c r="AM19" s="363">
        <f>L19+'Rates in summary'!N19</f>
        <v>0.81733999999999962</v>
      </c>
      <c r="AN19" s="362">
        <f t="shared" si="56"/>
        <v>49.5</v>
      </c>
      <c r="AO19" s="364">
        <f t="shared" si="27"/>
        <v>2.9000000000000001E-2</v>
      </c>
      <c r="AP19" s="363">
        <f>'Rates in summary'!U19</f>
        <v>1.0044799999999996</v>
      </c>
      <c r="AQ19" s="362">
        <f t="shared" si="57"/>
        <v>58.77</v>
      </c>
      <c r="AR19" s="569">
        <f t="shared" si="58"/>
        <v>0.221</v>
      </c>
      <c r="AS19" s="363">
        <f>L19+'Rates in Detail'!AD18</f>
        <v>0.78916999999999971</v>
      </c>
      <c r="AT19" s="362">
        <f t="shared" si="28"/>
        <v>48.1</v>
      </c>
      <c r="AU19" s="364">
        <f t="shared" si="29"/>
        <v>0</v>
      </c>
      <c r="AV19" s="363">
        <f>L19+'Rates in Detail'!AE18</f>
        <v>0.78223999999999971</v>
      </c>
      <c r="AW19" s="362">
        <f t="shared" si="59"/>
        <v>47.76</v>
      </c>
      <c r="AX19" s="364">
        <f t="shared" si="60"/>
        <v>-7.0000000000000001E-3</v>
      </c>
      <c r="AY19" s="363">
        <f>L19+'Rates in Detail'!AF18</f>
        <v>0.78566999999999965</v>
      </c>
      <c r="AZ19" s="362">
        <f t="shared" si="61"/>
        <v>47.93</v>
      </c>
      <c r="BA19" s="364">
        <f t="shared" si="62"/>
        <v>-4.0000000000000001E-3</v>
      </c>
      <c r="BB19" s="363">
        <f t="shared" si="71"/>
        <v>0.78956999999999966</v>
      </c>
      <c r="BC19" s="1725">
        <f t="shared" si="72"/>
        <v>48.12</v>
      </c>
      <c r="BD19" s="1719">
        <f t="shared" si="70"/>
        <v>0</v>
      </c>
      <c r="BE19" s="363">
        <f>'Rates in summary'!W19</f>
        <v>1.0206199999999996</v>
      </c>
      <c r="BF19" s="362">
        <f t="shared" si="31"/>
        <v>59.57</v>
      </c>
      <c r="BG19" s="364">
        <f t="shared" si="32"/>
        <v>0.23799999999999999</v>
      </c>
      <c r="BH19" s="1203">
        <f t="shared" si="63"/>
        <v>11.450000000000003</v>
      </c>
      <c r="BI19" s="365"/>
      <c r="BJ19" s="1676">
        <v>0.14380000000000001</v>
      </c>
      <c r="BK19" s="1676">
        <f>BK16</f>
        <v>1.2163036170212764</v>
      </c>
      <c r="BL19" s="1677">
        <f>(J16+G16*(BJ19+BK19))</f>
        <v>84.782745553872331</v>
      </c>
      <c r="BM19" s="365"/>
      <c r="BN19" s="365"/>
      <c r="BO19" s="365"/>
      <c r="BP19" s="365"/>
      <c r="BQ19" s="365"/>
      <c r="BR19" s="365"/>
      <c r="BS19" s="1583">
        <v>27</v>
      </c>
      <c r="BT19" s="1580">
        <f t="shared" si="33"/>
        <v>2.2800000000000011</v>
      </c>
      <c r="BU19" s="1581">
        <f t="shared" si="34"/>
        <v>5.6000000000000001E-2</v>
      </c>
      <c r="BV19" s="1580">
        <f t="shared" si="35"/>
        <v>7.0899999999999963</v>
      </c>
      <c r="BW19" s="1581">
        <f t="shared" si="64"/>
        <v>0.13900000000000001</v>
      </c>
      <c r="BX19" s="367">
        <f t="shared" si="65"/>
        <v>7.1999999999999957</v>
      </c>
      <c r="BY19" s="1581">
        <f t="shared" si="36"/>
        <v>0.17599999999999999</v>
      </c>
      <c r="BZ19" s="1580">
        <f t="shared" si="37"/>
        <v>1.3800000000000026</v>
      </c>
      <c r="CA19" s="1581">
        <f t="shared" si="38"/>
        <v>2.9000000000000001E-2</v>
      </c>
      <c r="CB19" s="1580">
        <f t="shared" si="39"/>
        <v>-1.5499999999999972</v>
      </c>
      <c r="CC19" s="1581">
        <f t="shared" si="40"/>
        <v>0.221</v>
      </c>
      <c r="CD19" s="367">
        <f t="shared" si="66"/>
        <v>11.450000000000003</v>
      </c>
      <c r="CE19" s="1581">
        <f t="shared" si="67"/>
        <v>0.23799999999999999</v>
      </c>
      <c r="CF19" s="288"/>
      <c r="CI19" s="644"/>
      <c r="CJ19" s="367"/>
    </row>
    <row r="20" spans="1:88" x14ac:dyDescent="0.3">
      <c r="A20" s="85">
        <f t="shared" si="17"/>
        <v>13</v>
      </c>
      <c r="B20" s="717" t="str">
        <f>'WA Volumes &amp; Revenues'!B21</f>
        <v>41C Firm Sales</v>
      </c>
      <c r="C20" s="858" t="s">
        <v>4</v>
      </c>
      <c r="D20" s="294">
        <f>'WA Volumes &amp; Revenues'!E21</f>
        <v>1777065.1510316674</v>
      </c>
      <c r="E20" s="294">
        <f>'WA Volumes &amp; Revenues'!F21</f>
        <v>1992236.2</v>
      </c>
      <c r="F20" s="366">
        <v>2000</v>
      </c>
      <c r="G20" s="295">
        <f>+'WA Volumes &amp; Revenues'!I21</f>
        <v>3436</v>
      </c>
      <c r="H20" s="295">
        <f>'WA Volumes &amp; Revenues'!L21</f>
        <v>3745</v>
      </c>
      <c r="I20" s="862">
        <f>'WA Volumes &amp; Revenues'!O21</f>
        <v>250</v>
      </c>
      <c r="J20" s="367">
        <f>'WA Volumes &amp; Revenues'!N21</f>
        <v>250</v>
      </c>
      <c r="K20" s="121">
        <f>+'Rates in summary'!D20</f>
        <v>0.65150000000000008</v>
      </c>
      <c r="L20" s="121">
        <f>+'Rates in summary'!M20</f>
        <v>0.79066000000000003</v>
      </c>
      <c r="M20" s="367"/>
      <c r="N20" s="367"/>
      <c r="O20" s="942"/>
      <c r="P20" s="942"/>
      <c r="Q20" s="368">
        <f>'Rates in summary'!H20-'Rates in summary'!F20</f>
        <v>0.69755000000000011</v>
      </c>
      <c r="R20" s="367"/>
      <c r="S20" s="369"/>
      <c r="T20" s="368">
        <f>'Rates in summary'!L20</f>
        <v>0.75447000000000009</v>
      </c>
      <c r="U20" s="367"/>
      <c r="V20" s="570"/>
      <c r="W20" s="368">
        <f>'Rates in Detail'!J19+'Rates in Detail'!P19</f>
        <v>0.64739000000000013</v>
      </c>
      <c r="X20" s="367"/>
      <c r="Y20" s="570"/>
      <c r="Z20" s="368">
        <f>'Rates in Detail'!J19+'Rates in Detail'!S19</f>
        <v>0.64416000000000007</v>
      </c>
      <c r="AA20" s="367"/>
      <c r="AB20" s="570"/>
      <c r="AC20" s="121">
        <f>'Rates in Detail'!J19+'Rates in Detail'!T19</f>
        <v>0.64760000000000006</v>
      </c>
      <c r="AD20" s="367"/>
      <c r="AE20" s="570"/>
      <c r="AF20" s="121">
        <f>'Rates in Detail'!J19+'Rates in Detail'!U19</f>
        <v>0.65288000000000013</v>
      </c>
      <c r="AG20" s="367"/>
      <c r="AH20" s="570"/>
      <c r="AI20" s="368">
        <f>'Rates in summary'!M20</f>
        <v>0.79066000000000003</v>
      </c>
      <c r="AJ20" s="367"/>
      <c r="AK20" s="369"/>
      <c r="AL20" s="1200"/>
      <c r="AM20" s="368">
        <f>L20+'Rates in summary'!N20</f>
        <v>0.81847999999999999</v>
      </c>
      <c r="AN20" s="367"/>
      <c r="AO20" s="369"/>
      <c r="AP20" s="368">
        <f>'Rates in summary'!U20</f>
        <v>1.0205000000000002</v>
      </c>
      <c r="AQ20" s="367"/>
      <c r="AR20" s="570"/>
      <c r="AS20" s="368">
        <f>L20+'Rates in Detail'!AD19</f>
        <v>0.79026000000000007</v>
      </c>
      <c r="AT20" s="367"/>
      <c r="AU20" s="369"/>
      <c r="AV20" s="368">
        <f>L20+'Rates in Detail'!AE19</f>
        <v>0.78332000000000002</v>
      </c>
      <c r="AW20" s="367"/>
      <c r="AX20" s="369"/>
      <c r="AY20" s="368">
        <f>L20+'Rates in Detail'!AF19</f>
        <v>0.78675000000000006</v>
      </c>
      <c r="AZ20" s="367"/>
      <c r="BA20" s="369"/>
      <c r="BB20" s="368">
        <f t="shared" si="71"/>
        <v>0.79066000000000003</v>
      </c>
      <c r="BC20" s="1200"/>
      <c r="BD20" s="1721"/>
      <c r="BE20" s="368">
        <f>'Rates in summary'!W20</f>
        <v>1.03667</v>
      </c>
      <c r="BF20" s="367"/>
      <c r="BG20" s="369"/>
      <c r="BH20" s="570"/>
      <c r="BL20" s="1194">
        <f>BL19-O16</f>
        <v>17.422745553872332</v>
      </c>
      <c r="BS20" s="1583" t="s">
        <v>339</v>
      </c>
      <c r="BT20" s="1580">
        <f>R22-M22</f>
        <v>150.36999999999989</v>
      </c>
      <c r="BU20" s="1581">
        <f>S22</f>
        <v>6.2E-2</v>
      </c>
      <c r="BV20" s="1580">
        <f>U22-N22</f>
        <v>384</v>
      </c>
      <c r="BW20" s="1581">
        <f>V22</f>
        <v>0.14699999999999999</v>
      </c>
      <c r="BX20" s="367">
        <f>AJ22-M22</f>
        <v>470.63000000000011</v>
      </c>
      <c r="BY20" s="1581">
        <f>AK22</f>
        <v>0.19400000000000001</v>
      </c>
      <c r="BZ20" s="1580">
        <f>AN22-O22</f>
        <v>90.839999999999691</v>
      </c>
      <c r="CA20" s="1581">
        <f>AO22</f>
        <v>3.1E-2</v>
      </c>
      <c r="CB20" s="1580">
        <f>AQ22-P22</f>
        <v>562.9699999999998</v>
      </c>
      <c r="CC20" s="1581">
        <f>AR22</f>
        <v>0.27400000000000002</v>
      </c>
      <c r="CD20" s="367">
        <f>BF22-O22</f>
        <v>843.85999999999967</v>
      </c>
      <c r="CE20" s="1581">
        <f>BG22</f>
        <v>0.29199999999999998</v>
      </c>
      <c r="CF20" s="288"/>
    </row>
    <row r="21" spans="1:88" x14ac:dyDescent="0.3">
      <c r="A21" s="85">
        <f t="shared" si="17"/>
        <v>14</v>
      </c>
      <c r="B21" s="709"/>
      <c r="C21" s="858" t="s">
        <v>5</v>
      </c>
      <c r="D21" s="294">
        <f>'WA Volumes &amp; Revenues'!E22</f>
        <v>1974656.4658023661</v>
      </c>
      <c r="E21" s="294">
        <f>'WA Volumes &amp; Revenues'!F22</f>
        <v>2142067.7000000002</v>
      </c>
      <c r="F21" s="366" t="s">
        <v>72</v>
      </c>
      <c r="G21" s="295"/>
      <c r="H21" s="295"/>
      <c r="I21" s="862"/>
      <c r="J21" s="367"/>
      <c r="K21" s="121">
        <f>+'Rates in summary'!D21</f>
        <v>0.60426999999999997</v>
      </c>
      <c r="L21" s="121">
        <f>+'Rates in summary'!M21</f>
        <v>0.7381899999999999</v>
      </c>
      <c r="M21" s="367"/>
      <c r="N21" s="367"/>
      <c r="O21" s="942"/>
      <c r="P21" s="942"/>
      <c r="Q21" s="368">
        <f>'Rates in summary'!H21-'Rates in summary'!F21</f>
        <v>0.64484999999999992</v>
      </c>
      <c r="R21" s="367"/>
      <c r="S21" s="369"/>
      <c r="T21" s="368">
        <f>'Rates in summary'!L21</f>
        <v>0.70630999999999999</v>
      </c>
      <c r="U21" s="367"/>
      <c r="V21" s="570"/>
      <c r="W21" s="368">
        <f>'Rates in Detail'!J20+'Rates in Detail'!P20</f>
        <v>0.60065000000000002</v>
      </c>
      <c r="X21" s="367"/>
      <c r="Y21" s="570"/>
      <c r="Z21" s="368">
        <f>'Rates in Detail'!J20+'Rates in Detail'!S20</f>
        <v>0.5978</v>
      </c>
      <c r="AA21" s="367"/>
      <c r="AB21" s="570"/>
      <c r="AC21" s="121">
        <f>'Rates in Detail'!J20+'Rates in Detail'!T20</f>
        <v>0.60082999999999998</v>
      </c>
      <c r="AD21" s="367"/>
      <c r="AE21" s="570"/>
      <c r="AF21" s="121">
        <f>'Rates in Detail'!J20+'Rates in Detail'!U20</f>
        <v>0.60548000000000002</v>
      </c>
      <c r="AG21" s="367"/>
      <c r="AH21" s="570"/>
      <c r="AI21" s="368">
        <f>'Rates in summary'!M21</f>
        <v>0.7381899999999999</v>
      </c>
      <c r="AJ21" s="367"/>
      <c r="AK21" s="369"/>
      <c r="AL21" s="1200"/>
      <c r="AM21" s="368">
        <f>L21+'Rates in summary'!N21</f>
        <v>0.76269999999999993</v>
      </c>
      <c r="AN21" s="367"/>
      <c r="AO21" s="369"/>
      <c r="AP21" s="368">
        <f>'Rates in summary'!U21</f>
        <v>0.96895999999999993</v>
      </c>
      <c r="AQ21" s="367"/>
      <c r="AR21" s="570"/>
      <c r="AS21" s="368">
        <f>L21+'Rates in Detail'!AD20</f>
        <v>0.73783999999999994</v>
      </c>
      <c r="AT21" s="367"/>
      <c r="AU21" s="369"/>
      <c r="AV21" s="368">
        <f>L21+'Rates in Detail'!AE20</f>
        <v>0.73171999999999993</v>
      </c>
      <c r="AW21" s="367"/>
      <c r="AX21" s="369"/>
      <c r="AY21" s="368">
        <f>L21+'Rates in Detail'!AF20</f>
        <v>0.73473999999999995</v>
      </c>
      <c r="AZ21" s="367"/>
      <c r="BA21" s="369"/>
      <c r="BB21" s="368">
        <f t="shared" si="71"/>
        <v>0.7381899999999999</v>
      </c>
      <c r="BC21" s="1200"/>
      <c r="BD21" s="1721"/>
      <c r="BE21" s="368">
        <f>'Rates in summary'!W21</f>
        <v>0.98319999999999996</v>
      </c>
      <c r="BF21" s="367"/>
      <c r="BG21" s="369"/>
      <c r="BH21" s="570"/>
      <c r="BS21" s="1583" t="s">
        <v>340</v>
      </c>
      <c r="BT21" s="1580">
        <f>R25-M25</f>
        <v>84.480000000000018</v>
      </c>
      <c r="BU21" s="1581">
        <f>S25</f>
        <v>2.8000000000000001E-2</v>
      </c>
      <c r="BV21" s="1580">
        <f>U25-N25</f>
        <v>458.90999999999985</v>
      </c>
      <c r="BW21" s="1581">
        <f>V25</f>
        <v>0.152</v>
      </c>
      <c r="BX21" s="367">
        <f>AJ25-M25</f>
        <v>530.54</v>
      </c>
      <c r="BY21" s="1581">
        <f>AK25</f>
        <v>0.17599999999999999</v>
      </c>
      <c r="BZ21" s="1580">
        <f>AN25-O25</f>
        <v>38.5300000000002</v>
      </c>
      <c r="CA21" s="1581">
        <f>AO25</f>
        <v>1.0999999999999999E-2</v>
      </c>
      <c r="CB21" s="1580">
        <f>AQ25-P25</f>
        <v>1130.6400000000003</v>
      </c>
      <c r="CC21" s="1581">
        <f>AR25</f>
        <v>0.32500000000000001</v>
      </c>
      <c r="CD21" s="367">
        <f>BF25-O25</f>
        <v>1172.23</v>
      </c>
      <c r="CE21" s="1581">
        <f>BG25</f>
        <v>0.33100000000000002</v>
      </c>
      <c r="CF21" s="288"/>
    </row>
    <row r="22" spans="1:88" x14ac:dyDescent="0.3">
      <c r="A22" s="85">
        <f t="shared" si="17"/>
        <v>15</v>
      </c>
      <c r="B22" s="707"/>
      <c r="C22" s="859" t="s">
        <v>76</v>
      </c>
      <c r="D22" s="370"/>
      <c r="E22" s="370"/>
      <c r="F22" s="371"/>
      <c r="G22" s="372"/>
      <c r="H22" s="372"/>
      <c r="I22" s="863"/>
      <c r="J22" s="374"/>
      <c r="K22" s="373"/>
      <c r="L22" s="373"/>
      <c r="M22" s="374">
        <f>$I20+ROUND(IF($G20&lt;$F20,($G20*K20),IF($G20&gt;SUM($F20:$F21),(($F20*K20)+(($G20-$F20)*K21)),0)),2)</f>
        <v>2420.73</v>
      </c>
      <c r="N22" s="374">
        <f>I20+ROUND(IF($H20&lt;$F20,($H20*$K20),IF($H20&gt;SUM(F20:F21),(($F20*K20)+(($H20-F20)*K21)),0)),2)</f>
        <v>2607.4499999999998</v>
      </c>
      <c r="O22" s="374">
        <f>$I20+ROUND(IF($G20&lt;$F20,($G20*L20),IF($G20&gt;SUM($F20:$F21),(($F20*L20)+(($G20-$F20)*L21)),0)),2)</f>
        <v>2891.36</v>
      </c>
      <c r="P22" s="374">
        <f>I20+ROUND(IF($H20&lt;$F20,($H20*$L20),IF($H20&gt;SUM(F20:F21),(($F20*L20)+(($H20-F20)*L21)),0)),2)</f>
        <v>3119.46</v>
      </c>
      <c r="Q22" s="376"/>
      <c r="R22" s="374">
        <f>$J20+ROUND(IF($G20&lt;$F20,($G20*Q20),IF($G20&gt;SUM($F20:$F21),(($F20*Q20)+(($G20-$F20)*Q21)),0)),2)</f>
        <v>2571.1</v>
      </c>
      <c r="S22" s="377">
        <f>ROUND((R22-M22)/M22,3)</f>
        <v>6.2E-2</v>
      </c>
      <c r="T22" s="375"/>
      <c r="U22" s="374">
        <f>$I20+ROUND(IF($H20&lt;$F20,($H20*T20),IF($H20&gt;SUM($F20:$F21),(($F20*T20)+(($H20-$F20)*T21)),0)),2)</f>
        <v>2991.45</v>
      </c>
      <c r="V22" s="571">
        <f>ROUND((U22-N22)/N22,3)</f>
        <v>0.14699999999999999</v>
      </c>
      <c r="W22" s="375"/>
      <c r="X22" s="374">
        <f>$J20+ROUND(IF($G20&lt;$F20,($G20*W20),IF($G20&gt;SUM($F20:$F21),(($F20*W20)+(($G20-$F20)*W21)),0)),2)</f>
        <v>2407.31</v>
      </c>
      <c r="Y22" s="571">
        <f t="shared" ref="Y22" si="73">ROUND(($X22-$M22)/$M22,3)</f>
        <v>-6.0000000000000001E-3</v>
      </c>
      <c r="Z22" s="375"/>
      <c r="AA22" s="374">
        <f>$J20+ROUND(IF($G20&lt;$F20,($G20*Z20),IF($G20&gt;SUM($F20:$F21),(($F20*Z20)+(($G20-$F20)*Z21)),0)),2)</f>
        <v>2396.7600000000002</v>
      </c>
      <c r="AB22" s="571">
        <f>ROUND(($AA22-$M22)/$M22,3)</f>
        <v>-0.01</v>
      </c>
      <c r="AC22" s="374"/>
      <c r="AD22" s="374">
        <f>$J20+ROUND(IF($G20&lt;$F20,($G20*AC20),IF($G20&gt;SUM($F20:$F21),(($F20*AC20)+(($G20-$F20)*AC21)),0)),2)</f>
        <v>2407.9899999999998</v>
      </c>
      <c r="AE22" s="571">
        <f>ROUND(($AD22-$M22)/$M22,3)</f>
        <v>-5.0000000000000001E-3</v>
      </c>
      <c r="AF22" s="374"/>
      <c r="AG22" s="374">
        <f>$J20+ROUND(IF($G20&lt;$F20,($G20*AF20),IF($G20&gt;SUM($F20:$F21),(($F20*AF20)+(($G20-$F20)*AF21)),0)),2)</f>
        <v>2425.23</v>
      </c>
      <c r="AH22" s="571">
        <f t="shared" ref="AH22" si="74">ROUND(($AG22-$M22)/$M22,3)</f>
        <v>2E-3</v>
      </c>
      <c r="AI22" s="376"/>
      <c r="AJ22" s="374">
        <f>$J20+ROUND(IF($G20&lt;$F20,($G20*AI20),IF($G20&gt;SUM($F20:$F21),(($F20*AI20)+(($G20-$F20)*AI21)),0)),2)</f>
        <v>2891.36</v>
      </c>
      <c r="AK22" s="377">
        <f>ROUND((AJ22-M22)/M22,3)</f>
        <v>0.19400000000000001</v>
      </c>
      <c r="AL22" s="374">
        <f t="shared" si="55"/>
        <v>470.63000000000011</v>
      </c>
      <c r="AM22" s="376"/>
      <c r="AN22" s="374">
        <f>$J20+ROUND(IF($G20&lt;$F20,($G20*AM20),IF($G20&gt;SUM($F20:$F21),(($F20*AM20)+(($G20-$F20)*AM21)),0)),2)</f>
        <v>2982.2</v>
      </c>
      <c r="AO22" s="377">
        <f>ROUND((AN22-O22)/O22,3)</f>
        <v>3.1E-2</v>
      </c>
      <c r="AP22" s="375"/>
      <c r="AQ22" s="374">
        <f>$I20+ROUND(IF($G20&lt;$F20,($G20*AP20),IF($G20&gt;SUM($F20:$F21),(($F20*AP20)+(($G20-$F20)*AP21)),0)),2)</f>
        <v>3682.43</v>
      </c>
      <c r="AR22" s="571">
        <f t="shared" si="58"/>
        <v>0.27400000000000002</v>
      </c>
      <c r="AS22" s="376"/>
      <c r="AT22" s="374">
        <f>$J20+ROUND(IF($G20&lt;$F20,($G20*AS20),IF($G20&gt;SUM($F20:$F21),(($F20*AS20)+(($G20-$F20)*AS21)),0)),2)</f>
        <v>2890.06</v>
      </c>
      <c r="AU22" s="377">
        <f>ROUND(($AT22-$O22)/$O22,3)</f>
        <v>0</v>
      </c>
      <c r="AV22" s="376"/>
      <c r="AW22" s="374">
        <f>$J20+ROUND(IF($G20&lt;$F20,($G20*AV20),IF($G20&gt;SUM($F20:$F21),(($F20*AV20)+(($G20-$F20)*AV21)),0)),2)</f>
        <v>2867.39</v>
      </c>
      <c r="AX22" s="377">
        <f>ROUND(($AW22-$O22)/$O22,3)</f>
        <v>-8.0000000000000002E-3</v>
      </c>
      <c r="AY22" s="376"/>
      <c r="AZ22" s="374">
        <f>$J20+ROUND(IF($G20&lt;$F20,($G20*AY20),IF($G20&gt;SUM($F20:$F21),(($F20*AY20)+(($G20-$F20)*AY21)),0)),2)</f>
        <v>2878.59</v>
      </c>
      <c r="BA22" s="377">
        <f>ROUND(($AT22-$O22)/$O22,3)</f>
        <v>0</v>
      </c>
      <c r="BB22" s="376"/>
      <c r="BC22" s="1726">
        <f t="shared" si="72"/>
        <v>2891.36</v>
      </c>
      <c r="BD22" s="1722">
        <f t="shared" si="70"/>
        <v>0</v>
      </c>
      <c r="BE22" s="376"/>
      <c r="BF22" s="374">
        <f>$J20+ROUND(IF($G20&lt;$F20,($G20*BE20),IF($G20&gt;SUM($F20:$F21),(($F20*BE20)+(($G20-$F20)*BE21)),0)),2)</f>
        <v>3735.22</v>
      </c>
      <c r="BG22" s="377">
        <f>ROUND((BF22-O22)/O22,3)</f>
        <v>0.29199999999999998</v>
      </c>
      <c r="BH22" s="1576">
        <f t="shared" si="63"/>
        <v>843.85999999999967</v>
      </c>
      <c r="BI22" s="365"/>
      <c r="BJ22" s="365"/>
      <c r="BK22" s="365"/>
      <c r="BL22" s="365"/>
      <c r="BM22" s="365"/>
      <c r="BN22" s="365"/>
      <c r="BO22" s="365"/>
      <c r="BP22" s="365"/>
      <c r="BQ22" s="365"/>
      <c r="BR22" s="365"/>
      <c r="BS22" s="1583" t="s">
        <v>342</v>
      </c>
      <c r="BT22" s="1580">
        <f>R28-M28</f>
        <v>0</v>
      </c>
      <c r="BU22" s="1581">
        <f>S28</f>
        <v>0</v>
      </c>
      <c r="BV22" s="1580">
        <f>U28-N28</f>
        <v>0</v>
      </c>
      <c r="BW22" s="1581">
        <f>V28</f>
        <v>0</v>
      </c>
      <c r="BX22" s="367">
        <f>AJ28-M28</f>
        <v>0</v>
      </c>
      <c r="BY22" s="1581">
        <f>AK28</f>
        <v>0</v>
      </c>
      <c r="BZ22" s="1580">
        <f>AN28-O28</f>
        <v>0</v>
      </c>
      <c r="CA22" s="1581">
        <f>AO28</f>
        <v>0</v>
      </c>
      <c r="CB22" s="1580">
        <f>AQ28-P28</f>
        <v>0</v>
      </c>
      <c r="CC22" s="1581">
        <f>AR28</f>
        <v>0</v>
      </c>
      <c r="CD22" s="367">
        <f>BF28-O28</f>
        <v>0</v>
      </c>
      <c r="CE22" s="1581">
        <f>BG28</f>
        <v>0</v>
      </c>
    </row>
    <row r="23" spans="1:88" x14ac:dyDescent="0.3">
      <c r="A23" s="85">
        <f t="shared" si="17"/>
        <v>16</v>
      </c>
      <c r="B23" s="717" t="str">
        <f>'WA Volumes &amp; Revenues'!B23</f>
        <v>41I Firm Sales</v>
      </c>
      <c r="C23" s="858" t="s">
        <v>4</v>
      </c>
      <c r="D23" s="294">
        <f>'WA Volumes &amp; Revenues'!E23</f>
        <v>392890.20000000007</v>
      </c>
      <c r="E23" s="294">
        <f>'WA Volumes &amp; Revenues'!F23</f>
        <v>399967</v>
      </c>
      <c r="F23" s="366">
        <v>2000</v>
      </c>
      <c r="G23" s="295">
        <f>'WA Volumes &amp; Revenues'!I23</f>
        <v>4741</v>
      </c>
      <c r="H23" s="295">
        <f>'WA Volumes &amp; Revenues'!L23</f>
        <v>4770</v>
      </c>
      <c r="I23" s="862">
        <f>'WA Volumes &amp; Revenues'!O23</f>
        <v>250</v>
      </c>
      <c r="J23" s="367">
        <f>'WA Volumes &amp; Revenues'!N23</f>
        <v>250</v>
      </c>
      <c r="K23" s="121">
        <f>+'Rates in summary'!D22</f>
        <v>0.60577000000000025</v>
      </c>
      <c r="L23" s="121">
        <f>+'Rates in summary'!M22</f>
        <v>0.71891000000000027</v>
      </c>
      <c r="M23" s="367"/>
      <c r="N23" s="367"/>
      <c r="O23" s="942"/>
      <c r="P23" s="942"/>
      <c r="Q23" s="368">
        <f>'Rates in summary'!H22-'Rates in summary'!F22</f>
        <v>0.62490000000000023</v>
      </c>
      <c r="R23" s="367"/>
      <c r="S23" s="369"/>
      <c r="T23" s="368">
        <f>'Rates in summary'!L22</f>
        <v>0.70206000000000024</v>
      </c>
      <c r="U23" s="367"/>
      <c r="V23" s="570"/>
      <c r="W23" s="368">
        <f>'Rates in Detail'!J21+'Rates in Detail'!P21</f>
        <v>0.60186000000000028</v>
      </c>
      <c r="X23" s="367"/>
      <c r="Y23" s="570"/>
      <c r="Z23" s="368">
        <f>'Rates in Detail'!J21+'Rates in Detail'!S21</f>
        <v>0.60577000000000025</v>
      </c>
      <c r="AA23" s="367"/>
      <c r="AB23" s="570"/>
      <c r="AC23" s="121">
        <f>'Rates in Detail'!J21+'Rates in Detail'!T21</f>
        <v>0.60225000000000029</v>
      </c>
      <c r="AD23" s="367"/>
      <c r="AE23" s="570"/>
      <c r="AF23" s="121">
        <f>'Rates in Detail'!J21+'Rates in Detail'!U21</f>
        <v>0.60701000000000027</v>
      </c>
      <c r="AG23" s="367"/>
      <c r="AH23" s="570"/>
      <c r="AI23" s="368">
        <f>'Rates in summary'!M22</f>
        <v>0.71891000000000027</v>
      </c>
      <c r="AJ23" s="367"/>
      <c r="AK23" s="369"/>
      <c r="AL23" s="1200"/>
      <c r="AM23" s="368">
        <f>L23+'Rates in summary'!N22</f>
        <v>0.72764000000000029</v>
      </c>
      <c r="AN23" s="367"/>
      <c r="AO23" s="369"/>
      <c r="AP23" s="368">
        <f>'Rates in summary'!U22</f>
        <v>0.96189000000000036</v>
      </c>
      <c r="AQ23" s="367"/>
      <c r="AR23" s="570"/>
      <c r="AS23" s="368">
        <f>L23+'Rates in Detail'!AD21</f>
        <v>0.71856000000000031</v>
      </c>
      <c r="AT23" s="367"/>
      <c r="AU23" s="369"/>
      <c r="AV23" s="368">
        <f>L23+'Rates in Detail'!AE21</f>
        <v>0.71891000000000027</v>
      </c>
      <c r="AW23" s="367"/>
      <c r="AX23" s="369"/>
      <c r="AY23" s="368">
        <f>L23+'Rates in Detail'!AF21</f>
        <v>0.71551000000000031</v>
      </c>
      <c r="AZ23" s="367"/>
      <c r="BA23" s="369"/>
      <c r="BB23" s="368">
        <f t="shared" si="71"/>
        <v>0.71891000000000027</v>
      </c>
      <c r="BC23" s="1200"/>
      <c r="BD23" s="1721"/>
      <c r="BE23" s="368">
        <f>'Rates in summary'!W22</f>
        <v>0.96687000000000034</v>
      </c>
      <c r="BF23" s="367"/>
      <c r="BG23" s="369"/>
      <c r="BH23" s="570"/>
      <c r="BS23" s="1583" t="s">
        <v>343</v>
      </c>
      <c r="BT23" s="1580">
        <f>R31-M31</f>
        <v>0</v>
      </c>
      <c r="BU23" s="1581">
        <f>S31</f>
        <v>0</v>
      </c>
      <c r="BV23" s="1580">
        <f>U31-N31</f>
        <v>0</v>
      </c>
      <c r="BW23" s="1581">
        <f>V31</f>
        <v>0</v>
      </c>
      <c r="BX23" s="367">
        <f>AJ31-M31</f>
        <v>0</v>
      </c>
      <c r="BY23" s="1581">
        <f>AK31</f>
        <v>0</v>
      </c>
      <c r="BZ23" s="1580">
        <f>AN31-O31</f>
        <v>0</v>
      </c>
      <c r="CA23" s="1581">
        <f>AO31</f>
        <v>0</v>
      </c>
      <c r="CB23" s="1580">
        <f>AQ31-P31</f>
        <v>0</v>
      </c>
      <c r="CC23" s="1581">
        <f>AR31</f>
        <v>0</v>
      </c>
      <c r="CD23" s="367">
        <f>BF31-O31</f>
        <v>0</v>
      </c>
      <c r="CE23" s="1581">
        <f>BG31</f>
        <v>0</v>
      </c>
    </row>
    <row r="24" spans="1:88" x14ac:dyDescent="0.3">
      <c r="A24" s="85">
        <f t="shared" si="17"/>
        <v>17</v>
      </c>
      <c r="B24" s="709"/>
      <c r="C24" s="858" t="s">
        <v>5</v>
      </c>
      <c r="D24" s="294">
        <f>'WA Volumes &amp; Revenues'!E24</f>
        <v>621650.00000000012</v>
      </c>
      <c r="E24" s="294">
        <f>'WA Volumes &amp; Revenues'!F24</f>
        <v>630361</v>
      </c>
      <c r="F24" s="366" t="s">
        <v>72</v>
      </c>
      <c r="G24" s="295"/>
      <c r="H24" s="295"/>
      <c r="I24" s="862"/>
      <c r="J24" s="367"/>
      <c r="K24" s="121">
        <f>+'Rates in summary'!D23</f>
        <v>0.56396000000000013</v>
      </c>
      <c r="L24" s="121">
        <f>+'Rates in summary'!M23</f>
        <v>0.67496000000000023</v>
      </c>
      <c r="M24" s="367"/>
      <c r="N24" s="367"/>
      <c r="O24" s="942"/>
      <c r="P24" s="942"/>
      <c r="Q24" s="368">
        <f>'Rates in summary'!H23-'Rates in summary'!F23</f>
        <v>0.58082000000000011</v>
      </c>
      <c r="R24" s="367"/>
      <c r="S24" s="369"/>
      <c r="T24" s="368">
        <f>'Rates in summary'!L23</f>
        <v>0.6601100000000002</v>
      </c>
      <c r="U24" s="367"/>
      <c r="V24" s="570"/>
      <c r="W24" s="368">
        <f>'Rates in Detail'!J22+'Rates in Detail'!P22</f>
        <v>0.56052000000000013</v>
      </c>
      <c r="X24" s="367"/>
      <c r="Y24" s="570"/>
      <c r="Z24" s="368">
        <f>'Rates in Detail'!J22+'Rates in Detail'!S22</f>
        <v>0.56396000000000013</v>
      </c>
      <c r="AA24" s="367"/>
      <c r="AB24" s="570"/>
      <c r="AC24" s="121">
        <f>'Rates in Detail'!J22+'Rates in Detail'!T22</f>
        <v>0.56086000000000014</v>
      </c>
      <c r="AD24" s="367"/>
      <c r="AE24" s="570"/>
      <c r="AF24" s="121">
        <f>'Rates in Detail'!J22+'Rates in Detail'!U22</f>
        <v>0.56505000000000016</v>
      </c>
      <c r="AG24" s="367"/>
      <c r="AH24" s="570"/>
      <c r="AI24" s="368">
        <f>'Rates in summary'!M23</f>
        <v>0.67496000000000023</v>
      </c>
      <c r="AJ24" s="367"/>
      <c r="AK24" s="369"/>
      <c r="AL24" s="1200"/>
      <c r="AM24" s="368">
        <f>L24+'Rates in summary'!N23</f>
        <v>0.6826500000000002</v>
      </c>
      <c r="AN24" s="367"/>
      <c r="AO24" s="369"/>
      <c r="AP24" s="368">
        <f>'Rates in summary'!U23</f>
        <v>0.91730000000000023</v>
      </c>
      <c r="AQ24" s="367"/>
      <c r="AR24" s="570"/>
      <c r="AS24" s="368">
        <f>L24+'Rates in Detail'!AD22</f>
        <v>0.67466000000000026</v>
      </c>
      <c r="AT24" s="367"/>
      <c r="AU24" s="369"/>
      <c r="AV24" s="368">
        <f>L24+'Rates in Detail'!AE22</f>
        <v>0.67496000000000023</v>
      </c>
      <c r="AW24" s="367"/>
      <c r="AX24" s="369"/>
      <c r="AY24" s="368">
        <f>L24+'Rates in Detail'!AF22</f>
        <v>0.67197000000000018</v>
      </c>
      <c r="AZ24" s="367"/>
      <c r="BA24" s="369"/>
      <c r="BB24" s="368">
        <f t="shared" si="71"/>
        <v>0.67496000000000023</v>
      </c>
      <c r="BC24" s="1200"/>
      <c r="BD24" s="1721"/>
      <c r="BE24" s="368">
        <f>'Rates in summary'!W23</f>
        <v>0.92170000000000019</v>
      </c>
      <c r="BF24" s="367"/>
      <c r="BG24" s="369"/>
      <c r="BH24" s="570"/>
      <c r="BS24" s="1583" t="s">
        <v>344</v>
      </c>
      <c r="BT24" s="1580">
        <f>R34-M34</f>
        <v>92.170000000000073</v>
      </c>
      <c r="BU24" s="1581">
        <f>S34</f>
        <v>4.5999999999999999E-2</v>
      </c>
      <c r="BV24" s="1580">
        <f>U34-N34</f>
        <v>11.759999999999991</v>
      </c>
      <c r="BW24" s="1581">
        <f>V34</f>
        <v>6.0000000000000001E-3</v>
      </c>
      <c r="BX24" s="367">
        <f>AJ34-M34</f>
        <v>93.369999999999891</v>
      </c>
      <c r="BY24" s="1581">
        <f>AK34</f>
        <v>4.5999999999999999E-2</v>
      </c>
      <c r="BZ24" s="1580">
        <f>AN34-O34</f>
        <v>42.0600000000004</v>
      </c>
      <c r="CA24" s="1581">
        <f>AO34</f>
        <v>0.02</v>
      </c>
      <c r="CB24" s="1580">
        <f>AQ34-P34</f>
        <v>72.770000000000437</v>
      </c>
      <c r="CC24" s="1581">
        <f>AR34</f>
        <v>8.9999999999999993E-3</v>
      </c>
      <c r="CD24" s="367">
        <f>BF34-O34</f>
        <v>42.539999999999964</v>
      </c>
      <c r="CE24" s="1581">
        <f>BG34</f>
        <v>0.02</v>
      </c>
    </row>
    <row r="25" spans="1:88" x14ac:dyDescent="0.3">
      <c r="A25" s="85">
        <f t="shared" si="17"/>
        <v>18</v>
      </c>
      <c r="B25" s="707"/>
      <c r="C25" s="859" t="s">
        <v>76</v>
      </c>
      <c r="D25" s="370"/>
      <c r="E25" s="370"/>
      <c r="F25" s="371"/>
      <c r="G25" s="372"/>
      <c r="H25" s="372"/>
      <c r="I25" s="863"/>
      <c r="J25" s="374"/>
      <c r="K25" s="373"/>
      <c r="L25" s="373"/>
      <c r="M25" s="374">
        <f>$I23+ROUND(IF($G23&lt;$F23,($G23*K23),IF($G23&gt;SUM($F23:$F24),(($F23*K23)+(($G23-$F23)*K24)),0)),2)</f>
        <v>3007.35</v>
      </c>
      <c r="N25" s="374">
        <f>I23+ROUND(IF($H23&lt;$F23,($H23*$K23),IF($H23&gt;SUM(F23:F24),(($F23*K23)+(($H23-F23)*K24)),0)),2)</f>
        <v>3023.71</v>
      </c>
      <c r="O25" s="374">
        <f>$I23+ROUND(IF($G23&lt;$F23,($G23*L23),IF($G23&gt;SUM($F23:$F24),(($F23*L23)+(($G23-$F23)*L24)),0)),2)</f>
        <v>3537.89</v>
      </c>
      <c r="P25" s="374">
        <f>I23+ROUND(IF($H23&lt;$F23,($H23*$L23),IF($H23&gt;SUM(F23:F24),(($F23*L23)+(($H23-F23)*L24)),0)),2)</f>
        <v>3557.46</v>
      </c>
      <c r="Q25" s="376"/>
      <c r="R25" s="374">
        <f>$J23+ROUND(IF($G23&lt;$F23,($G23*Q23),IF($G23&gt;SUM($F23:$F24),(($F23*Q23)+(($G23-$F23)*Q24)),0)),2)</f>
        <v>3091.83</v>
      </c>
      <c r="S25" s="377">
        <f>ROUND((R25-M25)/M25,3)</f>
        <v>2.8000000000000001E-2</v>
      </c>
      <c r="T25" s="375"/>
      <c r="U25" s="374">
        <f>$I23+ROUND(IF($H23&lt;$F23,($H23*T23),IF($H23&gt;SUM($F23:$F24),(($F23*T23)+(($H23-$F23)*T24)),0)),2)</f>
        <v>3482.62</v>
      </c>
      <c r="V25" s="571">
        <f>ROUND((U25-N25)/N25,3)</f>
        <v>0.152</v>
      </c>
      <c r="W25" s="375"/>
      <c r="X25" s="374">
        <f>$J23+ROUND(IF($G23&lt;$F23,($G23*W23),IF($G23&gt;SUM($F23:$F24),(($F23*W23)+(($G23-$F23)*W24)),0)),2)</f>
        <v>2990.11</v>
      </c>
      <c r="Y25" s="571">
        <f t="shared" ref="Y25" si="75">ROUND(($X25-$M25)/$M25,3)</f>
        <v>-6.0000000000000001E-3</v>
      </c>
      <c r="Z25" s="375"/>
      <c r="AA25" s="374">
        <f>$J23+ROUND(IF($G23&lt;$F23,($G23*Z23),IF($G23&gt;SUM($F23:$F24),(($F23*Z23)+(($G23-$F23)*Z24)),0)),2)</f>
        <v>3007.35</v>
      </c>
      <c r="AB25" s="571">
        <f>ROUND(($AA25-$M25)/$M25,3)</f>
        <v>0</v>
      </c>
      <c r="AC25" s="374"/>
      <c r="AD25" s="374">
        <f>$J23+ROUND(IF($G23&lt;$F23,($G23*AC23),IF($G23&gt;SUM($F23:$F24),(($F23*AC23)+(($G23-$F23)*AC24)),0)),2)</f>
        <v>2991.82</v>
      </c>
      <c r="AE25" s="571">
        <f>ROUND(($AD25-$M25)/$M25,3)</f>
        <v>-5.0000000000000001E-3</v>
      </c>
      <c r="AF25" s="374"/>
      <c r="AG25" s="374">
        <f>$J23+ROUND(IF($G23&lt;$F23,($G23*AF23),IF($G23&gt;SUM($F23:$F24),(($F23*AF23)+(($G23-$F23)*AF24)),0)),2)</f>
        <v>3012.82</v>
      </c>
      <c r="AH25" s="571">
        <f t="shared" ref="AH25" si="76">ROUND(($AG25-$M25)/$M25,3)</f>
        <v>2E-3</v>
      </c>
      <c r="AI25" s="376"/>
      <c r="AJ25" s="374">
        <f>$J23+ROUND(IF($G23&lt;$F23,($G23*AI23),IF($G23&gt;SUM($F23:$F24),(($F23*AI23)+(($G23-$F23)*AI24)),0)),2)</f>
        <v>3537.89</v>
      </c>
      <c r="AK25" s="377">
        <f>ROUND((AJ25-M25)/M25,3)</f>
        <v>0.17599999999999999</v>
      </c>
      <c r="AL25" s="374">
        <f t="shared" si="55"/>
        <v>530.54</v>
      </c>
      <c r="AM25" s="376"/>
      <c r="AN25" s="374">
        <f>$J23+ROUND(IF($G23&lt;$F23,($G23*AM23),IF($G23&gt;SUM($F23:$F24),(($F23*AM23)+(($G23-$F23)*AM24)),0)),2)</f>
        <v>3576.42</v>
      </c>
      <c r="AO25" s="377">
        <f>ROUND((AN25-O25)/O25,3)</f>
        <v>1.0999999999999999E-2</v>
      </c>
      <c r="AP25" s="375"/>
      <c r="AQ25" s="374">
        <f>$I23+ROUND(IF($G23&lt;$F23,($G23*AP23),IF($G23&gt;SUM($F23:$F24),(($F23*AP23)+(($G23-$F23)*AP24)),0)),2)</f>
        <v>4688.1000000000004</v>
      </c>
      <c r="AR25" s="571">
        <f t="shared" si="58"/>
        <v>0.32500000000000001</v>
      </c>
      <c r="AS25" s="376"/>
      <c r="AT25" s="374">
        <f>$J23+ROUND(IF($G23&lt;$F23,($G23*AS23),IF($G23&gt;SUM($F23:$F24),(($F23*AS23)+(($G23-$F23)*AS24)),0)),2)</f>
        <v>3536.36</v>
      </c>
      <c r="AU25" s="377">
        <f>ROUND(($AT25-$O25)/$O25,3)</f>
        <v>0</v>
      </c>
      <c r="AV25" s="376"/>
      <c r="AW25" s="374">
        <f>$J23+ROUND(IF($G23&lt;$F23,($G23*AV23),IF($G23&gt;SUM($F23:$F24),(($F23*AV23)+(($G23-$F23)*AV24)),0)),2)</f>
        <v>3537.89</v>
      </c>
      <c r="AX25" s="377">
        <f>ROUND(($AW25-$O25)/$O25,3)</f>
        <v>0</v>
      </c>
      <c r="AY25" s="376"/>
      <c r="AZ25" s="374">
        <f>$J23+ROUND(IF($G23&lt;$F23,($G23*AY23),IF($G23&gt;SUM($F23:$F24),(($F23*AY23)+(($G23-$F23)*AY24)),0)),2)</f>
        <v>3522.89</v>
      </c>
      <c r="BA25" s="377">
        <f>ROUND(($AT25-$O25)/$O25,3)</f>
        <v>0</v>
      </c>
      <c r="BB25" s="376"/>
      <c r="BC25" s="1726">
        <f t="shared" si="72"/>
        <v>3537.89</v>
      </c>
      <c r="BD25" s="1722">
        <f t="shared" si="70"/>
        <v>0</v>
      </c>
      <c r="BE25" s="376"/>
      <c r="BF25" s="374">
        <f>$J23+ROUND(IF($G23&lt;$F23,($G23*BE23),IF($G23&gt;SUM($F23:$F24),(($F23*BE23)+(($G23-$F23)*BE24)),0)),2)</f>
        <v>4710.12</v>
      </c>
      <c r="BG25" s="377">
        <f>ROUND((BF25-O25)/O25,3)</f>
        <v>0.33100000000000002</v>
      </c>
      <c r="BH25" s="1576">
        <f t="shared" si="63"/>
        <v>1172.23</v>
      </c>
      <c r="BI25" s="365"/>
      <c r="BJ25" s="365"/>
      <c r="BK25" s="365"/>
      <c r="BL25" s="365"/>
      <c r="BM25" s="365"/>
      <c r="BN25" s="365"/>
      <c r="BO25" s="365"/>
      <c r="BP25" s="365"/>
      <c r="BQ25" s="365"/>
      <c r="BR25" s="365"/>
      <c r="BS25" s="1583" t="s">
        <v>345</v>
      </c>
      <c r="BT25" s="1580">
        <f>R37-M37</f>
        <v>0</v>
      </c>
      <c r="BU25" s="1581">
        <f>S37</f>
        <v>0</v>
      </c>
      <c r="BV25" s="1580">
        <f>U37-N37</f>
        <v>0</v>
      </c>
      <c r="BW25" s="1581">
        <f>V37</f>
        <v>0</v>
      </c>
      <c r="BX25" s="367">
        <f>AJ37-M37</f>
        <v>0</v>
      </c>
      <c r="BY25" s="1581">
        <f>AK37</f>
        <v>0</v>
      </c>
      <c r="BZ25" s="1580">
        <f>AN37-O37</f>
        <v>0</v>
      </c>
      <c r="CA25" s="1581">
        <f>AO37</f>
        <v>0</v>
      </c>
      <c r="CB25" s="1580">
        <f>AQ37-P37</f>
        <v>0</v>
      </c>
      <c r="CC25" s="1581">
        <f>AR37</f>
        <v>0</v>
      </c>
      <c r="CD25" s="367">
        <f>BF37-O37</f>
        <v>0</v>
      </c>
      <c r="CE25" s="1581">
        <f>BG37</f>
        <v>0</v>
      </c>
    </row>
    <row r="26" spans="1:88" x14ac:dyDescent="0.3">
      <c r="A26" s="85">
        <f t="shared" si="17"/>
        <v>19</v>
      </c>
      <c r="B26" s="709" t="str">
        <f>'WA Volumes &amp; Revenues'!B25</f>
        <v>41C Interr Sales</v>
      </c>
      <c r="C26" s="858" t="s">
        <v>4</v>
      </c>
      <c r="D26" s="294">
        <f>'WA Volumes &amp; Revenues'!E25</f>
        <v>0</v>
      </c>
      <c r="E26" s="294">
        <f>'WA Volumes &amp; Revenues'!F25</f>
        <v>0</v>
      </c>
      <c r="F26" s="366">
        <v>2000</v>
      </c>
      <c r="G26" s="295">
        <f>'WA Volumes &amp; Revenues'!I25</f>
        <v>0</v>
      </c>
      <c r="H26" s="295">
        <f>'WA Volumes &amp; Revenues'!L25</f>
        <v>0</v>
      </c>
      <c r="I26" s="862">
        <f>'WA Volumes &amp; Revenues'!O25</f>
        <v>250</v>
      </c>
      <c r="J26" s="367">
        <f>'WA Volumes &amp; Revenues'!N25</f>
        <v>250</v>
      </c>
      <c r="K26" s="121">
        <f>+'Rates in summary'!D24</f>
        <v>0.66024999999999989</v>
      </c>
      <c r="L26" s="121">
        <f>+'Rates in summary'!M24</f>
        <v>0.81380999999999981</v>
      </c>
      <c r="M26" s="367"/>
      <c r="N26" s="367"/>
      <c r="O26" s="942"/>
      <c r="P26" s="942"/>
      <c r="Q26" s="368">
        <f>'Rates in summary'!H24-'Rates in summary'!F24</f>
        <v>0.69311999999999985</v>
      </c>
      <c r="R26" s="367"/>
      <c r="S26" s="369"/>
      <c r="T26" s="368">
        <f>'Rates in summary'!L24</f>
        <v>0.78944999999999987</v>
      </c>
      <c r="U26" s="367"/>
      <c r="V26" s="570"/>
      <c r="W26" s="368">
        <f>'Rates in Detail'!J23+'Rates in Detail'!P23</f>
        <v>0.65702999999999989</v>
      </c>
      <c r="X26" s="367"/>
      <c r="Y26" s="570"/>
      <c r="Z26" s="368">
        <f>'Rates in Detail'!J23+'Rates in Detail'!S23</f>
        <v>0.65338999999999992</v>
      </c>
      <c r="AA26" s="367"/>
      <c r="AB26" s="570"/>
      <c r="AC26" s="121">
        <f>'Rates in Detail'!J23+'Rates in Detail'!T23</f>
        <v>0.65721999999999992</v>
      </c>
      <c r="AD26" s="367"/>
      <c r="AE26" s="570"/>
      <c r="AF26" s="121">
        <f>'Rates in Detail'!J23+'Rates in Detail'!U23</f>
        <v>0.66162999999999994</v>
      </c>
      <c r="AG26" s="367"/>
      <c r="AH26" s="570"/>
      <c r="AI26" s="368">
        <f>'Rates in summary'!M24</f>
        <v>0.81380999999999981</v>
      </c>
      <c r="AJ26" s="367"/>
      <c r="AK26" s="369"/>
      <c r="AL26" s="1200"/>
      <c r="AM26" s="368">
        <f>L26+'Rates in summary'!N24</f>
        <v>0.83542999999999978</v>
      </c>
      <c r="AN26" s="367"/>
      <c r="AO26" s="369"/>
      <c r="AP26" s="368">
        <f>'Rates in summary'!U24</f>
        <v>1.0034099999999999</v>
      </c>
      <c r="AQ26" s="367"/>
      <c r="AR26" s="570"/>
      <c r="AS26" s="368">
        <f>L26+'Rates in Detail'!AD23</f>
        <v>0.81349999999999978</v>
      </c>
      <c r="AT26" s="367"/>
      <c r="AU26" s="369"/>
      <c r="AV26" s="368">
        <f>L26+'Rates in Detail'!AE23</f>
        <v>0.8070299999999998</v>
      </c>
      <c r="AW26" s="367"/>
      <c r="AX26" s="369"/>
      <c r="AY26" s="368">
        <f>L26+'Rates in Detail'!AF23</f>
        <v>0.81076999999999977</v>
      </c>
      <c r="AZ26" s="367"/>
      <c r="BA26" s="369"/>
      <c r="BB26" s="368">
        <f t="shared" si="71"/>
        <v>0.81380999999999981</v>
      </c>
      <c r="BC26" s="1200"/>
      <c r="BD26" s="1721"/>
      <c r="BE26" s="368">
        <f>'Rates in summary'!W24</f>
        <v>1.0148999999999999</v>
      </c>
      <c r="BF26" s="367"/>
      <c r="BG26" s="369"/>
      <c r="BH26" s="570"/>
      <c r="BS26" s="1583" t="s">
        <v>346</v>
      </c>
      <c r="BT26" s="1580">
        <f>R44-M44</f>
        <v>407.28999999999996</v>
      </c>
      <c r="BU26" s="1581">
        <f>S44</f>
        <v>6.3E-2</v>
      </c>
      <c r="BV26" s="1580">
        <f>U44-N44</f>
        <v>1869.0599999999995</v>
      </c>
      <c r="BW26" s="1581">
        <f>V44</f>
        <v>0.20200000000000001</v>
      </c>
      <c r="BX26" s="367">
        <f>AJ44-M44</f>
        <v>1517.3100000000004</v>
      </c>
      <c r="BY26" s="1581">
        <f>AK44</f>
        <v>0.23499999999999999</v>
      </c>
      <c r="BZ26" s="1580">
        <f>AN44-O44</f>
        <v>246.03999999999905</v>
      </c>
      <c r="CA26" s="1581">
        <f>AO44</f>
        <v>3.1E-2</v>
      </c>
      <c r="CB26" s="1580">
        <f>AQ44-P44</f>
        <v>-862.14999999999964</v>
      </c>
      <c r="CC26" s="1581">
        <f>AR44</f>
        <v>0.34799999999999998</v>
      </c>
      <c r="CD26" s="367">
        <f>BF44-O44</f>
        <v>2921.42</v>
      </c>
      <c r="CE26" s="1581">
        <f>BG44</f>
        <v>0.36599999999999999</v>
      </c>
    </row>
    <row r="27" spans="1:88" x14ac:dyDescent="0.3">
      <c r="A27" s="85">
        <f t="shared" si="17"/>
        <v>20</v>
      </c>
      <c r="B27" s="709"/>
      <c r="C27" s="858" t="s">
        <v>5</v>
      </c>
      <c r="D27" s="294">
        <f>'WA Volumes &amp; Revenues'!E26</f>
        <v>0</v>
      </c>
      <c r="E27" s="294">
        <f>'WA Volumes &amp; Revenues'!F26</f>
        <v>0</v>
      </c>
      <c r="F27" s="366" t="s">
        <v>72</v>
      </c>
      <c r="G27" s="295"/>
      <c r="H27" s="295"/>
      <c r="I27" s="862"/>
      <c r="J27" s="367"/>
      <c r="K27" s="121">
        <f>+'Rates in summary'!D25</f>
        <v>0.61316999999999988</v>
      </c>
      <c r="L27" s="121">
        <f>+'Rates in summary'!M25</f>
        <v>0.76286999999999983</v>
      </c>
      <c r="M27" s="367"/>
      <c r="N27" s="367"/>
      <c r="O27" s="942"/>
      <c r="P27" s="942"/>
      <c r="Q27" s="368">
        <f>'Rates in summary'!H25-'Rates in summary'!F25</f>
        <v>0.64212999999999987</v>
      </c>
      <c r="R27" s="367"/>
      <c r="S27" s="369"/>
      <c r="T27" s="368">
        <f>'Rates in summary'!L25</f>
        <v>0.74141999999999986</v>
      </c>
      <c r="U27" s="367"/>
      <c r="V27" s="570"/>
      <c r="W27" s="368">
        <f>'Rates in Detail'!J24+'Rates in Detail'!P24</f>
        <v>0.61032999999999993</v>
      </c>
      <c r="X27" s="367"/>
      <c r="Y27" s="570"/>
      <c r="Z27" s="368">
        <f>'Rates in Detail'!J24+'Rates in Detail'!S24</f>
        <v>0.60711999999999988</v>
      </c>
      <c r="AA27" s="367"/>
      <c r="AB27" s="570"/>
      <c r="AC27" s="121">
        <f>'Rates in Detail'!J24+'Rates in Detail'!T24</f>
        <v>0.61049999999999993</v>
      </c>
      <c r="AD27" s="367"/>
      <c r="AE27" s="570"/>
      <c r="AF27" s="121">
        <f>'Rates in Detail'!J24+'Rates in Detail'!U24</f>
        <v>0.61437999999999993</v>
      </c>
      <c r="AG27" s="367"/>
      <c r="AH27" s="570"/>
      <c r="AI27" s="368">
        <f>'Rates in summary'!M25</f>
        <v>0.76286999999999983</v>
      </c>
      <c r="AJ27" s="367"/>
      <c r="AK27" s="369"/>
      <c r="AL27" s="1200"/>
      <c r="AM27" s="368">
        <f>L27+'Rates in summary'!N25</f>
        <v>0.78191999999999984</v>
      </c>
      <c r="AN27" s="367"/>
      <c r="AO27" s="369"/>
      <c r="AP27" s="368">
        <f>'Rates in summary'!U25</f>
        <v>0.95379999999999987</v>
      </c>
      <c r="AQ27" s="367"/>
      <c r="AR27" s="570"/>
      <c r="AS27" s="368">
        <f>L27+'Rates in Detail'!AD24</f>
        <v>0.76259999999999983</v>
      </c>
      <c r="AT27" s="367"/>
      <c r="AU27" s="369"/>
      <c r="AV27" s="368">
        <f>L27+'Rates in Detail'!AE24</f>
        <v>0.7568999999999998</v>
      </c>
      <c r="AW27" s="367"/>
      <c r="AX27" s="369"/>
      <c r="AY27" s="368">
        <f>L27+'Rates in Detail'!AF24</f>
        <v>0.76018999999999981</v>
      </c>
      <c r="AZ27" s="367"/>
      <c r="BA27" s="369"/>
      <c r="BB27" s="368">
        <f t="shared" si="71"/>
        <v>0.76286999999999983</v>
      </c>
      <c r="BC27" s="1200"/>
      <c r="BD27" s="1721"/>
      <c r="BE27" s="368">
        <f>'Rates in summary'!W25</f>
        <v>0.96392999999999984</v>
      </c>
      <c r="BF27" s="367"/>
      <c r="BG27" s="369"/>
      <c r="BH27" s="570"/>
      <c r="BS27" s="1583" t="s">
        <v>347</v>
      </c>
      <c r="BT27" s="1580">
        <f>R51-M51</f>
        <v>169.29999999999927</v>
      </c>
      <c r="BU27" s="1581">
        <f>S51</f>
        <v>2.5999999999999999E-2</v>
      </c>
      <c r="BV27" s="1580">
        <f>U51-N51</f>
        <v>1300.3000000000002</v>
      </c>
      <c r="BW27" s="1581">
        <f>V51</f>
        <v>0.192</v>
      </c>
      <c r="BX27" s="367">
        <f>AJ51-M51</f>
        <v>1380.2299999999996</v>
      </c>
      <c r="BY27" s="1581">
        <f>AK51</f>
        <v>0.21299999999999999</v>
      </c>
      <c r="BZ27" s="1580">
        <f>AN51-O51</f>
        <v>77.180000000000291</v>
      </c>
      <c r="CA27" s="1581">
        <f>AO51</f>
        <v>0.01</v>
      </c>
      <c r="CB27" s="1580">
        <f>AQ51-P51</f>
        <v>2698.7500000000018</v>
      </c>
      <c r="CC27" s="1581">
        <f>AR51</f>
        <v>0.38900000000000001</v>
      </c>
      <c r="CD27" s="367">
        <f>BF51-O51</f>
        <v>3102.1399999999994</v>
      </c>
      <c r="CE27" s="1581">
        <f>BG51</f>
        <v>0.39500000000000002</v>
      </c>
    </row>
    <row r="28" spans="1:88" x14ac:dyDescent="0.3">
      <c r="A28" s="85">
        <f t="shared" si="17"/>
        <v>21</v>
      </c>
      <c r="B28" s="707"/>
      <c r="C28" s="859" t="s">
        <v>76</v>
      </c>
      <c r="D28" s="370"/>
      <c r="E28" s="370"/>
      <c r="F28" s="371"/>
      <c r="G28" s="372"/>
      <c r="H28" s="372"/>
      <c r="I28" s="863"/>
      <c r="J28" s="374"/>
      <c r="K28" s="373"/>
      <c r="L28" s="373"/>
      <c r="M28" s="374">
        <f>$I26+ROUND(IF($G26&lt;$F26,($G26*K26),IF($G26&gt;SUM($F26:$F27),(($F26*K26)+(($G26-$F26)*K27)),0)),2)</f>
        <v>250</v>
      </c>
      <c r="N28" s="374">
        <f>I26+ROUND(IF($H26&lt;$F26,($H26*$K26),IF($H26&gt;SUM(F26:F27),(($F26*K26)+(($H26-F26)*K27)),0)),2)</f>
        <v>250</v>
      </c>
      <c r="O28" s="374">
        <f>$I26+ROUND(IF($G26&lt;$F26,($G26*L26),IF($G26&gt;SUM($F26:$F27),(($F26*L26)+(($G26-$F26)*L27)),0)),2)</f>
        <v>250</v>
      </c>
      <c r="P28" s="374">
        <f>I26+ROUND(IF($H26&lt;$F26,($H26*$L26),IF($H26&gt;SUM(F26:F27),(($F26*L26)+(($H26-F26)*L27)),0)),2)</f>
        <v>250</v>
      </c>
      <c r="Q28" s="376"/>
      <c r="R28" s="374">
        <f>$J26+ROUND(IF($G26&lt;$F26,($G26*Q26),IF($G26&gt;SUM($F26:$F27),(($F26*Q26)+(($G26-$F26)*Q27)),0)),2)</f>
        <v>250</v>
      </c>
      <c r="S28" s="377">
        <f>ROUND((R28-M28)/M28,3)</f>
        <v>0</v>
      </c>
      <c r="T28" s="375"/>
      <c r="U28" s="374">
        <f>$I26+ROUND(IF($H26&lt;$F26,($H26*T26),IF($H26&gt;SUM($F26:$F27),(($F26*T26)+(($H26-$F26)*T27)),0)),2)</f>
        <v>250</v>
      </c>
      <c r="V28" s="571">
        <f>ROUND((U28-N28)/N28,3)</f>
        <v>0</v>
      </c>
      <c r="W28" s="375"/>
      <c r="X28" s="374">
        <f>$J26+ROUND(IF($G26&lt;$F26,($G26*W26),IF($G26&gt;SUM($F26:$F27),(($F26*W26)+(($G26-$F26)*W27)),0)),2)</f>
        <v>250</v>
      </c>
      <c r="Y28" s="571">
        <f t="shared" ref="Y28" si="77">ROUND(($X28-$M28)/$M28,3)</f>
        <v>0</v>
      </c>
      <c r="Z28" s="375"/>
      <c r="AA28" s="374">
        <f>$J26+ROUND(IF($G26&lt;$F26,($G26*Z26),IF($G26&gt;SUM($F26:$F27),(($F26*Z26)+(($G26-$F26)*Z27)),0)),2)</f>
        <v>250</v>
      </c>
      <c r="AB28" s="571">
        <f>ROUND(($AA28-$M28)/$M28,3)</f>
        <v>0</v>
      </c>
      <c r="AC28" s="374"/>
      <c r="AD28" s="374">
        <f>$J26+ROUND(IF($G26&lt;$F26,($G26*AC26),IF($G26&gt;SUM($F26:$F27),(($F26*AC26)+(($G26-$F26)*AC27)),0)),2)</f>
        <v>250</v>
      </c>
      <c r="AE28" s="571">
        <f>ROUND(($AD28-$M28)/$M28,3)</f>
        <v>0</v>
      </c>
      <c r="AF28" s="374"/>
      <c r="AG28" s="374">
        <f>$J26+ROUND(IF($G26&lt;$F26,($G26*AF26),IF($G26&gt;SUM($F26:$F27),(($F26*AF26)+(($G26-$F26)*AF27)),0)),2)</f>
        <v>250</v>
      </c>
      <c r="AH28" s="571">
        <f t="shared" ref="AH28" si="78">ROUND(($AG28-$M28)/$M28,3)</f>
        <v>0</v>
      </c>
      <c r="AI28" s="376"/>
      <c r="AJ28" s="374">
        <f>$J26+ROUND(IF($G26&lt;$F26,($G26*AI26),IF($G26&gt;SUM($F26:$F27),(($F26*AI26)+(($G26-$F26)*AI27)),0)),2)</f>
        <v>250</v>
      </c>
      <c r="AK28" s="377">
        <f>ROUND((AJ28-M28)/M28,3)</f>
        <v>0</v>
      </c>
      <c r="AL28" s="374">
        <f t="shared" si="55"/>
        <v>0</v>
      </c>
      <c r="AM28" s="376"/>
      <c r="AN28" s="374">
        <f>$J26+ROUND(IF($G26&lt;$F26,($G26*AM26),IF($G26&gt;SUM($F26:$F27),(($F26*AM26)+(($G26-$F26)*AM27)),0)),2)</f>
        <v>250</v>
      </c>
      <c r="AO28" s="377">
        <f>ROUND((AN28-O28)/O28,3)</f>
        <v>0</v>
      </c>
      <c r="AP28" s="375"/>
      <c r="AQ28" s="374">
        <f>$I26+ROUND(IF($G26&lt;$F26,($G26*AP26),IF($G26&gt;SUM($F26:$F27),(($F26*AP26)+(($G26-$F26)*AP27)),0)),2)</f>
        <v>250</v>
      </c>
      <c r="AR28" s="571">
        <f t="shared" si="58"/>
        <v>0</v>
      </c>
      <c r="AS28" s="376"/>
      <c r="AT28" s="374">
        <f>$J26+ROUND(IF($G26&lt;$F26,($G26*AS26),IF($G26&gt;SUM($F26:$F27),(($F26*AS26)+(($G26-$F26)*AS27)),0)),2)</f>
        <v>250</v>
      </c>
      <c r="AU28" s="377">
        <f>ROUND(($AT28-$O28)/$O28,3)</f>
        <v>0</v>
      </c>
      <c r="AV28" s="376"/>
      <c r="AW28" s="374">
        <f>$J26+ROUND(IF($G26&lt;$F26,($G26*AV26),IF($G26&gt;SUM($F26:$F27),(($F26*AV26)+(($G26-$F26)*AV27)),0)),2)</f>
        <v>250</v>
      </c>
      <c r="AX28" s="377">
        <f>ROUND(($AW28-$O28)/$O28,3)</f>
        <v>0</v>
      </c>
      <c r="AY28" s="376"/>
      <c r="AZ28" s="374">
        <f>$J26+ROUND(IF($G26&lt;$F26,($G26*AY26),IF($G26&gt;SUM($F26:$F27),(($F26*AY26)+(($G26-$F26)*AY27)),0)),2)</f>
        <v>250</v>
      </c>
      <c r="BA28" s="377">
        <f>ROUND(($AT28-$O28)/$O28,3)</f>
        <v>0</v>
      </c>
      <c r="BB28" s="376"/>
      <c r="BC28" s="1726">
        <f t="shared" si="72"/>
        <v>250</v>
      </c>
      <c r="BD28" s="1722">
        <f t="shared" si="70"/>
        <v>0</v>
      </c>
      <c r="BE28" s="376"/>
      <c r="BF28" s="374">
        <f>$J26+ROUND(IF($G26&lt;$F26,($G26*BE26),IF($G26&gt;SUM($F26:$F27),(($F26*BE26)+(($G26-$F26)*BE27)),0)),2)</f>
        <v>250</v>
      </c>
      <c r="BG28" s="377">
        <f>ROUND((BF28-O28)/O28,3)</f>
        <v>0</v>
      </c>
      <c r="BH28" s="1576">
        <f t="shared" si="63"/>
        <v>0</v>
      </c>
      <c r="BI28" s="365"/>
      <c r="BJ28" s="365"/>
      <c r="BK28" s="365"/>
      <c r="BL28" s="365"/>
      <c r="BM28" s="365"/>
      <c r="BN28" s="365"/>
      <c r="BO28" s="365"/>
      <c r="BP28" s="365"/>
      <c r="BQ28" s="365"/>
      <c r="BR28" s="365"/>
      <c r="BS28" s="1583" t="s">
        <v>348</v>
      </c>
      <c r="BT28" s="1580">
        <f>R58-M58</f>
        <v>475.23999999999978</v>
      </c>
      <c r="BU28" s="1581">
        <f>S58</f>
        <v>6.4000000000000001E-2</v>
      </c>
      <c r="BV28" s="1580">
        <f>U58-N58</f>
        <v>37.770000000000437</v>
      </c>
      <c r="BW28" s="1581">
        <f>V58</f>
        <v>5.0000000000000001E-3</v>
      </c>
      <c r="BX28" s="367">
        <f>AJ58-M58</f>
        <v>470.67000000000007</v>
      </c>
      <c r="BY28" s="1581">
        <f>AK58</f>
        <v>6.3E-2</v>
      </c>
      <c r="BZ28" s="1580">
        <f>AN58-O58</f>
        <v>251.78999999999996</v>
      </c>
      <c r="CA28" s="1581">
        <f>AO58</f>
        <v>3.2000000000000001E-2</v>
      </c>
      <c r="CB28" s="1580">
        <f>AQ58-P58</f>
        <v>220.94999999999982</v>
      </c>
      <c r="CC28" s="1581">
        <f>AR58</f>
        <v>0</v>
      </c>
      <c r="CD28" s="367">
        <f>BF58-O58</f>
        <v>175.85000000000036</v>
      </c>
      <c r="CE28" s="1581">
        <f>BG58</f>
        <v>2.1999999999999999E-2</v>
      </c>
      <c r="CF28" s="288"/>
    </row>
    <row r="29" spans="1:88" x14ac:dyDescent="0.3">
      <c r="A29" s="85">
        <f t="shared" si="17"/>
        <v>22</v>
      </c>
      <c r="B29" s="709" t="str">
        <f>'WA Volumes &amp; Revenues'!B27</f>
        <v>41I Interr Sales</v>
      </c>
      <c r="C29" s="858" t="s">
        <v>4</v>
      </c>
      <c r="D29" s="294">
        <f>'WA Volumes &amp; Revenues'!E27</f>
        <v>0</v>
      </c>
      <c r="E29" s="294">
        <f>'WA Volumes &amp; Revenues'!F27</f>
        <v>0</v>
      </c>
      <c r="F29" s="366">
        <v>2000</v>
      </c>
      <c r="G29" s="295">
        <f>'WA Volumes &amp; Revenues'!I27</f>
        <v>0</v>
      </c>
      <c r="H29" s="295">
        <f>'WA Volumes &amp; Revenues'!L27</f>
        <v>0</v>
      </c>
      <c r="I29" s="862">
        <f>'WA Volumes &amp; Revenues'!O27</f>
        <v>250</v>
      </c>
      <c r="J29" s="367">
        <f>'WA Volumes &amp; Revenues'!N27</f>
        <v>250</v>
      </c>
      <c r="K29" s="121">
        <f>+'Rates in summary'!D26</f>
        <v>0.61580999999999997</v>
      </c>
      <c r="L29" s="121">
        <f>+'Rates in summary'!M26</f>
        <v>0.74958000000000002</v>
      </c>
      <c r="M29" s="367"/>
      <c r="N29" s="367"/>
      <c r="O29" s="942"/>
      <c r="P29" s="942"/>
      <c r="Q29" s="368">
        <f>'Rates in summary'!H26-'Rates in summary'!F26</f>
        <v>0.62834999999999996</v>
      </c>
      <c r="R29" s="367"/>
      <c r="S29" s="369"/>
      <c r="T29" s="368">
        <f>'Rates in summary'!L26</f>
        <v>0.73860999999999988</v>
      </c>
      <c r="U29" s="367"/>
      <c r="V29" s="570"/>
      <c r="W29" s="368">
        <f>'Rates in Detail'!J25+'Rates in Detail'!P25</f>
        <v>0.61258999999999997</v>
      </c>
      <c r="X29" s="367"/>
      <c r="Y29" s="570"/>
      <c r="Z29" s="368">
        <f>'Rates in Detail'!J25+'Rates in Detail'!S25</f>
        <v>0.61580999999999997</v>
      </c>
      <c r="AA29" s="367"/>
      <c r="AB29" s="570"/>
      <c r="AC29" s="121">
        <f>'Rates in Detail'!J25+'Rates in Detail'!T25</f>
        <v>0.61293999999999993</v>
      </c>
      <c r="AD29" s="367"/>
      <c r="AE29" s="570"/>
      <c r="AF29" s="121">
        <f>'Rates in Detail'!J25+'Rates in Detail'!U25</f>
        <v>0.61710999999999994</v>
      </c>
      <c r="AG29" s="367"/>
      <c r="AH29" s="570"/>
      <c r="AI29" s="368">
        <f>'Rates in summary'!M26</f>
        <v>0.74958000000000002</v>
      </c>
      <c r="AJ29" s="367"/>
      <c r="AK29" s="369"/>
      <c r="AL29" s="1200"/>
      <c r="AM29" s="368">
        <f>L29+'Rates in summary'!N26</f>
        <v>0.75670999999999999</v>
      </c>
      <c r="AN29" s="367"/>
      <c r="AO29" s="369"/>
      <c r="AP29" s="368">
        <f>'Rates in summary'!U26</f>
        <v>0.95332000000000006</v>
      </c>
      <c r="AQ29" s="367"/>
      <c r="AR29" s="570"/>
      <c r="AS29" s="368">
        <f>L29+'Rates in Detail'!AD25</f>
        <v>0.74930000000000008</v>
      </c>
      <c r="AT29" s="367"/>
      <c r="AU29" s="369"/>
      <c r="AV29" s="368">
        <f>L29+'Rates in Detail'!AE25</f>
        <v>0.74958000000000002</v>
      </c>
      <c r="AW29" s="367"/>
      <c r="AX29" s="369"/>
      <c r="AY29" s="368">
        <f>L29+'Rates in Detail'!AF25</f>
        <v>0.74680999999999997</v>
      </c>
      <c r="AZ29" s="367"/>
      <c r="BA29" s="369"/>
      <c r="BB29" s="368">
        <f t="shared" si="71"/>
        <v>0.74958000000000002</v>
      </c>
      <c r="BC29" s="1200"/>
      <c r="BD29" s="1721"/>
      <c r="BE29" s="368">
        <f>'Rates in summary'!W26</f>
        <v>0.95740000000000003</v>
      </c>
      <c r="BF29" s="367"/>
      <c r="BG29" s="369"/>
      <c r="BH29" s="570"/>
      <c r="BS29" s="1583" t="s">
        <v>349</v>
      </c>
      <c r="BT29" s="1580">
        <f>R65-M65</f>
        <v>424.56000000000131</v>
      </c>
      <c r="BU29" s="1581">
        <f>S65</f>
        <v>5.0999999999999997E-2</v>
      </c>
      <c r="BV29" s="1580">
        <f>U65-N65</f>
        <v>50.3700000000008</v>
      </c>
      <c r="BW29" s="1581">
        <f>V65</f>
        <v>6.0000000000000001E-3</v>
      </c>
      <c r="BX29" s="367">
        <f>AJ65-M65</f>
        <v>424.70000000000073</v>
      </c>
      <c r="BY29" s="1581">
        <f>AK65</f>
        <v>5.0999999999999997E-2</v>
      </c>
      <c r="BZ29" s="1580">
        <f>AN65-O65</f>
        <v>193.81999999999971</v>
      </c>
      <c r="CA29" s="1581">
        <f>AO65</f>
        <v>2.1999999999999999E-2</v>
      </c>
      <c r="CB29" s="1580">
        <f>AQ65-P65</f>
        <v>16.969999999999345</v>
      </c>
      <c r="CC29" s="1581">
        <f>AR65</f>
        <v>0</v>
      </c>
      <c r="CD29" s="367">
        <f>BF65-O65</f>
        <v>106.68000000000029</v>
      </c>
      <c r="CE29" s="1581">
        <f>BG65</f>
        <v>1.2E-2</v>
      </c>
      <c r="CF29" s="288"/>
    </row>
    <row r="30" spans="1:88" x14ac:dyDescent="0.3">
      <c r="A30" s="85">
        <f t="shared" si="17"/>
        <v>23</v>
      </c>
      <c r="B30" s="709"/>
      <c r="C30" s="858" t="s">
        <v>5</v>
      </c>
      <c r="D30" s="294">
        <f>'WA Volumes &amp; Revenues'!E28</f>
        <v>0</v>
      </c>
      <c r="E30" s="294">
        <f>'WA Volumes &amp; Revenues'!F28</f>
        <v>0</v>
      </c>
      <c r="F30" s="366" t="s">
        <v>72</v>
      </c>
      <c r="G30" s="378"/>
      <c r="H30" s="378"/>
      <c r="I30" s="864"/>
      <c r="J30" s="650"/>
      <c r="K30" s="121">
        <f>+'Rates in summary'!D27</f>
        <v>0.57401999999999986</v>
      </c>
      <c r="L30" s="121">
        <f>+'Rates in summary'!M27</f>
        <v>0.70627999999999991</v>
      </c>
      <c r="M30" s="367"/>
      <c r="N30" s="367"/>
      <c r="O30" s="942"/>
      <c r="P30" s="942"/>
      <c r="Q30" s="368">
        <f>'Rates in summary'!H27-'Rates in summary'!F27</f>
        <v>0.58505999999999991</v>
      </c>
      <c r="R30" s="367"/>
      <c r="S30" s="369"/>
      <c r="T30" s="368">
        <f>'Rates in summary'!L27</f>
        <v>0.69661999999999991</v>
      </c>
      <c r="U30" s="367"/>
      <c r="V30" s="570"/>
      <c r="W30" s="368">
        <f>'Rates in Detail'!J26+'Rates in Detail'!P26</f>
        <v>0.57117999999999991</v>
      </c>
      <c r="X30" s="367"/>
      <c r="Y30" s="570"/>
      <c r="Z30" s="368">
        <f>'Rates in Detail'!J26+'Rates in Detail'!S26</f>
        <v>0.57401999999999986</v>
      </c>
      <c r="AA30" s="367"/>
      <c r="AB30" s="570"/>
      <c r="AC30" s="121">
        <f>'Rates in Detail'!J26+'Rates in Detail'!T26</f>
        <v>0.57148999999999983</v>
      </c>
      <c r="AD30" s="367"/>
      <c r="AE30" s="570"/>
      <c r="AF30" s="121">
        <f>'Rates in Detail'!J26+'Rates in Detail'!U26</f>
        <v>0.57516999999999985</v>
      </c>
      <c r="AG30" s="367"/>
      <c r="AH30" s="570"/>
      <c r="AI30" s="368">
        <f>'Rates in summary'!M27</f>
        <v>0.70627999999999991</v>
      </c>
      <c r="AJ30" s="367"/>
      <c r="AK30" s="369"/>
      <c r="AL30" s="1200"/>
      <c r="AM30" s="368">
        <f>L30+'Rates in summary'!N27</f>
        <v>0.71255999999999986</v>
      </c>
      <c r="AN30" s="367"/>
      <c r="AO30" s="369"/>
      <c r="AP30" s="368">
        <f>'Rates in summary'!U27</f>
        <v>0.90964</v>
      </c>
      <c r="AQ30" s="367"/>
      <c r="AR30" s="570"/>
      <c r="AS30" s="368">
        <f>L30+'Rates in Detail'!AD26</f>
        <v>0.70602999999999994</v>
      </c>
      <c r="AT30" s="367"/>
      <c r="AU30" s="369"/>
      <c r="AV30" s="368">
        <f>L30+'Rates in Detail'!AE26</f>
        <v>0.70627999999999991</v>
      </c>
      <c r="AW30" s="367"/>
      <c r="AX30" s="369"/>
      <c r="AY30" s="368">
        <f>L30+'Rates in Detail'!AF26</f>
        <v>0.70383999999999991</v>
      </c>
      <c r="AZ30" s="367"/>
      <c r="BA30" s="369"/>
      <c r="BB30" s="368">
        <f t="shared" si="71"/>
        <v>0.70627999999999991</v>
      </c>
      <c r="BC30" s="1200"/>
      <c r="BD30" s="1721"/>
      <c r="BE30" s="368">
        <f>'Rates in summary'!W27</f>
        <v>0.91322999999999999</v>
      </c>
      <c r="BF30" s="367"/>
      <c r="BG30" s="369"/>
      <c r="BH30" s="570"/>
      <c r="BS30" s="1583" t="s">
        <v>350</v>
      </c>
      <c r="BT30" s="1580">
        <f>R72-M72</f>
        <v>706.81999999999607</v>
      </c>
      <c r="BU30" s="1581">
        <f>S72</f>
        <v>4.1000000000000002E-2</v>
      </c>
      <c r="BV30" s="1580">
        <f>U72-N72</f>
        <v>4901.7099999999991</v>
      </c>
      <c r="BW30" s="1581">
        <f>V72</f>
        <v>0.28399999999999997</v>
      </c>
      <c r="BX30" s="367">
        <f>AJ72-M72</f>
        <v>5417.9099999999962</v>
      </c>
      <c r="BY30" s="1581">
        <f>AK72</f>
        <v>0.316</v>
      </c>
      <c r="BZ30" s="1580">
        <f>AN72-O72</f>
        <v>426.90999999999985</v>
      </c>
      <c r="CA30" s="1581">
        <f>AO72</f>
        <v>1.9E-2</v>
      </c>
      <c r="CB30" s="1580">
        <f>AQ72-P72</f>
        <v>7618.0400000000009</v>
      </c>
      <c r="CC30" s="1581">
        <f>AR72</f>
        <v>0.34499999999999997</v>
      </c>
      <c r="CD30" s="367">
        <f>BF72-O72</f>
        <v>8028.1700000000019</v>
      </c>
      <c r="CE30" s="1581">
        <f>BG72</f>
        <v>0.35599999999999998</v>
      </c>
    </row>
    <row r="31" spans="1:88" x14ac:dyDescent="0.3">
      <c r="A31" s="85">
        <f t="shared" si="17"/>
        <v>24</v>
      </c>
      <c r="B31" s="707"/>
      <c r="C31" s="859" t="s">
        <v>76</v>
      </c>
      <c r="D31" s="370"/>
      <c r="E31" s="370"/>
      <c r="F31" s="371"/>
      <c r="G31" s="372"/>
      <c r="H31" s="372"/>
      <c r="I31" s="863"/>
      <c r="J31" s="374"/>
      <c r="K31" s="373"/>
      <c r="L31" s="373"/>
      <c r="M31" s="374">
        <f>$I29+ROUND(IF($G29&lt;$F29,($G29*K29),IF($G29&gt;SUM($F29:$F30),(($F29*K29)+(($G29-$F29)*K30)),0)),2)</f>
        <v>250</v>
      </c>
      <c r="N31" s="374">
        <f>I29+ROUND(IF($H29&lt;$F29,($H29*$K29),IF($H29&gt;SUM(F29:F30),(($F29*K29)+(($H29-F29)*K30)),0)),2)</f>
        <v>250</v>
      </c>
      <c r="O31" s="374">
        <f>$I29+ROUND(IF($G29&lt;$F29,($G29*L29),IF($G29&gt;SUM($F29:$F30),(($F29*L29)+(($G29-$F29)*L30)),0)),2)</f>
        <v>250</v>
      </c>
      <c r="P31" s="374">
        <f>I29+ROUND(IF($H29&lt;$F29,($H29*$L29),IF($H29&gt;SUM(F29:F30),(($F29*L29)+(($H29-F29)*L30)),0)),2)</f>
        <v>250</v>
      </c>
      <c r="Q31" s="376"/>
      <c r="R31" s="374">
        <f>$J29+ROUND(IF($G29&lt;$F29,($G29*Q29),IF($G29&gt;SUM($F29:$F30),(($F29*Q29)+(($G29-$F29)*Q30)),0)),2)</f>
        <v>250</v>
      </c>
      <c r="S31" s="377">
        <f>ROUND((R31-M31)/M31,3)</f>
        <v>0</v>
      </c>
      <c r="T31" s="375"/>
      <c r="U31" s="374">
        <f>$I29+ROUND(IF($H29&lt;$F29,($H29*T29),IF($H29&gt;SUM($F29:$F30),(($F29*T29)+(($H29-$F29)*T30)),0)),2)</f>
        <v>250</v>
      </c>
      <c r="V31" s="571">
        <f>ROUND((U31-N31)/N31,3)</f>
        <v>0</v>
      </c>
      <c r="W31" s="375"/>
      <c r="X31" s="374">
        <f>$J29+ROUND(IF($G29&lt;$F29,($G29*W29),IF($G29&gt;SUM($F29:$F30),(($F29*W29)+(($G29-$F29)*W30)),0)),2)</f>
        <v>250</v>
      </c>
      <c r="Y31" s="571">
        <f t="shared" ref="Y31" si="79">ROUND(($X31-$M31)/$M31,3)</f>
        <v>0</v>
      </c>
      <c r="Z31" s="375"/>
      <c r="AA31" s="374">
        <f>$J29+ROUND(IF($G29&lt;$F29,($G29*Z29),IF($G29&gt;SUM($F29:$F30),(($F29*Z29)+(($G29-$F29)*Z30)),0)),2)</f>
        <v>250</v>
      </c>
      <c r="AB31" s="571">
        <f>ROUND(($AA31-$M31)/$M31,3)</f>
        <v>0</v>
      </c>
      <c r="AC31" s="374"/>
      <c r="AD31" s="374">
        <f>$J29+ROUND(IF($G29&lt;$F29,($G29*AC29),IF($G29&gt;SUM($F29:$F30),(($F29*AC29)+(($G29-$F29)*AC30)),0)),2)</f>
        <v>250</v>
      </c>
      <c r="AE31" s="571">
        <f>ROUND(($AD31-$M31)/$M31,3)</f>
        <v>0</v>
      </c>
      <c r="AF31" s="374"/>
      <c r="AG31" s="374">
        <f>$J29+ROUND(IF($G29&lt;$F29,($G29*AF29),IF($G29&gt;SUM($F29:$F30),(($F29*AF29)+(($G29-$F29)*AF30)),0)),2)</f>
        <v>250</v>
      </c>
      <c r="AH31" s="571">
        <f t="shared" ref="AH31" si="80">ROUND(($AG31-$M31)/$M31,3)</f>
        <v>0</v>
      </c>
      <c r="AI31" s="376"/>
      <c r="AJ31" s="374">
        <f>$J29+ROUND(IF($G29&lt;$F29,($G29*AI29),IF($G29&gt;SUM($F29:$F30),(($F29*AI29)+(($G29-$F29)*AI30)),0)),2)</f>
        <v>250</v>
      </c>
      <c r="AK31" s="377">
        <f>ROUND((AJ31-M31)/M31,3)</f>
        <v>0</v>
      </c>
      <c r="AL31" s="374">
        <f t="shared" si="55"/>
        <v>0</v>
      </c>
      <c r="AM31" s="376"/>
      <c r="AN31" s="374">
        <f>$J29+ROUND(IF($G29&lt;$F29,($G29*AM29),IF($G29&gt;SUM($F29:$F30),(($F29*AM29)+(($G29-$F29)*AM30)),0)),2)</f>
        <v>250</v>
      </c>
      <c r="AO31" s="377">
        <f>ROUND((AN31-O31)/O31,3)</f>
        <v>0</v>
      </c>
      <c r="AP31" s="375"/>
      <c r="AQ31" s="374">
        <f>$I29+ROUND(IF($G29&lt;$F29,($G29*AP29),IF($G29&gt;SUM($F29:$F30),(($F29*AP29)+(($G29-$F29)*AP30)),0)),2)</f>
        <v>250</v>
      </c>
      <c r="AR31" s="571">
        <f t="shared" si="58"/>
        <v>0</v>
      </c>
      <c r="AS31" s="376"/>
      <c r="AT31" s="374">
        <f>$J29+ROUND(IF($G29&lt;$F29,($G29*AS29),IF($G29&gt;SUM($F29:$F30),(($F29*AS29)+(($G29-$F29)*AS30)),0)),2)</f>
        <v>250</v>
      </c>
      <c r="AU31" s="377">
        <f>ROUND(($AT31-$O31)/$O31,3)</f>
        <v>0</v>
      </c>
      <c r="AV31" s="376"/>
      <c r="AW31" s="374">
        <f>$J29+ROUND(IF($G29&lt;$F29,($G29*AV29),IF($G29&gt;SUM($F29:$F30),(($F29*AV29)+(($G29-$F29)*AV30)),0)),2)</f>
        <v>250</v>
      </c>
      <c r="AX31" s="377">
        <f>ROUND(($AW31-$O31)/$O31,3)</f>
        <v>0</v>
      </c>
      <c r="AY31" s="376"/>
      <c r="AZ31" s="374">
        <f>$J29+ROUND(IF($G29&lt;$F29,($G29*AY29),IF($G29&gt;SUM($F29:$F30),(($F29*AY29)+(($G29-$F29)*AY30)),0)),2)</f>
        <v>250</v>
      </c>
      <c r="BA31" s="377">
        <f>ROUND(($AT31-$O31)/$O31,3)</f>
        <v>0</v>
      </c>
      <c r="BB31" s="376"/>
      <c r="BC31" s="1726">
        <f t="shared" si="72"/>
        <v>250</v>
      </c>
      <c r="BD31" s="1722">
        <f t="shared" si="70"/>
        <v>0</v>
      </c>
      <c r="BE31" s="376"/>
      <c r="BF31" s="374">
        <f>$J29+ROUND(IF($G29&lt;$F29,($G29*BE29),IF($G29&gt;SUM($F29:$F30),(($F29*BE29)+(($G29-$F29)*BE30)),0)),2)</f>
        <v>250</v>
      </c>
      <c r="BG31" s="377">
        <f>ROUND((BF31-O31)/O31,3)</f>
        <v>0</v>
      </c>
      <c r="BH31" s="1576">
        <f t="shared" si="63"/>
        <v>0</v>
      </c>
      <c r="BI31" s="365"/>
      <c r="BJ31" s="365"/>
      <c r="BK31" s="365"/>
      <c r="BL31" s="365"/>
      <c r="BM31" s="365"/>
      <c r="BN31" s="365"/>
      <c r="BO31" s="365"/>
      <c r="BP31" s="365"/>
      <c r="BQ31" s="365"/>
      <c r="BR31" s="365"/>
      <c r="BS31" s="1583" t="s">
        <v>351</v>
      </c>
      <c r="BT31" s="1580">
        <f>R79-M79</f>
        <v>165.85999999999967</v>
      </c>
      <c r="BU31" s="1581">
        <f>S79</f>
        <v>2.4E-2</v>
      </c>
      <c r="BV31" s="1580">
        <f>U79-N79</f>
        <v>1037.5699999999997</v>
      </c>
      <c r="BW31" s="1581">
        <f>V79</f>
        <v>0.214</v>
      </c>
      <c r="BX31" s="367">
        <f>AJ79-M79</f>
        <v>1821.2400000000007</v>
      </c>
      <c r="BY31" s="1581">
        <f>AK79</f>
        <v>0.26100000000000001</v>
      </c>
      <c r="BZ31" s="1580">
        <f>AN79-O79</f>
        <v>75.659999999999854</v>
      </c>
      <c r="CA31" s="1581">
        <f>AO79</f>
        <v>8.9999999999999993E-3</v>
      </c>
      <c r="CB31" s="1580">
        <f>AQ79-P79</f>
        <v>5548.5700000000006</v>
      </c>
      <c r="CC31" s="1581">
        <f>AR79</f>
        <v>0.312</v>
      </c>
      <c r="CD31" s="367">
        <f>BF79-O79</f>
        <v>2781.2699999999986</v>
      </c>
      <c r="CE31" s="1581">
        <f>BG79</f>
        <v>0.317</v>
      </c>
    </row>
    <row r="32" spans="1:88" x14ac:dyDescent="0.3">
      <c r="A32" s="85">
        <f t="shared" si="17"/>
        <v>25</v>
      </c>
      <c r="B32" s="709" t="str">
        <f>'WA Volumes &amp; Revenues'!B29</f>
        <v>41C Firm Transpt</v>
      </c>
      <c r="C32" s="858" t="s">
        <v>4</v>
      </c>
      <c r="D32" s="294">
        <f>'WA Volumes &amp; Revenues'!E29</f>
        <v>168721</v>
      </c>
      <c r="E32" s="294">
        <f>'WA Volumes &amp; Revenues'!F29</f>
        <v>169264</v>
      </c>
      <c r="F32" s="366">
        <v>2000</v>
      </c>
      <c r="G32" s="295">
        <f>'WA Volumes &amp; Revenues'!I29</f>
        <v>4648</v>
      </c>
      <c r="H32" s="295">
        <f>'WA Volumes &amp; Revenues'!L29</f>
        <v>4482</v>
      </c>
      <c r="I32" s="862">
        <f>'WA Volumes &amp; Revenues'!O29</f>
        <v>500</v>
      </c>
      <c r="J32" s="367">
        <f>'WA Volumes &amp; Revenues'!N29</f>
        <v>500</v>
      </c>
      <c r="K32" s="121">
        <f>+'Rates in summary'!D28</f>
        <v>0.34945999999999999</v>
      </c>
      <c r="L32" s="121">
        <f>+'Rates in summary'!M28</f>
        <v>0.37100000000000005</v>
      </c>
      <c r="M32" s="367"/>
      <c r="N32" s="367"/>
      <c r="O32" s="942"/>
      <c r="P32" s="942"/>
      <c r="Q32" s="368">
        <f>'Rates in summary'!H28-'Rates in summary'!F28</f>
        <v>0.37073</v>
      </c>
      <c r="R32" s="367"/>
      <c r="S32" s="369"/>
      <c r="T32" s="368">
        <f>'Rates in summary'!L28</f>
        <v>0.35226000000000002</v>
      </c>
      <c r="U32" s="367"/>
      <c r="V32" s="570"/>
      <c r="W32" s="368">
        <f>'Rates in Detail'!J27+'Rates in Detail'!P27</f>
        <v>0.34510999999999997</v>
      </c>
      <c r="X32" s="367"/>
      <c r="Y32" s="570"/>
      <c r="Z32" s="368">
        <f>'Rates in Detail'!J27+'Rates in Detail'!S27</f>
        <v>0.34945999999999999</v>
      </c>
      <c r="AA32" s="367"/>
      <c r="AB32" s="570"/>
      <c r="AC32" s="121">
        <f>'Rates in Detail'!J27+'Rates in Detail'!T27</f>
        <v>0.34554999999999997</v>
      </c>
      <c r="AD32" s="367"/>
      <c r="AE32" s="570"/>
      <c r="AF32" s="121">
        <f>'Rates in Detail'!J27+'Rates in Detail'!U27</f>
        <v>0.35083999999999999</v>
      </c>
      <c r="AG32" s="367"/>
      <c r="AH32" s="570"/>
      <c r="AI32" s="368">
        <f>'Rates in summary'!M28</f>
        <v>0.37100000000000005</v>
      </c>
      <c r="AJ32" s="367"/>
      <c r="AK32" s="369"/>
      <c r="AL32" s="1200"/>
      <c r="AM32" s="368">
        <f>L32+'Rates in summary'!N28</f>
        <v>0.38071000000000005</v>
      </c>
      <c r="AN32" s="367"/>
      <c r="AO32" s="369"/>
      <c r="AP32" s="368">
        <f>'Rates in summary'!U28</f>
        <v>0.37528000000000006</v>
      </c>
      <c r="AQ32" s="367"/>
      <c r="AR32" s="570"/>
      <c r="AS32" s="368">
        <f>L32+'Rates in Detail'!AD27</f>
        <v>0.37062000000000006</v>
      </c>
      <c r="AT32" s="367"/>
      <c r="AU32" s="369"/>
      <c r="AV32" s="368">
        <f>L32+'Rates in Detail'!AE27</f>
        <v>0.37100000000000005</v>
      </c>
      <c r="AW32" s="367"/>
      <c r="AX32" s="369"/>
      <c r="AY32" s="368">
        <f>L32+'Rates in Detail'!AF27</f>
        <v>0.36722000000000005</v>
      </c>
      <c r="AZ32" s="367"/>
      <c r="BA32" s="369"/>
      <c r="BB32" s="368">
        <f t="shared" si="71"/>
        <v>0.37100000000000005</v>
      </c>
      <c r="BC32" s="1200"/>
      <c r="BD32" s="1721"/>
      <c r="BE32" s="368">
        <f>'Rates in summary'!W28</f>
        <v>0.38083000000000006</v>
      </c>
      <c r="BF32" s="367"/>
      <c r="BG32" s="369"/>
      <c r="BH32" s="570"/>
      <c r="BS32" s="1583" t="s">
        <v>353</v>
      </c>
      <c r="BT32" s="1580">
        <f>R86-M86</f>
        <v>0</v>
      </c>
      <c r="BU32" s="1581">
        <f>S86</f>
        <v>0</v>
      </c>
      <c r="BV32" s="1580">
        <f>U86-N86</f>
        <v>0</v>
      </c>
      <c r="BW32" s="1581">
        <f>V86</f>
        <v>0</v>
      </c>
      <c r="BX32" s="367">
        <f>AJ86-M86</f>
        <v>0</v>
      </c>
      <c r="BY32" s="1581">
        <f>AK86</f>
        <v>0</v>
      </c>
      <c r="BZ32" s="1580">
        <f>AN86-O86</f>
        <v>0</v>
      </c>
      <c r="CA32" s="1581">
        <f>AO86</f>
        <v>0</v>
      </c>
      <c r="CB32" s="1580">
        <f>AQ86-P86</f>
        <v>0</v>
      </c>
      <c r="CC32" s="1581">
        <f>AR86</f>
        <v>0</v>
      </c>
      <c r="CD32" s="367">
        <f>BF86-O86</f>
        <v>0</v>
      </c>
      <c r="CE32" s="1581">
        <f>BG86</f>
        <v>0</v>
      </c>
      <c r="CF32" s="288"/>
    </row>
    <row r="33" spans="1:90" x14ac:dyDescent="0.3">
      <c r="A33" s="85">
        <f t="shared" si="17"/>
        <v>26</v>
      </c>
      <c r="B33" s="709"/>
      <c r="C33" s="858" t="s">
        <v>5</v>
      </c>
      <c r="D33" s="294">
        <f>'WA Volumes &amp; Revenues'!E30</f>
        <v>272866</v>
      </c>
      <c r="E33" s="294">
        <f>'WA Volumes &amp; Revenues'!F30</f>
        <v>260994</v>
      </c>
      <c r="F33" s="366" t="s">
        <v>72</v>
      </c>
      <c r="G33" s="378"/>
      <c r="H33" s="378"/>
      <c r="I33" s="864"/>
      <c r="J33" s="650"/>
      <c r="K33" s="121">
        <f>+'Rates in summary'!D29</f>
        <v>0.30789000000000011</v>
      </c>
      <c r="L33" s="121">
        <f>+'Rates in summary'!M29</f>
        <v>0.32688000000000006</v>
      </c>
      <c r="M33" s="367"/>
      <c r="N33" s="367"/>
      <c r="O33" s="942"/>
      <c r="P33" s="942"/>
      <c r="Q33" s="368">
        <f>'Rates in summary'!H29-'Rates in summary'!F29</f>
        <v>0.32663000000000009</v>
      </c>
      <c r="R33" s="367"/>
      <c r="S33" s="369"/>
      <c r="T33" s="368">
        <f>'Rates in summary'!L29</f>
        <v>0.31037000000000009</v>
      </c>
      <c r="U33" s="367"/>
      <c r="V33" s="570"/>
      <c r="W33" s="368">
        <f>'Rates in Detail'!J28+'Rates in Detail'!P28</f>
        <v>0.30406000000000011</v>
      </c>
      <c r="X33" s="367"/>
      <c r="Y33" s="570"/>
      <c r="Z33" s="368">
        <f>'Rates in Detail'!J28+'Rates in Detail'!S28</f>
        <v>0.30789000000000011</v>
      </c>
      <c r="AA33" s="367"/>
      <c r="AB33" s="570"/>
      <c r="AC33" s="121">
        <f>'Rates in Detail'!J28+'Rates in Detail'!T28</f>
        <v>0.30445000000000011</v>
      </c>
      <c r="AD33" s="367"/>
      <c r="AE33" s="570"/>
      <c r="AF33" s="121">
        <f>'Rates in Detail'!J28+'Rates in Detail'!U28</f>
        <v>0.3091000000000001</v>
      </c>
      <c r="AG33" s="367"/>
      <c r="AH33" s="570"/>
      <c r="AI33" s="368">
        <f>'Rates in summary'!M29</f>
        <v>0.32688000000000006</v>
      </c>
      <c r="AJ33" s="367"/>
      <c r="AK33" s="369"/>
      <c r="AL33" s="1200"/>
      <c r="AM33" s="368">
        <f>L33+'Rates in summary'!N29</f>
        <v>0.33543000000000006</v>
      </c>
      <c r="AN33" s="367"/>
      <c r="AO33" s="369"/>
      <c r="AP33" s="368">
        <f>'Rates in summary'!U29</f>
        <v>0.33064000000000004</v>
      </c>
      <c r="AQ33" s="367"/>
      <c r="AR33" s="570"/>
      <c r="AS33" s="368">
        <f>L33+'Rates in Detail'!AD28</f>
        <v>0.32654000000000005</v>
      </c>
      <c r="AT33" s="367"/>
      <c r="AU33" s="369"/>
      <c r="AV33" s="368">
        <f>L33+'Rates in Detail'!AE28</f>
        <v>0.32688000000000006</v>
      </c>
      <c r="AW33" s="367"/>
      <c r="AX33" s="369"/>
      <c r="AY33" s="368">
        <f>L33+'Rates in Detail'!AF28</f>
        <v>0.32355000000000006</v>
      </c>
      <c r="AZ33" s="367"/>
      <c r="BA33" s="369"/>
      <c r="BB33" s="368">
        <f t="shared" si="71"/>
        <v>0.32688000000000006</v>
      </c>
      <c r="BC33" s="1200"/>
      <c r="BD33" s="1721"/>
      <c r="BE33" s="368">
        <f>'Rates in summary'!W29</f>
        <v>0.33552000000000004</v>
      </c>
      <c r="BF33" s="367"/>
      <c r="BG33" s="369"/>
      <c r="BH33" s="570"/>
      <c r="BS33" s="1583" t="s">
        <v>354</v>
      </c>
      <c r="BT33" s="1580">
        <f>R93-M93</f>
        <v>486.78999999999905</v>
      </c>
      <c r="BU33" s="1581">
        <f>S93</f>
        <v>4.5999999999999999E-2</v>
      </c>
      <c r="BV33" s="1580">
        <f>U93-N93</f>
        <v>50.889999999998508</v>
      </c>
      <c r="BW33" s="1581">
        <f>V93</f>
        <v>6.0000000000000001E-3</v>
      </c>
      <c r="BX33" s="367">
        <f>AJ93-M93</f>
        <v>497.69000000000051</v>
      </c>
      <c r="BY33" s="1581">
        <f>AK93</f>
        <v>4.7E-2</v>
      </c>
      <c r="BZ33" s="1580">
        <f>AN93-O93</f>
        <v>222.01000000000022</v>
      </c>
      <c r="CA33" s="1581">
        <f>AO93</f>
        <v>0.02</v>
      </c>
      <c r="CB33" s="1580">
        <f>AQ93-P93</f>
        <v>2478.1000000000004</v>
      </c>
      <c r="CC33" s="1581">
        <f>AR93</f>
        <v>-1E-3</v>
      </c>
      <c r="CD33" s="367">
        <f>BF93-O93</f>
        <v>111.18999999999869</v>
      </c>
      <c r="CE33" s="1581">
        <f>BG93</f>
        <v>0.01</v>
      </c>
      <c r="CF33" s="288"/>
    </row>
    <row r="34" spans="1:90" x14ac:dyDescent="0.3">
      <c r="A34" s="85">
        <f t="shared" si="17"/>
        <v>27</v>
      </c>
      <c r="B34" s="707"/>
      <c r="C34" s="859" t="s">
        <v>76</v>
      </c>
      <c r="D34" s="370"/>
      <c r="E34" s="370"/>
      <c r="F34" s="371"/>
      <c r="G34" s="372"/>
      <c r="H34" s="372"/>
      <c r="I34" s="863"/>
      <c r="J34" s="374"/>
      <c r="K34" s="373"/>
      <c r="L34" s="373"/>
      <c r="M34" s="374">
        <f>$I32+ROUND(IF($G32&lt;$F32,($G32*K32),IF($G32&gt;SUM($F32:$F33),(($F32*K32)+(($G32-$F32)*K33)),0)),2)</f>
        <v>2014.21</v>
      </c>
      <c r="N34" s="374">
        <f>I32+ROUND(IF($H32&lt;$F32,($H32*$K32),IF($H32&gt;SUM(F32:F33),(($F32*K32)+(($H32-F32)*K33)),0)),2)</f>
        <v>1963.1</v>
      </c>
      <c r="O34" s="374">
        <f>$I32+ROUND(IF($G32&lt;$F32,($G32*L32),IF($G32&gt;SUM($F32:$F33),(($F32*L32)+(($G32-$F32)*L33)),0)),2)</f>
        <v>2107.58</v>
      </c>
      <c r="P34" s="374">
        <f>I32+ROUND(IF($H32&lt;$F32,($H32*$L32),IF($H32&gt;SUM(F32:F33),(($F32*L32)+(($H32-F32)*L33)),0)),2)</f>
        <v>2053.3199999999997</v>
      </c>
      <c r="Q34" s="376"/>
      <c r="R34" s="374">
        <f>$J32+ROUND(IF($G32&lt;$F32,($G32*Q32),IF($G32&gt;SUM($F32:$F33),(($F32*Q32)+(($G32-$F32)*Q33)),0)),2)</f>
        <v>2106.38</v>
      </c>
      <c r="S34" s="377">
        <f>ROUND((R34-M34)/M34,3)</f>
        <v>4.5999999999999999E-2</v>
      </c>
      <c r="T34" s="375"/>
      <c r="U34" s="374">
        <f>$I32+ROUND(IF($H32&lt;$F32,($H32*T32),IF($H32&gt;SUM($F32:$F33),(($F32*T32)+(($H32-$F32)*T33)),0)),2)</f>
        <v>1974.86</v>
      </c>
      <c r="V34" s="571">
        <f>ROUND((U34-N34)/N34,3)</f>
        <v>6.0000000000000001E-3</v>
      </c>
      <c r="W34" s="375"/>
      <c r="X34" s="374">
        <f>$J32+ROUND(IF($G32&lt;$F32,($G32*W32),IF($G32&gt;SUM($F32:$F33),(($F32*W32)+(($G32-$F32)*W33)),0)),2)</f>
        <v>1995.37</v>
      </c>
      <c r="Y34" s="571">
        <f t="shared" ref="Y34" si="81">ROUND(($X34-$M34)/$M34,3)</f>
        <v>-8.9999999999999993E-3</v>
      </c>
      <c r="Z34" s="375"/>
      <c r="AA34" s="374">
        <f>$J32+ROUND(IF($G32&lt;$F32,($G32*Z32),IF($G32&gt;SUM($F32:$F33),(($F32*Z32)+(($G32-$F32)*Z33)),0)),2)</f>
        <v>2014.21</v>
      </c>
      <c r="AB34" s="571">
        <f>ROUND(($AA34-$M34)/$M34,3)</f>
        <v>0</v>
      </c>
      <c r="AC34" s="374"/>
      <c r="AD34" s="374">
        <f>$J32+ROUND(IF($G32&lt;$F32,($G32*AC32),IF($G32&gt;SUM($F32:$F33),(($F32*AC32)+(($G32-$F32)*AC33)),0)),2)</f>
        <v>1997.28</v>
      </c>
      <c r="AE34" s="571">
        <f>ROUND(($AD34-$M34)/$M34,3)</f>
        <v>-8.0000000000000002E-3</v>
      </c>
      <c r="AF34" s="374"/>
      <c r="AG34" s="374">
        <f>$J32+ROUND(IF($G32&lt;$F32,($G32*AF32),IF($G32&gt;SUM($F32:$F33),(($F32*AF32)+(($G32-$F32)*AF33)),0)),2)</f>
        <v>2020.18</v>
      </c>
      <c r="AH34" s="571">
        <f t="shared" ref="AH34" si="82">ROUND(($AG34-$M34)/$M34,3)</f>
        <v>3.0000000000000001E-3</v>
      </c>
      <c r="AI34" s="376"/>
      <c r="AJ34" s="374">
        <f>$J32+ROUND(IF($G32&lt;$F32,($G32*AI32),IF($G32&gt;SUM($F32:$F33),(($F32*AI32)+(($G32-$F32)*AI33)),0)),2)</f>
        <v>2107.58</v>
      </c>
      <c r="AK34" s="377">
        <f>ROUND((AJ34-M34)/M34,3)</f>
        <v>4.5999999999999999E-2</v>
      </c>
      <c r="AL34" s="374">
        <f t="shared" si="55"/>
        <v>93.369999999999891</v>
      </c>
      <c r="AM34" s="376"/>
      <c r="AN34" s="374">
        <f>$J32+ROUND(IF($G32&lt;$F32,($G32*AM32),IF($G32&gt;SUM($F32:$F33),(($F32*AM32)+(($G32-$F32)*AM33)),0)),2)</f>
        <v>2149.6400000000003</v>
      </c>
      <c r="AO34" s="377">
        <f>ROUND((AN34-O34)/O34,3)</f>
        <v>0.02</v>
      </c>
      <c r="AP34" s="375"/>
      <c r="AQ34" s="374">
        <f>$I32+ROUND(IF($G32&lt;$F32,($G32*AP32),IF($G32&gt;SUM($F32:$F33),(($F32*AP32)+(($G32-$F32)*AP33)),0)),2)</f>
        <v>2126.09</v>
      </c>
      <c r="AR34" s="571">
        <f t="shared" si="58"/>
        <v>8.9999999999999993E-3</v>
      </c>
      <c r="AS34" s="376"/>
      <c r="AT34" s="374">
        <f>$J32+ROUND(IF($G32&lt;$F32,($G32*AS32),IF($G32&gt;SUM($F32:$F33),(($F32*AS32)+(($G32-$F32)*AS33)),0)),2)</f>
        <v>2105.92</v>
      </c>
      <c r="AU34" s="377">
        <f>ROUND(($AT34-$O34)/$O34,3)</f>
        <v>-1E-3</v>
      </c>
      <c r="AV34" s="376"/>
      <c r="AW34" s="374">
        <f>$J32+ROUND(IF($G32&lt;$F32,($G32*AV32),IF($G32&gt;SUM($F32:$F33),(($F32*AV32)+(($G32-$F32)*AV33)),0)),2)</f>
        <v>2107.58</v>
      </c>
      <c r="AX34" s="377">
        <f>ROUND(($AW34-$O34)/$O34,3)</f>
        <v>0</v>
      </c>
      <c r="AY34" s="376"/>
      <c r="AZ34" s="374">
        <f>$J32+ROUND(IF($G32&lt;$F32,($G32*AY32),IF($G32&gt;SUM($F32:$F33),(($F32*AY32)+(($G32-$F32)*AY33)),0)),2)</f>
        <v>2091.1999999999998</v>
      </c>
      <c r="BA34" s="377">
        <f>ROUND(($AT34-$O34)/$O34,3)</f>
        <v>-1E-3</v>
      </c>
      <c r="BB34" s="376"/>
      <c r="BC34" s="1726">
        <f t="shared" si="72"/>
        <v>2107.58</v>
      </c>
      <c r="BD34" s="1722">
        <f t="shared" si="70"/>
        <v>0</v>
      </c>
      <c r="BE34" s="376"/>
      <c r="BF34" s="374">
        <f>$J32+ROUND(IF($G32&lt;$F32,($G32*BE32),IF($G32&gt;SUM($F32:$F33),(($F32*BE32)+(($G32-$F32)*BE33)),0)),2)</f>
        <v>2150.12</v>
      </c>
      <c r="BG34" s="377">
        <f>ROUND((BF34-O34)/O34,3)</f>
        <v>0.02</v>
      </c>
      <c r="BH34" s="1576">
        <f t="shared" si="63"/>
        <v>42.539999999999964</v>
      </c>
      <c r="BI34" s="365"/>
      <c r="BJ34" s="365"/>
      <c r="BK34" s="365"/>
      <c r="BL34" s="365"/>
      <c r="BM34" s="365"/>
      <c r="BN34" s="365"/>
      <c r="BO34" s="365"/>
      <c r="BP34" s="365"/>
      <c r="BQ34" s="365"/>
      <c r="BR34" s="365"/>
      <c r="BS34" s="1583" t="s">
        <v>56</v>
      </c>
      <c r="BT34" s="1580">
        <f>R94-M94</f>
        <v>0</v>
      </c>
      <c r="BU34" s="1581">
        <f>S94</f>
        <v>0</v>
      </c>
      <c r="BV34" s="1580">
        <f>U94-N94</f>
        <v>0</v>
      </c>
      <c r="BW34" s="1581">
        <f>V94</f>
        <v>0</v>
      </c>
      <c r="BX34" s="367">
        <f>AJ94-M94</f>
        <v>0</v>
      </c>
      <c r="BY34" s="1581">
        <f>AK94</f>
        <v>0</v>
      </c>
      <c r="BZ34" s="1580">
        <f>AN94-O94</f>
        <v>0</v>
      </c>
      <c r="CA34" s="1581">
        <f>AO94</f>
        <v>0</v>
      </c>
      <c r="CB34" s="1580">
        <f>AQ94-P94</f>
        <v>0</v>
      </c>
      <c r="CC34" s="1581">
        <f>AR94</f>
        <v>0</v>
      </c>
      <c r="CD34" s="367">
        <f>BF94-O94</f>
        <v>0</v>
      </c>
      <c r="CE34" s="1581">
        <f>BG94</f>
        <v>0</v>
      </c>
      <c r="CF34" s="288"/>
    </row>
    <row r="35" spans="1:90" x14ac:dyDescent="0.3">
      <c r="A35" s="85">
        <f t="shared" si="17"/>
        <v>28</v>
      </c>
      <c r="B35" s="709" t="str">
        <f>'WA Volumes &amp; Revenues'!B31</f>
        <v>41I Firm Transpt</v>
      </c>
      <c r="C35" s="858" t="s">
        <v>4</v>
      </c>
      <c r="D35" s="294">
        <f>'WA Volumes &amp; Revenues'!E31</f>
        <v>0</v>
      </c>
      <c r="E35" s="294">
        <f>'WA Volumes &amp; Revenues'!F31</f>
        <v>0</v>
      </c>
      <c r="F35" s="366">
        <v>2000</v>
      </c>
      <c r="G35" s="295">
        <f>'WA Volumes &amp; Revenues'!I31</f>
        <v>0</v>
      </c>
      <c r="H35" s="295">
        <f>'WA Volumes &amp; Revenues'!L31</f>
        <v>0</v>
      </c>
      <c r="I35" s="862">
        <f>'WA Volumes &amp; Revenues'!O31</f>
        <v>500</v>
      </c>
      <c r="J35" s="367">
        <f>'WA Volumes &amp; Revenues'!N31</f>
        <v>500</v>
      </c>
      <c r="K35" s="121">
        <f>+'Rates in summary'!D30</f>
        <v>0.34945999999999999</v>
      </c>
      <c r="L35" s="121">
        <f>+'Rates in summary'!M30</f>
        <v>0.36336999999999997</v>
      </c>
      <c r="M35" s="367"/>
      <c r="N35" s="367"/>
      <c r="O35" s="942"/>
      <c r="P35" s="942"/>
      <c r="Q35" s="368">
        <f>'Rates in summary'!H30-'Rates in summary'!F30</f>
        <v>0.36214999999999997</v>
      </c>
      <c r="R35" s="367"/>
      <c r="S35" s="369"/>
      <c r="T35" s="368">
        <f>'Rates in summary'!L30</f>
        <v>0.35226000000000002</v>
      </c>
      <c r="U35" s="367"/>
      <c r="V35" s="570"/>
      <c r="W35" s="368">
        <f>'Rates in Detail'!J29+'Rates in Detail'!P29</f>
        <v>0.34620000000000001</v>
      </c>
      <c r="X35" s="367"/>
      <c r="Y35" s="570"/>
      <c r="Z35" s="368">
        <f>'Rates in Detail'!J29+'Rates in Detail'!S29</f>
        <v>0.34945999999999999</v>
      </c>
      <c r="AA35" s="367"/>
      <c r="AB35" s="570"/>
      <c r="AC35" s="121">
        <f>'Rates in Detail'!J29+'Rates in Detail'!T29</f>
        <v>0.34655999999999998</v>
      </c>
      <c r="AD35" s="367"/>
      <c r="AE35" s="570"/>
      <c r="AF35" s="121">
        <f>'Rates in Detail'!J29+'Rates in Detail'!U29</f>
        <v>0.35077999999999998</v>
      </c>
      <c r="AG35" s="367"/>
      <c r="AH35" s="570"/>
      <c r="AI35" s="368">
        <f>'Rates in summary'!M30</f>
        <v>0.36336999999999997</v>
      </c>
      <c r="AJ35" s="367"/>
      <c r="AK35" s="369"/>
      <c r="AL35" s="1200"/>
      <c r="AM35" s="368">
        <f>L35+'Rates in summary'!N30</f>
        <v>0.37057999999999996</v>
      </c>
      <c r="AN35" s="367"/>
      <c r="AO35" s="369"/>
      <c r="AP35" s="368">
        <f>'Rates in summary'!U30</f>
        <v>0.36686999999999997</v>
      </c>
      <c r="AQ35" s="367"/>
      <c r="AR35" s="570"/>
      <c r="AS35" s="368">
        <f>L35+'Rates in Detail'!AD29</f>
        <v>0.36307999999999996</v>
      </c>
      <c r="AT35" s="367"/>
      <c r="AU35" s="369"/>
      <c r="AV35" s="368">
        <f>L35+'Rates in Detail'!AE29</f>
        <v>0.36336999999999997</v>
      </c>
      <c r="AW35" s="367"/>
      <c r="AX35" s="369"/>
      <c r="AY35" s="368">
        <f>L35+'Rates in Detail'!AF29</f>
        <v>0.36055999999999999</v>
      </c>
      <c r="AZ35" s="367"/>
      <c r="BA35" s="369"/>
      <c r="BB35" s="368">
        <f t="shared" si="71"/>
        <v>0.36336999999999997</v>
      </c>
      <c r="BC35" s="1200"/>
      <c r="BD35" s="1721"/>
      <c r="BE35" s="368">
        <f>'Rates in summary'!W30</f>
        <v>0.37097999999999998</v>
      </c>
      <c r="BF35" s="367"/>
      <c r="BG35" s="369"/>
      <c r="BH35" s="570"/>
      <c r="BS35" s="1583" t="s">
        <v>335</v>
      </c>
      <c r="BT35" s="1580">
        <f>R95-M95</f>
        <v>0</v>
      </c>
      <c r="BU35" s="1581">
        <f>S95</f>
        <v>0</v>
      </c>
      <c r="BV35" s="1580">
        <f>U95-N95</f>
        <v>0</v>
      </c>
      <c r="BW35" s="1581">
        <f>V95</f>
        <v>0</v>
      </c>
      <c r="BX35" s="367">
        <f>AJ95-M95</f>
        <v>0</v>
      </c>
      <c r="BY35" s="1581">
        <f>AK95</f>
        <v>0</v>
      </c>
      <c r="BZ35" s="1580">
        <f>AN95-O95</f>
        <v>0</v>
      </c>
      <c r="CA35" s="1581">
        <f>AO95</f>
        <v>0</v>
      </c>
      <c r="CB35" s="1580">
        <f>AQ95-P95</f>
        <v>0</v>
      </c>
      <c r="CC35" s="1581">
        <f>AR95</f>
        <v>0</v>
      </c>
      <c r="CD35" s="367">
        <f>BF95-O95</f>
        <v>0</v>
      </c>
      <c r="CE35" s="1581">
        <f>BG95</f>
        <v>0</v>
      </c>
      <c r="CF35" s="288"/>
    </row>
    <row r="36" spans="1:90" x14ac:dyDescent="0.3">
      <c r="A36" s="85">
        <f t="shared" si="17"/>
        <v>29</v>
      </c>
      <c r="B36" s="709"/>
      <c r="C36" s="858" t="s">
        <v>5</v>
      </c>
      <c r="D36" s="294">
        <f>'WA Volumes &amp; Revenues'!E32</f>
        <v>0</v>
      </c>
      <c r="E36" s="294">
        <f>'WA Volumes &amp; Revenues'!F32</f>
        <v>0</v>
      </c>
      <c r="F36" s="366" t="s">
        <v>72</v>
      </c>
      <c r="G36" s="295"/>
      <c r="H36" s="295"/>
      <c r="I36" s="862"/>
      <c r="J36" s="367"/>
      <c r="K36" s="121">
        <f>+'Rates in summary'!D31</f>
        <v>0.30789000000000011</v>
      </c>
      <c r="L36" s="121">
        <f>+'Rates in summary'!M31</f>
        <v>0.3201500000000001</v>
      </c>
      <c r="M36" s="367"/>
      <c r="N36" s="367"/>
      <c r="O36" s="942"/>
      <c r="P36" s="942"/>
      <c r="Q36" s="368">
        <f>'Rates in summary'!H31-'Rates in summary'!F31</f>
        <v>0.31907000000000013</v>
      </c>
      <c r="R36" s="367"/>
      <c r="S36" s="369"/>
      <c r="T36" s="368">
        <f>'Rates in summary'!L31</f>
        <v>0.31037000000000009</v>
      </c>
      <c r="U36" s="367"/>
      <c r="V36" s="570"/>
      <c r="W36" s="368">
        <f>'Rates in Detail'!J30+'Rates in Detail'!P30</f>
        <v>0.30502000000000012</v>
      </c>
      <c r="X36" s="367"/>
      <c r="Y36" s="570"/>
      <c r="Z36" s="368">
        <f>'Rates in Detail'!J30+'Rates in Detail'!S30</f>
        <v>0.30789000000000011</v>
      </c>
      <c r="AA36" s="367"/>
      <c r="AB36" s="570"/>
      <c r="AC36" s="121">
        <f>'Rates in Detail'!J30+'Rates in Detail'!T30</f>
        <v>0.3053300000000001</v>
      </c>
      <c r="AD36" s="367"/>
      <c r="AE36" s="570"/>
      <c r="AF36" s="121">
        <f>'Rates in Detail'!J30+'Rates in Detail'!U30</f>
        <v>0.3090500000000001</v>
      </c>
      <c r="AG36" s="367"/>
      <c r="AH36" s="570"/>
      <c r="AI36" s="368">
        <f>'Rates in summary'!M31</f>
        <v>0.3201500000000001</v>
      </c>
      <c r="AJ36" s="367"/>
      <c r="AK36" s="369"/>
      <c r="AL36" s="1200"/>
      <c r="AM36" s="368">
        <f>L36+'Rates in summary'!N31</f>
        <v>0.32650000000000012</v>
      </c>
      <c r="AN36" s="367"/>
      <c r="AO36" s="369"/>
      <c r="AP36" s="368">
        <f>'Rates in summary'!U31</f>
        <v>0.32324000000000008</v>
      </c>
      <c r="AQ36" s="367"/>
      <c r="AR36" s="570"/>
      <c r="AS36" s="368">
        <f>L36+'Rates in Detail'!AD30</f>
        <v>0.31990000000000013</v>
      </c>
      <c r="AT36" s="367"/>
      <c r="AU36" s="369"/>
      <c r="AV36" s="368">
        <f>L36+'Rates in Detail'!AE30</f>
        <v>0.3201500000000001</v>
      </c>
      <c r="AW36" s="367"/>
      <c r="AX36" s="369"/>
      <c r="AY36" s="368">
        <f>L36+'Rates in Detail'!AF30</f>
        <v>0.31768000000000007</v>
      </c>
      <c r="AZ36" s="367"/>
      <c r="BA36" s="369"/>
      <c r="BB36" s="368">
        <f t="shared" si="71"/>
        <v>0.3201500000000001</v>
      </c>
      <c r="BC36" s="1200"/>
      <c r="BD36" s="1721"/>
      <c r="BE36" s="368">
        <f>'Rates in summary'!W31</f>
        <v>0.3268700000000001</v>
      </c>
      <c r="BF36" s="367"/>
      <c r="BG36" s="369"/>
      <c r="BH36" s="570"/>
      <c r="BS36" s="1584" t="s">
        <v>373</v>
      </c>
      <c r="BT36" s="1585">
        <f>R96-M96</f>
        <v>0</v>
      </c>
      <c r="BU36" s="1586">
        <f>S96</f>
        <v>0</v>
      </c>
      <c r="BV36" s="1585">
        <f>U96-N96</f>
        <v>0</v>
      </c>
      <c r="BW36" s="1586">
        <f>V96</f>
        <v>0</v>
      </c>
      <c r="BX36" s="362">
        <f>AJ96-M96</f>
        <v>0</v>
      </c>
      <c r="BY36" s="1586">
        <f>AK96</f>
        <v>0</v>
      </c>
      <c r="BZ36" s="1585">
        <f>AN96-O96</f>
        <v>0</v>
      </c>
      <c r="CA36" s="1586">
        <f>AO96</f>
        <v>0</v>
      </c>
      <c r="CB36" s="1585">
        <f>AQ96-P96</f>
        <v>0</v>
      </c>
      <c r="CC36" s="1586">
        <f>AR96</f>
        <v>0</v>
      </c>
      <c r="CD36" s="362">
        <f>BF96-O96</f>
        <v>0</v>
      </c>
      <c r="CE36" s="1586">
        <f>BG96</f>
        <v>0</v>
      </c>
    </row>
    <row r="37" spans="1:90" x14ac:dyDescent="0.3">
      <c r="A37" s="85">
        <f t="shared" si="17"/>
        <v>30</v>
      </c>
      <c r="B37" s="707"/>
      <c r="C37" s="859" t="s">
        <v>76</v>
      </c>
      <c r="D37" s="370"/>
      <c r="E37" s="370"/>
      <c r="F37" s="371"/>
      <c r="G37" s="372"/>
      <c r="H37" s="372"/>
      <c r="I37" s="863"/>
      <c r="J37" s="374"/>
      <c r="K37" s="373"/>
      <c r="L37" s="373"/>
      <c r="M37" s="374">
        <f>$I35+ROUND(IF($G35&lt;$F35,($G35*K35),IF($G35&gt;SUM($F35:$F36),(($F35*K35)+(($G35-$F35)*K36)),0)),2)</f>
        <v>500</v>
      </c>
      <c r="N37" s="374">
        <f>I35+ROUND(IF($H35&lt;$F35,($H35*$K35),IF($H35&gt;SUM(F35:F36),(($F35*K35)+(($H35-F35)*K36)),0)),2)</f>
        <v>500</v>
      </c>
      <c r="O37" s="374">
        <f>$I35+ROUND(IF($G35&lt;$F35,($G35*L35),IF($G35&gt;SUM($F35:$F36),(($F35*L35)+(($G35-$F35)*L36)),0)),2)</f>
        <v>500</v>
      </c>
      <c r="P37" s="374">
        <f>I35+ROUND(IF($H35&lt;$F35,($H35*$L35),IF($H35&gt;SUM(F35:F36),(($F35*L35)+(($H35-F35)*L36)),0)),2)</f>
        <v>500</v>
      </c>
      <c r="Q37" s="376"/>
      <c r="R37" s="374">
        <f>$J35+ROUND(IF($G35&lt;$F35,($G35*Q35),IF($G35&gt;SUM($F35:$F36),(($F35*Q35)+(($G35-$F35)*Q36)),0)),2)</f>
        <v>500</v>
      </c>
      <c r="S37" s="377">
        <f>ROUND((R37-M37)/M37,3)</f>
        <v>0</v>
      </c>
      <c r="T37" s="375"/>
      <c r="U37" s="374">
        <f>$I35+ROUND(IF($H35&lt;$F35,($H35*T35),IF($H35&gt;SUM($F35:$F36),(($F35*T35)+(($H35-$F35)*T36)),0)),2)</f>
        <v>500</v>
      </c>
      <c r="V37" s="571">
        <f>ROUND((U37-N37)/N37,3)</f>
        <v>0</v>
      </c>
      <c r="W37" s="375"/>
      <c r="X37" s="374">
        <f>$J35+ROUND(IF($G35&lt;$F35,($G35*W35),IF($G35&gt;SUM($F35:$F36),(($F35*W35)+(($G35-$F35)*W36)),0)),2)</f>
        <v>500</v>
      </c>
      <c r="Y37" s="571">
        <f t="shared" ref="Y37" si="83">ROUND(($X37-$M37)/$M37,3)</f>
        <v>0</v>
      </c>
      <c r="Z37" s="375"/>
      <c r="AA37" s="374">
        <f>$J35+ROUND(IF($G35&lt;$F35,($G35*Z35),IF($G35&gt;SUM($F35:$F36),(($F35*Z35)+(($G35-$F35)*Z36)),0)),2)</f>
        <v>500</v>
      </c>
      <c r="AB37" s="571">
        <f>ROUND(($AA37-$M37)/$M37,3)</f>
        <v>0</v>
      </c>
      <c r="AC37" s="374"/>
      <c r="AD37" s="374">
        <f>$J35+ROUND(IF($G35&lt;$F35,($G35*AC35),IF($G35&gt;SUM($F35:$F36),(($F35*AC35)+(($G35-$F35)*AC36)),0)),2)</f>
        <v>500</v>
      </c>
      <c r="AE37" s="571">
        <f>ROUND(($AD37-$M37)/$M37,3)</f>
        <v>0</v>
      </c>
      <c r="AF37" s="374"/>
      <c r="AG37" s="374">
        <f>$J35+ROUND(IF($G35&lt;$F35,($G35*AF35),IF($G35&gt;SUM($F35:$F36),(($F35*AF35)+(($G35-$F35)*AF36)),0)),2)</f>
        <v>500</v>
      </c>
      <c r="AH37" s="571">
        <f t="shared" ref="AH37" si="84">ROUND(($AG37-$M37)/$M37,3)</f>
        <v>0</v>
      </c>
      <c r="AI37" s="376"/>
      <c r="AJ37" s="374">
        <f>$J35+ROUND(IF($G35&lt;$F35,($G35*AI35),IF($G35&gt;SUM($F35:$F36),(($F35*AI35)+(($G35-$F35)*AI36)),0)),2)</f>
        <v>500</v>
      </c>
      <c r="AK37" s="377">
        <f>ROUND((AJ37-M37)/M37,3)</f>
        <v>0</v>
      </c>
      <c r="AL37" s="374">
        <f t="shared" si="55"/>
        <v>0</v>
      </c>
      <c r="AM37" s="376"/>
      <c r="AN37" s="374">
        <f>$J35+ROUND(IF($G35&lt;$F35,($G35*AM35),IF($G35&gt;SUM($F35:$F36),(($F35*AM35)+(($G35-$F35)*AM36)),0)),2)</f>
        <v>500</v>
      </c>
      <c r="AO37" s="377">
        <f>ROUND((AN37-O37)/O37,3)</f>
        <v>0</v>
      </c>
      <c r="AP37" s="375"/>
      <c r="AQ37" s="374">
        <f>$I35+ROUND(IF($G35&lt;$F35,($G35*AP35),IF($G35&gt;SUM($F35:$F36),(($F35*AP35)+(($G35-$F35)*AP36)),0)),2)</f>
        <v>500</v>
      </c>
      <c r="AR37" s="571">
        <f t="shared" si="58"/>
        <v>0</v>
      </c>
      <c r="AS37" s="376"/>
      <c r="AT37" s="374">
        <f>$J35+ROUND(IF($G35&lt;$F35,($G35*AS35),IF($G35&gt;SUM($F35:$F36),(($F35*AS35)+(($G35-$F35)*AS36)),0)),2)</f>
        <v>500</v>
      </c>
      <c r="AU37" s="377">
        <f>ROUND(($AT37-$O37)/$O37,3)</f>
        <v>0</v>
      </c>
      <c r="AV37" s="376"/>
      <c r="AW37" s="374">
        <f>$J35+ROUND(IF($G35&lt;$F35,($G35*AV35),IF($G35&gt;SUM($F35:$F36),(($F35*AV35)+(($G35-$F35)*AV36)),0)),2)</f>
        <v>500</v>
      </c>
      <c r="AX37" s="377">
        <f>ROUND(($AW37-$O37)/$O37,3)</f>
        <v>0</v>
      </c>
      <c r="AY37" s="376"/>
      <c r="AZ37" s="374">
        <f>$J35+ROUND(IF($G35&lt;$F35,($G35*AY35),IF($G35&gt;SUM($F35:$F36),(($F35*AY35)+(($G35-$F35)*AY36)),0)),2)</f>
        <v>500</v>
      </c>
      <c r="BA37" s="377">
        <f>ROUND(($AT37-$O37)/$O37,3)</f>
        <v>0</v>
      </c>
      <c r="BB37" s="376"/>
      <c r="BC37" s="1726">
        <f t="shared" si="72"/>
        <v>500</v>
      </c>
      <c r="BD37" s="1722">
        <f t="shared" si="70"/>
        <v>0</v>
      </c>
      <c r="BE37" s="376"/>
      <c r="BF37" s="374">
        <f>$J35+ROUND(IF($G35&lt;$F35,($G35*BE35),IF($G35&gt;SUM($F35:$F36),(($F35*BE35)+(($G35-$F35)*BE36)),0)),2)</f>
        <v>500</v>
      </c>
      <c r="BG37" s="377">
        <f>ROUND((BF37-O37)/O37,3)</f>
        <v>0</v>
      </c>
      <c r="BH37" s="1576">
        <f t="shared" si="63"/>
        <v>0</v>
      </c>
      <c r="BI37" s="365"/>
      <c r="BJ37" s="365"/>
      <c r="BK37" s="365"/>
      <c r="BL37" s="365"/>
      <c r="BM37" s="365"/>
      <c r="BN37" s="365"/>
      <c r="BO37" s="365"/>
      <c r="BP37" s="365"/>
      <c r="BQ37" s="365"/>
      <c r="BR37" s="365"/>
      <c r="BS37" s="1587" t="s">
        <v>374</v>
      </c>
    </row>
    <row r="38" spans="1:90" x14ac:dyDescent="0.3">
      <c r="A38" s="85">
        <f t="shared" si="17"/>
        <v>31</v>
      </c>
      <c r="B38" s="709" t="str">
        <f>'WA Volumes &amp; Revenues'!B33</f>
        <v>42C Firm Sales</v>
      </c>
      <c r="C38" s="858" t="s">
        <v>4</v>
      </c>
      <c r="D38" s="294">
        <f>'WA Volumes &amp; Revenues'!E33</f>
        <v>350769.66174469434</v>
      </c>
      <c r="E38" s="294">
        <f>'WA Volumes &amp; Revenues'!F33</f>
        <v>542975.5</v>
      </c>
      <c r="F38" s="294">
        <v>10000</v>
      </c>
      <c r="G38" s="295">
        <f>'WA Volumes &amp; Revenues'!I33</f>
        <v>11949</v>
      </c>
      <c r="H38" s="295">
        <f>'WA Volumes &amp; Revenues'!L33</f>
        <v>18685</v>
      </c>
      <c r="I38" s="862">
        <f>'WA Volumes &amp; Revenues'!O33</f>
        <v>1300</v>
      </c>
      <c r="J38" s="367">
        <f>'WA Volumes &amp; Revenues'!N33</f>
        <v>1300</v>
      </c>
      <c r="K38" s="121">
        <f>+'Rates in summary'!D32</f>
        <v>0.43535000000000001</v>
      </c>
      <c r="L38" s="121">
        <f>+'Rates in summary'!M32</f>
        <v>0.56289</v>
      </c>
      <c r="M38" s="367"/>
      <c r="N38" s="367"/>
      <c r="O38" s="942"/>
      <c r="P38" s="942"/>
      <c r="Q38" s="368">
        <f>'Rates in summary'!H32-'Rates in summary'!F32</f>
        <v>0.47003</v>
      </c>
      <c r="R38" s="367"/>
      <c r="S38" s="369"/>
      <c r="T38" s="368">
        <f>'Rates in summary'!L32</f>
        <v>0.53564000000000001</v>
      </c>
      <c r="U38" s="367"/>
      <c r="V38" s="570"/>
      <c r="W38" s="368">
        <f>'Rates in Detail'!J31+'Rates in Detail'!P31</f>
        <v>0.43226000000000003</v>
      </c>
      <c r="X38" s="367"/>
      <c r="Y38" s="570"/>
      <c r="Z38" s="368">
        <f>'Rates in Detail'!J31+'Rates in Detail'!S31</f>
        <v>0.42982000000000004</v>
      </c>
      <c r="AA38" s="367"/>
      <c r="AB38" s="570"/>
      <c r="AC38" s="121">
        <f>'Rates in Detail'!J31+'Rates in Detail'!T31</f>
        <v>0.43241000000000002</v>
      </c>
      <c r="AD38" s="367"/>
      <c r="AE38" s="570"/>
      <c r="AF38" s="121">
        <f>'Rates in Detail'!J31+'Rates in Detail'!U31</f>
        <v>0.43639</v>
      </c>
      <c r="AG38" s="367"/>
      <c r="AH38" s="570"/>
      <c r="AI38" s="368">
        <f>'Rates in summary'!M32</f>
        <v>0.56289</v>
      </c>
      <c r="AJ38" s="367"/>
      <c r="AK38" s="369"/>
      <c r="AL38" s="1200"/>
      <c r="AM38" s="368">
        <f>L38+'Rates in summary'!N32</f>
        <v>0.58384000000000003</v>
      </c>
      <c r="AN38" s="367"/>
      <c r="AO38" s="369"/>
      <c r="AP38" s="368">
        <f>'Rates in summary'!U32</f>
        <v>0.79532000000000003</v>
      </c>
      <c r="AQ38" s="367"/>
      <c r="AR38" s="570"/>
      <c r="AS38" s="368">
        <f>L38+'Rates in Detail'!AD31</f>
        <v>0.56259000000000003</v>
      </c>
      <c r="AT38" s="367"/>
      <c r="AU38" s="369"/>
      <c r="AV38" s="368">
        <f>L38+'Rates in Detail'!AE31</f>
        <v>0.55735999999999997</v>
      </c>
      <c r="AW38" s="367"/>
      <c r="AX38" s="369"/>
      <c r="AY38" s="368">
        <f>L38+'Rates in Detail'!AF31</f>
        <v>0.55994999999999995</v>
      </c>
      <c r="AZ38" s="367"/>
      <c r="BA38" s="369"/>
      <c r="BB38" s="368">
        <f t="shared" si="71"/>
        <v>0.56289</v>
      </c>
      <c r="BC38" s="1200"/>
      <c r="BD38" s="1721"/>
      <c r="BE38" s="368">
        <f>'Rates in summary'!W32</f>
        <v>0.8075</v>
      </c>
      <c r="BF38" s="367"/>
      <c r="BG38" s="369"/>
      <c r="BH38" s="570"/>
      <c r="BS38" s="1587" t="s">
        <v>729</v>
      </c>
    </row>
    <row r="39" spans="1:90" ht="13.5" thickBot="1" x14ac:dyDescent="0.35">
      <c r="A39" s="85">
        <f t="shared" si="17"/>
        <v>32</v>
      </c>
      <c r="B39" s="709"/>
      <c r="C39" s="858" t="s">
        <v>5</v>
      </c>
      <c r="D39" s="294">
        <f>'WA Volumes &amp; Revenues'!E34</f>
        <v>303088.75426472601</v>
      </c>
      <c r="E39" s="294">
        <f>'WA Volumes &amp; Revenues'!F34</f>
        <v>474167</v>
      </c>
      <c r="F39" s="294">
        <v>20000</v>
      </c>
      <c r="G39" s="295"/>
      <c r="H39" s="295"/>
      <c r="I39" s="862"/>
      <c r="J39" s="367"/>
      <c r="K39" s="121">
        <f>+'Rates in summary'!D33</f>
        <v>0.41633999999999971</v>
      </c>
      <c r="L39" s="121">
        <f>+'Rates in summary'!M33</f>
        <v>0.54045999999999972</v>
      </c>
      <c r="M39" s="367"/>
      <c r="N39" s="367"/>
      <c r="O39" s="942"/>
      <c r="P39" s="942"/>
      <c r="Q39" s="368">
        <f>'Rates in summary'!H33-'Rates in summary'!F33</f>
        <v>0.44737999999999972</v>
      </c>
      <c r="R39" s="367"/>
      <c r="S39" s="369"/>
      <c r="T39" s="368">
        <f>'Rates in summary'!L33</f>
        <v>0.51606999999999958</v>
      </c>
      <c r="U39" s="367"/>
      <c r="V39" s="570"/>
      <c r="W39" s="368">
        <f>'Rates in Detail'!J32+'Rates in Detail'!P32</f>
        <v>0.41356999999999972</v>
      </c>
      <c r="X39" s="367"/>
      <c r="Y39" s="570"/>
      <c r="Z39" s="368">
        <f>'Rates in Detail'!J32+'Rates in Detail'!S32</f>
        <v>0.4113899999999997</v>
      </c>
      <c r="AA39" s="367"/>
      <c r="AB39" s="570"/>
      <c r="AC39" s="121">
        <f>'Rates in Detail'!J32+'Rates in Detail'!T32</f>
        <v>0.41370999999999969</v>
      </c>
      <c r="AD39" s="367"/>
      <c r="AE39" s="570"/>
      <c r="AF39" s="121">
        <f>'Rates in Detail'!J32+'Rates in Detail'!U32</f>
        <v>0.4172699999999997</v>
      </c>
      <c r="AG39" s="367"/>
      <c r="AH39" s="570"/>
      <c r="AI39" s="368">
        <f>'Rates in summary'!M33</f>
        <v>0.54045999999999972</v>
      </c>
      <c r="AJ39" s="367"/>
      <c r="AK39" s="369"/>
      <c r="AL39" s="1200"/>
      <c r="AM39" s="368">
        <f>L39+'Rates in summary'!N33</f>
        <v>0.55920999999999976</v>
      </c>
      <c r="AN39" s="367"/>
      <c r="AO39" s="369"/>
      <c r="AP39" s="368">
        <f>'Rates in summary'!U33</f>
        <v>0.77344999999999975</v>
      </c>
      <c r="AQ39" s="367"/>
      <c r="AR39" s="570"/>
      <c r="AS39" s="368">
        <f>L39+'Rates in Detail'!AD32</f>
        <v>0.54018999999999973</v>
      </c>
      <c r="AT39" s="367"/>
      <c r="AU39" s="369"/>
      <c r="AV39" s="368">
        <f>L39+'Rates in Detail'!AE32</f>
        <v>0.53550999999999971</v>
      </c>
      <c r="AW39" s="367"/>
      <c r="AX39" s="369"/>
      <c r="AY39" s="368">
        <f>L39+'Rates in Detail'!AF32</f>
        <v>0.53781999999999974</v>
      </c>
      <c r="AZ39" s="367"/>
      <c r="BA39" s="369"/>
      <c r="BB39" s="368">
        <f t="shared" si="71"/>
        <v>0.54045999999999972</v>
      </c>
      <c r="BC39" s="1200"/>
      <c r="BD39" s="1721"/>
      <c r="BE39" s="368">
        <f>'Rates in summary'!W33</f>
        <v>0.78433999999999982</v>
      </c>
      <c r="BF39" s="367"/>
      <c r="BG39" s="369"/>
      <c r="BH39" s="570"/>
      <c r="BX39" s="1588"/>
    </row>
    <row r="40" spans="1:90" ht="13.5" thickBot="1" x14ac:dyDescent="0.35">
      <c r="A40" s="85">
        <f t="shared" si="17"/>
        <v>33</v>
      </c>
      <c r="B40" s="709"/>
      <c r="C40" s="858" t="s">
        <v>6</v>
      </c>
      <c r="D40" s="294">
        <f>'WA Volumes &amp; Revenues'!E35</f>
        <v>59441.942130257296</v>
      </c>
      <c r="E40" s="294">
        <f>'WA Volumes &amp; Revenues'!F35</f>
        <v>97890.5</v>
      </c>
      <c r="F40" s="294">
        <v>20000</v>
      </c>
      <c r="G40" s="295"/>
      <c r="H40" s="295"/>
      <c r="I40" s="862"/>
      <c r="J40" s="367"/>
      <c r="K40" s="121">
        <f>+'Rates in summary'!D34</f>
        <v>0.37851999999999986</v>
      </c>
      <c r="L40" s="121">
        <f>+'Rates in summary'!M34</f>
        <v>0.4958599999999998</v>
      </c>
      <c r="M40" s="367"/>
      <c r="N40" s="367"/>
      <c r="O40" s="942"/>
      <c r="P40" s="942"/>
      <c r="Q40" s="368">
        <f>'Rates in summary'!H34-'Rates in summary'!F34</f>
        <v>0.40232999999999985</v>
      </c>
      <c r="R40" s="367"/>
      <c r="S40" s="369"/>
      <c r="T40" s="368">
        <f>'Rates in summary'!L34</f>
        <v>0.47715999999999981</v>
      </c>
      <c r="U40" s="367"/>
      <c r="V40" s="570"/>
      <c r="W40" s="368">
        <f>'Rates in Detail'!J33+'Rates in Detail'!P33</f>
        <v>0.37639999999999985</v>
      </c>
      <c r="X40" s="367"/>
      <c r="Y40" s="570"/>
      <c r="Z40" s="368">
        <f>'Rates in Detail'!J33+'Rates in Detail'!S33</f>
        <v>0.37471999999999983</v>
      </c>
      <c r="AA40" s="367"/>
      <c r="AB40" s="570"/>
      <c r="AC40" s="121">
        <f>'Rates in Detail'!J33+'Rates in Detail'!T33</f>
        <v>0.37649999999999983</v>
      </c>
      <c r="AD40" s="367"/>
      <c r="AE40" s="570"/>
      <c r="AF40" s="121">
        <f>'Rates in Detail'!J33+'Rates in Detail'!U33</f>
        <v>0.37922999999999984</v>
      </c>
      <c r="AG40" s="367"/>
      <c r="AH40" s="570"/>
      <c r="AI40" s="368">
        <f>'Rates in summary'!M34</f>
        <v>0.4958599999999998</v>
      </c>
      <c r="AJ40" s="367"/>
      <c r="AK40" s="369"/>
      <c r="AL40" s="1200"/>
      <c r="AM40" s="368">
        <f>L40+'Rates in summary'!N34</f>
        <v>0.5102399999999998</v>
      </c>
      <c r="AN40" s="367"/>
      <c r="AO40" s="369"/>
      <c r="AP40" s="368">
        <f>'Rates in summary'!U34</f>
        <v>0.72995999999999994</v>
      </c>
      <c r="AQ40" s="367"/>
      <c r="AR40" s="570"/>
      <c r="AS40" s="368">
        <f>L40+'Rates in Detail'!AD33</f>
        <v>0.49564999999999981</v>
      </c>
      <c r="AT40" s="367"/>
      <c r="AU40" s="369"/>
      <c r="AV40" s="368">
        <f>L40+'Rates in Detail'!AE33</f>
        <v>0.49205999999999978</v>
      </c>
      <c r="AW40" s="367"/>
      <c r="AX40" s="369"/>
      <c r="AY40" s="368">
        <f>L40+'Rates in Detail'!AF33</f>
        <v>0.49383999999999978</v>
      </c>
      <c r="AZ40" s="367"/>
      <c r="BA40" s="369"/>
      <c r="BB40" s="368">
        <f t="shared" si="71"/>
        <v>0.4958599999999998</v>
      </c>
      <c r="BC40" s="1200"/>
      <c r="BD40" s="1721"/>
      <c r="BE40" s="368">
        <f>'Rates in summary'!W34</f>
        <v>0.7383099999999998</v>
      </c>
      <c r="BF40" s="367"/>
      <c r="BG40" s="369"/>
      <c r="BH40" s="570"/>
      <c r="BT40" s="1846" t="s">
        <v>511</v>
      </c>
      <c r="BU40" s="1847"/>
      <c r="BV40" s="1847"/>
      <c r="BW40" s="1847"/>
      <c r="BX40" s="1847"/>
      <c r="BY40" s="1848"/>
      <c r="BZ40" s="1846" t="s">
        <v>512</v>
      </c>
      <c r="CA40" s="1847"/>
      <c r="CB40" s="1847"/>
      <c r="CC40" s="1847"/>
      <c r="CD40" s="1847"/>
      <c r="CE40" s="1848"/>
    </row>
    <row r="41" spans="1:90" x14ac:dyDescent="0.3">
      <c r="A41" s="85">
        <f t="shared" si="17"/>
        <v>34</v>
      </c>
      <c r="B41" s="709"/>
      <c r="C41" s="858" t="s">
        <v>7</v>
      </c>
      <c r="D41" s="294">
        <f>'WA Volumes &amp; Revenues'!E36</f>
        <v>3614.6071898605187</v>
      </c>
      <c r="E41" s="294">
        <f>'WA Volumes &amp; Revenues'!F36</f>
        <v>6094</v>
      </c>
      <c r="F41" s="294">
        <v>100000</v>
      </c>
      <c r="G41" s="295"/>
      <c r="H41" s="295"/>
      <c r="I41" s="862"/>
      <c r="J41" s="367"/>
      <c r="K41" s="121">
        <f>+'Rates in summary'!D35</f>
        <v>0.35361000000000004</v>
      </c>
      <c r="L41" s="121">
        <f>+'Rates in summary'!M35</f>
        <v>0.46651000000000004</v>
      </c>
      <c r="M41" s="367"/>
      <c r="N41" s="367"/>
      <c r="O41" s="942"/>
      <c r="P41" s="942"/>
      <c r="Q41" s="368">
        <f>'Rates in summary'!H35-'Rates in summary'!F35</f>
        <v>0.37265000000000004</v>
      </c>
      <c r="R41" s="367"/>
      <c r="S41" s="369"/>
      <c r="T41" s="368">
        <f>'Rates in summary'!L35</f>
        <v>0.45155000000000001</v>
      </c>
      <c r="U41" s="367"/>
      <c r="V41" s="570"/>
      <c r="W41" s="368">
        <f>'Rates in Detail'!J34+'Rates in Detail'!P34</f>
        <v>0.35191000000000006</v>
      </c>
      <c r="X41" s="367"/>
      <c r="Y41" s="570"/>
      <c r="Z41" s="368">
        <f>'Rates in Detail'!J34+'Rates in Detail'!S34</f>
        <v>0.35057000000000005</v>
      </c>
      <c r="AA41" s="367"/>
      <c r="AB41" s="570"/>
      <c r="AC41" s="121">
        <f>'Rates in Detail'!J34+'Rates in Detail'!T34</f>
        <v>0.35200000000000004</v>
      </c>
      <c r="AD41" s="367"/>
      <c r="AE41" s="570"/>
      <c r="AF41" s="121">
        <f>'Rates in Detail'!J34+'Rates in Detail'!U34</f>
        <v>0.35418000000000005</v>
      </c>
      <c r="AG41" s="367"/>
      <c r="AH41" s="570"/>
      <c r="AI41" s="368">
        <f>'Rates in summary'!M35</f>
        <v>0.46651000000000004</v>
      </c>
      <c r="AJ41" s="367"/>
      <c r="AK41" s="369"/>
      <c r="AL41" s="1200"/>
      <c r="AM41" s="368">
        <f>L41+'Rates in summary'!N35</f>
        <v>0.47802000000000006</v>
      </c>
      <c r="AN41" s="367"/>
      <c r="AO41" s="369"/>
      <c r="AP41" s="368">
        <f>'Rates in summary'!U35</f>
        <v>0.70132000000000017</v>
      </c>
      <c r="AQ41" s="367"/>
      <c r="AR41" s="570"/>
      <c r="AS41" s="368">
        <f>L41+'Rates in Detail'!AD34</f>
        <v>0.46635000000000004</v>
      </c>
      <c r="AT41" s="367"/>
      <c r="AU41" s="369"/>
      <c r="AV41" s="368">
        <f>L41+'Rates in Detail'!AE34</f>
        <v>0.46347000000000005</v>
      </c>
      <c r="AW41" s="367"/>
      <c r="AX41" s="369"/>
      <c r="AY41" s="368">
        <f>L41+'Rates in Detail'!AF34</f>
        <v>0.46489000000000003</v>
      </c>
      <c r="AZ41" s="367"/>
      <c r="BA41" s="369"/>
      <c r="BB41" s="368">
        <f t="shared" si="71"/>
        <v>0.46651000000000004</v>
      </c>
      <c r="BC41" s="1200"/>
      <c r="BD41" s="1721"/>
      <c r="BE41" s="368">
        <f>'Rates in summary'!W35</f>
        <v>0.70801000000000014</v>
      </c>
      <c r="BF41" s="367"/>
      <c r="BG41" s="369"/>
      <c r="BH41" s="570"/>
      <c r="BS41" s="1577" t="s">
        <v>258</v>
      </c>
      <c r="BT41" s="1589" t="s">
        <v>504</v>
      </c>
      <c r="BU41" s="725" t="s">
        <v>504</v>
      </c>
      <c r="BV41" s="1161"/>
      <c r="BW41" s="1161"/>
      <c r="BX41" s="1884" t="s">
        <v>257</v>
      </c>
      <c r="BY41" s="1889" t="s">
        <v>259</v>
      </c>
      <c r="BZ41" s="1589" t="s">
        <v>504</v>
      </c>
      <c r="CA41" s="725" t="s">
        <v>504</v>
      </c>
      <c r="CB41" s="1161"/>
      <c r="CC41" s="1161"/>
      <c r="CD41" s="1884" t="s">
        <v>257</v>
      </c>
      <c r="CE41" s="1889" t="s">
        <v>259</v>
      </c>
    </row>
    <row r="42" spans="1:90" x14ac:dyDescent="0.3">
      <c r="A42" s="85">
        <f t="shared" si="17"/>
        <v>35</v>
      </c>
      <c r="B42" s="709"/>
      <c r="C42" s="858" t="s">
        <v>8</v>
      </c>
      <c r="D42" s="294">
        <f>'WA Volumes &amp; Revenues'!E37</f>
        <v>0</v>
      </c>
      <c r="E42" s="294">
        <f>'WA Volumes &amp; Revenues'!F37</f>
        <v>0</v>
      </c>
      <c r="F42" s="294">
        <v>600000</v>
      </c>
      <c r="G42" s="295"/>
      <c r="H42" s="295"/>
      <c r="I42" s="862"/>
      <c r="J42" s="367"/>
      <c r="K42" s="121">
        <f>+'Rates in summary'!D36</f>
        <v>0.32038</v>
      </c>
      <c r="L42" s="121">
        <f>+'Rates in summary'!M36</f>
        <v>0.42738999999999994</v>
      </c>
      <c r="M42" s="367"/>
      <c r="N42" s="367"/>
      <c r="O42" s="942"/>
      <c r="P42" s="942"/>
      <c r="Q42" s="368">
        <f>'Rates in summary'!H36-'Rates in summary'!F36</f>
        <v>0.33307999999999999</v>
      </c>
      <c r="R42" s="367"/>
      <c r="S42" s="369"/>
      <c r="T42" s="368">
        <f>'Rates in summary'!L36</f>
        <v>0.41740999999999995</v>
      </c>
      <c r="U42" s="367"/>
      <c r="V42" s="570"/>
      <c r="W42" s="368">
        <f>'Rates in Detail'!J35+'Rates in Detail'!P35</f>
        <v>0.31924999999999998</v>
      </c>
      <c r="X42" s="367"/>
      <c r="Y42" s="570"/>
      <c r="Z42" s="368">
        <f>'Rates in Detail'!J35+'Rates in Detail'!S35</f>
        <v>0.31835999999999998</v>
      </c>
      <c r="AA42" s="367"/>
      <c r="AB42" s="570"/>
      <c r="AC42" s="121">
        <f>'Rates in Detail'!J35+'Rates in Detail'!T35</f>
        <v>0.31929999999999997</v>
      </c>
      <c r="AD42" s="367"/>
      <c r="AE42" s="570"/>
      <c r="AF42" s="121">
        <f>'Rates in Detail'!J35+'Rates in Detail'!U35</f>
        <v>0.32075999999999999</v>
      </c>
      <c r="AG42" s="367"/>
      <c r="AH42" s="570"/>
      <c r="AI42" s="368">
        <f>'Rates in summary'!M36</f>
        <v>0.42738999999999994</v>
      </c>
      <c r="AJ42" s="367"/>
      <c r="AK42" s="369"/>
      <c r="AL42" s="1200"/>
      <c r="AM42" s="368">
        <f>L42+'Rates in summary'!N36</f>
        <v>0.43505999999999995</v>
      </c>
      <c r="AN42" s="367"/>
      <c r="AO42" s="369"/>
      <c r="AP42" s="368">
        <f>'Rates in summary'!U36</f>
        <v>0.66315000000000002</v>
      </c>
      <c r="AQ42" s="367"/>
      <c r="AR42" s="570"/>
      <c r="AS42" s="368">
        <f>L42+'Rates in Detail'!AD35</f>
        <v>0.42727999999999994</v>
      </c>
      <c r="AT42" s="367"/>
      <c r="AU42" s="369"/>
      <c r="AV42" s="368">
        <f>L42+'Rates in Detail'!AE35</f>
        <v>0.42536999999999991</v>
      </c>
      <c r="AW42" s="367"/>
      <c r="AX42" s="369"/>
      <c r="AY42" s="368">
        <f>L42+'Rates in Detail'!AF35</f>
        <v>0.42630999999999991</v>
      </c>
      <c r="AZ42" s="367"/>
      <c r="BA42" s="369"/>
      <c r="BB42" s="368">
        <f t="shared" si="71"/>
        <v>0.42738999999999994</v>
      </c>
      <c r="BC42" s="1200"/>
      <c r="BD42" s="1721"/>
      <c r="BE42" s="368">
        <f>'Rates in summary'!W36</f>
        <v>0.66761000000000004</v>
      </c>
      <c r="BF42" s="367"/>
      <c r="BG42" s="369"/>
      <c r="BH42" s="570"/>
      <c r="BS42" s="1578" t="s">
        <v>2</v>
      </c>
      <c r="BT42" s="453" t="s">
        <v>503</v>
      </c>
      <c r="BU42" s="706" t="s">
        <v>505</v>
      </c>
      <c r="BV42" s="1104"/>
      <c r="BW42" s="1104"/>
      <c r="BX42" s="1885"/>
      <c r="BY42" s="1890"/>
      <c r="BZ42" s="453" t="s">
        <v>503</v>
      </c>
      <c r="CA42" s="706" t="s">
        <v>505</v>
      </c>
      <c r="CB42" s="1104"/>
      <c r="CC42" s="1104"/>
      <c r="CD42" s="1885"/>
      <c r="CE42" s="1890"/>
      <c r="CJ42" s="1222" t="s">
        <v>402</v>
      </c>
      <c r="CK42" s="1222" t="s">
        <v>397</v>
      </c>
      <c r="CL42" s="1222"/>
    </row>
    <row r="43" spans="1:90" x14ac:dyDescent="0.3">
      <c r="A43" s="85">
        <f t="shared" si="17"/>
        <v>36</v>
      </c>
      <c r="B43" s="709"/>
      <c r="C43" s="858" t="s">
        <v>9</v>
      </c>
      <c r="D43" s="294">
        <f>'WA Volumes &amp; Revenues'!E38</f>
        <v>0</v>
      </c>
      <c r="E43" s="294">
        <f>'WA Volumes &amp; Revenues'!F38</f>
        <v>0</v>
      </c>
      <c r="F43" s="366" t="s">
        <v>72</v>
      </c>
      <c r="G43" s="295"/>
      <c r="H43" s="295"/>
      <c r="I43" s="862"/>
      <c r="J43" s="367"/>
      <c r="K43" s="121">
        <f>+'Rates in summary'!D37</f>
        <v>0.27890000000000004</v>
      </c>
      <c r="L43" s="121">
        <f>+'Rates in summary'!M37</f>
        <v>0.37845999999999996</v>
      </c>
      <c r="M43" s="367"/>
      <c r="N43" s="367"/>
      <c r="O43" s="942"/>
      <c r="P43" s="942"/>
      <c r="Q43" s="368">
        <f>'Rates in summary'!H37-'Rates in summary'!F37</f>
        <v>0.28366000000000002</v>
      </c>
      <c r="R43" s="367"/>
      <c r="S43" s="369"/>
      <c r="T43" s="368">
        <f>'Rates in summary'!L37</f>
        <v>0.37472</v>
      </c>
      <c r="U43" s="367"/>
      <c r="V43" s="570"/>
      <c r="W43" s="368">
        <f>'Rates in Detail'!J36+'Rates in Detail'!P36</f>
        <v>0.27848000000000006</v>
      </c>
      <c r="X43" s="367"/>
      <c r="Y43" s="570"/>
      <c r="Z43" s="368">
        <f>'Rates in Detail'!J36+'Rates in Detail'!S36</f>
        <v>0.27814000000000005</v>
      </c>
      <c r="AA43" s="367"/>
      <c r="AB43" s="570"/>
      <c r="AC43" s="121">
        <f>'Rates in Detail'!J36+'Rates in Detail'!T36</f>
        <v>0.27850000000000003</v>
      </c>
      <c r="AD43" s="367"/>
      <c r="AE43" s="570"/>
      <c r="AF43" s="121">
        <f>'Rates in Detail'!J36+'Rates in Detail'!U36</f>
        <v>0.27904000000000001</v>
      </c>
      <c r="AG43" s="367"/>
      <c r="AH43" s="570"/>
      <c r="AI43" s="368">
        <f>'Rates in summary'!M37</f>
        <v>0.37845999999999996</v>
      </c>
      <c r="AJ43" s="367"/>
      <c r="AK43" s="369"/>
      <c r="AL43" s="1200"/>
      <c r="AM43" s="368">
        <f>L43+'Rates in summary'!N37</f>
        <v>0.38133999999999996</v>
      </c>
      <c r="AN43" s="367"/>
      <c r="AO43" s="369"/>
      <c r="AP43" s="368">
        <f>'Rates in summary'!U37</f>
        <v>0.61541000000000001</v>
      </c>
      <c r="AQ43" s="367"/>
      <c r="AR43" s="570"/>
      <c r="AS43" s="368">
        <f>L43+'Rates in Detail'!AD36</f>
        <v>0.37841999999999998</v>
      </c>
      <c r="AT43" s="367"/>
      <c r="AU43" s="369"/>
      <c r="AV43" s="368">
        <f>L43+'Rates in Detail'!AE36</f>
        <v>0.37769999999999998</v>
      </c>
      <c r="AW43" s="367"/>
      <c r="AX43" s="369"/>
      <c r="AY43" s="368">
        <f>L43+'Rates in Detail'!AF36</f>
        <v>0.37805999999999995</v>
      </c>
      <c r="AZ43" s="367"/>
      <c r="BA43" s="369"/>
      <c r="BB43" s="368">
        <f t="shared" si="71"/>
        <v>0.37845999999999996</v>
      </c>
      <c r="BC43" s="1200"/>
      <c r="BD43" s="1721"/>
      <c r="BE43" s="368">
        <f>'Rates in summary'!W37</f>
        <v>0.61709000000000003</v>
      </c>
      <c r="BF43" s="367"/>
      <c r="BG43" s="369"/>
      <c r="BH43" s="570"/>
      <c r="BS43" s="1579" t="s">
        <v>268</v>
      </c>
      <c r="BT43" s="1580">
        <f>M14</f>
        <v>28.14</v>
      </c>
      <c r="BU43" s="367">
        <f t="shared" ref="BU43:BU48" si="85">AJ14</f>
        <v>31.96</v>
      </c>
      <c r="BX43" s="1590">
        <f>BU43-BT43</f>
        <v>3.8200000000000003</v>
      </c>
      <c r="BY43" s="1591">
        <f>SUM(BU43-BT43)/BT43</f>
        <v>0.13574982231698651</v>
      </c>
      <c r="BZ43" s="1580">
        <f t="shared" ref="BZ43:BZ48" si="86">O14</f>
        <v>31.96</v>
      </c>
      <c r="CA43" s="367">
        <f t="shared" ref="CA43:CA48" si="87">BF14</f>
        <v>36.76</v>
      </c>
      <c r="CD43" s="1590">
        <f>CA43-BZ43</f>
        <v>4.7999999999999972</v>
      </c>
      <c r="CE43" s="1591">
        <f>SUM(CA43-BZ43)/BZ43</f>
        <v>0.15018773466833532</v>
      </c>
      <c r="CF43" s="288" t="s">
        <v>253</v>
      </c>
    </row>
    <row r="44" spans="1:90" x14ac:dyDescent="0.3">
      <c r="A44" s="85">
        <f t="shared" si="17"/>
        <v>37</v>
      </c>
      <c r="B44" s="707"/>
      <c r="C44" s="859" t="s">
        <v>76</v>
      </c>
      <c r="D44" s="370"/>
      <c r="E44" s="370"/>
      <c r="F44" s="371"/>
      <c r="G44" s="372"/>
      <c r="H44" s="372"/>
      <c r="I44" s="863"/>
      <c r="J44" s="374"/>
      <c r="K44" s="373"/>
      <c r="L44" s="373"/>
      <c r="M44" s="374">
        <f>$I38+ROUND(IF($G38&lt;$F38,($G38*K38),IF($G38&lt;SUM($F38:$F39),(($F38*K38)+(($G38-$F38)*K39)),IF($G38&lt;SUM($F38:$F40),(($F38*K38)+($F39*K39)+(($G38-$F38-$F39)*K40)),IF($G38&lt;SUM($F38:$F41),(($F38*K38)+($F39*K39)+($F40*K40)+(($G38-SUM($F38:$F40))*K41)),IF($G38&lt;SUM($F38:$F42),(($F38*K38)+($F39*K39)+($F40*K40)+($F41*K41)+(($G38-SUM($F38:$F41))*K42)),(($F38*K38)+($F39*K39)+($F40*K40)+($F41*K40)+($F42*K42)+(($G38-SUM($F38:$F42))*K43))))))),2)</f>
        <v>6464.95</v>
      </c>
      <c r="N44" s="374">
        <f>$I38+ROUND(IF($H38&lt;$F38,($H38*K38),IF($H38&lt;SUM($F38:$F39),(($F38*K38)+(($H38-$F38)*K39)),IF($H38&lt;SUM($F38:$F40),(($F38*K38)+($F39*K39)+(($H38-$F38-$F39)*K40)),IF($H38&lt;SUM($F38:$F41),(($F38*K38)+($F39*K39)+($F40*K40)+(($H38-SUM($F38:$F40))*K41)),IF($H38&lt;SUM($F38:$F42),(($F38*K38)+($F39*K39)+($F40*K40)+($F41*K41)+(($H38-SUM($F38:$F41))*K42)),(($F38*K38)+($F39*K39)+($F40*K40)+($F41*K40)+($F42*K42)+(($H38-SUM($F38:$F42))*K43))))))),2)</f>
        <v>9269.41</v>
      </c>
      <c r="O44" s="374">
        <f>$I38+ROUND(IF($G38&lt;$F38,($G38*L38),IF($G38&lt;SUM($F38:$F39),(($F38*L38)+(($G38-$F38)*L39)),IF($G38&lt;SUM($F38:$F40),(($F38*L38)+($F39*L39)+(($G38-$F38-$F39)*L40)),IF($G38&lt;SUM($F38:$F41),(($F38*L38)+($F39*L39)+($F40*L40)+(($G38-SUM($F38:$F40))*L41)),IF($G38&lt;SUM($F38:$F42),(($F38*L38)+($F39*L39)+($F40*L40)+($F41*L41)+(($G38-SUM($F38:$F41))*L42)),(($F38*L38)+($F39*L39)+($F40*L40)+($F41*L40)+($F42*L42)+(($G38-SUM($F38:$F42))*L43))))))),2)</f>
        <v>7982.26</v>
      </c>
      <c r="P44" s="374">
        <f>$I38+ROUND(IF($H38&lt;$F38,($H38*L38),IF($H38&lt;SUM($F38:$F39),(($F38*L38)+(($H38-$F38)*L39)),IF($H38&lt;SUM($F38:$F40),(($F38*L38)+($F39*L39)+(($H38-$F38-$F39)*L40)),IF($H38&lt;SUM($F38:$F41),(($F38*L38)+($F39*L39)+($F40*L40)+(($H38-SUM($F38:$F40))*L41)),IF($H38&lt;SUM($F38:$F42),(($F38*L38)+($F39*L39)+($F40*L40)+($F41*LT41)+(($H38-SUM($F38:$F41))*L42)),(($F38*L38)+($F39*L39)+($F40*L40)+($F41*L40)+($F42*L42)+(($H38-SUM($F38:$F42))*L43))))))),2)</f>
        <v>11622.8</v>
      </c>
      <c r="Q44" s="376"/>
      <c r="R44" s="374">
        <f>$J38+ROUND(IF($G38&lt;$F38,($G38*Q38),IF($G38&lt;SUM($F38:$F39),(($F38*Q38)+(($G38-$F38)*Q39)),IF($G38&lt;SUM($F38:$F40),(($F38*Q38)+($F39*Q39)+(($G38-$F38-$F39)*Q40)),IF($G38&lt;SUM($F38:$F41),(($F38*Q38)+($F39*Q39)+($F40*Q40)+(($G38-SUM($F38:$F40))*Q41)),IF($G38&lt;SUM($F38:$F42),(($F38*Q38)+($F39*Q39)+($F40*Q40)+($F41*Q41)+(($G38-SUM($F38:$F41))*Q42)),(($F38*Q38)+($F39*Q39)+($F40*Q40)+($F41*Q40)+($F42*Q42)+(($G38-SUM($F38:$F42))*Q43))))))),2)</f>
        <v>6872.24</v>
      </c>
      <c r="S44" s="377">
        <f>ROUND((R44-M44)/M44,3)</f>
        <v>6.3E-2</v>
      </c>
      <c r="T44" s="375"/>
      <c r="U44" s="374">
        <f>$I38+ROUND(IF($H38&lt;$F38,($H38*T38),IF($H38&lt;SUM($F38:$F39),(($F38*T38)+(($H38-$F38)*T39)),IF($H38&lt;SUM($F38:$F40),(($F38*T38)+($F39*T39)+(($H38-$F38-$F39)*T40)),IF($H38&lt;SUM($F38:$F41),(($F38*T38)+($F39*T39)+($F40*T40)+(($H38-SUM($F38:$F40))*T41)),IF($H38&lt;SUM($F38:$F42),(($F38*T38)+($F39*T39)+($F40*T40)+($F41*T41)+(($H38-SUM($F38:$F41))*T42)),(($F38*T38)+($F39*T39)+($F40*T40)+($F41*T40)+($F42*T42)+(($H38-SUM($F38:$F42))*T43))))))),2)</f>
        <v>11138.47</v>
      </c>
      <c r="V44" s="571">
        <f>ROUND((U44-N44)/N44,3)</f>
        <v>0.20200000000000001</v>
      </c>
      <c r="W44" s="375"/>
      <c r="X44" s="374">
        <f>$J38+ROUND(IF($G38&lt;$F38,($G38*W38),IF($G38&lt;SUM($F38:$F39),(($F38*W38)+(($G38-$F38)*W39)),IF($G38&lt;SUM($F38:$F40),(($F38*W38)+($F39*W39)+(($G38-$F38-$F39)*W40)),IF($G38&lt;SUM($F38:$F41),(($F38*W38)+($F39*W39)+($F40*W40)+(($G38-SUM($F38:$F40))*W41)),IF($G38&lt;SUM($F38:$F42),(($F38*W38)+($F39*W39)+($F40*W40)+($F41*W41)+(($G38-SUM($F38:$F41))*W42)),(($F38*W38)+($F39*W39)+($F40*W40)+($F41*W40)+($F42*W42)+(($G38-SUM($F38:$F42))*W43))))))),2)</f>
        <v>6428.65</v>
      </c>
      <c r="Y44" s="571">
        <f t="shared" ref="Y44" si="88">ROUND(($X44-$M44)/$M44,3)</f>
        <v>-6.0000000000000001E-3</v>
      </c>
      <c r="Z44" s="375"/>
      <c r="AA44" s="374">
        <f>$J38+ROUND(IF($G38&lt;$F38,($G38*Z38),IF($G38&lt;SUM($F38:$F39),(($F38*Z38)+(($G38-$F38)*Z39)),IF($G38&lt;SUM($F38:$F40),(($F38*Z38)+($F39*Z39)+(($G38-$F38-$F39)*Z40)),IF($G38&lt;SUM($F38:$F41),(($F38*Z38)+($F39*Z39)+($F40*Z40)+(($G38-SUM($F38:$F40))*Z41)),IF($G38&lt;SUM($F38:$F42),(($F38*Z38)+($F39*Z39)+($F40*Z40)+($F41*Z41)+(($G38-SUM($F38:$F41))*Z42)),(($F38*Z38)+($F39*Z39)+($F40*Z40)+($F41*Z40)+($F42*Z42)+(($G38-SUM($F38:$F42))*Z43))))))),2)</f>
        <v>6400</v>
      </c>
      <c r="AB44" s="571">
        <f>ROUND(($AA44-$M44)/$M44,3)</f>
        <v>-0.01</v>
      </c>
      <c r="AC44" s="374"/>
      <c r="AD44" s="374">
        <f>$J38+ROUND(IF($G38&lt;$F38,($G38*AC38),IF($G38&lt;SUM($F38:$F39),(($F38*AC38)+(($G38-$F38)*AC39)),IF($G38&lt;SUM($F38:$F40),(($F38*AC38)+($F39*AC39)+(($G38-$F38-$F39)*AC40)),IF($G38&lt;SUM($F38:$F41),(($F38*AC38)+($F39*AC39)+($F40*AC40)+(($G38-SUM($F38:$F40))*AC41)),IF($G38&lt;SUM($F38:$F42),(($F38*AC38)+($F39*AC39)+($F40*AC40)+($F41*AC41)+(($G38-SUM($F38:$F41))*AC42)),(($F38*AC38)+($F39*AC39)+($F40*AC40)+($F41*AC40)+($F42*AC42)+(($G38-SUM($F38:$F42))*AC43))))))),2)</f>
        <v>6430.42</v>
      </c>
      <c r="AE44" s="571">
        <f>ROUND(($AD44-$M44)/$M44,3)</f>
        <v>-5.0000000000000001E-3</v>
      </c>
      <c r="AF44" s="374"/>
      <c r="AG44" s="374">
        <f>$J38+ROUND(IF($G38&lt;$F38,($G38*AF38),IF($G38&lt;SUM($F38:$F39),(($F38*AF38)+(($G38-$F38)*AF39)),IF($G38&lt;SUM($F38:$F40),(($F38*AF38)+($F39*AF39)+(($G38-$F38-$F39)*AF40)),IF($G38&lt;SUM($F38:$F41),(($F38*AF38)+($F39*AF39)+($F40*AF40)+(($G38-SUM($F38:$F40))*AF41)),IF($G38&lt;SUM($F38:$F42),(($F38*AF38)+($F39*AF39)+($F40*AF40)+($F41*AF41)+(($G38-SUM($F38:$F41))*AF42)),(($F38*AF38)+($F39*AF39)+($F40*AF40)+($F41*AF40)+($F42*AF42)+(($G38-SUM($F38:$F42))*AF43))))))),2)</f>
        <v>6477.16</v>
      </c>
      <c r="AH44" s="571">
        <f t="shared" ref="AH44" si="89">ROUND(($AG44-$M44)/$M44,3)</f>
        <v>2E-3</v>
      </c>
      <c r="AI44" s="376"/>
      <c r="AJ44" s="374">
        <f>$J38+ROUND(IF($G38&lt;$F38,($G38*AI38),IF($G38&lt;SUM($F38:$F39),(($F38*AI38)+(($G38-$F38)*AI39)),IF($G38&lt;SUM($F38:$F40),(($F38*AI38)+($F39*AI39)+(($G38-$F38-$F39)*AI40)),IF($G38&lt;SUM($F38:$F41),(($F38*AI38)+($F39*AI39)+($F40*AI40)+(($G38-SUM($F38:$F40))*AI41)),IF($G38&lt;SUM($F38:$F42),(($F38*AI38)+($F39*AI39)+($F40*AI40)+($F41*AI41)+(($G38-SUM($F38:$F41))*AI42)),(($F38*AI38)+($F39*AI39)+($F40*AI40)+($F41*AI40)+($F42*AI42)+(($G38-SUM($F38:$F42))*AI43))))))),2)</f>
        <v>7982.26</v>
      </c>
      <c r="AK44" s="377">
        <f>ROUND((AJ44-M44)/M44,3)</f>
        <v>0.23499999999999999</v>
      </c>
      <c r="AL44" s="374">
        <f t="shared" si="55"/>
        <v>1517.3100000000004</v>
      </c>
      <c r="AM44" s="376"/>
      <c r="AN44" s="374">
        <f>$J38+ROUND(IF($G38&lt;$F38,($G38*AM38),IF($G38&lt;SUM($F38:$F39),(($F38*AM38)+(($G38-$F38)*AM39)),IF($G38&lt;SUM($F38:$F40),(($F38*AM38)+($F39*AM39)+(($G38-$F38-$F39)*AM40)),IF($G38&lt;SUM($F38:$F41),(($F38*AM38)+($F39*AM39)+($F40*AM40)+(($G38-SUM($F38:$F40))*AM41)),IF($G38&lt;SUM($F38:$F42),(($F38*AM38)+($F39*AM39)+($F40*AM40)+($F41*AM41)+(($G38-SUM($F38:$F41))*AM42)),(($F38*AM38)+($F39*AM39)+($F40*AM40)+($F41*AM40)+($F42*AM42)+(($G38-SUM($F38:$F42))*AM43))))))),2)</f>
        <v>8228.2999999999993</v>
      </c>
      <c r="AO44" s="377">
        <f>ROUND((AN44-O44)/O44,3)</f>
        <v>3.1E-2</v>
      </c>
      <c r="AP44" s="375"/>
      <c r="AQ44" s="374">
        <f>$I38+ROUND(IF($G38&lt;$F38,($G38*AP38),IF($G38&lt;SUM($F38:$F39),(($F38*AP38)+(($G38-$F38)*AP39)),IF($G38&lt;SUM($F38:$F40),(($F38*AP38)+($F39*AP39)+(($G38-$F38-$F39)*AP40)),IF($G38&lt;SUM($F38:$F41),(($F38*AP38)+($F39*AP39)+($F40*AP40)+(($G38-SUM($F38:$F40))*AP41)),IF($G38&lt;SUM($F38:$F42),(($F38*AP38)+($F39*AP39)+($F40*AP40)+($F41*AP41)+(($G38-SUM($F38:$F41))*AP42)),(($F38*AP38)+($F39*AP39)+($F40*AP40)+($F41*AP40)+($F42*AP42)+(($G38-SUM($F38:$F42))*AP43))))))),2)</f>
        <v>10760.65</v>
      </c>
      <c r="AR44" s="571">
        <f t="shared" si="58"/>
        <v>0.34799999999999998</v>
      </c>
      <c r="AS44" s="376"/>
      <c r="AT44" s="374">
        <f>$J38+ROUND(IF($G38&lt;$F38,($G38*AS38),IF($G38&lt;SUM($F38:$F39),(($F38*AS38)+(($G38-$F38)*AS39)),IF($G38&lt;SUM($F38:$F40),(($F38*AS38)+($F39*AS39)+(($G38-$F38-$F39)*AS40)),IF($G38&lt;SUM($F38:$F41),(($F38*AS38)+($F39*AS39)+($F40*AS40)+(($G38-SUM($F38:$F40))*AS41)),IF($G38&lt;SUM($F38:$F42),(($F38*AS38)+($F39*AS39)+($F40*AS40)+($F41*AS41)+(($G38-SUM($F38:$F41))*AS42)),(($F38*AS38)+($F39*AS39)+($F40*AS40)+($F41*AS40)+($F42*AS42)+(($G38-SUM($F38:$F42))*AS43))))))),2)</f>
        <v>7978.73</v>
      </c>
      <c r="AU44" s="377">
        <f>ROUND(($AT44-$O44)/$O44,3)</f>
        <v>0</v>
      </c>
      <c r="AV44" s="376"/>
      <c r="AW44" s="374">
        <f>$J38+ROUND(IF($G38&lt;$F38,($G38*AV38),IF($G38&lt;SUM($F38:$F39),(($F38*AV38)+(($G38-$F38)*AV39)),IF($G38&lt;SUM($F38:$F40),(($F38*AV38)+($F39*AV39)+(($G38-$F38-$F39)*AV40)),IF($G38&lt;SUM($F38:$F41),(($F38*AV38)+($F39*AV39)+($F40*AV40)+(($G38-SUM($F38:$F40))*AV41)),IF($G38&lt;SUM($F38:$F42),(($F38*AV38)+($F39*AV39)+($F40*AV40)+($F41*AV41)+(($G38-SUM($F38:$F41))*AV42)),(($F38*AV38)+($F39*AV39)+($F40*AV40)+($F41*AV40)+($F42*AV42)+(($G38-SUM($F38:$F42))*AV43))))))),2)</f>
        <v>7917.31</v>
      </c>
      <c r="AX44" s="377">
        <f>ROUND(($AW44-$O44)/$O44,3)</f>
        <v>-8.0000000000000002E-3</v>
      </c>
      <c r="AY44" s="376"/>
      <c r="AZ44" s="374">
        <f>$J38+ROUND(IF($G38&lt;$F38,($G38*AY38),IF($G38&lt;SUM($F38:$F39),(($F38*AY38)+(($G38-$F38)*AY39)),IF($G38&lt;SUM($F38:$F40),(($F38*AY38)+($F39*AY39)+(($G38-$F38-$F39)*AY40)),IF($G38&lt;SUM($F38:$F41),(($F38*AY38)+($F39*AY39)+($F40*AY40)+(($G38-SUM($F38:$F40))*AY41)),IF($G38&lt;SUM($F38:$F42),(($F38*AY38)+($F39*AY39)+($F40*AY40)+($F41*AY41)+(($G38-SUM($F38:$F41))*AY42)),(($F38*AY38)+($F39*AY39)+($F40*AY40)+($F41*AY40)+($F42*AY42)+(($G38-SUM($F38:$F42))*AY43))))))),2)</f>
        <v>7947.71</v>
      </c>
      <c r="BA44" s="377">
        <f>ROUND(($AT44-$O44)/$O44,3)</f>
        <v>0</v>
      </c>
      <c r="BB44" s="376"/>
      <c r="BC44" s="1726">
        <f t="shared" si="72"/>
        <v>7982.26</v>
      </c>
      <c r="BD44" s="1722">
        <f t="shared" si="70"/>
        <v>0</v>
      </c>
      <c r="BE44" s="376"/>
      <c r="BF44" s="374">
        <f>$J38+ROUND(IF($G38&lt;$F38,($G38*BE38),IF($G38&lt;SUM($F38:$F39),(($F38*BE38)+(($G38-$F38)*BE39)),IF($G38&lt;SUM($F38:$F40),(($F38*BE38)+($F39*BE39)+(($G38-$F38-$F39)*BE40)),IF($G38&lt;SUM($F38:$F41),(($F38*BE38)+($F39*BE39)+($F40*BE40)+(($G38-SUM($F38:$F40))*BE41)),IF($G38&lt;SUM($F38:$F42),(($F38*BE38)+($F39*BE39)+($F40*BE40)+($F41*BE41)+(($G38-SUM($F38:$F41))*BE42)),(($F38*BE38)+($F39*BE39)+($F40*BE40)+($F41*BE40)+($F42*BE42)+(($G38-SUM($F38:$F42))*BE43))))))),2)</f>
        <v>10903.68</v>
      </c>
      <c r="BG44" s="377">
        <f>ROUND((BF44-O44)/O44,3)</f>
        <v>0.36599999999999999</v>
      </c>
      <c r="BH44" s="1576">
        <f t="shared" si="63"/>
        <v>2921.42</v>
      </c>
      <c r="BI44" s="365"/>
      <c r="BJ44" s="365"/>
      <c r="BK44" s="365"/>
      <c r="BL44" s="365"/>
      <c r="BM44" s="365"/>
      <c r="BN44" s="365"/>
      <c r="BO44" s="365"/>
      <c r="BP44" s="365"/>
      <c r="BQ44" s="365"/>
      <c r="BR44" s="365"/>
      <c r="BS44" s="1583" t="s">
        <v>269</v>
      </c>
      <c r="BT44" s="1580">
        <f t="shared" ref="BT44:BT48" si="90">M15</f>
        <v>142.66</v>
      </c>
      <c r="BU44" s="367">
        <f t="shared" si="85"/>
        <v>163.08000000000001</v>
      </c>
      <c r="BX44" s="1590">
        <f t="shared" ref="BX44:BX65" si="91">BU44-BT44</f>
        <v>20.420000000000016</v>
      </c>
      <c r="BY44" s="1591">
        <f t="shared" ref="BY44:BY65" si="92">SUM(BU44-BT44)/BT44</f>
        <v>0.14313752979111186</v>
      </c>
      <c r="BZ44" s="1580">
        <f t="shared" si="86"/>
        <v>163.08000000000001</v>
      </c>
      <c r="CA44" s="367">
        <f t="shared" si="87"/>
        <v>190.19</v>
      </c>
      <c r="CD44" s="1590">
        <f t="shared" ref="CD44:CD65" si="93">CA44-BZ44</f>
        <v>27.109999999999985</v>
      </c>
      <c r="CE44" s="1591">
        <f t="shared" ref="CE44:CE65" si="94">SUM(CA44-BZ44)/BZ44</f>
        <v>0.16623742948246248</v>
      </c>
      <c r="CF44" s="288" t="s">
        <v>26</v>
      </c>
      <c r="CI44" s="644" t="s">
        <v>253</v>
      </c>
      <c r="CJ44" s="367">
        <f>SUMIF($CF$43:$CF$65,CI44,$BU$43:$BU$65)-SUMIF($CF$43:$CF$65,CI44,$BT$43:$BT$65)</f>
        <v>12.969999999999999</v>
      </c>
      <c r="CK44" s="367">
        <f>SUMIF($CF$43:$CF$65,CI44,$CA$43:$CA$65)-SUMIF($CF$43:$CF$65,CI44,$BZ$43:$BZ$65)</f>
        <v>14.099999999999994</v>
      </c>
    </row>
    <row r="45" spans="1:90" x14ac:dyDescent="0.3">
      <c r="A45" s="85">
        <f t="shared" si="17"/>
        <v>38</v>
      </c>
      <c r="B45" s="709" t="str">
        <f>'WA Volumes &amp; Revenues'!B39</f>
        <v>42I Firm Sales</v>
      </c>
      <c r="C45" s="858" t="s">
        <v>4</v>
      </c>
      <c r="D45" s="294">
        <f>'WA Volumes &amp; Revenues'!E39</f>
        <v>1093724.2000000002</v>
      </c>
      <c r="E45" s="294">
        <f>'WA Volumes &amp; Revenues'!F39</f>
        <v>1086353</v>
      </c>
      <c r="F45" s="294">
        <v>10000</v>
      </c>
      <c r="G45" s="295">
        <f>'WA Volumes &amp; Revenues'!I39</f>
        <v>12869</v>
      </c>
      <c r="H45" s="295">
        <f>'WA Volumes &amp; Revenues'!L39</f>
        <v>13593</v>
      </c>
      <c r="I45" s="862">
        <f>'WA Volumes &amp; Revenues'!O39</f>
        <v>1300</v>
      </c>
      <c r="J45" s="367">
        <f>'WA Volumes &amp; Revenues'!N39</f>
        <v>1300</v>
      </c>
      <c r="K45" s="121">
        <f>+'Rates in summary'!D38</f>
        <v>0.40593000000000001</v>
      </c>
      <c r="L45" s="121">
        <f>+'Rates in summary'!M38</f>
        <v>0.51346999999999998</v>
      </c>
      <c r="M45" s="367"/>
      <c r="N45" s="367"/>
      <c r="O45" s="942"/>
      <c r="P45" s="942"/>
      <c r="Q45" s="368">
        <f>'Rates in summary'!H38-'Rates in summary'!F38</f>
        <v>0.4194</v>
      </c>
      <c r="R45" s="367"/>
      <c r="S45" s="369"/>
      <c r="T45" s="368">
        <f>'Rates in summary'!L38</f>
        <v>0.50159999999999993</v>
      </c>
      <c r="U45" s="367"/>
      <c r="V45" s="570"/>
      <c r="W45" s="368">
        <f>'Rates in Detail'!J37+'Rates in Detail'!P37</f>
        <v>0.40318000000000004</v>
      </c>
      <c r="X45" s="367"/>
      <c r="Y45" s="570"/>
      <c r="Z45" s="368">
        <f>'Rates in Detail'!J37+'Rates in Detail'!S37</f>
        <v>0.40593000000000001</v>
      </c>
      <c r="AA45" s="367"/>
      <c r="AB45" s="570"/>
      <c r="AC45" s="121">
        <f>'Rates in Detail'!J37+'Rates in Detail'!T37</f>
        <v>0.40346000000000004</v>
      </c>
      <c r="AD45" s="367"/>
      <c r="AE45" s="570"/>
      <c r="AF45" s="121">
        <f>'Rates in Detail'!J37+'Rates in Detail'!U37</f>
        <v>0.40679999999999999</v>
      </c>
      <c r="AG45" s="367"/>
      <c r="AH45" s="570"/>
      <c r="AI45" s="368">
        <f>'Rates in summary'!M38</f>
        <v>0.51346999999999998</v>
      </c>
      <c r="AJ45" s="367"/>
      <c r="AK45" s="369"/>
      <c r="AL45" s="1200"/>
      <c r="AM45" s="368">
        <f>L45+'Rates in summary'!N38</f>
        <v>0.51961000000000002</v>
      </c>
      <c r="AN45" s="367"/>
      <c r="AO45" s="369"/>
      <c r="AP45" s="368">
        <f>'Rates in summary'!U38</f>
        <v>0.75109999999999999</v>
      </c>
      <c r="AQ45" s="367"/>
      <c r="AR45" s="570"/>
      <c r="AS45" s="368">
        <f>L45+'Rates in Detail'!AD37</f>
        <v>0.51322999999999996</v>
      </c>
      <c r="AT45" s="367"/>
      <c r="AU45" s="369"/>
      <c r="AV45" s="368">
        <f>L45+'Rates in Detail'!AE37</f>
        <v>0.51346999999999998</v>
      </c>
      <c r="AW45" s="367"/>
      <c r="AX45" s="369"/>
      <c r="AY45" s="368">
        <f>L45+'Rates in Detail'!AF37</f>
        <v>0.51107999999999998</v>
      </c>
      <c r="AZ45" s="367"/>
      <c r="BA45" s="369"/>
      <c r="BB45" s="368">
        <f t="shared" si="71"/>
        <v>0.51346999999999998</v>
      </c>
      <c r="BC45" s="1200"/>
      <c r="BD45" s="1721"/>
      <c r="BE45" s="368">
        <f>'Rates in summary'!W38</f>
        <v>0.75461</v>
      </c>
      <c r="BF45" s="367"/>
      <c r="BG45" s="369"/>
      <c r="BH45" s="570"/>
      <c r="BS45" s="1583" t="s">
        <v>12</v>
      </c>
      <c r="BT45" s="1580">
        <f t="shared" si="90"/>
        <v>58.21</v>
      </c>
      <c r="BU45" s="367">
        <f t="shared" si="85"/>
        <v>67.36</v>
      </c>
      <c r="BX45" s="1590">
        <f t="shared" si="91"/>
        <v>9.1499999999999986</v>
      </c>
      <c r="BY45" s="1591">
        <f t="shared" si="92"/>
        <v>0.15718948634255281</v>
      </c>
      <c r="BZ45" s="1580">
        <f t="shared" si="86"/>
        <v>67.36</v>
      </c>
      <c r="CA45" s="367">
        <f t="shared" si="87"/>
        <v>76.66</v>
      </c>
      <c r="CD45" s="1590">
        <f t="shared" si="93"/>
        <v>9.2999999999999972</v>
      </c>
      <c r="CE45" s="1591">
        <f t="shared" si="94"/>
        <v>0.13806413301662704</v>
      </c>
      <c r="CF45" s="288" t="s">
        <v>253</v>
      </c>
      <c r="CI45" s="644" t="s">
        <v>26</v>
      </c>
      <c r="CJ45" s="367">
        <f>SUMIF($CF$43:$CF$65,CI45,$BU$43:$BU$65)-SUMIF($CF$43:$CF$65,CI45,$BT$43:$BT$65)</f>
        <v>2045.1000000000004</v>
      </c>
      <c r="CK45" s="367">
        <f t="shared" ref="CK45:CK48" si="95">SUMIF($CF$43:$CF$65,CI45,$CA$43:$CA$65)-SUMIF($CF$43:$CF$65,CI45,$BZ$43:$BZ$65)</f>
        <v>3846.0200000000004</v>
      </c>
    </row>
    <row r="46" spans="1:90" x14ac:dyDescent="0.3">
      <c r="A46" s="85">
        <f t="shared" si="17"/>
        <v>39</v>
      </c>
      <c r="B46" s="709"/>
      <c r="C46" s="858" t="s">
        <v>5</v>
      </c>
      <c r="D46" s="294">
        <f>'WA Volumes &amp; Revenues'!E40</f>
        <v>655939.80000000005</v>
      </c>
      <c r="E46" s="294">
        <f>'WA Volumes &amp; Revenues'!F40</f>
        <v>638955</v>
      </c>
      <c r="F46" s="294">
        <v>20000</v>
      </c>
      <c r="G46" s="295"/>
      <c r="H46" s="295"/>
      <c r="I46" s="862"/>
      <c r="J46" s="367"/>
      <c r="K46" s="121">
        <f>+'Rates in summary'!D39</f>
        <v>0.38999</v>
      </c>
      <c r="L46" s="121">
        <f>+'Rates in summary'!M39</f>
        <v>0.49624000000000001</v>
      </c>
      <c r="M46" s="367"/>
      <c r="N46" s="367"/>
      <c r="O46" s="942"/>
      <c r="P46" s="942"/>
      <c r="Q46" s="368">
        <f>'Rates in summary'!H39-'Rates in summary'!F39</f>
        <v>0.40205000000000002</v>
      </c>
      <c r="R46" s="367"/>
      <c r="S46" s="369"/>
      <c r="T46" s="368">
        <f>'Rates in summary'!L39</f>
        <v>0.48562</v>
      </c>
      <c r="U46" s="367"/>
      <c r="V46" s="570"/>
      <c r="W46" s="368">
        <f>'Rates in Detail'!J38+'Rates in Detail'!P38</f>
        <v>0.38752999999999999</v>
      </c>
      <c r="X46" s="367"/>
      <c r="Y46" s="570"/>
      <c r="Z46" s="368">
        <f>'Rates in Detail'!J38+'Rates in Detail'!S38</f>
        <v>0.38999</v>
      </c>
      <c r="AA46" s="367"/>
      <c r="AB46" s="570"/>
      <c r="AC46" s="121">
        <f>'Rates in Detail'!J38+'Rates in Detail'!T38</f>
        <v>0.38777</v>
      </c>
      <c r="AD46" s="367"/>
      <c r="AE46" s="570"/>
      <c r="AF46" s="121">
        <f>'Rates in Detail'!J38+'Rates in Detail'!U38</f>
        <v>0.39077000000000001</v>
      </c>
      <c r="AG46" s="367"/>
      <c r="AH46" s="570"/>
      <c r="AI46" s="368">
        <f>'Rates in summary'!M39</f>
        <v>0.49624000000000001</v>
      </c>
      <c r="AJ46" s="367"/>
      <c r="AK46" s="369"/>
      <c r="AL46" s="1200"/>
      <c r="AM46" s="368">
        <f>L46+'Rates in summary'!N39</f>
        <v>0.50173999999999996</v>
      </c>
      <c r="AN46" s="367"/>
      <c r="AO46" s="369"/>
      <c r="AP46" s="368">
        <f>'Rates in summary'!U39</f>
        <v>0.73386000000000007</v>
      </c>
      <c r="AQ46" s="367"/>
      <c r="AR46" s="570"/>
      <c r="AS46" s="368">
        <f>L46+'Rates in Detail'!AD38</f>
        <v>0.49602000000000002</v>
      </c>
      <c r="AT46" s="367"/>
      <c r="AU46" s="369"/>
      <c r="AV46" s="368">
        <f>L46+'Rates in Detail'!AE38</f>
        <v>0.49624000000000001</v>
      </c>
      <c r="AW46" s="367"/>
      <c r="AX46" s="369"/>
      <c r="AY46" s="368">
        <f>L46+'Rates in Detail'!AF38</f>
        <v>0.49410000000000004</v>
      </c>
      <c r="AZ46" s="367"/>
      <c r="BA46" s="369"/>
      <c r="BB46" s="368">
        <f t="shared" si="71"/>
        <v>0.49624000000000001</v>
      </c>
      <c r="BC46" s="1200"/>
      <c r="BD46" s="1721"/>
      <c r="BE46" s="368">
        <f>'Rates in summary'!W39</f>
        <v>0.7370000000000001</v>
      </c>
      <c r="BF46" s="367"/>
      <c r="BG46" s="369"/>
      <c r="BH46" s="570"/>
      <c r="BS46" s="1583" t="s">
        <v>10</v>
      </c>
      <c r="BT46" s="1580">
        <f t="shared" si="90"/>
        <v>226.3</v>
      </c>
      <c r="BU46" s="367">
        <f t="shared" si="85"/>
        <v>263.04000000000002</v>
      </c>
      <c r="BX46" s="1590">
        <f t="shared" si="91"/>
        <v>36.740000000000009</v>
      </c>
      <c r="BY46" s="1591">
        <f t="shared" si="92"/>
        <v>0.16235086168802479</v>
      </c>
      <c r="BZ46" s="1580">
        <f t="shared" si="86"/>
        <v>263.04000000000002</v>
      </c>
      <c r="CA46" s="367">
        <f t="shared" si="87"/>
        <v>316.67</v>
      </c>
      <c r="CD46" s="1590">
        <f t="shared" si="93"/>
        <v>53.629999999999995</v>
      </c>
      <c r="CE46" s="1591">
        <f t="shared" si="94"/>
        <v>0.20388534063260338</v>
      </c>
      <c r="CF46" s="288" t="s">
        <v>26</v>
      </c>
      <c r="CI46" s="644" t="s">
        <v>487</v>
      </c>
      <c r="CJ46" s="367">
        <f t="shared" ref="CJ46:CJ48" si="96">SUMIF($CF$43:$CF$65,CI46,$BU$43:$BU$65)-SUMIF($CF$43:$CF$65,CI46,$BT$43:$BT$65)</f>
        <v>2058.3899999999994</v>
      </c>
      <c r="CK46" s="367">
        <f t="shared" si="95"/>
        <v>4518.4599999999973</v>
      </c>
    </row>
    <row r="47" spans="1:90" x14ac:dyDescent="0.3">
      <c r="A47" s="85">
        <f t="shared" si="17"/>
        <v>40</v>
      </c>
      <c r="B47" s="709"/>
      <c r="C47" s="858" t="s">
        <v>6</v>
      </c>
      <c r="D47" s="294">
        <f>'WA Volumes &amp; Revenues'!E41</f>
        <v>81241.3</v>
      </c>
      <c r="E47" s="294">
        <f>'WA Volumes &amp; Revenues'!F41</f>
        <v>68923</v>
      </c>
      <c r="F47" s="294">
        <v>20000</v>
      </c>
      <c r="G47" s="295"/>
      <c r="H47" s="295"/>
      <c r="I47" s="862"/>
      <c r="J47" s="367"/>
      <c r="K47" s="121">
        <f>+'Rates in summary'!D40</f>
        <v>0.35830999999999985</v>
      </c>
      <c r="L47" s="121">
        <f>+'Rates in summary'!M40</f>
        <v>0.46193999999999985</v>
      </c>
      <c r="M47" s="367"/>
      <c r="N47" s="367"/>
      <c r="O47" s="942"/>
      <c r="P47" s="942"/>
      <c r="Q47" s="368">
        <f>'Rates in summary'!H40-'Rates in summary'!F40</f>
        <v>0.36754999999999988</v>
      </c>
      <c r="R47" s="367"/>
      <c r="S47" s="369"/>
      <c r="T47" s="368">
        <f>'Rates in summary'!L40</f>
        <v>0.45379999999999981</v>
      </c>
      <c r="U47" s="367"/>
      <c r="V47" s="570"/>
      <c r="W47" s="368">
        <f>'Rates in Detail'!J39+'Rates in Detail'!P39</f>
        <v>0.35641999999999985</v>
      </c>
      <c r="X47" s="367"/>
      <c r="Y47" s="570"/>
      <c r="Z47" s="368">
        <f>'Rates in Detail'!J39+'Rates in Detail'!S39</f>
        <v>0.35830999999999985</v>
      </c>
      <c r="AA47" s="367"/>
      <c r="AB47" s="570"/>
      <c r="AC47" s="121">
        <f>'Rates in Detail'!J39+'Rates in Detail'!T39</f>
        <v>0.35660999999999987</v>
      </c>
      <c r="AD47" s="367"/>
      <c r="AE47" s="570"/>
      <c r="AF47" s="121">
        <f>'Rates in Detail'!J39+'Rates in Detail'!U39</f>
        <v>0.35890999999999984</v>
      </c>
      <c r="AG47" s="367"/>
      <c r="AH47" s="570"/>
      <c r="AI47" s="368">
        <f>'Rates in summary'!M40</f>
        <v>0.46193999999999985</v>
      </c>
      <c r="AJ47" s="367"/>
      <c r="AK47" s="369"/>
      <c r="AL47" s="1200"/>
      <c r="AM47" s="368">
        <f>L47+'Rates in summary'!N40</f>
        <v>0.46615999999999985</v>
      </c>
      <c r="AN47" s="367"/>
      <c r="AO47" s="369"/>
      <c r="AP47" s="368">
        <f>'Rates in summary'!U40</f>
        <v>0.69956999999999991</v>
      </c>
      <c r="AQ47" s="367"/>
      <c r="AR47" s="570"/>
      <c r="AS47" s="368">
        <f>L47+'Rates in Detail'!AD39</f>
        <v>0.46176999999999985</v>
      </c>
      <c r="AT47" s="367"/>
      <c r="AU47" s="369"/>
      <c r="AV47" s="368">
        <f>L47+'Rates in Detail'!AE39</f>
        <v>0.46193999999999985</v>
      </c>
      <c r="AW47" s="367"/>
      <c r="AX47" s="369"/>
      <c r="AY47" s="368">
        <f>L47+'Rates in Detail'!AF39</f>
        <v>0.46029999999999988</v>
      </c>
      <c r="AZ47" s="367"/>
      <c r="BA47" s="369"/>
      <c r="BB47" s="368">
        <f t="shared" si="71"/>
        <v>0.46193999999999985</v>
      </c>
      <c r="BC47" s="1200"/>
      <c r="BD47" s="1721"/>
      <c r="BE47" s="368">
        <f>'Rates in summary'!W40</f>
        <v>0.70197999999999994</v>
      </c>
      <c r="BF47" s="367"/>
      <c r="BG47" s="369"/>
      <c r="BH47" s="570"/>
      <c r="BS47" s="1583" t="s">
        <v>11</v>
      </c>
      <c r="BT47" s="1580">
        <f t="shared" si="90"/>
        <v>828.25</v>
      </c>
      <c r="BU47" s="367">
        <f t="shared" si="85"/>
        <v>975.87</v>
      </c>
      <c r="BX47" s="1590">
        <f t="shared" si="91"/>
        <v>147.62</v>
      </c>
      <c r="BY47" s="1591">
        <f t="shared" si="92"/>
        <v>0.17823121038333836</v>
      </c>
      <c r="BZ47" s="1580">
        <f t="shared" si="86"/>
        <v>975.87</v>
      </c>
      <c r="CA47" s="367">
        <f t="shared" si="87"/>
        <v>1219.96</v>
      </c>
      <c r="CD47" s="1590">
        <f t="shared" si="93"/>
        <v>244.09000000000003</v>
      </c>
      <c r="CE47" s="1591">
        <f t="shared" si="94"/>
        <v>0.25012552901513524</v>
      </c>
      <c r="CF47" s="288" t="s">
        <v>487</v>
      </c>
      <c r="CI47" s="644" t="s">
        <v>488</v>
      </c>
      <c r="CJ47" s="367">
        <f t="shared" si="96"/>
        <v>7246.3499999999985</v>
      </c>
      <c r="CK47" s="367">
        <f t="shared" si="95"/>
        <v>10820.89</v>
      </c>
    </row>
    <row r="48" spans="1:90" x14ac:dyDescent="0.3">
      <c r="A48" s="85">
        <f t="shared" si="17"/>
        <v>41</v>
      </c>
      <c r="B48" s="709"/>
      <c r="C48" s="858" t="s">
        <v>7</v>
      </c>
      <c r="D48" s="294">
        <f>'WA Volumes &amp; Revenues'!E42</f>
        <v>9320.1</v>
      </c>
      <c r="E48" s="294">
        <f>'WA Volumes &amp; Revenues'!F42</f>
        <v>0</v>
      </c>
      <c r="F48" s="294">
        <v>100000</v>
      </c>
      <c r="G48" s="295"/>
      <c r="H48" s="295"/>
      <c r="I48" s="862"/>
      <c r="J48" s="367"/>
      <c r="K48" s="121">
        <f>+'Rates in summary'!D41</f>
        <v>0.33743999999999996</v>
      </c>
      <c r="L48" s="121">
        <f>+'Rates in summary'!M41</f>
        <v>0.43937999999999994</v>
      </c>
      <c r="M48" s="367"/>
      <c r="N48" s="367"/>
      <c r="O48" s="942"/>
      <c r="P48" s="942"/>
      <c r="Q48" s="368">
        <f>'Rates in summary'!H41-'Rates in summary'!F41</f>
        <v>0.34483999999999998</v>
      </c>
      <c r="R48" s="367"/>
      <c r="S48" s="369"/>
      <c r="T48" s="368">
        <f>'Rates in summary'!L41</f>
        <v>0.43285999999999991</v>
      </c>
      <c r="U48" s="367"/>
      <c r="V48" s="570"/>
      <c r="W48" s="368">
        <f>'Rates in Detail'!J40+'Rates in Detail'!P40</f>
        <v>0.33592999999999995</v>
      </c>
      <c r="X48" s="367"/>
      <c r="Y48" s="570"/>
      <c r="Z48" s="368">
        <f>'Rates in Detail'!J40+'Rates in Detail'!S40</f>
        <v>0.33743999999999996</v>
      </c>
      <c r="AA48" s="367"/>
      <c r="AB48" s="570"/>
      <c r="AC48" s="121">
        <f>'Rates in Detail'!J40+'Rates in Detail'!T40</f>
        <v>0.33607999999999993</v>
      </c>
      <c r="AD48" s="367"/>
      <c r="AE48" s="570"/>
      <c r="AF48" s="121">
        <f>'Rates in Detail'!J40+'Rates in Detail'!U40</f>
        <v>0.33791999999999994</v>
      </c>
      <c r="AG48" s="367"/>
      <c r="AH48" s="570"/>
      <c r="AI48" s="368">
        <f>'Rates in summary'!M41</f>
        <v>0.43937999999999994</v>
      </c>
      <c r="AJ48" s="367"/>
      <c r="AK48" s="369"/>
      <c r="AL48" s="1200"/>
      <c r="AM48" s="368">
        <f>L48+'Rates in summary'!N41</f>
        <v>0.44274999999999992</v>
      </c>
      <c r="AN48" s="367"/>
      <c r="AO48" s="369"/>
      <c r="AP48" s="368">
        <f>'Rates in summary'!U41</f>
        <v>0.67702000000000007</v>
      </c>
      <c r="AQ48" s="367"/>
      <c r="AR48" s="570"/>
      <c r="AS48" s="368">
        <f>L48+'Rates in Detail'!AD40</f>
        <v>0.43924999999999992</v>
      </c>
      <c r="AT48" s="367"/>
      <c r="AU48" s="369"/>
      <c r="AV48" s="368">
        <f>L48+'Rates in Detail'!AE40</f>
        <v>0.43937999999999994</v>
      </c>
      <c r="AW48" s="367"/>
      <c r="AX48" s="369"/>
      <c r="AY48" s="368">
        <f>L48+'Rates in Detail'!AF40</f>
        <v>0.43806999999999996</v>
      </c>
      <c r="AZ48" s="367"/>
      <c r="BA48" s="369"/>
      <c r="BB48" s="368">
        <f t="shared" si="71"/>
        <v>0.43937999999999994</v>
      </c>
      <c r="BC48" s="1200"/>
      <c r="BD48" s="1721"/>
      <c r="BE48" s="368">
        <f>'Rates in summary'!W41</f>
        <v>0.67895000000000005</v>
      </c>
      <c r="BF48" s="367"/>
      <c r="BG48" s="369"/>
      <c r="BH48" s="570"/>
      <c r="BS48" s="1583">
        <v>27</v>
      </c>
      <c r="BT48" s="1580">
        <f t="shared" si="90"/>
        <v>40.92</v>
      </c>
      <c r="BU48" s="367">
        <f t="shared" si="85"/>
        <v>48.12</v>
      </c>
      <c r="BX48" s="1590">
        <f t="shared" si="91"/>
        <v>7.1999999999999957</v>
      </c>
      <c r="BY48" s="1591">
        <f t="shared" si="92"/>
        <v>0.17595307917888553</v>
      </c>
      <c r="BZ48" s="1580">
        <f t="shared" si="86"/>
        <v>48.12</v>
      </c>
      <c r="CA48" s="367">
        <f t="shared" si="87"/>
        <v>59.57</v>
      </c>
      <c r="CD48" s="1590">
        <f t="shared" si="93"/>
        <v>11.450000000000003</v>
      </c>
      <c r="CE48" s="1591">
        <f t="shared" si="94"/>
        <v>0.23794679966749799</v>
      </c>
      <c r="CF48" s="288" t="s">
        <v>488</v>
      </c>
      <c r="CI48" s="644" t="s">
        <v>132</v>
      </c>
      <c r="CJ48" s="367">
        <f t="shared" si="96"/>
        <v>1486.4300000000076</v>
      </c>
      <c r="CK48" s="367">
        <f t="shared" si="95"/>
        <v>436.25999999999476</v>
      </c>
    </row>
    <row r="49" spans="1:84" x14ac:dyDescent="0.3">
      <c r="A49" s="85">
        <f t="shared" si="17"/>
        <v>42</v>
      </c>
      <c r="B49" s="709"/>
      <c r="C49" s="858" t="s">
        <v>8</v>
      </c>
      <c r="D49" s="294">
        <f>'WA Volumes &amp; Revenues'!E43</f>
        <v>0</v>
      </c>
      <c r="E49" s="294">
        <f>'WA Volumes &amp; Revenues'!F43</f>
        <v>0</v>
      </c>
      <c r="F49" s="294">
        <v>600000</v>
      </c>
      <c r="G49" s="295"/>
      <c r="H49" s="295"/>
      <c r="I49" s="862"/>
      <c r="J49" s="367"/>
      <c r="K49" s="121">
        <f>+'Rates in summary'!D42</f>
        <v>0.30965000000000004</v>
      </c>
      <c r="L49" s="121">
        <f>+'Rates in summary'!M42</f>
        <v>0.40932000000000002</v>
      </c>
      <c r="M49" s="367"/>
      <c r="N49" s="367"/>
      <c r="O49" s="942"/>
      <c r="P49" s="942"/>
      <c r="Q49" s="368">
        <f>'Rates in summary'!H42-'Rates in summary'!F42</f>
        <v>0.31458000000000003</v>
      </c>
      <c r="R49" s="367"/>
      <c r="S49" s="369"/>
      <c r="T49" s="368">
        <f>'Rates in summary'!L42</f>
        <v>0.40498000000000001</v>
      </c>
      <c r="U49" s="367"/>
      <c r="V49" s="570"/>
      <c r="W49" s="368">
        <f>'Rates in Detail'!J41+'Rates in Detail'!P41</f>
        <v>0.30864000000000003</v>
      </c>
      <c r="X49" s="367"/>
      <c r="Y49" s="570"/>
      <c r="Z49" s="368">
        <f>'Rates in Detail'!J41+'Rates in Detail'!S41</f>
        <v>0.30965000000000004</v>
      </c>
      <c r="AA49" s="367"/>
      <c r="AB49" s="570"/>
      <c r="AC49" s="121">
        <f>'Rates in Detail'!J41+'Rates in Detail'!T41</f>
        <v>0.30874000000000001</v>
      </c>
      <c r="AD49" s="367"/>
      <c r="AE49" s="570"/>
      <c r="AF49" s="121">
        <f>'Rates in Detail'!J41+'Rates in Detail'!U41</f>
        <v>0.30997000000000002</v>
      </c>
      <c r="AG49" s="367"/>
      <c r="AH49" s="570"/>
      <c r="AI49" s="368">
        <f>'Rates in summary'!M42</f>
        <v>0.40932000000000002</v>
      </c>
      <c r="AJ49" s="367"/>
      <c r="AK49" s="369"/>
      <c r="AL49" s="1200"/>
      <c r="AM49" s="368">
        <f>L49+'Rates in summary'!N42</f>
        <v>0.41156999999999999</v>
      </c>
      <c r="AN49" s="367"/>
      <c r="AO49" s="369"/>
      <c r="AP49" s="368">
        <f>'Rates in summary'!U42</f>
        <v>0.64696000000000009</v>
      </c>
      <c r="AQ49" s="367"/>
      <c r="AR49" s="570"/>
      <c r="AS49" s="368">
        <f>L49+'Rates in Detail'!AD41</f>
        <v>0.40923000000000004</v>
      </c>
      <c r="AT49" s="367"/>
      <c r="AU49" s="369"/>
      <c r="AV49" s="368">
        <f>L49+'Rates in Detail'!AE41</f>
        <v>0.40932000000000002</v>
      </c>
      <c r="AW49" s="367"/>
      <c r="AX49" s="369"/>
      <c r="AY49" s="368">
        <f>L49+'Rates in Detail'!AF41</f>
        <v>0.40844000000000003</v>
      </c>
      <c r="AZ49" s="367"/>
      <c r="BA49" s="369"/>
      <c r="BB49" s="368">
        <f t="shared" si="71"/>
        <v>0.40932000000000002</v>
      </c>
      <c r="BC49" s="1200"/>
      <c r="BD49" s="1721"/>
      <c r="BE49" s="368">
        <f>'Rates in summary'!W42</f>
        <v>0.64824000000000004</v>
      </c>
      <c r="BF49" s="367"/>
      <c r="BG49" s="369"/>
      <c r="BH49" s="570"/>
      <c r="BS49" s="1583" t="s">
        <v>339</v>
      </c>
      <c r="BT49" s="1580">
        <f>M22</f>
        <v>2420.73</v>
      </c>
      <c r="BU49" s="367">
        <f>AJ22</f>
        <v>2891.36</v>
      </c>
      <c r="BX49" s="1590">
        <f t="shared" si="91"/>
        <v>470.63000000000011</v>
      </c>
      <c r="BY49" s="1591">
        <f t="shared" si="92"/>
        <v>0.19441656029379573</v>
      </c>
      <c r="BZ49" s="1580">
        <f>O22</f>
        <v>2891.36</v>
      </c>
      <c r="CA49" s="367">
        <f>BF22</f>
        <v>3735.22</v>
      </c>
      <c r="CD49" s="1590">
        <f t="shared" si="93"/>
        <v>843.85999999999967</v>
      </c>
      <c r="CE49" s="1591">
        <f t="shared" si="94"/>
        <v>0.29185573570914713</v>
      </c>
      <c r="CF49" s="288" t="s">
        <v>26</v>
      </c>
    </row>
    <row r="50" spans="1:84" x14ac:dyDescent="0.3">
      <c r="A50" s="85">
        <f t="shared" si="17"/>
        <v>43</v>
      </c>
      <c r="B50" s="709"/>
      <c r="C50" s="858" t="s">
        <v>9</v>
      </c>
      <c r="D50" s="294">
        <f>'WA Volumes &amp; Revenues'!E44</f>
        <v>0</v>
      </c>
      <c r="E50" s="294">
        <f>'WA Volumes &amp; Revenues'!F44</f>
        <v>0</v>
      </c>
      <c r="F50" s="366" t="s">
        <v>72</v>
      </c>
      <c r="G50" s="295"/>
      <c r="H50" s="295"/>
      <c r="I50" s="862"/>
      <c r="J50" s="367"/>
      <c r="K50" s="121">
        <f>+'Rates in summary'!D43</f>
        <v>0.27485999999999999</v>
      </c>
      <c r="L50" s="121">
        <f>+'Rates in summary'!M43</f>
        <v>0.37169999999999997</v>
      </c>
      <c r="M50" s="367"/>
      <c r="N50" s="367"/>
      <c r="O50" s="942"/>
      <c r="P50" s="942"/>
      <c r="Q50" s="368">
        <f>'Rates in summary'!H43-'Rates in summary'!F43</f>
        <v>0.27671000000000001</v>
      </c>
      <c r="R50" s="367"/>
      <c r="S50" s="369"/>
      <c r="T50" s="368">
        <f>'Rates in summary'!L43</f>
        <v>0.37006999999999995</v>
      </c>
      <c r="U50" s="367"/>
      <c r="V50" s="570"/>
      <c r="W50" s="368">
        <f>'Rates in Detail'!J42+'Rates in Detail'!P42</f>
        <v>0.27448</v>
      </c>
      <c r="X50" s="367"/>
      <c r="Y50" s="570"/>
      <c r="Z50" s="368">
        <f>'Rates in Detail'!J42+'Rates in Detail'!S42</f>
        <v>0.27485999999999999</v>
      </c>
      <c r="AA50" s="367"/>
      <c r="AB50" s="570"/>
      <c r="AC50" s="121">
        <f>'Rates in Detail'!J42+'Rates in Detail'!T42</f>
        <v>0.27451999999999999</v>
      </c>
      <c r="AD50" s="367"/>
      <c r="AE50" s="570"/>
      <c r="AF50" s="121">
        <f>'Rates in Detail'!J42+'Rates in Detail'!U42</f>
        <v>0.27498</v>
      </c>
      <c r="AG50" s="367"/>
      <c r="AH50" s="570"/>
      <c r="AI50" s="368">
        <f>'Rates in summary'!M43</f>
        <v>0.37169999999999997</v>
      </c>
      <c r="AJ50" s="367"/>
      <c r="AK50" s="369"/>
      <c r="AL50" s="1200"/>
      <c r="AM50" s="368">
        <f>L50+'Rates in summary'!N43</f>
        <v>0.37253999999999998</v>
      </c>
      <c r="AN50" s="367"/>
      <c r="AO50" s="369"/>
      <c r="AP50" s="368">
        <f>'Rates in summary'!U43</f>
        <v>0.60933999999999999</v>
      </c>
      <c r="AQ50" s="367"/>
      <c r="AR50" s="570"/>
      <c r="AS50" s="368">
        <f>L50+'Rates in Detail'!AD42</f>
        <v>0.37167</v>
      </c>
      <c r="AT50" s="367"/>
      <c r="AU50" s="369"/>
      <c r="AV50" s="368">
        <f>L50+'Rates in Detail'!AE42</f>
        <v>0.37169999999999997</v>
      </c>
      <c r="AW50" s="367"/>
      <c r="AX50" s="369"/>
      <c r="AY50" s="368">
        <f>L50+'Rates in Detail'!AF42</f>
        <v>0.37136999999999998</v>
      </c>
      <c r="AZ50" s="367"/>
      <c r="BA50" s="369"/>
      <c r="BB50" s="368">
        <f t="shared" si="71"/>
        <v>0.37169999999999997</v>
      </c>
      <c r="BC50" s="1200"/>
      <c r="BD50" s="1721"/>
      <c r="BE50" s="368">
        <f>'Rates in summary'!W43</f>
        <v>0.60982000000000003</v>
      </c>
      <c r="BF50" s="367"/>
      <c r="BG50" s="369"/>
      <c r="BH50" s="570"/>
      <c r="BS50" s="1583" t="s">
        <v>340</v>
      </c>
      <c r="BT50" s="1580">
        <f>M25</f>
        <v>3007.35</v>
      </c>
      <c r="BU50" s="367">
        <f>AJ25</f>
        <v>3537.89</v>
      </c>
      <c r="BX50" s="1590">
        <f t="shared" si="91"/>
        <v>530.54</v>
      </c>
      <c r="BY50" s="1591">
        <f t="shared" si="92"/>
        <v>0.17641445126107702</v>
      </c>
      <c r="BZ50" s="1580">
        <f>O25</f>
        <v>3537.89</v>
      </c>
      <c r="CA50" s="367">
        <f>BF25</f>
        <v>4710.12</v>
      </c>
      <c r="CD50" s="1590">
        <f t="shared" si="93"/>
        <v>1172.23</v>
      </c>
      <c r="CE50" s="1591">
        <f t="shared" si="94"/>
        <v>0.33133590925664735</v>
      </c>
      <c r="CF50" s="288" t="s">
        <v>487</v>
      </c>
    </row>
    <row r="51" spans="1:84" x14ac:dyDescent="0.3">
      <c r="A51" s="85">
        <f t="shared" si="17"/>
        <v>44</v>
      </c>
      <c r="B51" s="707"/>
      <c r="C51" s="859" t="s">
        <v>76</v>
      </c>
      <c r="D51" s="370"/>
      <c r="E51" s="370"/>
      <c r="F51" s="371"/>
      <c r="G51" s="372"/>
      <c r="H51" s="372"/>
      <c r="I51" s="863"/>
      <c r="J51" s="374"/>
      <c r="K51" s="373"/>
      <c r="L51" s="373"/>
      <c r="M51" s="374">
        <f>$I45+ROUND(IF($G45&lt;$F45,($G45*K45),IF($G45&lt;SUM($F45:$F46),(($F45*K45)+(($G45-$F45)*K46)),IF($G45&lt;SUM($F45:$F47),(($F45*K45)+($F46*K46)+(($G45-$F45-$F46)*K47)),IF($G45&lt;SUM($F45:$F48),(($F45*K45)+($F46*K46)+($F47*K47)+(($G45-SUM($F45:$F47))*K48)),IF($G45&lt;SUM($F45:$F49),(($F45*K45)+($F46*K46)+($F47*K47)+($F48*K48)+(($G45-SUM($F45:$F48))*K49)),(($F45*K45)+($F46*K46)+($F47*K47)+($F48*K47)+($F49*K49)+(($G45-SUM($F45:$F49))*K50))))))),2)</f>
        <v>6478.18</v>
      </c>
      <c r="N51" s="374">
        <f>$I45+ROUND(IF($H45&lt;$F45,($H45*K45),IF($H45&lt;SUM($F45:$F46),(($F45*K45)+(($H45-$F45)*K46)),IF($H45&lt;SUM($F45:$F47),(($F45*K45)+($F46*K46)+(($H45-$F45-$F46)*K47)),IF($H45&lt;SUM($F45:$F48),(($F45*K45)+($F46*K46)+($F47*K47)+(($H45-SUM($F45:$F47))*K48)),IF($H45&lt;SUM($F45:$F49),(($F45*K45)+($F46*K46)+($F47*K47)+($F48*K48)+(($H45-SUM($F45:$F48))*K49)),(($F45*K45)+($F46*K46)+($F47*K47)+($F48*K47)+($F49*K49)+(($H45-SUM($F45:$F49))*K50))))))),2)</f>
        <v>6760.53</v>
      </c>
      <c r="O51" s="374">
        <f>$I45+ROUND(IF($G45&lt;$F45,($G45*L45),IF($G45&lt;SUM($F45:$F46),(($F45*L45)+(($G45-$F45)*L46)),IF($G45&lt;SUM($F45:$F47),(($F45*L45)+($F46*L46)+(($G45-$F45-$F46)*L47)),IF($G45&lt;SUM($F45:$F48),(($F45*L45)+($F46*L46)+($F47*L47)+(($G45-SUM($F45:$F47))*L48)),IF($G45&lt;SUM($F45:$F49),(($F45*L45)+($F46*L46)+($F47*L47)+($F48*L48)+(($G45-SUM($F45:$F48))*L49)),(($F45*L45)+($F46*L46)+($F47*L47)+($F48*L47)+($F49*L49)+(($G45-SUM($F45:$F49))*L50))))))),2)</f>
        <v>7858.41</v>
      </c>
      <c r="P51" s="374">
        <f>$I45+ROUND(IF($H45&lt;$F45,($H45*L45),IF($H45&lt;SUM($F45:$F46),(($F45*L45)+(($H45-$F45)*L46)),IF($H45&lt;SUM($F45:$F47),(($F45*L45)+($F46*L46)+(($H45-$F45-$F46)*L47)),IF($H45&lt;SUM($F45:$F48),(($F45*L45)+($F46*L46)+($F47*L47)+(($H45-SUM($F45:$F47))*L48)),IF($H45&lt;SUM($F45:$F49),(($F45*L45)+($F46*L46)+($F47*L47)+($F48*L48)+(($H45-SUM($F45:$F48))*L49)),(($F45*L45)+($F46*L46)+($F47*L47)+($F48*L47)+($F49*L49)+(($H45-SUM($F45:$F49))*L50))))))),2)</f>
        <v>8217.6899999999987</v>
      </c>
      <c r="Q51" s="376"/>
      <c r="R51" s="374">
        <f>$J45+ROUND(IF($G45&lt;$F45,($G45*Q45),IF($G45&lt;SUM($F45:$F46),(($F45*Q45)+(($G45-$F45)*Q46)),IF($G45&lt;SUM($F45:$F47),(($F45*Q45)+($F46*Q46)+(($G45-$F45-$F46)*Q47)),IF($G45&lt;SUM($F45:$F48),(($F45*Q45)+($F46*Q46)+($F47*Q47)+(($G45-SUM($F45:$F47))*Q48)),IF($G45&lt;SUM($F45:$F49),(($F45*Q45)+($F46*Q46)+($F47*Q47)+($F48*Q48)+(($G45-SUM($F45:$F48))*Q49)),(($F45*Q45)+($F46*Q46)+($F47*Q47)+($F48*Q47)+($F49*Q49)+(($G45-SUM($F45:$F49))*Q50))))))),2)</f>
        <v>6647.48</v>
      </c>
      <c r="S51" s="377">
        <f>ROUND((R51-M51)/M51,3)</f>
        <v>2.5999999999999999E-2</v>
      </c>
      <c r="T51" s="375"/>
      <c r="U51" s="374">
        <f>$I45+ROUND(IF($H45&lt;$F45,($H45*T45),IF($H45&lt;SUM($F45:$F46),(($F45*T45)+(($H45-$F45)*T46)),IF($H45&lt;SUM($F45:$F47),(($F45*T45)+($F46*T46)+(($H45-$F45-$F46)*T47)),IF($H45&lt;SUM($F45:$F48),(($F45*T45)+($F46*T46)+($F47*T47)+(($H45-SUM($F45:$F47))*T48)),IF($H45&lt;SUM($F45:$F49),(($F45*T45)+($F46*T46)+($F47*T47)+($F48*T48)+(($H45-SUM($F45:$F48))*T49)),(($F45*T45)+($F46*T46)+($F47*T47)+($F48*T47)+($F49*T49)+(($H45-SUM($F45:$F49))*T50))))))),2)</f>
        <v>8060.83</v>
      </c>
      <c r="V51" s="571">
        <f>ROUND((U51-N51)/N51,3)</f>
        <v>0.192</v>
      </c>
      <c r="W51" s="375"/>
      <c r="X51" s="374">
        <f>$J45+ROUND(IF($G45&lt;$F45,($G45*W45),IF($G45&lt;SUM($F45:$F46),(($F45*W45)+(($G45-$F45)*W46)),IF($G45&lt;SUM($F45:$F47),(($F45*W45)+($F46*W46)+(($G45-$F45-$F46)*W47)),IF($G45&lt;SUM($F45:$F48),(($F45*W45)+($F46*W46)+($F47*W47)+(($G45-SUM($F45:$F47))*W48)),IF($G45&lt;SUM($F45:$F49),(($F45*W45)+($F46*W46)+($F47*W47)+($F48*W48)+(($G45-SUM($F45:$F48))*W49)),(($F45*W45)+($F46*W46)+($F47*W47)+($F48*W47)+($F49*W49)+(($G45-SUM($F45:$F49))*W50))))))),2)</f>
        <v>6443.62</v>
      </c>
      <c r="Y51" s="571">
        <f t="shared" ref="Y51" si="97">ROUND(($X51-$M51)/$M51,3)</f>
        <v>-5.0000000000000001E-3</v>
      </c>
      <c r="Z51" s="375"/>
      <c r="AA51" s="374">
        <f>$J45+ROUND(IF($G45&lt;$F45,($G45*Z45),IF($G45&lt;SUM($F45:$F46),(($F45*Z45)+(($G45-$F45)*Z46)),IF($G45&lt;SUM($F45:$F47),(($F45*Z45)+($F46*Z46)+(($G45-$F45-$F46)*Z47)),IF($G45&lt;SUM($F45:$F48),(($F45*Z45)+($F46*Z46)+($F47*Z47)+(($G45-SUM($F45:$F47))*Z48)),IF($G45&lt;SUM($F45:$F49),(($F45*Z45)+($F46*Z46)+($F47*Z47)+($F48*Z48)+(($G45-SUM($F45:$F48))*Z49)),(($F45*Z45)+($F46*Z46)+($F47*Z47)+($F48*Z47)+($F49*Z49)+(($G45-SUM($F45:$F49))*Z50))))))),2)</f>
        <v>6478.18</v>
      </c>
      <c r="AB51" s="571">
        <f>ROUND(($AA51-$M51)/$M51,3)</f>
        <v>0</v>
      </c>
      <c r="AC51" s="374"/>
      <c r="AD51" s="374">
        <f>$J45+ROUND(IF($G45&lt;$F45,($G45*AC45),IF($G45&lt;SUM($F45:$F46),(($F45*AC45)+(($G45-$F45)*AC46)),IF($G45&lt;SUM($F45:$F47),(($F45*AC45)+($F46*AC46)+(($G45-$F45-$F46)*AC47)),IF($G45&lt;SUM($F45:$F48),(($F45*AC45)+($F46*AC46)+($F47*AC47)+(($G45-SUM($F45:$F47))*AC48)),IF($G45&lt;SUM($F45:$F49),(($F45*AC45)+($F46*AC46)+($F47*AC47)+($F48*AC48)+(($G45-SUM($F45:$F48))*AC49)),(($F45*AC45)+($F46*AC46)+($F47*AC47)+($F48*AC47)+($F49*AC49)+(($G45-SUM($F45:$F49))*AC50))))))),2)</f>
        <v>6447.11</v>
      </c>
      <c r="AE51" s="571">
        <f>ROUND(($AD51-$M51)/$M51,3)</f>
        <v>-5.0000000000000001E-3</v>
      </c>
      <c r="AF51" s="374"/>
      <c r="AG51" s="374">
        <f>$J45+ROUND(IF($G45&lt;$F45,($G45*AF45),IF($G45&lt;SUM($F45:$F46),(($F45*AF45)+(($G45-$F45)*AF46)),IF($G45&lt;SUM($F45:$F47),(($F45*AF45)+($F46*AF46)+(($G45-$F45-$F46)*AF47)),IF($G45&lt;SUM($F45:$F48),(($F45*AF45)+($F46*AF46)+($F47*AF47)+(($G45-SUM($F45:$F47))*AF48)),IF($G45&lt;SUM($F45:$F49),(($F45*AF45)+($F46*AF46)+($F47*AF47)+($F48*AF48)+(($G45-SUM($F45:$F48))*AF49)),(($F45*AF45)+($F46*AF46)+($F47*AF47)+($F48*AF47)+($F49*AF49)+(($G45-SUM($F45:$F49))*AF50))))))),2)</f>
        <v>6489.12</v>
      </c>
      <c r="AH51" s="571">
        <f t="shared" ref="AH51" si="98">ROUND(($AG51-$M51)/$M51,3)</f>
        <v>2E-3</v>
      </c>
      <c r="AI51" s="376"/>
      <c r="AJ51" s="374">
        <f>$J45+ROUND(IF($G45&lt;$F45,($G45*AI45),IF($G45&lt;SUM($F45:$F46),(($F45*AI45)+(($G45-$F45)*AI46)),IF($G45&lt;SUM($F45:$F47),(($F45*AI45)+($F46*AI46)+(($G45-$F45-$F46)*AI47)),IF($G45&lt;SUM($F45:$F48),(($F45*AI45)+($F46*AI46)+($F47*AI47)+(($G45-SUM($F45:$F47))*AI48)),IF($G45&lt;SUM($F45:$F49),(($F45*AI45)+($F46*AI46)+($F47*AI47)+($F48*AI48)+(($G45-SUM($F45:$F48))*AI49)),(($F45*AI45)+($F46*AI46)+($F47*AI47)+($F48*AI47)+($F49*AI49)+(($G45-SUM($F45:$F49))*AI50))))))),2)</f>
        <v>7858.41</v>
      </c>
      <c r="AK51" s="377">
        <f>ROUND((AJ51-M51)/M51,3)</f>
        <v>0.21299999999999999</v>
      </c>
      <c r="AL51" s="374">
        <f t="shared" si="55"/>
        <v>1380.2299999999996</v>
      </c>
      <c r="AM51" s="376"/>
      <c r="AN51" s="374">
        <f>$J45+ROUND(IF($G45&lt;$F45,($G45*AM45),IF($G45&lt;SUM($F45:$F46),(($F45*AM45)+(($G45-$F45)*AM46)),IF($G45&lt;SUM($F45:$F47),(($F45*AM45)+($F46*AM46)+(($G45-$F45-$F46)*AM47)),IF($G45&lt;SUM($F45:$F48),(($F45*AM45)+($F46*AM46)+($F47*AM47)+(($G45-SUM($F45:$F47))*AM48)),IF($G45&lt;SUM($F45:$F49),(($F45*AM45)+($F46*AM46)+($F47*AM47)+($F48*AM48)+(($G45-SUM($F45:$F48))*AM49)),(($F45*AM45)+($F46*AM46)+($F47*AM47)+($F48*AM47)+($F49*AM49)+(($G45-SUM($F45:$F49))*AM50))))))),2)</f>
        <v>7935.59</v>
      </c>
      <c r="AO51" s="377">
        <f>ROUND((AN51-O51)/O51,3)</f>
        <v>0.01</v>
      </c>
      <c r="AP51" s="375"/>
      <c r="AQ51" s="374">
        <f>$I45+ROUND(IF($G45&lt;$F45,($G45*AP45),IF($G45&lt;SUM($F45:$F46),(($F45*AP45)+(($G45-$F45)*AP46)),IF($G45&lt;SUM($F45:$F47),(($F45*AP45)+($F46*AP46)+(($G45-$F45-$F46)*AP47)),IF($G45&lt;SUM($F45:$F48),(($F45*AP45)+($F46*AP46)+($F47*AP47)+(($G45-SUM($F45:$F47))*AP48)),IF($G45&lt;SUM($F45:$F49),(($F45*AP45)+($F46*AP46)+($F47*AP47)+($F48*AP48)+(($G45-SUM($F45:$F48))*AP49)),(($F45*AP45)+($F46*AP46)+($F47*AP47)+($F48*AP47)+($F49*AP49)+(($G45-SUM($F45:$F49))*AP50))))))),2)</f>
        <v>10916.44</v>
      </c>
      <c r="AR51" s="571">
        <f t="shared" si="58"/>
        <v>0.38900000000000001</v>
      </c>
      <c r="AS51" s="376"/>
      <c r="AT51" s="374">
        <f>$J45+ROUND(IF($G45&lt;$F45,($G45*AS45),IF($G45&lt;SUM($F45:$F46),(($F45*AS45)+(($G45-$F45)*AS46)),IF($G45&lt;SUM($F45:$F47),(($F45*AS45)+($F46*AS46)+(($G45-$F45-$F46)*AS47)),IF($G45&lt;SUM($F45:$F48),(($F45*AS45)+($F46*AS46)+($F47*AS47)+(($G45-SUM($F45:$F47))*AS48)),IF($G45&lt;SUM($F45:$F49),(($F45*AS45)+($F46*AS46)+($F47*AS47)+($F48*AS48)+(($G45-SUM($F45:$F48))*AS49)),(($F45*AS45)+($F46*AS46)+($F47*AS47)+($F48*AS47)+($F49*AS49)+(($G45-SUM($F45:$F49))*AS50))))))),2)</f>
        <v>7855.38</v>
      </c>
      <c r="AU51" s="377">
        <f>ROUND(($AT51-$O51)/$O51,3)</f>
        <v>0</v>
      </c>
      <c r="AV51" s="376"/>
      <c r="AW51" s="374">
        <f>$J45+ROUND(IF($G45&lt;$F45,($G45*AV45),IF($G45&lt;SUM($F45:$F46),(($F45*AV45)+(($G45-$F45)*AV46)),IF($G45&lt;SUM($F45:$F47),(($F45*AV45)+($F46*AV46)+(($G45-$F45-$F46)*AV47)),IF($G45&lt;SUM($F45:$F48),(($F45*AV45)+($F46*AV46)+($F47*AV47)+(($G45-SUM($F45:$F47))*AV48)),IF($G45&lt;SUM($F45:$F49),(($F45*AV45)+($F46*AV46)+($F47*AV47)+($F48*AV48)+(($G45-SUM($F45:$F48))*AV49)),(($F45*AV45)+($F46*AV46)+($F47*AV47)+($F48*AV47)+($F49*AV49)+(($G45-SUM($F45:$F49))*AV50))))))),2)</f>
        <v>7858.41</v>
      </c>
      <c r="AX51" s="377">
        <f>ROUND(($AW51-$O51)/$O51,3)</f>
        <v>0</v>
      </c>
      <c r="AY51" s="376"/>
      <c r="AZ51" s="374">
        <f>$J45+ROUND(IF($G45&lt;$F45,($G45*AY45),IF($G45&lt;SUM($F45:$F46),(($F45*AY45)+(($G45-$F45)*AY46)),IF($G45&lt;SUM($F45:$F47),(($F45*AY45)+($F46*AY46)+(($G45-$F45-$F46)*AY47)),IF($G45&lt;SUM($F45:$F48),(($F45*AY45)+($F46*AY46)+($F47*AY47)+(($G45-SUM($F45:$F47))*AY48)),IF($G45&lt;SUM($F45:$F49),(($F45*AY45)+($F46*AY46)+($F47*AY47)+($F48*AY48)+(($G45-SUM($F45:$F48))*AY49)),(($F45*AY45)+($F46*AY46)+($F47*AY47)+($F48*AY47)+($F49*AY49)+(($G45-SUM($F45:$F49))*AY50))))))),2)</f>
        <v>7828.37</v>
      </c>
      <c r="BA51" s="377">
        <f>ROUND(($AT51-$O51)/$O51,3)</f>
        <v>0</v>
      </c>
      <c r="BB51" s="376"/>
      <c r="BC51" s="1726">
        <f t="shared" si="72"/>
        <v>7858.41</v>
      </c>
      <c r="BD51" s="1722">
        <f t="shared" si="70"/>
        <v>0</v>
      </c>
      <c r="BE51" s="376"/>
      <c r="BF51" s="374">
        <f>$J45+ROUND(IF($G45&lt;$F45,($G45*BE45),IF($G45&lt;SUM($F45:$F46),(($F45*BE45)+(($G45-$F45)*BE46)),IF($G45&lt;SUM($F45:$F47),(($F45*BE45)+($F46*BE46)+(($G45-$F45-$F46)*BE47)),IF($G45&lt;SUM($F45:$F48),(($F45*BE45)+($F46*BE46)+($F47*BE47)+(($G45-SUM($F45:$F47))*BE48)),IF($G45&lt;SUM($F45:$F49),(($F45*BE45)+($F46*BE46)+($F47*BE47)+($F48*BE48)+(($G45-SUM($F45:$F48))*BE49)),(($F45*BE45)+($F46*BE46)+($F47*BE47)+($F48*BE47)+($F49*BE49)+(($G45-SUM($F45:$F49))*BE50))))))),2)</f>
        <v>10960.55</v>
      </c>
      <c r="BG51" s="377">
        <f>ROUND((BF51-O51)/O51,3)</f>
        <v>0.39500000000000002</v>
      </c>
      <c r="BH51" s="1576">
        <f t="shared" si="63"/>
        <v>3102.1399999999994</v>
      </c>
      <c r="BI51" s="365"/>
      <c r="BJ51" s="365"/>
      <c r="BK51" s="365"/>
      <c r="BL51" s="365"/>
      <c r="BM51" s="365"/>
      <c r="BN51" s="365"/>
      <c r="BO51" s="365"/>
      <c r="BP51" s="365"/>
      <c r="BQ51" s="365"/>
      <c r="BR51" s="365"/>
      <c r="BS51" s="1583" t="s">
        <v>342</v>
      </c>
      <c r="BT51" s="1580">
        <f>M28</f>
        <v>250</v>
      </c>
      <c r="BU51" s="367">
        <f>AJ28</f>
        <v>250</v>
      </c>
      <c r="BX51" s="1590">
        <f t="shared" si="91"/>
        <v>0</v>
      </c>
      <c r="BY51" s="1591">
        <f t="shared" si="92"/>
        <v>0</v>
      </c>
      <c r="BZ51" s="1580">
        <f>O28</f>
        <v>250</v>
      </c>
      <c r="CA51" s="367">
        <f>BF28</f>
        <v>250</v>
      </c>
      <c r="CD51" s="1590">
        <f t="shared" si="93"/>
        <v>0</v>
      </c>
      <c r="CE51" s="1591">
        <f t="shared" si="94"/>
        <v>0</v>
      </c>
      <c r="CF51" s="54" t="s">
        <v>488</v>
      </c>
    </row>
    <row r="52" spans="1:84" x14ac:dyDescent="0.3">
      <c r="A52" s="85">
        <f t="shared" si="17"/>
        <v>45</v>
      </c>
      <c r="B52" s="709" t="str">
        <f>'WA Volumes &amp; Revenues'!B45</f>
        <v>42C Firm Transpt</v>
      </c>
      <c r="C52" s="858" t="s">
        <v>4</v>
      </c>
      <c r="D52" s="294">
        <f>'WA Volumes &amp; Revenues'!E45</f>
        <v>480000</v>
      </c>
      <c r="E52" s="294">
        <f>'WA Volumes &amp; Revenues'!F45</f>
        <v>479847</v>
      </c>
      <c r="F52" s="294">
        <v>10000</v>
      </c>
      <c r="G52" s="295">
        <f>+'WA Volumes &amp; Revenues'!I45</f>
        <v>51470</v>
      </c>
      <c r="H52" s="295">
        <f>'WA Volumes &amp; Revenues'!L45</f>
        <v>48994</v>
      </c>
      <c r="I52" s="862">
        <f>'WA Volumes &amp; Revenues'!O45</f>
        <v>1550</v>
      </c>
      <c r="J52" s="367">
        <f>'WA Volumes &amp; Revenues'!N45</f>
        <v>1550</v>
      </c>
      <c r="K52" s="121">
        <f>+'Rates in summary'!D44</f>
        <v>0.13851999999999998</v>
      </c>
      <c r="L52" s="121">
        <f>+'Rates in summary'!M44</f>
        <v>0.14960999999999997</v>
      </c>
      <c r="M52" s="367"/>
      <c r="N52" s="367"/>
      <c r="O52" s="942"/>
      <c r="P52" s="942"/>
      <c r="Q52" s="368">
        <f>'Rates in summary'!H44-'Rates in summary'!F44</f>
        <v>0.14971999999999996</v>
      </c>
      <c r="R52" s="367"/>
      <c r="S52" s="369"/>
      <c r="T52" s="368">
        <f>'Rates in summary'!L44</f>
        <v>0.13943999999999998</v>
      </c>
      <c r="U52" s="367"/>
      <c r="V52" s="570"/>
      <c r="W52" s="368">
        <f>'Rates in Detail'!J43+'Rates in Detail'!P43</f>
        <v>0.13676999999999997</v>
      </c>
      <c r="X52" s="367"/>
      <c r="Y52" s="570"/>
      <c r="Z52" s="368">
        <f>'Rates in Detail'!J43+'Rates in Detail'!S43</f>
        <v>0.13851999999999998</v>
      </c>
      <c r="AA52" s="367"/>
      <c r="AB52" s="570"/>
      <c r="AC52" s="121">
        <f>'Rates in Detail'!J43+'Rates in Detail'!T43</f>
        <v>0.13692999999999997</v>
      </c>
      <c r="AD52" s="367"/>
      <c r="AE52" s="570"/>
      <c r="AF52" s="121">
        <f>'Rates in Detail'!J43+'Rates in Detail'!U43</f>
        <v>0.13907999999999998</v>
      </c>
      <c r="AG52" s="367"/>
      <c r="AH52" s="570"/>
      <c r="AI52" s="368">
        <f>'Rates in summary'!M44</f>
        <v>0.14960999999999997</v>
      </c>
      <c r="AJ52" s="367"/>
      <c r="AK52" s="369"/>
      <c r="AL52" s="1200"/>
      <c r="AM52" s="368">
        <f>L52+'Rates in summary'!N44</f>
        <v>0.15554999999999997</v>
      </c>
      <c r="AN52" s="367"/>
      <c r="AO52" s="369"/>
      <c r="AP52" s="368">
        <f>'Rates in summary'!U44</f>
        <v>0.14953999999999998</v>
      </c>
      <c r="AQ52" s="367"/>
      <c r="AR52" s="570"/>
      <c r="AS52" s="368">
        <f>L52+'Rates in Detail'!AD43</f>
        <v>0.14944999999999997</v>
      </c>
      <c r="AT52" s="367"/>
      <c r="AU52" s="369"/>
      <c r="AV52" s="368">
        <f>L52+'Rates in Detail'!AE43</f>
        <v>0.14960999999999997</v>
      </c>
      <c r="AW52" s="367"/>
      <c r="AX52" s="369"/>
      <c r="AY52" s="368">
        <f>L52+'Rates in Detail'!AF43</f>
        <v>0.14804999999999996</v>
      </c>
      <c r="AZ52" s="367"/>
      <c r="BA52" s="369"/>
      <c r="BB52" s="368">
        <f t="shared" si="71"/>
        <v>0.14960999999999997</v>
      </c>
      <c r="BC52" s="1200"/>
      <c r="BD52" s="1721"/>
      <c r="BE52" s="368">
        <f>'Rates in summary'!W44</f>
        <v>0.15375999999999998</v>
      </c>
      <c r="BF52" s="367"/>
      <c r="BG52" s="369"/>
      <c r="BH52" s="570"/>
      <c r="BS52" s="1583" t="s">
        <v>343</v>
      </c>
      <c r="BT52" s="1580">
        <f>M31</f>
        <v>250</v>
      </c>
      <c r="BU52" s="367">
        <f>AJ31</f>
        <v>250</v>
      </c>
      <c r="BX52" s="1590">
        <f t="shared" si="91"/>
        <v>0</v>
      </c>
      <c r="BY52" s="1591">
        <f t="shared" si="92"/>
        <v>0</v>
      </c>
      <c r="BZ52" s="1580">
        <f>O31</f>
        <v>250</v>
      </c>
      <c r="CA52" s="367">
        <f>BF31</f>
        <v>250</v>
      </c>
      <c r="CD52" s="1590">
        <f t="shared" si="93"/>
        <v>0</v>
      </c>
      <c r="CE52" s="1591">
        <f t="shared" si="94"/>
        <v>0</v>
      </c>
      <c r="CF52" s="54" t="s">
        <v>488</v>
      </c>
    </row>
    <row r="53" spans="1:84" x14ac:dyDescent="0.3">
      <c r="A53" s="85">
        <f t="shared" si="17"/>
        <v>46</v>
      </c>
      <c r="B53" s="709"/>
      <c r="C53" s="858" t="s">
        <v>5</v>
      </c>
      <c r="D53" s="294">
        <f>'WA Volumes &amp; Revenues'!E46</f>
        <v>807846</v>
      </c>
      <c r="E53" s="294">
        <f>'WA Volumes &amp; Revenues'!F46</f>
        <v>792463</v>
      </c>
      <c r="F53" s="294">
        <v>20000</v>
      </c>
      <c r="G53" s="295"/>
      <c r="H53" s="295"/>
      <c r="I53" s="862"/>
      <c r="J53" s="367"/>
      <c r="K53" s="121">
        <f>+'Rates in summary'!D45</f>
        <v>0.12399999999999999</v>
      </c>
      <c r="L53" s="121">
        <f>+'Rates in summary'!M45</f>
        <v>0.13391999999999998</v>
      </c>
      <c r="M53" s="367"/>
      <c r="N53" s="367"/>
      <c r="O53" s="942"/>
      <c r="P53" s="942"/>
      <c r="Q53" s="368">
        <f>'Rates in summary'!H45-'Rates in summary'!F45</f>
        <v>0.13401999999999997</v>
      </c>
      <c r="R53" s="367"/>
      <c r="S53" s="369"/>
      <c r="T53" s="368">
        <f>'Rates in summary'!L45</f>
        <v>0.12482999999999998</v>
      </c>
      <c r="U53" s="367"/>
      <c r="V53" s="570"/>
      <c r="W53" s="368">
        <f>'Rates in Detail'!J44+'Rates in Detail'!P44</f>
        <v>0.12242999999999998</v>
      </c>
      <c r="X53" s="367"/>
      <c r="Y53" s="570"/>
      <c r="Z53" s="368">
        <f>'Rates in Detail'!J44+'Rates in Detail'!S44</f>
        <v>0.12399999999999999</v>
      </c>
      <c r="AA53" s="367"/>
      <c r="AB53" s="570"/>
      <c r="AC53" s="121">
        <f>'Rates in Detail'!J44+'Rates in Detail'!T44</f>
        <v>0.12256999999999998</v>
      </c>
      <c r="AD53" s="367"/>
      <c r="AE53" s="570"/>
      <c r="AF53" s="121">
        <f>'Rates in Detail'!J44+'Rates in Detail'!U44</f>
        <v>0.12449999999999999</v>
      </c>
      <c r="AG53" s="367"/>
      <c r="AH53" s="570"/>
      <c r="AI53" s="368">
        <f>'Rates in summary'!M45</f>
        <v>0.13391999999999998</v>
      </c>
      <c r="AJ53" s="367"/>
      <c r="AK53" s="369"/>
      <c r="AL53" s="1200"/>
      <c r="AM53" s="368">
        <f>L53+'Rates in summary'!N45</f>
        <v>0.13922999999999999</v>
      </c>
      <c r="AN53" s="367"/>
      <c r="AO53" s="369"/>
      <c r="AP53" s="368">
        <f>'Rates in summary'!U45</f>
        <v>0.13385999999999998</v>
      </c>
      <c r="AQ53" s="367"/>
      <c r="AR53" s="570"/>
      <c r="AS53" s="368">
        <f>L53+'Rates in Detail'!AD44</f>
        <v>0.13377999999999998</v>
      </c>
      <c r="AT53" s="367"/>
      <c r="AU53" s="369"/>
      <c r="AV53" s="368">
        <f>L53+'Rates in Detail'!AE44</f>
        <v>0.13391999999999998</v>
      </c>
      <c r="AW53" s="367"/>
      <c r="AX53" s="369"/>
      <c r="AY53" s="368">
        <f>L53+'Rates in Detail'!AF44</f>
        <v>0.13252999999999998</v>
      </c>
      <c r="AZ53" s="367"/>
      <c r="BA53" s="369"/>
      <c r="BB53" s="368">
        <f t="shared" si="71"/>
        <v>0.13391999999999998</v>
      </c>
      <c r="BC53" s="1200"/>
      <c r="BD53" s="1721"/>
      <c r="BE53" s="368">
        <f>'Rates in summary'!W45</f>
        <v>0.13763999999999998</v>
      </c>
      <c r="BF53" s="367"/>
      <c r="BG53" s="369"/>
      <c r="BH53" s="570"/>
      <c r="BS53" s="1583" t="s">
        <v>344</v>
      </c>
      <c r="BT53" s="1580">
        <f>M34</f>
        <v>2014.21</v>
      </c>
      <c r="BU53" s="367">
        <f>AJ34</f>
        <v>2107.58</v>
      </c>
      <c r="BX53" s="1590">
        <f t="shared" si="91"/>
        <v>93.369999999999891</v>
      </c>
      <c r="BY53" s="1591">
        <f t="shared" si="92"/>
        <v>4.635564315538096E-2</v>
      </c>
      <c r="BZ53" s="1580">
        <f>O34</f>
        <v>2107.58</v>
      </c>
      <c r="CA53" s="367">
        <f>BF34</f>
        <v>2150.12</v>
      </c>
      <c r="CD53" s="1590">
        <f t="shared" si="93"/>
        <v>42.539999999999964</v>
      </c>
      <c r="CE53" s="1591">
        <f t="shared" si="94"/>
        <v>2.0184287191945247E-2</v>
      </c>
      <c r="CF53" s="54" t="s">
        <v>132</v>
      </c>
    </row>
    <row r="54" spans="1:84" x14ac:dyDescent="0.3">
      <c r="A54" s="85">
        <f t="shared" si="17"/>
        <v>47</v>
      </c>
      <c r="B54" s="709"/>
      <c r="C54" s="858" t="s">
        <v>6</v>
      </c>
      <c r="D54" s="294">
        <f>'WA Volumes &amp; Revenues'!E47</f>
        <v>583779</v>
      </c>
      <c r="E54" s="294">
        <f>'WA Volumes &amp; Revenues'!F47</f>
        <v>542281</v>
      </c>
      <c r="F54" s="294">
        <v>20000</v>
      </c>
      <c r="G54" s="295"/>
      <c r="H54" s="295"/>
      <c r="I54" s="862"/>
      <c r="J54" s="367"/>
      <c r="K54" s="121">
        <f>+'Rates in summary'!D46</f>
        <v>9.5079999999999998E-2</v>
      </c>
      <c r="L54" s="121">
        <f>+'Rates in summary'!M46</f>
        <v>0.1027</v>
      </c>
      <c r="M54" s="367"/>
      <c r="N54" s="367"/>
      <c r="O54" s="942"/>
      <c r="P54" s="942"/>
      <c r="Q54" s="368">
        <f>'Rates in summary'!H46-'Rates in summary'!F46</f>
        <v>0.10277</v>
      </c>
      <c r="R54" s="367"/>
      <c r="S54" s="369"/>
      <c r="T54" s="368">
        <f>'Rates in summary'!L46</f>
        <v>9.5710000000000003E-2</v>
      </c>
      <c r="U54" s="367"/>
      <c r="V54" s="570"/>
      <c r="W54" s="368">
        <f>'Rates in Detail'!J45+'Rates in Detail'!P45</f>
        <v>9.3879999999999991E-2</v>
      </c>
      <c r="X54" s="367"/>
      <c r="Y54" s="570"/>
      <c r="Z54" s="368">
        <f>'Rates in Detail'!J45+'Rates in Detail'!S45</f>
        <v>9.5079999999999998E-2</v>
      </c>
      <c r="AA54" s="367"/>
      <c r="AB54" s="570"/>
      <c r="AC54" s="121">
        <f>'Rates in Detail'!J45+'Rates in Detail'!T45</f>
        <v>9.3990000000000004E-2</v>
      </c>
      <c r="AD54" s="367"/>
      <c r="AE54" s="570"/>
      <c r="AF54" s="121">
        <f>'Rates in Detail'!J45+'Rates in Detail'!U45</f>
        <v>9.5469999999999999E-2</v>
      </c>
      <c r="AG54" s="367"/>
      <c r="AH54" s="570"/>
      <c r="AI54" s="368">
        <f>'Rates in summary'!M46</f>
        <v>0.1027</v>
      </c>
      <c r="AJ54" s="367"/>
      <c r="AK54" s="369"/>
      <c r="AL54" s="1200"/>
      <c r="AM54" s="368">
        <f>L54+'Rates in summary'!N46</f>
        <v>0.10677</v>
      </c>
      <c r="AN54" s="367"/>
      <c r="AO54" s="369"/>
      <c r="AP54" s="368">
        <f>'Rates in summary'!U46</f>
        <v>0.10264</v>
      </c>
      <c r="AQ54" s="367"/>
      <c r="AR54" s="570"/>
      <c r="AS54" s="368">
        <f>L54+'Rates in Detail'!AD45</f>
        <v>0.10259</v>
      </c>
      <c r="AT54" s="367"/>
      <c r="AU54" s="369"/>
      <c r="AV54" s="368">
        <f>L54+'Rates in Detail'!AE45</f>
        <v>0.1027</v>
      </c>
      <c r="AW54" s="367"/>
      <c r="AX54" s="369"/>
      <c r="AY54" s="368">
        <f>L54+'Rates in Detail'!AF45</f>
        <v>0.10163</v>
      </c>
      <c r="AZ54" s="367"/>
      <c r="BA54" s="369"/>
      <c r="BB54" s="368">
        <f t="shared" si="71"/>
        <v>0.1027</v>
      </c>
      <c r="BC54" s="1200"/>
      <c r="BD54" s="1721"/>
      <c r="BE54" s="368">
        <f>'Rates in summary'!W46</f>
        <v>0.10553</v>
      </c>
      <c r="BF54" s="367"/>
      <c r="BG54" s="369"/>
      <c r="BH54" s="570"/>
      <c r="BS54" s="1583" t="s">
        <v>345</v>
      </c>
      <c r="BT54" s="1580">
        <f>M37</f>
        <v>500</v>
      </c>
      <c r="BU54" s="367">
        <f>AJ37</f>
        <v>500</v>
      </c>
      <c r="BX54" s="1590">
        <f t="shared" si="91"/>
        <v>0</v>
      </c>
      <c r="BY54" s="1591">
        <f t="shared" si="92"/>
        <v>0</v>
      </c>
      <c r="BZ54" s="1580">
        <f>O37</f>
        <v>500</v>
      </c>
      <c r="CA54" s="367">
        <f>BF37</f>
        <v>500</v>
      </c>
      <c r="CD54" s="1590">
        <f t="shared" si="93"/>
        <v>0</v>
      </c>
      <c r="CE54" s="1591">
        <f t="shared" si="94"/>
        <v>0</v>
      </c>
      <c r="CF54" s="54" t="s">
        <v>132</v>
      </c>
    </row>
    <row r="55" spans="1:84" x14ac:dyDescent="0.3">
      <c r="A55" s="85">
        <f t="shared" si="17"/>
        <v>48</v>
      </c>
      <c r="B55" s="709"/>
      <c r="C55" s="858" t="s">
        <v>7</v>
      </c>
      <c r="D55" s="294">
        <f>'WA Volumes &amp; Revenues'!E48</f>
        <v>598933</v>
      </c>
      <c r="E55" s="294">
        <f>'WA Volumes &amp; Revenues'!F48</f>
        <v>537117</v>
      </c>
      <c r="F55" s="294">
        <v>100000</v>
      </c>
      <c r="G55" s="295"/>
      <c r="H55" s="295"/>
      <c r="I55" s="862"/>
      <c r="J55" s="367"/>
      <c r="K55" s="121">
        <f>+'Rates in summary'!D47</f>
        <v>7.6070000000000013E-2</v>
      </c>
      <c r="L55" s="121">
        <f>+'Rates in summary'!M47</f>
        <v>8.2170000000000021E-2</v>
      </c>
      <c r="M55" s="367"/>
      <c r="N55" s="367"/>
      <c r="O55" s="942"/>
      <c r="P55" s="942"/>
      <c r="Q55" s="368">
        <f>'Rates in summary'!H47-'Rates in summary'!F47</f>
        <v>8.2220000000000015E-2</v>
      </c>
      <c r="R55" s="367"/>
      <c r="S55" s="369"/>
      <c r="T55" s="368">
        <f>'Rates in summary'!L47</f>
        <v>7.6590000000000019E-2</v>
      </c>
      <c r="U55" s="367"/>
      <c r="V55" s="570"/>
      <c r="W55" s="368">
        <f>'Rates in Detail'!J46+'Rates in Detail'!P46</f>
        <v>7.511000000000001E-2</v>
      </c>
      <c r="X55" s="367"/>
      <c r="Y55" s="570"/>
      <c r="Z55" s="368">
        <f>'Rates in Detail'!J46+'Rates in Detail'!S46</f>
        <v>7.6070000000000013E-2</v>
      </c>
      <c r="AA55" s="367"/>
      <c r="AB55" s="570"/>
      <c r="AC55" s="121">
        <f>'Rates in Detail'!J46+'Rates in Detail'!T46</f>
        <v>7.5190000000000007E-2</v>
      </c>
      <c r="AD55" s="367"/>
      <c r="AE55" s="570"/>
      <c r="AF55" s="121">
        <f>'Rates in Detail'!J46+'Rates in Detail'!U46</f>
        <v>7.6380000000000017E-2</v>
      </c>
      <c r="AG55" s="367"/>
      <c r="AH55" s="570"/>
      <c r="AI55" s="368">
        <f>'Rates in summary'!M47</f>
        <v>8.2170000000000021E-2</v>
      </c>
      <c r="AJ55" s="367"/>
      <c r="AK55" s="369"/>
      <c r="AL55" s="1200"/>
      <c r="AM55" s="368">
        <f>L55+'Rates in summary'!N47</f>
        <v>8.543000000000002E-2</v>
      </c>
      <c r="AN55" s="367"/>
      <c r="AO55" s="369"/>
      <c r="AP55" s="368">
        <f>'Rates in summary'!U47</f>
        <v>8.2130000000000022E-2</v>
      </c>
      <c r="AQ55" s="367"/>
      <c r="AR55" s="570"/>
      <c r="AS55" s="368">
        <f>L55+'Rates in Detail'!AD46</f>
        <v>8.2080000000000014E-2</v>
      </c>
      <c r="AT55" s="367"/>
      <c r="AU55" s="369"/>
      <c r="AV55" s="368">
        <f>L55+'Rates in Detail'!AE46</f>
        <v>8.2170000000000021E-2</v>
      </c>
      <c r="AW55" s="367"/>
      <c r="AX55" s="369"/>
      <c r="AY55" s="368">
        <f>L55+'Rates in Detail'!AF46</f>
        <v>8.1320000000000017E-2</v>
      </c>
      <c r="AZ55" s="367"/>
      <c r="BA55" s="369"/>
      <c r="BB55" s="368">
        <f t="shared" si="71"/>
        <v>8.2170000000000021E-2</v>
      </c>
      <c r="BC55" s="1200"/>
      <c r="BD55" s="1721"/>
      <c r="BE55" s="368">
        <f>'Rates in summary'!W47</f>
        <v>8.4450000000000025E-2</v>
      </c>
      <c r="BF55" s="367"/>
      <c r="BG55" s="369"/>
      <c r="BH55" s="570"/>
      <c r="BS55" s="1583" t="s">
        <v>346</v>
      </c>
      <c r="BT55" s="1580">
        <f>M44</f>
        <v>6464.95</v>
      </c>
      <c r="BU55" s="367">
        <f>AJ44</f>
        <v>7982.26</v>
      </c>
      <c r="BX55" s="1590">
        <f t="shared" si="91"/>
        <v>1517.3100000000004</v>
      </c>
      <c r="BY55" s="1591">
        <f t="shared" si="92"/>
        <v>0.23469787082653393</v>
      </c>
      <c r="BZ55" s="1580">
        <f>O44</f>
        <v>7982.26</v>
      </c>
      <c r="CA55" s="367">
        <f>BF44</f>
        <v>10903.68</v>
      </c>
      <c r="CD55" s="1590">
        <f t="shared" si="93"/>
        <v>2921.42</v>
      </c>
      <c r="CE55" s="1591">
        <f t="shared" si="94"/>
        <v>0.36598908078664438</v>
      </c>
      <c r="CF55" s="54" t="s">
        <v>26</v>
      </c>
    </row>
    <row r="56" spans="1:84" x14ac:dyDescent="0.3">
      <c r="A56" s="85">
        <f t="shared" si="17"/>
        <v>49</v>
      </c>
      <c r="B56" s="709"/>
      <c r="C56" s="858" t="s">
        <v>8</v>
      </c>
      <c r="D56" s="294">
        <f>'WA Volumes &amp; Revenues'!E49</f>
        <v>0</v>
      </c>
      <c r="E56" s="294">
        <f>'WA Volumes &amp; Revenues'!F49</f>
        <v>0</v>
      </c>
      <c r="F56" s="294">
        <v>600000</v>
      </c>
      <c r="G56" s="295"/>
      <c r="H56" s="295"/>
      <c r="I56" s="862"/>
      <c r="J56" s="367"/>
      <c r="K56" s="121">
        <f>+'Rates in summary'!D48</f>
        <v>5.0710000000000005E-2</v>
      </c>
      <c r="L56" s="121">
        <f>+'Rates in summary'!M48</f>
        <v>5.4790000000000005E-2</v>
      </c>
      <c r="M56" s="367"/>
      <c r="N56" s="367"/>
      <c r="O56" s="942"/>
      <c r="P56" s="942"/>
      <c r="Q56" s="368">
        <f>'Rates in summary'!H48-'Rates in summary'!F48</f>
        <v>5.4810000000000005E-2</v>
      </c>
      <c r="R56" s="367"/>
      <c r="S56" s="369"/>
      <c r="T56" s="368">
        <f>'Rates in summary'!L48</f>
        <v>5.1060000000000008E-2</v>
      </c>
      <c r="U56" s="367"/>
      <c r="V56" s="570"/>
      <c r="W56" s="368">
        <f>'Rates in Detail'!J47+'Rates in Detail'!P47</f>
        <v>5.0070000000000003E-2</v>
      </c>
      <c r="X56" s="367"/>
      <c r="Y56" s="570"/>
      <c r="Z56" s="368">
        <f>'Rates in Detail'!J47+'Rates in Detail'!S47</f>
        <v>5.0710000000000005E-2</v>
      </c>
      <c r="AA56" s="367"/>
      <c r="AB56" s="570"/>
      <c r="AC56" s="121">
        <f>'Rates in Detail'!J47+'Rates in Detail'!T47</f>
        <v>5.0130000000000008E-2</v>
      </c>
      <c r="AD56" s="367"/>
      <c r="AE56" s="570"/>
      <c r="AF56" s="121">
        <f>'Rates in Detail'!J47+'Rates in Detail'!U47</f>
        <v>5.0920000000000007E-2</v>
      </c>
      <c r="AG56" s="367"/>
      <c r="AH56" s="570"/>
      <c r="AI56" s="368">
        <f>'Rates in summary'!M48</f>
        <v>5.4790000000000005E-2</v>
      </c>
      <c r="AJ56" s="367"/>
      <c r="AK56" s="369"/>
      <c r="AL56" s="1200"/>
      <c r="AM56" s="368">
        <f>L56+'Rates in summary'!N48</f>
        <v>5.6960000000000004E-2</v>
      </c>
      <c r="AN56" s="367"/>
      <c r="AO56" s="369"/>
      <c r="AP56" s="368">
        <f>'Rates in summary'!U48</f>
        <v>5.4750000000000007E-2</v>
      </c>
      <c r="AQ56" s="367"/>
      <c r="AR56" s="570"/>
      <c r="AS56" s="368">
        <f>L56+'Rates in Detail'!AD47</f>
        <v>5.4730000000000008E-2</v>
      </c>
      <c r="AT56" s="367"/>
      <c r="AU56" s="369"/>
      <c r="AV56" s="368">
        <f>L56+'Rates in Detail'!AE47</f>
        <v>5.4790000000000005E-2</v>
      </c>
      <c r="AW56" s="367"/>
      <c r="AX56" s="369"/>
      <c r="AY56" s="368">
        <f>L56+'Rates in Detail'!AF47</f>
        <v>5.4220000000000004E-2</v>
      </c>
      <c r="AZ56" s="367"/>
      <c r="BA56" s="369"/>
      <c r="BB56" s="368">
        <f t="shared" si="71"/>
        <v>5.4790000000000005E-2</v>
      </c>
      <c r="BC56" s="1200"/>
      <c r="BD56" s="1721"/>
      <c r="BE56" s="368">
        <f>'Rates in summary'!W48</f>
        <v>5.6290000000000007E-2</v>
      </c>
      <c r="BF56" s="367"/>
      <c r="BG56" s="369"/>
      <c r="BH56" s="570"/>
      <c r="BS56" s="1583" t="s">
        <v>347</v>
      </c>
      <c r="BT56" s="1580">
        <f>M51</f>
        <v>6478.18</v>
      </c>
      <c r="BU56" s="367">
        <f>AJ51</f>
        <v>7858.41</v>
      </c>
      <c r="BX56" s="1590">
        <f t="shared" si="91"/>
        <v>1380.2299999999996</v>
      </c>
      <c r="BY56" s="1591">
        <f t="shared" si="92"/>
        <v>0.21305829723780437</v>
      </c>
      <c r="BZ56" s="1580">
        <f>O51</f>
        <v>7858.41</v>
      </c>
      <c r="CA56" s="367">
        <f>BF51</f>
        <v>10960.55</v>
      </c>
      <c r="CD56" s="1590">
        <f t="shared" si="93"/>
        <v>3102.1399999999994</v>
      </c>
      <c r="CE56" s="1591">
        <f t="shared" si="94"/>
        <v>0.39475415510262246</v>
      </c>
      <c r="CF56" s="54" t="s">
        <v>487</v>
      </c>
    </row>
    <row r="57" spans="1:84" x14ac:dyDescent="0.3">
      <c r="A57" s="85">
        <f t="shared" si="17"/>
        <v>50</v>
      </c>
      <c r="B57" s="709"/>
      <c r="C57" s="858" t="s">
        <v>9</v>
      </c>
      <c r="D57" s="294">
        <f>'WA Volumes &amp; Revenues'!E50</f>
        <v>0</v>
      </c>
      <c r="E57" s="294">
        <f>'WA Volumes &amp; Revenues'!F50</f>
        <v>0</v>
      </c>
      <c r="F57" s="366" t="s">
        <v>72</v>
      </c>
      <c r="G57" s="295"/>
      <c r="H57" s="295"/>
      <c r="I57" s="862"/>
      <c r="J57" s="367"/>
      <c r="K57" s="121">
        <f>+'Rates in summary'!D49</f>
        <v>1.9009999999999999E-2</v>
      </c>
      <c r="L57" s="121">
        <f>+'Rates in summary'!M49</f>
        <v>2.0539999999999999E-2</v>
      </c>
      <c r="M57" s="367"/>
      <c r="N57" s="367"/>
      <c r="O57" s="942"/>
      <c r="P57" s="942"/>
      <c r="Q57" s="368">
        <f>'Rates in summary'!H49-'Rates in summary'!F49</f>
        <v>2.0549999999999999E-2</v>
      </c>
      <c r="R57" s="367"/>
      <c r="S57" s="369"/>
      <c r="T57" s="368">
        <f>'Rates in summary'!L49</f>
        <v>1.9140000000000001E-2</v>
      </c>
      <c r="U57" s="367"/>
      <c r="V57" s="570"/>
      <c r="W57" s="368">
        <f>'Rates in Detail'!J48+'Rates in Detail'!P48</f>
        <v>1.8769999999999998E-2</v>
      </c>
      <c r="X57" s="367"/>
      <c r="Y57" s="570"/>
      <c r="Z57" s="368">
        <f>'Rates in Detail'!J48+'Rates in Detail'!S48</f>
        <v>1.9009999999999999E-2</v>
      </c>
      <c r="AA57" s="367"/>
      <c r="AB57" s="570"/>
      <c r="AC57" s="121">
        <f>'Rates in Detail'!J48+'Rates in Detail'!T48</f>
        <v>1.8789999999999998E-2</v>
      </c>
      <c r="AD57" s="367"/>
      <c r="AE57" s="570"/>
      <c r="AF57" s="121">
        <f>'Rates in Detail'!J48+'Rates in Detail'!U48</f>
        <v>1.9089999999999999E-2</v>
      </c>
      <c r="AG57" s="367"/>
      <c r="AH57" s="570"/>
      <c r="AI57" s="368">
        <f>'Rates in summary'!M49</f>
        <v>2.0539999999999999E-2</v>
      </c>
      <c r="AJ57" s="367"/>
      <c r="AK57" s="369"/>
      <c r="AL57" s="1200"/>
      <c r="AM57" s="368">
        <f>L57+'Rates in summary'!N49</f>
        <v>2.1350000000000001E-2</v>
      </c>
      <c r="AN57" s="367"/>
      <c r="AO57" s="369"/>
      <c r="AP57" s="368">
        <f>'Rates in summary'!U49</f>
        <v>2.053E-2</v>
      </c>
      <c r="AQ57" s="367"/>
      <c r="AR57" s="570"/>
      <c r="AS57" s="368">
        <f>L57+'Rates in Detail'!AD48</f>
        <v>2.052E-2</v>
      </c>
      <c r="AT57" s="367"/>
      <c r="AU57" s="369"/>
      <c r="AV57" s="368">
        <f>L57+'Rates in Detail'!AE48</f>
        <v>2.0539999999999999E-2</v>
      </c>
      <c r="AW57" s="367"/>
      <c r="AX57" s="369"/>
      <c r="AY57" s="368">
        <f>L57+'Rates in Detail'!AF48</f>
        <v>2.0330000000000001E-2</v>
      </c>
      <c r="AZ57" s="367"/>
      <c r="BA57" s="369"/>
      <c r="BB57" s="368">
        <f t="shared" si="71"/>
        <v>2.0539999999999999E-2</v>
      </c>
      <c r="BC57" s="1200"/>
      <c r="BD57" s="1721"/>
      <c r="BE57" s="368">
        <f>'Rates in summary'!W49</f>
        <v>2.111E-2</v>
      </c>
      <c r="BF57" s="367"/>
      <c r="BG57" s="369"/>
      <c r="BH57" s="570"/>
      <c r="BS57" s="1583" t="s">
        <v>348</v>
      </c>
      <c r="BT57" s="1580">
        <f>M58</f>
        <v>7428.62</v>
      </c>
      <c r="BU57" s="367">
        <f>AJ58</f>
        <v>7899.29</v>
      </c>
      <c r="BX57" s="1590">
        <f t="shared" si="91"/>
        <v>470.67000000000007</v>
      </c>
      <c r="BY57" s="1591">
        <f t="shared" si="92"/>
        <v>6.335900880648089E-2</v>
      </c>
      <c r="BZ57" s="1580">
        <f>O58</f>
        <v>7899.29</v>
      </c>
      <c r="CA57" s="367">
        <f>BF58</f>
        <v>8075.14</v>
      </c>
      <c r="CD57" s="1590">
        <f t="shared" si="93"/>
        <v>175.85000000000036</v>
      </c>
      <c r="CE57" s="1591">
        <f t="shared" si="94"/>
        <v>2.2261494387470313E-2</v>
      </c>
      <c r="CF57" s="288" t="s">
        <v>132</v>
      </c>
    </row>
    <row r="58" spans="1:84" x14ac:dyDescent="0.3">
      <c r="A58" s="85">
        <f t="shared" si="17"/>
        <v>51</v>
      </c>
      <c r="B58" s="707"/>
      <c r="C58" s="859" t="s">
        <v>76</v>
      </c>
      <c r="D58" s="370"/>
      <c r="E58" s="370"/>
      <c r="F58" s="371"/>
      <c r="G58" s="372"/>
      <c r="H58" s="372"/>
      <c r="I58" s="863"/>
      <c r="J58" s="374"/>
      <c r="K58" s="373"/>
      <c r="L58" s="373"/>
      <c r="M58" s="374">
        <f>$I52+ROUND(IF($G52&lt;$F52,($G52*K52),IF($G52&lt;SUM($F52:$F53),(($F52*K52)+(($G52-$F52)*K53)),IF($G52&lt;SUM($F52:$F54),(($F52*K52)+($F53*K53)+(($G52-$F52-$F53)*K54)),IF($G52&lt;SUM($F52:$F55),(($F52*K52)+($F53*K53)+($F54*K54)+(($G52-SUM($F52:$F54))*K55)),IF($G52&lt;SUM($F52:$F56),(($F52*K52)+($F53*K53)+($F54*K54)+($F55*K55)+(($G52-SUM($F52:$F55))*K56)),(($F52*K52)+($F53*K53)+($F54*K54)+($F55*K54)+($F56*K56)+(($G52-SUM($F52:$F56))*K57))))))),2)</f>
        <v>7428.62</v>
      </c>
      <c r="N58" s="374">
        <f>$I52+ROUND(IF($H52&lt;$F52,($H52*K52),IF($H52&lt;SUM($F52:$F53),(($F52*K52)+(($H52-$F52)*K53)),IF($H52&lt;SUM($F52:$F54),(($F52*K52)+($F53*K53)+(($H52-$F52-$F53)*K54)),IF($H52&lt;SUM($F52:$F55),(($F52*K52)+($F53*K53)+($F54*K54)+(($H52-SUM($F52:$F54))*K55)),IF($H52&lt;SUM($F52:$F56),(($F52*K52)+($F53*K53)+($F54*K54)+($F55*K55)+(($H52-SUM($F52:$F55))*K56)),(($F52*K52)+($F53*K53)+($F54*K54)+($F55*K54)+($F56*K56)+(($H52-SUM($F52:$F56))*K57))))))),2)</f>
        <v>7221.15</v>
      </c>
      <c r="O58" s="374">
        <f>$I52+ROUND(IF($G52&lt;$F52,($G52*L52),IF($G52&lt;SUM($F52:$F53),(($F52*L52)+(($G52-$F52)*L53)),IF($G52&lt;SUM($F52:$F54),(($F52*L52)+($F53*L53)+(($G52-$F52-$F53)*L54)),IF($G52&lt;SUM($F52:$F55),(($F52*L52)+($F53*L53)+($F54*L54)+(($G52-SUM($F52:$F54))*L55)),IF($G52&lt;SUM($F52:$F56),(($F52*L52)+($F53*L53)+($F54*L54)+($F55*L55)+(($G52-SUM($F52:$F55))*L56)),(($F52*L52)+($F53*L53)+($F54*L54)+($F55*L54)+($F56*L56)+(($G52-SUM($F52:$F56))*L57))))))),2)</f>
        <v>7899.29</v>
      </c>
      <c r="P58" s="374">
        <f>$I52+ROUND(IF($H52&lt;$F52,($H52*L52),IF($H52&lt;SUM($F52:$F53),(($F52*L52)+(($H52-$F52)*L53)),IF($H52&lt;SUM($F52:$F54),(($F52*L52)+($F53*L53)+(($H52-$F52-$F53)*L54)),IF($H52&lt;SUM($F52:$F55),(($F52*L52)+($F53*L53)+($F54*L54)+(($H52-SUM($F52:$F54))*L55)),IF($H52&lt;SUM($F52:$F56),(($F52*L52)+($F53*L53)+($F54*L54)+($F55*L55)+(($H52-SUM($F52:$F55))*L56)),(($F52*L52)+($F53*L53)+($F54*L54)+($F55*L54)+($F56*L56)+(($H52-SUM($F52:$F56))*L57))))))),2)</f>
        <v>7675.18</v>
      </c>
      <c r="Q58" s="376"/>
      <c r="R58" s="374">
        <f>$J52+ROUND(IF($G52&lt;$F52,($G52*Q52),IF($G52&lt;SUM($F52:$F53),(($F52*Q52)+(($G52-$F52)*Q53)),IF($G52&lt;SUM($F52:$F54),(($F52*Q52)+($F53*Q53)+(($G52-$F52-$F53)*Q54)),IF($G52&lt;SUM($F52:$F55),(($F52*Q52)+($F53*Q53)+($F54*Q54)+(($G52-SUM($F52:$F54))*Q55)),IF($G52&lt;SUM($F52:$F56),(($F52*Q52)+($F53*Q53)+($F54*Q54)+($F55*Q55)+(($G52-SUM($F52:$F55))*Q56)),(($F52*Q52)+($F53*Q53)+($F54*Q54)+($F55*Q54)+($F56*Q56)+(($G52-SUM($F52:$F56))*Q57))))))),2)</f>
        <v>7903.86</v>
      </c>
      <c r="S58" s="377">
        <f>ROUND((R58-M58)/M58,3)</f>
        <v>6.4000000000000001E-2</v>
      </c>
      <c r="T58" s="375"/>
      <c r="U58" s="374">
        <f>$I52+ROUND(IF($H52&lt;$F52,($H52*T52),IF($H52&lt;SUM($F52:$F53),(($F52*T52)+(($H52-$F52)*T53)),IF($H52&lt;SUM($F52:$F54),(($F52*T52)+($F53*T53)+(($H52-$F52-$F53)*T54)),IF($H52&lt;SUM($F52:$F55),(($F52*T52)+($F53*T53)+($F54*T54)+(($H52-SUM($F52:$F54))*T55)),IF($H52&lt;SUM($F52:$F56),(($F52*T52)+($F53*T53)+($F54*T54)+($F55*T55)+(($H52-SUM($F52:$F55))*T56)),(($F52*T52)+($F53*T53)+($F54*T54)+($F55*T54)+($F56*T56)+(($H52-SUM($F52:$F56))*T57))))))),2)</f>
        <v>7258.92</v>
      </c>
      <c r="V58" s="571">
        <f>ROUND((U58-N58)/N58,3)</f>
        <v>5.0000000000000001E-3</v>
      </c>
      <c r="W58" s="375"/>
      <c r="X58" s="374">
        <f>$J52+ROUND(IF($G52&lt;$F52,($G52*W52),IF($G52&lt;SUM($F52:$F53),(($F52*W52)+(($G52-$F52)*W53)),IF($G52&lt;SUM($F52:$F54),(($F52*W52)+($F53*W53)+(($G52-$F52-$F53)*W54)),IF($G52&lt;SUM($F52:$F55),(($F52*W52)+($F53*W53)+($F54*W54)+(($G52-SUM($F52:$F54))*W55)),IF($G52&lt;SUM($F52:$F56),(($F52*W52)+($F53*W53)+($F54*W54)+($F55*W55)+(($G52-SUM($F52:$F55))*W56)),(($F52*W52)+($F53*W53)+($F54*W54)+($F55*W54)+($F56*W56)+(($G52-SUM($F52:$F56))*W57))))))),2)</f>
        <v>7354.31</v>
      </c>
      <c r="Y58" s="571">
        <f t="shared" ref="Y58" si="99">ROUND(($X58-$M58)/$M58,3)</f>
        <v>-0.01</v>
      </c>
      <c r="Z58" s="375"/>
      <c r="AA58" s="374">
        <f>$J52+ROUND(IF($G52&lt;$F52,($G52*Z52),IF($G52&lt;SUM($F52:$F53),(($F52*Z52)+(($G52-$F52)*Z53)),IF($G52&lt;SUM($F52:$F54),(($F52*Z52)+($F53*Z53)+(($G52-$F52-$F53)*Z54)),IF($G52&lt;SUM($F52:$F55),(($F52*Z52)+($F53*Z53)+($F54*Z54)+(($G52-SUM($F52:$F54))*Z55)),IF($G52&lt;SUM($F52:$F56),(($F52*Z52)+($F53*Z53)+($F54*Z54)+($F55*Z55)+(($G52-SUM($F52:$F55))*Z56)),(($F52*Z52)+($F53*Z53)+($F54*Z54)+($F55*Z54)+($F56*Z56)+(($G52-SUM($F52:$F56))*Z57))))))),2)</f>
        <v>7428.62</v>
      </c>
      <c r="AB58" s="571">
        <f>ROUND(($AA58-$M58)/$M58,3)</f>
        <v>0</v>
      </c>
      <c r="AC58" s="374"/>
      <c r="AD58" s="374">
        <f>$J52+ROUND(IF($G52&lt;$F52,($G52*AC52),IF($G52&lt;SUM($F52:$F53),(($F52*AC52)+(($G52-$F52)*AC53)),IF($G52&lt;SUM($F52:$F54),(($F52*AC52)+($F53*AC53)+(($G52-$F52-$F53)*AC54)),IF($G52&lt;SUM($F52:$F55),(($F52*AC52)+($F53*AC53)+($F54*AC54)+(($G52-SUM($F52:$F54))*AC55)),IF($G52&lt;SUM($F52:$F56),(($F52*AC52)+($F53*AC53)+($F54*AC54)+($F55*AC55)+(($G52-SUM($F52:$F55))*AC56)),(($F52*AC52)+($F53*AC53)+($F54*AC54)+($F55*AC54)+($F56*AC56)+(($G52-SUM($F52:$F56))*AC57))))))),2)</f>
        <v>7361.03</v>
      </c>
      <c r="AE58" s="571">
        <f>ROUND(($AD58-$M58)/$M58,3)</f>
        <v>-8.9999999999999993E-3</v>
      </c>
      <c r="AF58" s="374"/>
      <c r="AG58" s="374">
        <f>$J52+ROUND(IF($G52&lt;$F52,($G52*AF52),IF($G52&lt;SUM($F52:$F53),(($F52*AF52)+(($G52-$F52)*AF53)),IF($G52&lt;SUM($F52:$F54),(($F52*AF52)+($F53*AF53)+(($G52-$F52-$F53)*AF54)),IF($G52&lt;SUM($F52:$F55),(($F52*AF52)+($F53*AF53)+($F54*AF54)+(($G52-SUM($F52:$F54))*AF55)),IF($G52&lt;SUM($F52:$F56),(($F52*AF52)+($F53*AF53)+($F54*AF54)+($F55*AF55)+(($G52-SUM($F52:$F55))*AF56)),(($F52*AF52)+($F53*AF53)+($F54*AF54)+($F55*AF54)+($F56*AF56)+(($G52-SUM($F52:$F56))*AF57))))))),2)</f>
        <v>7452.48</v>
      </c>
      <c r="AH58" s="571">
        <f t="shared" ref="AH58" si="100">ROUND(($AG58-$M58)/$M58,3)</f>
        <v>3.0000000000000001E-3</v>
      </c>
      <c r="AI58" s="376"/>
      <c r="AJ58" s="374">
        <f>$J52+ROUND(IF($G52&lt;$F52,($G52*AI52),IF($G52&lt;SUM($F52:$F53),(($F52*AI52)+(($G52-$F52)*AI53)),IF($G52&lt;SUM($F52:$F54),(($F52*AI52)+($F53*AI53)+(($G52-$F52-$F53)*AI54)),IF($G52&lt;SUM($F52:$F55),(($F52*AI52)+($F53*AI53)+($F54*AI54)+(($G52-SUM($F52:$F54))*AI55)),IF($G52&lt;SUM($F52:$F56),(($F52*AI52)+($F53*AI53)+($F54*AI54)+($F55*AI55)+(($G52-SUM($F52:$F55))*AI56)),(($F52*AI52)+($F53*AI53)+($F54*AI54)+($F55*AI54)+($F56*AI56)+(($G52-SUM($F52:$F56))*AI57))))))),2)</f>
        <v>7899.29</v>
      </c>
      <c r="AK58" s="377">
        <f>ROUND((AJ58-M58)/M58,3)</f>
        <v>6.3E-2</v>
      </c>
      <c r="AL58" s="374">
        <f t="shared" si="55"/>
        <v>470.67000000000007</v>
      </c>
      <c r="AM58" s="376"/>
      <c r="AN58" s="374">
        <f>$J52+ROUND(IF($G52&lt;$F52,($G52*AM52),IF($G52&lt;SUM($F52:$F53),(($F52*AM52)+(($G52-$F52)*AM53)),IF($G52&lt;SUM($F52:$F54),(($F52*AM52)+($F53*AM53)+(($G52-$F52-$F53)*AM54)),IF($G52&lt;SUM($F52:$F55),(($F52*AM52)+($F53*AM53)+($F54*AM54)+(($G52-SUM($F52:$F54))*AM55)),IF($G52&lt;SUM($F52:$F56),(($F52*AM52)+($F53*AM53)+($F54*AM54)+($F55*AM55)+(($G52-SUM($F52:$F55))*AM56)),(($F52*AM52)+($F53*AM53)+($F54*AM54)+($F55*AM54)+($F56*AM56)+(($G52-SUM($F52:$F56))*AM57))))))),2)</f>
        <v>8151.08</v>
      </c>
      <c r="AO58" s="377">
        <f>ROUND((AN58-O58)/O58,3)</f>
        <v>3.2000000000000001E-2</v>
      </c>
      <c r="AP58" s="375"/>
      <c r="AQ58" s="374">
        <f>$I52+ROUND(IF($G52&lt;$F52,($G52*AP52),IF($G52&lt;SUM($F52:$F53),(($F52*AP52)+(($G52-$F52)*AP53)),IF($G52&lt;SUM($F52:$F54),(($F52*AP52)+($F53*AP53)+(($G52-$F52-$F53)*AP54)),IF($G52&lt;SUM($F52:$F55),(($F52*AP52)+($F53*AP53)+($F54*AP54)+(($G52-SUM($F52:$F54))*AP55)),IF($G52&lt;SUM($F52:$F56),(($F52*AP52)+($F53*AP53)+($F54*AP54)+($F55*AP55)+(($G52-SUM($F52:$F55))*AP56)),(($F52*AP52)+($F53*AP53)+($F54*AP54)+($F55*AP54)+($F56*AP56)+(($G52-SUM($F52:$F56))*AP57))))))),2)</f>
        <v>7896.13</v>
      </c>
      <c r="AR58" s="571">
        <f t="shared" si="58"/>
        <v>0</v>
      </c>
      <c r="AS58" s="376"/>
      <c r="AT58" s="374">
        <f>$J52+ROUND(IF($G52&lt;$F52,($G52*AS52),IF($G52&lt;SUM($F52:$F53),(($F52*AS52)+(($G52-$F52)*AS53)),IF($G52&lt;SUM($F52:$F54),(($F52*AS52)+($F53*AS53)+(($G52-$F52-$F53)*AS54)),IF($G52&lt;SUM($F52:$F55),(($F52*AS52)+($F53*AS53)+($F54*AS54)+(($G52-SUM($F52:$F54))*AS55)),IF($G52&lt;SUM($F52:$F56),(($F52*AS52)+($F53*AS53)+($F54*AS54)+($F55*AS55)+(($G52-SUM($F52:$F55))*AS56)),(($F52*AS52)+($F53*AS53)+($F54*AS54)+($F55*AS54)+($F56*AS56)+(($G52-SUM($F52:$F56))*AS57))))))),2)</f>
        <v>7892.56</v>
      </c>
      <c r="AU58" s="377">
        <f>ROUND(($AT58-$O58)/$O58,3)</f>
        <v>-1E-3</v>
      </c>
      <c r="AV58" s="376"/>
      <c r="AW58" s="374">
        <f>$J52+ROUND(IF($G52&lt;$F52,($G52*AV52),IF($G52&lt;SUM($F52:$F53),(($F52*AV52)+(($G52-$F52)*AV53)),IF($G52&lt;SUM($F52:$F54),(($F52*AV52)+($F53*AV53)+(($G52-$F52-$F53)*AV54)),IF($G52&lt;SUM($F52:$F55),(($F52*AV52)+($F53*AV53)+($F54*AV54)+(($G52-SUM($F52:$F54))*AV55)),IF($G52&lt;SUM($F52:$F56),(($F52*AV52)+($F53*AV53)+($F54*AV54)+($F55*AV55)+(($G52-SUM($F52:$F55))*AV56)),(($F52*AV52)+($F53*AV53)+($F54*AV54)+($F55*AV54)+($F56*AV56)+(($G52-SUM($F52:$F56))*AV57))))))),2)</f>
        <v>7899.29</v>
      </c>
      <c r="AX58" s="377">
        <f>ROUND(($AW58-$O58)/$O58,3)</f>
        <v>0</v>
      </c>
      <c r="AY58" s="376"/>
      <c r="AZ58" s="374">
        <f>$J52+ROUND(IF($G52&lt;$F52,($G52*AY52),IF($G52&lt;SUM($F52:$F53),(($F52*AY52)+(($G52-$F52)*AY53)),IF($G52&lt;SUM($F52:$F54),(($F52*AY52)+($F53*AY53)+(($G52-$F52-$F53)*AY54)),IF($G52&lt;SUM($F52:$F55),(($F52*AY52)+($F53*AY53)+($F54*AY54)+(($G52-SUM($F52:$F54))*AY55)),IF($G52&lt;SUM($F52:$F56),(($F52*AY52)+($F53*AY53)+($F54*AY54)+($F55*AY55)+(($G52-SUM($F52:$F55))*AY56)),(($F52*AY52)+($F53*AY53)+($F54*AY54)+($F55*AY54)+($F56*AY56)+(($G52-SUM($F52:$F56))*AY57))))))),2)</f>
        <v>7833.24</v>
      </c>
      <c r="BA58" s="377">
        <f>ROUND(($AT58-$O58)/$O58,3)</f>
        <v>-1E-3</v>
      </c>
      <c r="BB58" s="376"/>
      <c r="BC58" s="1726">
        <f t="shared" si="72"/>
        <v>7899.29</v>
      </c>
      <c r="BD58" s="1722">
        <f t="shared" si="70"/>
        <v>0</v>
      </c>
      <c r="BE58" s="376"/>
      <c r="BF58" s="374">
        <f>$J52+ROUND(IF($G52&lt;$F52,($G52*BE52),IF($G52&lt;SUM($F52:$F53),(($F52*BE52)+(($G52-$F52)*BE53)),IF($G52&lt;SUM($F52:$F54),(($F52*BE52)+($F53*BE53)+(($G52-$F52-$F53)*BE54)),IF($G52&lt;SUM($F52:$F55),(($F52*BE52)+($F53*BE53)+($F54*BE54)+(($G52-SUM($F52:$F54))*BE55)),IF($G52&lt;SUM($F52:$F56),(($F52*BE52)+($F53*BE53)+($F54*BE54)+($F55*BE55)+(($G52-SUM($F52:$F55))*BE56)),(($F52*BE52)+($F53*BE53)+($F54*BE54)+($F55*BE54)+($F56*BE56)+(($G52-SUM($F52:$F56))*BE57))))))),2)</f>
        <v>8075.14</v>
      </c>
      <c r="BG58" s="377">
        <f>ROUND((BF58-O58)/O58,3)</f>
        <v>2.1999999999999999E-2</v>
      </c>
      <c r="BH58" s="1576">
        <f t="shared" si="63"/>
        <v>175.85000000000036</v>
      </c>
      <c r="BI58" s="365"/>
      <c r="BJ58" s="365"/>
      <c r="BK58" s="365"/>
      <c r="BL58" s="365"/>
      <c r="BM58" s="365"/>
      <c r="BN58" s="365"/>
      <c r="BO58" s="365"/>
      <c r="BP58" s="365"/>
      <c r="BQ58" s="365"/>
      <c r="BR58" s="365"/>
      <c r="BS58" s="1583" t="s">
        <v>349</v>
      </c>
      <c r="BT58" s="1580">
        <f>M65</f>
        <v>8406.39</v>
      </c>
      <c r="BU58" s="367">
        <f>AJ65</f>
        <v>8831.09</v>
      </c>
      <c r="BX58" s="1590">
        <f t="shared" si="91"/>
        <v>424.70000000000073</v>
      </c>
      <c r="BY58" s="1591">
        <f t="shared" si="92"/>
        <v>5.0521091693342894E-2</v>
      </c>
      <c r="BZ58" s="1580">
        <f>O65</f>
        <v>8831.09</v>
      </c>
      <c r="CA58" s="367">
        <f>BF65</f>
        <v>8937.77</v>
      </c>
      <c r="CD58" s="1590">
        <f t="shared" si="93"/>
        <v>106.68000000000029</v>
      </c>
      <c r="CE58" s="1591">
        <f t="shared" si="94"/>
        <v>1.2080049008672801E-2</v>
      </c>
      <c r="CF58" s="288" t="s">
        <v>132</v>
      </c>
    </row>
    <row r="59" spans="1:84" x14ac:dyDescent="0.3">
      <c r="A59" s="85">
        <f t="shared" si="17"/>
        <v>52</v>
      </c>
      <c r="B59" s="709" t="str">
        <f>'WA Volumes &amp; Revenues'!B51</f>
        <v>42I Firm Transpt</v>
      </c>
      <c r="C59" s="858" t="s">
        <v>4</v>
      </c>
      <c r="D59" s="294">
        <f>'WA Volumes &amp; Revenues'!E51</f>
        <v>924395</v>
      </c>
      <c r="E59" s="294">
        <f>'WA Volumes &amp; Revenues'!F51</f>
        <v>901597</v>
      </c>
      <c r="F59" s="294">
        <v>10000</v>
      </c>
      <c r="G59" s="295">
        <f>+'WA Volumes &amp; Revenues'!I51</f>
        <v>63374</v>
      </c>
      <c r="H59" s="295">
        <f>'WA Volumes &amp; Revenues'!L51</f>
        <v>63120</v>
      </c>
      <c r="I59" s="862">
        <f>'WA Volumes &amp; Revenues'!O51</f>
        <v>1550</v>
      </c>
      <c r="J59" s="367">
        <f>'WA Volumes &amp; Revenues'!N51</f>
        <v>1550</v>
      </c>
      <c r="K59" s="121">
        <f>+'Rates in summary'!D50</f>
        <v>0.14000000000000001</v>
      </c>
      <c r="L59" s="121">
        <f>+'Rates in summary'!M50</f>
        <v>0.14867000000000002</v>
      </c>
      <c r="M59" s="367"/>
      <c r="N59" s="367"/>
      <c r="O59" s="942"/>
      <c r="P59" s="942"/>
      <c r="Q59" s="368">
        <f>'Rates in summary'!H50-'Rates in summary'!F50</f>
        <v>0.14867000000000002</v>
      </c>
      <c r="R59" s="367"/>
      <c r="S59" s="369"/>
      <c r="T59" s="368">
        <f>'Rates in summary'!L50</f>
        <v>0.14103000000000002</v>
      </c>
      <c r="U59" s="367"/>
      <c r="V59" s="570"/>
      <c r="W59" s="368">
        <f>'Rates in Detail'!J49+'Rates in Detail'!P49</f>
        <v>0.13823000000000002</v>
      </c>
      <c r="X59" s="367"/>
      <c r="Y59" s="570"/>
      <c r="Z59" s="368">
        <f>'Rates in Detail'!J49+'Rates in Detail'!S49</f>
        <v>0.14000000000000001</v>
      </c>
      <c r="AA59" s="367"/>
      <c r="AB59" s="570"/>
      <c r="AC59" s="121">
        <f>'Rates in Detail'!J49+'Rates in Detail'!T49</f>
        <v>0.13841000000000001</v>
      </c>
      <c r="AD59" s="367"/>
      <c r="AE59" s="570"/>
      <c r="AF59" s="121">
        <f>'Rates in Detail'!J49+'Rates in Detail'!U49</f>
        <v>0.14056000000000002</v>
      </c>
      <c r="AG59" s="367"/>
      <c r="AH59" s="570"/>
      <c r="AI59" s="368">
        <f>'Rates in summary'!M50</f>
        <v>0.14867000000000002</v>
      </c>
      <c r="AJ59" s="367"/>
      <c r="AK59" s="369"/>
      <c r="AL59" s="1200"/>
      <c r="AM59" s="368">
        <f>L59+'Rates in summary'!N50</f>
        <v>0.15263000000000002</v>
      </c>
      <c r="AN59" s="367"/>
      <c r="AO59" s="369"/>
      <c r="AP59" s="368">
        <f>'Rates in summary'!U50</f>
        <v>0.14860000000000004</v>
      </c>
      <c r="AQ59" s="367"/>
      <c r="AR59" s="570"/>
      <c r="AS59" s="368">
        <f>L59+'Rates in Detail'!AD49</f>
        <v>0.14851000000000003</v>
      </c>
      <c r="AT59" s="367"/>
      <c r="AU59" s="369"/>
      <c r="AV59" s="368">
        <f>L59+'Rates in Detail'!AE49</f>
        <v>0.14867000000000002</v>
      </c>
      <c r="AW59" s="367"/>
      <c r="AX59" s="369"/>
      <c r="AY59" s="368">
        <f>L59+'Rates in Detail'!AF49</f>
        <v>0.14713000000000001</v>
      </c>
      <c r="AZ59" s="367"/>
      <c r="BA59" s="369"/>
      <c r="BB59" s="368">
        <f t="shared" si="71"/>
        <v>0.14867000000000002</v>
      </c>
      <c r="BC59" s="1200"/>
      <c r="BD59" s="1721"/>
      <c r="BE59" s="368">
        <f>'Rates in summary'!W50</f>
        <v>0.15086000000000002</v>
      </c>
      <c r="BF59" s="367"/>
      <c r="BG59" s="369"/>
      <c r="BH59" s="570"/>
      <c r="BS59" s="1583" t="s">
        <v>350</v>
      </c>
      <c r="BT59" s="1580">
        <f>M72</f>
        <v>17153.690000000002</v>
      </c>
      <c r="BU59" s="367">
        <f>AJ72</f>
        <v>22571.599999999999</v>
      </c>
      <c r="BX59" s="1590">
        <f t="shared" si="91"/>
        <v>5417.9099999999962</v>
      </c>
      <c r="BY59" s="1591">
        <f t="shared" si="92"/>
        <v>0.31584516217793346</v>
      </c>
      <c r="BZ59" s="1580">
        <f>O72</f>
        <v>22571.599999999999</v>
      </c>
      <c r="CA59" s="367">
        <f>BF72</f>
        <v>30599.77</v>
      </c>
      <c r="CD59" s="1590">
        <f t="shared" si="93"/>
        <v>8028.1700000000019</v>
      </c>
      <c r="CE59" s="1591">
        <f t="shared" si="94"/>
        <v>0.35567571638696427</v>
      </c>
      <c r="CF59" s="54" t="s">
        <v>488</v>
      </c>
    </row>
    <row r="60" spans="1:84" x14ac:dyDescent="0.3">
      <c r="A60" s="85">
        <f t="shared" si="17"/>
        <v>53</v>
      </c>
      <c r="B60" s="709"/>
      <c r="C60" s="858" t="s">
        <v>5</v>
      </c>
      <c r="D60" s="294">
        <f>'WA Volumes &amp; Revenues'!E52</f>
        <v>1036796</v>
      </c>
      <c r="E60" s="294">
        <f>'WA Volumes &amp; Revenues'!F52</f>
        <v>1041722</v>
      </c>
      <c r="F60" s="294">
        <v>20000</v>
      </c>
      <c r="G60" s="295"/>
      <c r="H60" s="295"/>
      <c r="I60" s="862"/>
      <c r="J60" s="367"/>
      <c r="K60" s="121">
        <f>+'Rates in summary'!D51</f>
        <v>0.12530999999999998</v>
      </c>
      <c r="L60" s="121">
        <f>+'Rates in summary'!M51</f>
        <v>0.13306999999999997</v>
      </c>
      <c r="M60" s="367"/>
      <c r="N60" s="367"/>
      <c r="O60" s="942"/>
      <c r="P60" s="942"/>
      <c r="Q60" s="368">
        <f>'Rates in summary'!H51-'Rates in summary'!F51</f>
        <v>0.13306999999999997</v>
      </c>
      <c r="R60" s="367"/>
      <c r="S60" s="369"/>
      <c r="T60" s="368">
        <f>'Rates in summary'!L51</f>
        <v>0.12623999999999996</v>
      </c>
      <c r="U60" s="367"/>
      <c r="V60" s="570"/>
      <c r="W60" s="368">
        <f>'Rates in Detail'!J50+'Rates in Detail'!P50</f>
        <v>0.12371999999999998</v>
      </c>
      <c r="X60" s="367"/>
      <c r="Y60" s="570"/>
      <c r="Z60" s="368">
        <f>'Rates in Detail'!J50+'Rates in Detail'!S50</f>
        <v>0.12530999999999998</v>
      </c>
      <c r="AA60" s="367"/>
      <c r="AB60" s="570"/>
      <c r="AC60" s="121">
        <f>'Rates in Detail'!J50+'Rates in Detail'!T50</f>
        <v>0.12387999999999998</v>
      </c>
      <c r="AD60" s="367"/>
      <c r="AE60" s="570"/>
      <c r="AF60" s="121">
        <f>'Rates in Detail'!J50+'Rates in Detail'!U50</f>
        <v>0.12580999999999998</v>
      </c>
      <c r="AG60" s="367"/>
      <c r="AH60" s="570"/>
      <c r="AI60" s="368">
        <f>'Rates in summary'!M51</f>
        <v>0.13306999999999997</v>
      </c>
      <c r="AJ60" s="367"/>
      <c r="AK60" s="369"/>
      <c r="AL60" s="1200"/>
      <c r="AM60" s="368">
        <f>L60+'Rates in summary'!N51</f>
        <v>0.13660999999999995</v>
      </c>
      <c r="AN60" s="367"/>
      <c r="AO60" s="369"/>
      <c r="AP60" s="368">
        <f>'Rates in summary'!U51</f>
        <v>0.13300999999999996</v>
      </c>
      <c r="AQ60" s="367"/>
      <c r="AR60" s="570"/>
      <c r="AS60" s="368">
        <f>L60+'Rates in Detail'!AD50</f>
        <v>0.13292999999999996</v>
      </c>
      <c r="AT60" s="367"/>
      <c r="AU60" s="369"/>
      <c r="AV60" s="368">
        <f>L60+'Rates in Detail'!AE50</f>
        <v>0.13306999999999997</v>
      </c>
      <c r="AW60" s="367"/>
      <c r="AX60" s="369"/>
      <c r="AY60" s="368">
        <f>L60+'Rates in Detail'!AF50</f>
        <v>0.13168999999999997</v>
      </c>
      <c r="AZ60" s="367"/>
      <c r="BA60" s="369"/>
      <c r="BB60" s="368">
        <f t="shared" si="71"/>
        <v>0.13306999999999997</v>
      </c>
      <c r="BC60" s="1200"/>
      <c r="BD60" s="1721"/>
      <c r="BE60" s="368">
        <f>'Rates in summary'!W51</f>
        <v>0.13502999999999996</v>
      </c>
      <c r="BF60" s="367"/>
      <c r="BG60" s="369"/>
      <c r="BH60" s="570"/>
      <c r="BS60" s="1583" t="s">
        <v>351</v>
      </c>
      <c r="BT60" s="1580">
        <f>M79</f>
        <v>6965.46</v>
      </c>
      <c r="BU60" s="367">
        <f>AJ79</f>
        <v>8786.7000000000007</v>
      </c>
      <c r="BX60" s="1590">
        <f t="shared" si="91"/>
        <v>1821.2400000000007</v>
      </c>
      <c r="BY60" s="1591">
        <f t="shared" si="92"/>
        <v>0.26146729720650191</v>
      </c>
      <c r="BZ60" s="1580">
        <f>O79</f>
        <v>8786.7000000000007</v>
      </c>
      <c r="CA60" s="367">
        <f>BF79</f>
        <v>11567.97</v>
      </c>
      <c r="CD60" s="1590">
        <f t="shared" si="93"/>
        <v>2781.2699999999986</v>
      </c>
      <c r="CE60" s="1591">
        <f t="shared" si="94"/>
        <v>0.31653180374884748</v>
      </c>
      <c r="CF60" s="54" t="s">
        <v>488</v>
      </c>
    </row>
    <row r="61" spans="1:84" x14ac:dyDescent="0.3">
      <c r="A61" s="85">
        <f t="shared" si="17"/>
        <v>54</v>
      </c>
      <c r="B61" s="709"/>
      <c r="C61" s="858" t="s">
        <v>6</v>
      </c>
      <c r="D61" s="294">
        <f>'WA Volumes &amp; Revenues'!E53</f>
        <v>937215</v>
      </c>
      <c r="E61" s="294">
        <f>'WA Volumes &amp; Revenues'!F53</f>
        <v>957215</v>
      </c>
      <c r="F61" s="294">
        <v>20000</v>
      </c>
      <c r="G61" s="295"/>
      <c r="H61" s="295"/>
      <c r="I61" s="862"/>
      <c r="J61" s="367"/>
      <c r="K61" s="121">
        <f>+'Rates in summary'!D52</f>
        <v>9.6100000000000005E-2</v>
      </c>
      <c r="L61" s="121">
        <f>+'Rates in summary'!M52</f>
        <v>0.10205</v>
      </c>
      <c r="M61" s="367"/>
      <c r="N61" s="367"/>
      <c r="O61" s="942"/>
      <c r="P61" s="942"/>
      <c r="Q61" s="368">
        <f>'Rates in summary'!H52-'Rates in summary'!F52</f>
        <v>0.10205</v>
      </c>
      <c r="R61" s="367"/>
      <c r="S61" s="369"/>
      <c r="T61" s="368">
        <f>'Rates in summary'!L52</f>
        <v>9.6800000000000011E-2</v>
      </c>
      <c r="U61" s="367"/>
      <c r="V61" s="570"/>
      <c r="W61" s="368">
        <f>'Rates in Detail'!J51+'Rates in Detail'!P51</f>
        <v>9.4880000000000006E-2</v>
      </c>
      <c r="X61" s="367"/>
      <c r="Y61" s="570"/>
      <c r="Z61" s="368">
        <f>'Rates in Detail'!J51+'Rates in Detail'!S51</f>
        <v>9.6100000000000005E-2</v>
      </c>
      <c r="AA61" s="367"/>
      <c r="AB61" s="570"/>
      <c r="AC61" s="121">
        <f>'Rates in Detail'!J51+'Rates in Detail'!T51</f>
        <v>9.5010000000000011E-2</v>
      </c>
      <c r="AD61" s="367"/>
      <c r="AE61" s="570"/>
      <c r="AF61" s="121">
        <f>'Rates in Detail'!J51+'Rates in Detail'!U51</f>
        <v>9.6490000000000006E-2</v>
      </c>
      <c r="AG61" s="367"/>
      <c r="AH61" s="570"/>
      <c r="AI61" s="368">
        <f>'Rates in summary'!M52</f>
        <v>0.10205</v>
      </c>
      <c r="AJ61" s="367"/>
      <c r="AK61" s="369"/>
      <c r="AL61" s="1200"/>
      <c r="AM61" s="368">
        <f>L61+'Rates in summary'!N52</f>
        <v>0.10477</v>
      </c>
      <c r="AN61" s="367"/>
      <c r="AO61" s="369"/>
      <c r="AP61" s="368">
        <f>'Rates in summary'!U52</f>
        <v>0.10199</v>
      </c>
      <c r="AQ61" s="367"/>
      <c r="AR61" s="570"/>
      <c r="AS61" s="368">
        <f>L61+'Rates in Detail'!AD51</f>
        <v>0.10194</v>
      </c>
      <c r="AT61" s="367"/>
      <c r="AU61" s="369"/>
      <c r="AV61" s="368">
        <f>L61+'Rates in Detail'!AE51</f>
        <v>0.10205</v>
      </c>
      <c r="AW61" s="367"/>
      <c r="AX61" s="369"/>
      <c r="AY61" s="368">
        <f>L61+'Rates in Detail'!AF51</f>
        <v>0.10099</v>
      </c>
      <c r="AZ61" s="367"/>
      <c r="BA61" s="369"/>
      <c r="BB61" s="368">
        <f t="shared" si="71"/>
        <v>0.10205</v>
      </c>
      <c r="BC61" s="1200"/>
      <c r="BD61" s="1721"/>
      <c r="BE61" s="368">
        <f>'Rates in summary'!W52</f>
        <v>0.10353999999999999</v>
      </c>
      <c r="BF61" s="367"/>
      <c r="BG61" s="369"/>
      <c r="BH61" s="570"/>
      <c r="BS61" s="1583" t="s">
        <v>353</v>
      </c>
      <c r="BT61" s="1580">
        <f>M86</f>
        <v>1550</v>
      </c>
      <c r="BU61" s="367">
        <f>AJ86</f>
        <v>1550</v>
      </c>
      <c r="BX61" s="1590">
        <f t="shared" si="91"/>
        <v>0</v>
      </c>
      <c r="BY61" s="1591">
        <f t="shared" si="92"/>
        <v>0</v>
      </c>
      <c r="BZ61" s="1580">
        <f>O86</f>
        <v>1550</v>
      </c>
      <c r="CA61" s="367">
        <f>BF86</f>
        <v>1550</v>
      </c>
      <c r="CD61" s="1590">
        <f t="shared" si="93"/>
        <v>0</v>
      </c>
      <c r="CE61" s="1591">
        <f t="shared" si="94"/>
        <v>0</v>
      </c>
      <c r="CF61" s="288" t="s">
        <v>132</v>
      </c>
    </row>
    <row r="62" spans="1:84" x14ac:dyDescent="0.3">
      <c r="A62" s="85">
        <f t="shared" si="17"/>
        <v>55</v>
      </c>
      <c r="B62" s="709"/>
      <c r="C62" s="858" t="s">
        <v>7</v>
      </c>
      <c r="D62" s="294">
        <f>'WA Volumes &amp; Revenues'!E54</f>
        <v>2390318</v>
      </c>
      <c r="E62" s="294">
        <f>'WA Volumes &amp; Revenues'!F54</f>
        <v>2490044</v>
      </c>
      <c r="F62" s="294">
        <v>100000</v>
      </c>
      <c r="G62" s="295"/>
      <c r="H62" s="295"/>
      <c r="I62" s="862"/>
      <c r="J62" s="367"/>
      <c r="K62" s="121">
        <f>+'Rates in summary'!D53</f>
        <v>7.6880000000000018E-2</v>
      </c>
      <c r="L62" s="121">
        <f>+'Rates in summary'!M53</f>
        <v>8.1650000000000014E-2</v>
      </c>
      <c r="M62" s="367"/>
      <c r="N62" s="367"/>
      <c r="O62" s="942"/>
      <c r="P62" s="942"/>
      <c r="Q62" s="368">
        <f>'Rates in summary'!H53-'Rates in summary'!F53</f>
        <v>8.1640000000000018E-2</v>
      </c>
      <c r="R62" s="367"/>
      <c r="S62" s="369"/>
      <c r="T62" s="368">
        <f>'Rates in summary'!L53</f>
        <v>7.7450000000000019E-2</v>
      </c>
      <c r="U62" s="367"/>
      <c r="V62" s="570"/>
      <c r="W62" s="368">
        <f>'Rates in Detail'!J52+'Rates in Detail'!P52</f>
        <v>7.5910000000000019E-2</v>
      </c>
      <c r="X62" s="367"/>
      <c r="Y62" s="570"/>
      <c r="Z62" s="368">
        <f>'Rates in Detail'!J52+'Rates in Detail'!S52</f>
        <v>7.6880000000000018E-2</v>
      </c>
      <c r="AA62" s="367"/>
      <c r="AB62" s="570"/>
      <c r="AC62" s="121">
        <f>'Rates in Detail'!J52+'Rates in Detail'!T52</f>
        <v>7.6010000000000022E-2</v>
      </c>
      <c r="AD62" s="367"/>
      <c r="AE62" s="570"/>
      <c r="AF62" s="121">
        <f>'Rates in Detail'!J52+'Rates in Detail'!U52</f>
        <v>7.7190000000000022E-2</v>
      </c>
      <c r="AG62" s="367"/>
      <c r="AH62" s="570"/>
      <c r="AI62" s="368">
        <f>'Rates in summary'!M53</f>
        <v>8.1650000000000014E-2</v>
      </c>
      <c r="AJ62" s="367"/>
      <c r="AK62" s="369"/>
      <c r="AL62" s="1200"/>
      <c r="AM62" s="368">
        <f>L62+'Rates in summary'!N53</f>
        <v>8.3820000000000019E-2</v>
      </c>
      <c r="AN62" s="367"/>
      <c r="AO62" s="369"/>
      <c r="AP62" s="368">
        <f>'Rates in summary'!U53</f>
        <v>8.160000000000002E-2</v>
      </c>
      <c r="AQ62" s="367"/>
      <c r="AR62" s="570"/>
      <c r="AS62" s="368">
        <f>L62+'Rates in Detail'!AD52</f>
        <v>8.1560000000000007E-2</v>
      </c>
      <c r="AT62" s="367"/>
      <c r="AU62" s="369"/>
      <c r="AV62" s="368">
        <f>L62+'Rates in Detail'!AE52</f>
        <v>8.1650000000000014E-2</v>
      </c>
      <c r="AW62" s="367"/>
      <c r="AX62" s="369"/>
      <c r="AY62" s="368">
        <f>L62+'Rates in Detail'!AF52</f>
        <v>8.0800000000000011E-2</v>
      </c>
      <c r="AZ62" s="367"/>
      <c r="BA62" s="369"/>
      <c r="BB62" s="368">
        <f t="shared" si="71"/>
        <v>8.1650000000000014E-2</v>
      </c>
      <c r="BC62" s="1200"/>
      <c r="BD62" s="1721"/>
      <c r="BE62" s="368">
        <f>'Rates in summary'!W53</f>
        <v>8.2830000000000029E-2</v>
      </c>
      <c r="BF62" s="367"/>
      <c r="BG62" s="369"/>
      <c r="BH62" s="570"/>
      <c r="BS62" s="1583" t="s">
        <v>354</v>
      </c>
      <c r="BT62" s="1580">
        <f>M93</f>
        <v>10526.67</v>
      </c>
      <c r="BU62" s="367">
        <f>AJ93</f>
        <v>11024.36</v>
      </c>
      <c r="BX62" s="1590">
        <f t="shared" si="91"/>
        <v>497.69000000000051</v>
      </c>
      <c r="BY62" s="1591">
        <f t="shared" si="92"/>
        <v>4.7278959063027579E-2</v>
      </c>
      <c r="BZ62" s="1580">
        <f>O93</f>
        <v>11024.36</v>
      </c>
      <c r="CA62" s="367">
        <f>BF93</f>
        <v>11135.55</v>
      </c>
      <c r="CD62" s="1590">
        <f t="shared" si="93"/>
        <v>111.18999999999869</v>
      </c>
      <c r="CE62" s="1591">
        <f t="shared" si="94"/>
        <v>1.0085846253206417E-2</v>
      </c>
      <c r="CF62" s="288" t="s">
        <v>132</v>
      </c>
    </row>
    <row r="63" spans="1:84" x14ac:dyDescent="0.3">
      <c r="A63" s="85">
        <f t="shared" si="17"/>
        <v>56</v>
      </c>
      <c r="B63" s="709"/>
      <c r="C63" s="858" t="s">
        <v>8</v>
      </c>
      <c r="D63" s="294">
        <f>'WA Volumes &amp; Revenues'!E55</f>
        <v>1492257</v>
      </c>
      <c r="E63" s="294">
        <f>'WA Volumes &amp; Revenues'!F55</f>
        <v>1426372</v>
      </c>
      <c r="F63" s="294">
        <v>600000</v>
      </c>
      <c r="G63" s="295"/>
      <c r="H63" s="295"/>
      <c r="I63" s="862"/>
      <c r="J63" s="367"/>
      <c r="K63" s="121">
        <f>+'Rates in summary'!D54</f>
        <v>5.1250000000000004E-2</v>
      </c>
      <c r="L63" s="121">
        <f>+'Rates in summary'!M54</f>
        <v>5.4429999999999999E-2</v>
      </c>
      <c r="M63" s="367"/>
      <c r="N63" s="367"/>
      <c r="O63" s="942"/>
      <c r="P63" s="942"/>
      <c r="Q63" s="368">
        <f>'Rates in summary'!H54-'Rates in summary'!F54</f>
        <v>5.4420000000000003E-2</v>
      </c>
      <c r="R63" s="367"/>
      <c r="S63" s="369"/>
      <c r="T63" s="368">
        <f>'Rates in summary'!L54</f>
        <v>5.1630000000000002E-2</v>
      </c>
      <c r="U63" s="367"/>
      <c r="V63" s="570"/>
      <c r="W63" s="368">
        <f>'Rates in Detail'!J53+'Rates in Detail'!P53</f>
        <v>5.0600000000000006E-2</v>
      </c>
      <c r="X63" s="367"/>
      <c r="Y63" s="570"/>
      <c r="Z63" s="368">
        <f>'Rates in Detail'!J53+'Rates in Detail'!S53</f>
        <v>5.1250000000000004E-2</v>
      </c>
      <c r="AA63" s="367"/>
      <c r="AB63" s="570"/>
      <c r="AC63" s="121">
        <f>'Rates in Detail'!J53+'Rates in Detail'!T53</f>
        <v>5.0670000000000007E-2</v>
      </c>
      <c r="AD63" s="367"/>
      <c r="AE63" s="570"/>
      <c r="AF63" s="121">
        <f>'Rates in Detail'!J53+'Rates in Detail'!U53</f>
        <v>5.1460000000000006E-2</v>
      </c>
      <c r="AG63" s="367"/>
      <c r="AH63" s="570"/>
      <c r="AI63" s="368">
        <f>'Rates in summary'!M54</f>
        <v>5.4429999999999999E-2</v>
      </c>
      <c r="AJ63" s="367"/>
      <c r="AK63" s="369"/>
      <c r="AL63" s="1200"/>
      <c r="AM63" s="368">
        <f>L63+'Rates in summary'!N54</f>
        <v>5.5879999999999999E-2</v>
      </c>
      <c r="AN63" s="367"/>
      <c r="AO63" s="369"/>
      <c r="AP63" s="368">
        <f>'Rates in summary'!U54</f>
        <v>5.4399999999999997E-2</v>
      </c>
      <c r="AQ63" s="367"/>
      <c r="AR63" s="570"/>
      <c r="AS63" s="368">
        <f>L63+'Rates in Detail'!AD53</f>
        <v>5.4370000000000002E-2</v>
      </c>
      <c r="AT63" s="367"/>
      <c r="AU63" s="369"/>
      <c r="AV63" s="368">
        <f>L63+'Rates in Detail'!AE53</f>
        <v>5.4429999999999999E-2</v>
      </c>
      <c r="AW63" s="367"/>
      <c r="AX63" s="369"/>
      <c r="AY63" s="368">
        <f>L63+'Rates in Detail'!AF53</f>
        <v>5.3870000000000001E-2</v>
      </c>
      <c r="AZ63" s="367"/>
      <c r="BA63" s="369"/>
      <c r="BB63" s="368">
        <f t="shared" si="71"/>
        <v>5.4429999999999999E-2</v>
      </c>
      <c r="BC63" s="1200"/>
      <c r="BD63" s="1721"/>
      <c r="BE63" s="368">
        <f>'Rates in summary'!W54</f>
        <v>5.5229999999999994E-2</v>
      </c>
      <c r="BF63" s="367"/>
      <c r="BG63" s="369"/>
      <c r="BH63" s="570"/>
      <c r="BS63" s="1583" t="s">
        <v>56</v>
      </c>
      <c r="BT63" s="1580">
        <f t="shared" ref="BT63:BT65" si="101">M94</f>
        <v>38000</v>
      </c>
      <c r="BU63" s="367">
        <f>AJ94</f>
        <v>38000</v>
      </c>
      <c r="BX63" s="1590">
        <f t="shared" si="91"/>
        <v>0</v>
      </c>
      <c r="BY63" s="1591">
        <f t="shared" si="92"/>
        <v>0</v>
      </c>
      <c r="BZ63" s="1580">
        <f>O94</f>
        <v>38000</v>
      </c>
      <c r="CA63" s="367">
        <f>BF94</f>
        <v>38000</v>
      </c>
      <c r="CD63" s="1590">
        <f t="shared" si="93"/>
        <v>0</v>
      </c>
      <c r="CE63" s="1591">
        <f t="shared" si="94"/>
        <v>0</v>
      </c>
      <c r="CF63" s="288" t="s">
        <v>132</v>
      </c>
    </row>
    <row r="64" spans="1:84" x14ac:dyDescent="0.3">
      <c r="A64" s="85">
        <f t="shared" si="17"/>
        <v>57</v>
      </c>
      <c r="B64" s="709"/>
      <c r="C64" s="858" t="s">
        <v>9</v>
      </c>
      <c r="D64" s="294">
        <f>'WA Volumes &amp; Revenues'!E56</f>
        <v>0</v>
      </c>
      <c r="E64" s="294">
        <f>'WA Volumes &amp; Revenues'!F56</f>
        <v>0</v>
      </c>
      <c r="F64" s="366" t="s">
        <v>72</v>
      </c>
      <c r="G64" s="295"/>
      <c r="H64" s="295"/>
      <c r="I64" s="862"/>
      <c r="J64" s="367"/>
      <c r="K64" s="121">
        <f>+'Rates in summary'!D55</f>
        <v>1.9220000000000001E-2</v>
      </c>
      <c r="L64" s="121">
        <f>+'Rates in summary'!M55</f>
        <v>2.0410000000000001E-2</v>
      </c>
      <c r="M64" s="367"/>
      <c r="N64" s="367"/>
      <c r="O64" s="942"/>
      <c r="P64" s="942"/>
      <c r="Q64" s="368">
        <f>'Rates in summary'!H55-'Rates in summary'!F55</f>
        <v>2.0410000000000001E-2</v>
      </c>
      <c r="R64" s="367"/>
      <c r="S64" s="369"/>
      <c r="T64" s="368">
        <f>'Rates in summary'!L55</f>
        <v>1.9360000000000002E-2</v>
      </c>
      <c r="U64" s="367"/>
      <c r="V64" s="570"/>
      <c r="W64" s="368">
        <f>'Rates in Detail'!J54+'Rates in Detail'!P54</f>
        <v>1.898E-2</v>
      </c>
      <c r="X64" s="367"/>
      <c r="Y64" s="570"/>
      <c r="Z64" s="368">
        <f>'Rates in Detail'!J54+'Rates in Detail'!S54</f>
        <v>1.9220000000000001E-2</v>
      </c>
      <c r="AA64" s="367"/>
      <c r="AB64" s="570"/>
      <c r="AC64" s="121">
        <f>'Rates in Detail'!J54+'Rates in Detail'!T54</f>
        <v>1.9E-2</v>
      </c>
      <c r="AD64" s="367"/>
      <c r="AE64" s="570"/>
      <c r="AF64" s="121">
        <f>'Rates in Detail'!J54+'Rates in Detail'!U54</f>
        <v>1.9300000000000001E-2</v>
      </c>
      <c r="AG64" s="367"/>
      <c r="AH64" s="570"/>
      <c r="AI64" s="368">
        <f>'Rates in summary'!M55</f>
        <v>2.0410000000000001E-2</v>
      </c>
      <c r="AJ64" s="367"/>
      <c r="AK64" s="369"/>
      <c r="AL64" s="1200"/>
      <c r="AM64" s="368">
        <f>L64+'Rates in summary'!N55</f>
        <v>2.095E-2</v>
      </c>
      <c r="AN64" s="367"/>
      <c r="AO64" s="369"/>
      <c r="AP64" s="368">
        <f>'Rates in summary'!U55</f>
        <v>2.0400000000000001E-2</v>
      </c>
      <c r="AQ64" s="367"/>
      <c r="AR64" s="570"/>
      <c r="AS64" s="368">
        <f>L64+'Rates in Detail'!AD54</f>
        <v>2.0390000000000002E-2</v>
      </c>
      <c r="AT64" s="367"/>
      <c r="AU64" s="369"/>
      <c r="AV64" s="368">
        <f>L64+'Rates in Detail'!AE54</f>
        <v>2.0410000000000001E-2</v>
      </c>
      <c r="AW64" s="367"/>
      <c r="AX64" s="369"/>
      <c r="AY64" s="368">
        <f>L64+'Rates in Detail'!AF54</f>
        <v>2.0200000000000003E-2</v>
      </c>
      <c r="AZ64" s="367"/>
      <c r="BA64" s="369"/>
      <c r="BB64" s="368">
        <f t="shared" si="71"/>
        <v>2.0410000000000001E-2</v>
      </c>
      <c r="BC64" s="1200"/>
      <c r="BD64" s="1721"/>
      <c r="BE64" s="368">
        <f>'Rates in summary'!W55</f>
        <v>2.0709999999999999E-2</v>
      </c>
      <c r="BF64" s="367"/>
      <c r="BG64" s="369"/>
      <c r="BH64" s="570"/>
      <c r="BS64" s="1583" t="s">
        <v>335</v>
      </c>
      <c r="BT64" s="1580">
        <f t="shared" si="101"/>
        <v>38000</v>
      </c>
      <c r="BU64" s="367">
        <f>AJ95</f>
        <v>38000</v>
      </c>
      <c r="BX64" s="1590">
        <f t="shared" si="91"/>
        <v>0</v>
      </c>
      <c r="BY64" s="1591">
        <f t="shared" si="92"/>
        <v>0</v>
      </c>
      <c r="BZ64" s="1580">
        <f>O95</f>
        <v>38000</v>
      </c>
      <c r="CA64" s="367">
        <f>BF95</f>
        <v>38000</v>
      </c>
      <c r="CD64" s="1590">
        <f t="shared" si="93"/>
        <v>0</v>
      </c>
      <c r="CE64" s="1591">
        <f t="shared" si="94"/>
        <v>0</v>
      </c>
      <c r="CF64" s="288" t="s">
        <v>132</v>
      </c>
    </row>
    <row r="65" spans="1:83" x14ac:dyDescent="0.3">
      <c r="A65" s="85">
        <f t="shared" si="17"/>
        <v>58</v>
      </c>
      <c r="B65" s="707"/>
      <c r="C65" s="859" t="s">
        <v>76</v>
      </c>
      <c r="D65" s="370"/>
      <c r="E65" s="370"/>
      <c r="F65" s="371"/>
      <c r="G65" s="372"/>
      <c r="H65" s="372"/>
      <c r="I65" s="863"/>
      <c r="J65" s="374"/>
      <c r="K65" s="373"/>
      <c r="L65" s="373"/>
      <c r="M65" s="374">
        <f>$I59+ROUND(IF($G59&lt;$F59,($G59*K59),IF($G59&lt;SUM($F59:$F60),(($F59*K59)+(($G59-$F59)*K60)),IF($G59&lt;SUM($F59:$F61),(($F59*K59)+($F60*K60)+(($G59-$F59-$F60)*K61)),IF($G59&lt;SUM($F59:$F62),(($F59*K59)+($F60*K60)+($F61*K61)+(($G59-SUM($F59:$F61))*K62)),IF($G59&lt;SUM($F59:$F63),(($F59*K59)+($F60*K60)+($F61*K61)+($F62*K62)+(($G59-SUM($F59:$F62))*K63)),(($F59*K59)+($F60*K60)+($F61*K61)+($F62*K61)+($F63*K63)+(($G59-SUM($F59:$F63))*K64))))))),2)</f>
        <v>8406.39</v>
      </c>
      <c r="N65" s="374">
        <f>$I59+ROUND(IF($H59&lt;$F59,($H59*K59),IF($H59&lt;SUM($F59:$F60),(($F59*K59)+(($H59-$F59)*K60)),IF($H59&lt;SUM($F59:$F61),(($F59*K59)+($F60*K60)+(($H59-$F59-$F60)*K61)),IF($H59&lt;SUM($F59:$F62),(($F59*K59)+($F60*K60)+($F61*K61)+(($H59-SUM($F59:$F61))*K62)),IF($H59&lt;SUM($F59:$F63),(($F59*K59)+($F60*K60)+($F61*K61)+($F62*K62)+(($H59-SUM($F59:$F62))*K63)),(($F59*K59)+($F60*K60)+($F61*K61)+($F62*K61)+($F63*K63)+(($H59-SUM($F59:$F63))*K64))))))),2)</f>
        <v>8386.869999999999</v>
      </c>
      <c r="O65" s="374">
        <f>$I59+ROUND(IF($G59&lt;$F59,($G59*L59),IF($G59&lt;SUM($F59:$F60),(($F59*L59)+(($G59-$F59)*L60)),IF($G59&lt;SUM($F59:$F61),(($F59*L59)+($F60*L60)+(($G59-$F59-$F60)*L61)),IF($G59&lt;SUM($F59:$F62),(($F59*L59)+($F60*L60)+($F61*L61)+(($G59-SUM($F59:$F61))*L62)),IF($G59&lt;SUM($F59:$F63),(($F59*L59)+($F60*L60)+($F61*L61)+($F62*L62)+(($G59-SUM($F59:$F62))*L63)),(($F59*L59)+($F60*L60)+($F61*L61)+($F62*L61)+($F63*L63)+(($G59-SUM($F59:$F63))*L64))))))),2)</f>
        <v>8831.09</v>
      </c>
      <c r="P65" s="374">
        <f>$I59+ROUND(IF($H59&lt;$F59,($H59*L59),IF($H59&lt;SUM($F59:$F60),(($F59*L59)+(($H59-$F59)*L60)),IF($H59&lt;SUM($F59:$F61),(($F59*L59)+($F60*L60)+(($H59-$F59-$F60)*L61)),IF($H59&lt;SUM($F59:$F62),(($F59*L59)+($F60*L60)+($F61*L61)+(($H59-SUM($F59:$F61))*L62)),IF($H59&lt;SUM($F59:$F63),(($F59*L59)+($F60*L60)+($F61*L61)+($F62*L62)+(($H59-SUM($F59:$F62))*L63)),(($F59*L59)+($F60*L60)+($F61*L61)+($F62*L61)+($F63*L63)+(($H59-SUM($F59:$F63))*L64))))))),2)</f>
        <v>8810.35</v>
      </c>
      <c r="Q65" s="376"/>
      <c r="R65" s="374">
        <f>$J59+ROUND(IF($G59&lt;$F59,($G59*Q59),IF($G59&lt;SUM($F59:$F60),(($F59*Q59)+(($G59-$F59)*Q60)),IF($G59&lt;SUM($F59:$F61),(($F59*Q59)+($F60*Q60)+(($G59-$F59-$F60)*Q61)),IF($G59&lt;SUM($F59:$F62),(($F59*Q59)+($F60*Q60)+($F61*Q61)+(($G59-SUM($F59:$F61))*Q62)),IF($G59&lt;SUM($F59:$F63),(($F59*Q59)+($F60*Q60)+($F61*Q61)+($F62*Q62)+(($G59-SUM($F59:$F62))*Q63)),(($F59*Q59)+($F60*Q60)+($F61*Q61)+($F62*Q61)+($F63*Q63)+(($G59-SUM($F59:$F63))*Q64))))))),2)</f>
        <v>8830.9500000000007</v>
      </c>
      <c r="S65" s="377">
        <f>ROUND((R65-M65)/M65,3)</f>
        <v>5.0999999999999997E-2</v>
      </c>
      <c r="T65" s="375"/>
      <c r="U65" s="374">
        <f>$I59+ROUND(IF($H59&lt;$F59,($H59*T59),IF($H59&lt;SUM($F59:$F60),(($F59*T59)+(($H59-$F59)*T60)),IF($H59&lt;SUM($F59:$F61),(($F59*T59)+($F60*T60)+(($H59-$F59-$F60)*T61)),IF($H59&lt;SUM($F59:$F62),(($F59*T59)+($F60*T60)+($F61*T61)+(($H59-SUM($F59:$F61))*T62)),IF($H59&lt;SUM($F59:$F63),(($F59*T59)+($F60*T60)+($F61*T61)+($F62*T62)+(($H59-SUM($F59:$F62))*T63)),(($F59*T59)+($F60*T60)+($F61*T61)+($F62*T61)+($F63*T63)+(($H59-SUM($F59:$F63))*T64))))))),2)</f>
        <v>8437.24</v>
      </c>
      <c r="V65" s="571">
        <f>ROUND((U65-N65)/N65,3)</f>
        <v>6.0000000000000001E-3</v>
      </c>
      <c r="W65" s="375"/>
      <c r="X65" s="374">
        <f>$I59+ROUND(IF($H59&lt;$F59,($H59*W59),IF($H59&lt;SUM($F59:$F60),(($F59*W59)+(($H59-$F59)*W60)),IF($H59&lt;SUM($F59:$F61),(($F59*W59)+($F60*W60)+(($H59-$F59-$F60)*W61)),IF($H59&lt;SUM($F59:$F62),(($F59*W59)+($F60*W60)+($F61*W61)+(($H59-SUM($F59:$F61))*W62)),IF($H59&lt;SUM($F59:$F63),(($F59*W59)+($F60*W60)+($F61*W61)+($F62*W62)+(($H59-SUM($F59:$F62))*W63)),(($F59*W59)+($F60*W60)+($F61*W61)+($F62*W61)+($F63*W63)+(($H59-SUM($F59:$F63))*W64))))))),2)</f>
        <v>8300.24</v>
      </c>
      <c r="Y65" s="571">
        <f t="shared" ref="Y65" si="102">ROUND(($X65-$M65)/$M65,3)</f>
        <v>-1.2999999999999999E-2</v>
      </c>
      <c r="Z65" s="375"/>
      <c r="AA65" s="374">
        <f>$I59+ROUND(IF($H59&lt;$F59,($H59*Z59),IF($H59&lt;SUM($F59:$F60),(($F59*Z59)+(($H59-$F59)*Z60)),IF($H59&lt;SUM($F59:$F61),(($F59*Z59)+($F60*Z60)+(($H59-$F59-$F60)*Z61)),IF($H59&lt;SUM($F59:$F62),(($F59*Z59)+($F60*Z60)+($F61*Z61)+(($H59-SUM($F59:$F61))*Z62)),IF($H59&lt;SUM($F59:$F63),(($F59*Z59)+($F60*Z60)+($F61*Z61)+($F62*Z62)+(($H59-SUM($F59:$F62))*Z63)),(($F59*Z59)+($F60*Z60)+($F61*Z61)+($F62*Z61)+($F63*Z63)+(($H59-SUM($F59:$F63))*Z64))))))),2)</f>
        <v>8386.869999999999</v>
      </c>
      <c r="AB65" s="571">
        <f>ROUND(($AA65-$M65)/$M65,3)</f>
        <v>-2E-3</v>
      </c>
      <c r="AC65" s="374"/>
      <c r="AD65" s="374">
        <f>$I59+ROUND(IF($H59&lt;$F59,($H59*AC59),IF($H59&lt;SUM($F59:$F60),(($F59*AC59)+(($H59-$F59)*AC60)),IF($H59&lt;SUM($F59:$F61),(($F59*AC59)+($F60*AC60)+(($H59-$F59-$F60)*AC61)),IF($H59&lt;SUM($F59:$F62),(($F59*AC59)+($F60*AC60)+($F61*AC61)+(($H59-SUM($F59:$F61))*AC62)),IF($H59&lt;SUM($F59:$F63),(($F59*AC59)+($F60*AC60)+($F61*AC61)+($F62*AC62)+(($H59-SUM($F59:$F62))*AC63)),(($F59*AC59)+($F60*AC60)+($F61*AC61)+($F62*AC61)+($F63*AC63)+(($H59-SUM($F59:$F63))*AC64))))))),2)</f>
        <v>8309.15</v>
      </c>
      <c r="AE65" s="571">
        <f>ROUND(($AD65-$M65)/$M65,3)</f>
        <v>-1.2E-2</v>
      </c>
      <c r="AF65" s="374"/>
      <c r="AG65" s="374">
        <f>$I59+ROUND(IF($H59&lt;$F59,($H59*AF59),IF($H59&lt;SUM($F59:$F60),(($F59*AF59)+(($H59-$F59)*AF60)),IF($H59&lt;SUM($F59:$F61),(($F59*AF59)+($F60*AF60)+(($H59-$F59-$F60)*AF61)),IF($H59&lt;SUM($F59:$F62),(($F59*AF59)+($F60*AF60)+($F61*AF61)+(($H59-SUM($F59:$F61))*AF62)),IF($H59&lt;SUM($F59:$F63),(($F59*AF59)+($F60*AF60)+($F61*AF61)+($F62*AF62)+(($H59-SUM($F59:$F62))*AF63)),(($F59*AF59)+($F60*AF60)+($F61*AF61)+($F62*AF61)+($F63*AF63)+(($H59-SUM($F59:$F63))*AF64))))))),2)</f>
        <v>8414.33</v>
      </c>
      <c r="AH65" s="571">
        <f t="shared" ref="AH65" si="103">ROUND(($AG65-$M65)/$M65,3)</f>
        <v>1E-3</v>
      </c>
      <c r="AI65" s="376"/>
      <c r="AJ65" s="374">
        <f>$J59+ROUND(IF($G59&lt;$F59,($G59*AI59),IF($G59&lt;SUM($F59:$F60),(($F59*AI59)+(($G59-$F59)*AI60)),IF($G59&lt;SUM($F59:$F61),(($F59*AI59)+($F60*AI60)+(($G59-$F59-$F60)*AI61)),IF($G59&lt;SUM($F59:$F62),(($F59*AI59)+($F60*AI60)+($F61*AI61)+(($G59-SUM($F59:$F61))*AI62)),IF($G59&lt;SUM($F59:$F63),(($F59*AI59)+($F60*AI60)+($F61*AI61)+($F62*AI62)+(($G59-SUM($F59:$F62))*AI63)),(($F59*AI59)+($F60*AI60)+($F61*AI61)+($F62*AI61)+($F63*AI63)+(($G59-SUM($F59:$F63))*AI64))))))),2)</f>
        <v>8831.09</v>
      </c>
      <c r="AK65" s="377">
        <f>ROUND((AJ65-M65)/M65,3)</f>
        <v>5.0999999999999997E-2</v>
      </c>
      <c r="AL65" s="374">
        <f t="shared" si="55"/>
        <v>424.70000000000073</v>
      </c>
      <c r="AM65" s="376"/>
      <c r="AN65" s="374">
        <f>$J59+ROUND(IF($G59&lt;$F59,($G59*AM59),IF($G59&lt;SUM($F59:$F60),(($F59*AM59)+(($G59-$F59)*AM60)),IF($G59&lt;SUM($F59:$F61),(($F59*AM59)+($F60*AM60)+(($G59-$F59-$F60)*AM61)),IF($G59&lt;SUM($F59:$F62),(($F59*AM59)+($F60*AM60)+($F61*AM61)+(($G59-SUM($F59:$F61))*AM62)),IF($G59&lt;SUM($F59:$F63),(($F59*AM59)+($F60*AM60)+($F61*AM61)+($F62*AM62)+(($G59-SUM($F59:$F62))*AM63)),(($F59*AM59)+($F60*AM60)+($F61*AM61)+($F62*AM61)+($F63*AM63)+(($G59-SUM($F59:$F63))*AM64))))))),2)</f>
        <v>9024.91</v>
      </c>
      <c r="AO65" s="377">
        <f>ROUND((AN65-O65)/O65,3)</f>
        <v>2.1999999999999999E-2</v>
      </c>
      <c r="AP65" s="375"/>
      <c r="AQ65" s="374">
        <f>$I59+ROUND(IF($G59&lt;$F59,($G59*AP59),IF($G59&lt;SUM($F59:$F60),(($F59*AP59)+(($G59-$F59)*AP60)),IF($G59&lt;SUM($F59:$F61),(($F59*AP59)+($F60*AP60)+(($G59-$F59-$F60)*AP61)),IF($G59&lt;SUM($F59:$F62),(($F59*AP59)+($F60*AP60)+($F61*AP61)+(($G59-SUM($F59:$F61))*AP62)),IF($G59&lt;SUM($F59:$F63),(($F59*AP59)+($F60*AP60)+($F61*AP61)+($F62*AP62)+(($G59-SUM($F59:$F62))*AP63)),(($F59*AP59)+($F60*AP60)+($F61*AP61)+($F62*AP61)+($F63*AP63)+(($G59-SUM($F59:$F63))*AP64))))))),2)</f>
        <v>8827.32</v>
      </c>
      <c r="AR65" s="571">
        <f t="shared" si="58"/>
        <v>0</v>
      </c>
      <c r="AS65" s="376"/>
      <c r="AT65" s="374">
        <f>$I59+ROUND(IF($H59&lt;$F59,($H59*AS59),IF($H59&lt;SUM($F59:$F60),(($F59*AS59)+(($H59-$F59)*AS60)),IF($H59&lt;SUM($F59:$F61),(($F59*AS59)+($F60*AS60)+(($H59-$F59-$F60)*AS61)),IF($H59&lt;SUM($F59:$F62),(($F59*AS59)+($F60*AS60)+($F61*AS61)+(($H59-SUM($F59:$F61))*AS62)),IF($H59&lt;SUM($F59:$F63),(($F59*AS59)+($F60*AS60)+($F61*AS61)+($F62*AS62)+(($H59-SUM($F59:$F62))*AS63)),(($F59*AS59)+($F60*AS60)+($F61*AS61)+($F62*AS61)+($F63*AS63)+(($H59-SUM($F59:$F63))*AS64))))))),2)</f>
        <v>8802.57</v>
      </c>
      <c r="AU65" s="377">
        <f>ROUND(($AT65-$O65)/$O65,3)</f>
        <v>-3.0000000000000001E-3</v>
      </c>
      <c r="AV65" s="376"/>
      <c r="AW65" s="374">
        <f>$I59+ROUND(IF($G59&lt;$F59,($G59*AV59),IF($G59&lt;SUM($F59:$F60),(($F59*AV59)+(($G59-$F59)*AV60)),IF($G59&lt;SUM($F59:$F61),(($F59*AV59)+($F60*AV60)+(($G59-$F59-$F60)*AV61)),IF($G59&lt;SUM($F59:$F62),(($F59*AV59)+($F60*AV60)+($F61*AV61)+(($G59-SUM($F59:$F61))*AV62)),IF($G59&lt;SUM($F59:$F63),(($F59*AV59)+($F60*AV60)+($F61*AV61)+($F62*AV62)+(($G59-SUM($F59:$F62))*AV63)),(($F59*AV59)+($F60*AV60)+($F61*AV61)+($F62*AV61)+($F63*AV63)+(($G59-SUM($F59:$F63))*AV64))))))),2)</f>
        <v>8831.09</v>
      </c>
      <c r="AX65" s="377">
        <f>ROUND(($AW65-$O65)/$O65,3)</f>
        <v>0</v>
      </c>
      <c r="AY65" s="376"/>
      <c r="AZ65" s="374">
        <f>$I59+ROUND(IF($G59&lt;$F59,($G59*AY59),IF($G59&lt;SUM($F59:$F60),(($F59*AY59)+(($G59-$F59)*AY60)),IF($G59&lt;SUM($F59:$F61),(($F59*AY59)+($F60*AY60)+(($G59-$F59-$F60)*AY61)),IF($G59&lt;SUM($F59:$F62),(($F59*AY59)+($F60*AY60)+($F61*AY61)+(($G59-SUM($F59:$F61))*AY62)),IF($G59&lt;SUM($F59:$F63),(($F59*AY59)+($F60*AY60)+($F61*AY61)+($F62*AY62)+(($G59-SUM($F59:$F62))*AY63)),(($F59*AY59)+($F60*AY60)+($F61*AY61)+($F62*AY61)+($F63*AY63)+(($G59-SUM($F59:$F63))*AY64))))))),2)</f>
        <v>8755.52</v>
      </c>
      <c r="BA65" s="377">
        <f>ROUND(($AT65-$O65)/$O65,3)</f>
        <v>-3.0000000000000001E-3</v>
      </c>
      <c r="BB65" s="376"/>
      <c r="BC65" s="1726">
        <f t="shared" si="72"/>
        <v>8831.09</v>
      </c>
      <c r="BD65" s="1722">
        <f t="shared" si="70"/>
        <v>0</v>
      </c>
      <c r="BE65" s="376"/>
      <c r="BF65" s="374">
        <f>$J59+ROUND(IF($G59&lt;$F59,($G59*BE59),IF($G59&lt;SUM($F59:$F60),(($F59*BE59)+(($G59-$F59)*BE60)),IF($G59&lt;SUM($F59:$F61),(($F59*BE59)+($F60*BE60)+(($G59-$F59-$F60)*BE61)),IF($G59&lt;SUM($F59:$F62),(($F59*BE59)+($F60*BE60)+($F61*BE61)+(($G59-SUM($F59:$F61))*BE62)),IF($G59&lt;SUM($F59:$F63),(($F59*BE59)+($F60*BE60)+($F61*BE61)+($F62*BE62)+(($G59-SUM($F59:$F62))*BE63)),(($F59*BE59)+($F60*BE60)+($F61*BE61)+($F62*BE61)+($F63*BE63)+(($G59-SUM($F59:$F63))*BE64))))))),2)</f>
        <v>8937.77</v>
      </c>
      <c r="BG65" s="377">
        <f>ROUND((BF65-O65)/O65,3)</f>
        <v>1.2E-2</v>
      </c>
      <c r="BH65" s="1576">
        <f t="shared" si="63"/>
        <v>106.68000000000029</v>
      </c>
      <c r="BI65" s="365"/>
      <c r="BJ65" s="365"/>
      <c r="BK65" s="365"/>
      <c r="BL65" s="365"/>
      <c r="BM65" s="365"/>
      <c r="BN65" s="365"/>
      <c r="BO65" s="365"/>
      <c r="BP65" s="365"/>
      <c r="BQ65" s="365"/>
      <c r="BR65" s="365"/>
      <c r="BS65" s="1584" t="s">
        <v>373</v>
      </c>
      <c r="BT65" s="1585">
        <f t="shared" si="101"/>
        <v>0</v>
      </c>
      <c r="BU65" s="362">
        <f>AJ96</f>
        <v>0</v>
      </c>
      <c r="BV65" s="1104"/>
      <c r="BW65" s="1104"/>
      <c r="BX65" s="1592">
        <f t="shared" si="91"/>
        <v>0</v>
      </c>
      <c r="BY65" s="1593" t="e">
        <f t="shared" si="92"/>
        <v>#DIV/0!</v>
      </c>
      <c r="BZ65" s="1585">
        <f>O96</f>
        <v>0</v>
      </c>
      <c r="CA65" s="362">
        <f>BF96</f>
        <v>0</v>
      </c>
      <c r="CB65" s="1104"/>
      <c r="CC65" s="1104"/>
      <c r="CD65" s="1592">
        <f t="shared" si="93"/>
        <v>0</v>
      </c>
      <c r="CE65" s="1593" t="e">
        <f t="shared" si="94"/>
        <v>#DIV/0!</v>
      </c>
    </row>
    <row r="66" spans="1:83" x14ac:dyDescent="0.3">
      <c r="A66" s="85">
        <f t="shared" si="17"/>
        <v>59</v>
      </c>
      <c r="B66" s="709" t="str">
        <f>'WA Volumes &amp; Revenues'!B57</f>
        <v>42C Interr Sales</v>
      </c>
      <c r="C66" s="858" t="s">
        <v>4</v>
      </c>
      <c r="D66" s="294">
        <f>'WA Volumes &amp; Revenues'!E57</f>
        <v>240000</v>
      </c>
      <c r="E66" s="294">
        <f>'WA Volumes &amp; Revenues'!F57</f>
        <v>239999</v>
      </c>
      <c r="F66" s="294">
        <v>10000</v>
      </c>
      <c r="G66" s="295">
        <f>+'WA Volumes &amp; Revenues'!I57</f>
        <v>39322</v>
      </c>
      <c r="H66" s="295">
        <f>'WA Volumes &amp; Revenues'!L57</f>
        <v>39641</v>
      </c>
      <c r="I66" s="862">
        <f>'WA Volumes &amp; Revenues'!O57</f>
        <v>1300</v>
      </c>
      <c r="J66" s="367">
        <f>'WA Volumes &amp; Revenues'!N57</f>
        <v>1300</v>
      </c>
      <c r="K66" s="121">
        <f>+'Rates in summary'!D56</f>
        <v>0.42349000000000003</v>
      </c>
      <c r="L66" s="121">
        <f>+'Rates in summary'!M56</f>
        <v>0.56372</v>
      </c>
      <c r="M66" s="367"/>
      <c r="N66" s="367"/>
      <c r="O66" s="942"/>
      <c r="P66" s="942"/>
      <c r="Q66" s="368">
        <f>'Rates in summary'!H56-'Rates in summary'!F56</f>
        <v>0.44409000000000004</v>
      </c>
      <c r="R66" s="367"/>
      <c r="S66" s="369"/>
      <c r="T66" s="368">
        <f>'Rates in summary'!L56</f>
        <v>0.54753000000000007</v>
      </c>
      <c r="U66" s="367"/>
      <c r="V66" s="570"/>
      <c r="W66" s="368">
        <f>'Rates in Detail'!J55+'Rates in Detail'!P55</f>
        <v>0.42165000000000002</v>
      </c>
      <c r="X66" s="367"/>
      <c r="Y66" s="570"/>
      <c r="Z66" s="368">
        <f>'Rates in Detail'!J55+'Rates in Detail'!S55</f>
        <v>0.42021000000000003</v>
      </c>
      <c r="AA66" s="367"/>
      <c r="AB66" s="570"/>
      <c r="AC66" s="121">
        <f>'Rates in Detail'!J55+'Rates in Detail'!T55</f>
        <v>0.42174000000000006</v>
      </c>
      <c r="AD66" s="367"/>
      <c r="AE66" s="570"/>
      <c r="AF66" s="121">
        <f>'Rates in Detail'!J55+'Rates in Detail'!U55</f>
        <v>0.42411000000000004</v>
      </c>
      <c r="AG66" s="367"/>
      <c r="AH66" s="570"/>
      <c r="AI66" s="368">
        <f>'Rates in summary'!M56</f>
        <v>0.56372</v>
      </c>
      <c r="AJ66" s="367"/>
      <c r="AK66" s="369"/>
      <c r="AL66" s="1200"/>
      <c r="AM66" s="368">
        <f>L66+'Rates in summary'!N56</f>
        <v>0.57616999999999996</v>
      </c>
      <c r="AN66" s="367"/>
      <c r="AO66" s="369"/>
      <c r="AP66" s="368">
        <f>'Rates in summary'!U56</f>
        <v>0.76114999999999999</v>
      </c>
      <c r="AQ66" s="367"/>
      <c r="AR66" s="570"/>
      <c r="AS66" s="368">
        <f>L66+'Rates in Detail'!AD55</f>
        <v>0.56354000000000004</v>
      </c>
      <c r="AT66" s="367"/>
      <c r="AU66" s="369"/>
      <c r="AV66" s="368">
        <f>L66+'Rates in Detail'!AE55</f>
        <v>0.56044000000000005</v>
      </c>
      <c r="AW66" s="367"/>
      <c r="AX66" s="369"/>
      <c r="AY66" s="368">
        <f>L66+'Rates in Detail'!AF55</f>
        <v>0.56196999999999997</v>
      </c>
      <c r="AZ66" s="367"/>
      <c r="BA66" s="369"/>
      <c r="BB66" s="368">
        <f t="shared" si="71"/>
        <v>0.56372</v>
      </c>
      <c r="BC66" s="1200"/>
      <c r="BD66" s="1721"/>
      <c r="BE66" s="368">
        <f>'Rates in summary'!W56</f>
        <v>0.76838999999999991</v>
      </c>
      <c r="BF66" s="367"/>
      <c r="BG66" s="369"/>
      <c r="BH66" s="570"/>
      <c r="BX66" s="1588"/>
    </row>
    <row r="67" spans="1:83" x14ac:dyDescent="0.3">
      <c r="A67" s="85">
        <f t="shared" si="17"/>
        <v>60</v>
      </c>
      <c r="B67" s="709"/>
      <c r="C67" s="858" t="s">
        <v>5</v>
      </c>
      <c r="D67" s="294">
        <f>'WA Volumes &amp; Revenues'!E58</f>
        <v>467511</v>
      </c>
      <c r="E67" s="294">
        <f>'WA Volumes &amp; Revenues'!F58</f>
        <v>454151</v>
      </c>
      <c r="F67" s="294">
        <v>20000</v>
      </c>
      <c r="G67" s="378"/>
      <c r="H67" s="378"/>
      <c r="I67" s="864"/>
      <c r="J67" s="650"/>
      <c r="K67" s="121">
        <f>+'Rates in summary'!D57</f>
        <v>0.40679999999999994</v>
      </c>
      <c r="L67" s="121">
        <f>+'Rates in summary'!M57</f>
        <v>0.5450299999999999</v>
      </c>
      <c r="M67" s="367"/>
      <c r="N67" s="367"/>
      <c r="O67" s="942"/>
      <c r="P67" s="942"/>
      <c r="Q67" s="368">
        <f>'Rates in summary'!H57-'Rates in summary'!F57</f>
        <v>0.42524999999999996</v>
      </c>
      <c r="R67" s="367"/>
      <c r="S67" s="369"/>
      <c r="T67" s="368">
        <f>'Rates in summary'!L57</f>
        <v>0.53052999999999995</v>
      </c>
      <c r="U67" s="367"/>
      <c r="V67" s="570"/>
      <c r="W67" s="368">
        <f>'Rates in Detail'!J56+'Rates in Detail'!P56</f>
        <v>0.40515999999999996</v>
      </c>
      <c r="X67" s="367"/>
      <c r="Y67" s="570"/>
      <c r="Z67" s="368">
        <f>'Rates in Detail'!J56+'Rates in Detail'!S56</f>
        <v>0.40385999999999994</v>
      </c>
      <c r="AA67" s="367"/>
      <c r="AB67" s="570"/>
      <c r="AC67" s="121">
        <f>'Rates in Detail'!J56+'Rates in Detail'!T56</f>
        <v>0.40523999999999993</v>
      </c>
      <c r="AD67" s="367"/>
      <c r="AE67" s="570"/>
      <c r="AF67" s="121">
        <f>'Rates in Detail'!J56+'Rates in Detail'!U56</f>
        <v>0.40734999999999993</v>
      </c>
      <c r="AG67" s="367"/>
      <c r="AH67" s="570"/>
      <c r="AI67" s="368">
        <f>'Rates in summary'!M57</f>
        <v>0.5450299999999999</v>
      </c>
      <c r="AJ67" s="367"/>
      <c r="AK67" s="369"/>
      <c r="AL67" s="1200"/>
      <c r="AM67" s="368">
        <f>L67+'Rates in summary'!N57</f>
        <v>0.55616999999999994</v>
      </c>
      <c r="AN67" s="367"/>
      <c r="AO67" s="369"/>
      <c r="AP67" s="368">
        <f>'Rates in summary'!U57</f>
        <v>0.74280999999999997</v>
      </c>
      <c r="AQ67" s="367"/>
      <c r="AR67" s="570"/>
      <c r="AS67" s="368">
        <f>L67+'Rates in Detail'!AD56</f>
        <v>0.54486999999999985</v>
      </c>
      <c r="AT67" s="367"/>
      <c r="AU67" s="369"/>
      <c r="AV67" s="368">
        <f>L67+'Rates in Detail'!AE56</f>
        <v>0.54208999999999985</v>
      </c>
      <c r="AW67" s="367"/>
      <c r="AX67" s="369"/>
      <c r="AY67" s="368">
        <f>L67+'Rates in Detail'!AF56</f>
        <v>0.54345999999999994</v>
      </c>
      <c r="AZ67" s="367"/>
      <c r="BA67" s="369"/>
      <c r="BB67" s="368">
        <f t="shared" si="71"/>
        <v>0.5450299999999999</v>
      </c>
      <c r="BC67" s="1200"/>
      <c r="BD67" s="1721"/>
      <c r="BE67" s="368">
        <f>'Rates in summary'!W57</f>
        <v>0.74928000000000006</v>
      </c>
      <c r="BF67" s="367"/>
      <c r="BG67" s="369"/>
      <c r="BH67" s="570"/>
    </row>
    <row r="68" spans="1:83" x14ac:dyDescent="0.3">
      <c r="A68" s="85">
        <f t="shared" si="17"/>
        <v>61</v>
      </c>
      <c r="B68" s="709"/>
      <c r="C68" s="858" t="s">
        <v>6</v>
      </c>
      <c r="D68" s="294">
        <f>'WA Volumes &amp; Revenues'!E59</f>
        <v>218004</v>
      </c>
      <c r="E68" s="294">
        <f>'WA Volumes &amp; Revenues'!F59</f>
        <v>230285</v>
      </c>
      <c r="F68" s="294">
        <v>20000</v>
      </c>
      <c r="G68" s="378"/>
      <c r="H68" s="378"/>
      <c r="I68" s="864"/>
      <c r="J68" s="650"/>
      <c r="K68" s="121">
        <f>+'Rates in summary'!D58</f>
        <v>0.37361</v>
      </c>
      <c r="L68" s="121">
        <f>+'Rates in summary'!M58</f>
        <v>0.50780999999999998</v>
      </c>
      <c r="M68" s="367"/>
      <c r="N68" s="367"/>
      <c r="O68" s="942"/>
      <c r="P68" s="942"/>
      <c r="Q68" s="368">
        <f>'Rates in summary'!H58-'Rates in summary'!F58</f>
        <v>0.38774999999999998</v>
      </c>
      <c r="R68" s="367"/>
      <c r="S68" s="369"/>
      <c r="T68" s="368">
        <f>'Rates in summary'!L58</f>
        <v>0.49669999999999997</v>
      </c>
      <c r="U68" s="367"/>
      <c r="V68" s="570"/>
      <c r="W68" s="368">
        <f>'Rates in Detail'!J57+'Rates in Detail'!P57</f>
        <v>0.37235000000000001</v>
      </c>
      <c r="X68" s="367"/>
      <c r="Y68" s="570"/>
      <c r="Z68" s="368">
        <f>'Rates in Detail'!J57+'Rates in Detail'!S57</f>
        <v>0.37136000000000002</v>
      </c>
      <c r="AA68" s="367"/>
      <c r="AB68" s="570"/>
      <c r="AC68" s="121">
        <f>'Rates in Detail'!J57+'Rates in Detail'!T57</f>
        <v>0.37241000000000002</v>
      </c>
      <c r="AD68" s="367"/>
      <c r="AE68" s="570"/>
      <c r="AF68" s="121">
        <f>'Rates in Detail'!J57+'Rates in Detail'!U57</f>
        <v>0.37402999999999997</v>
      </c>
      <c r="AG68" s="367"/>
      <c r="AH68" s="570"/>
      <c r="AI68" s="368">
        <f>'Rates in summary'!M58</f>
        <v>0.50780999999999998</v>
      </c>
      <c r="AJ68" s="367"/>
      <c r="AK68" s="369"/>
      <c r="AL68" s="1200"/>
      <c r="AM68" s="368">
        <f>L68+'Rates in summary'!N58</f>
        <v>0.51634999999999998</v>
      </c>
      <c r="AN68" s="367"/>
      <c r="AO68" s="369"/>
      <c r="AP68" s="368">
        <f>'Rates in summary'!U58</f>
        <v>0.70628000000000002</v>
      </c>
      <c r="AQ68" s="367"/>
      <c r="AR68" s="570"/>
      <c r="AS68" s="368">
        <f>L68+'Rates in Detail'!AD57</f>
        <v>0.50768999999999997</v>
      </c>
      <c r="AT68" s="367"/>
      <c r="AU68" s="369"/>
      <c r="AV68" s="368">
        <f>L68+'Rates in Detail'!AE57</f>
        <v>0.50556000000000001</v>
      </c>
      <c r="AW68" s="367"/>
      <c r="AX68" s="369"/>
      <c r="AY68" s="368">
        <f>L68+'Rates in Detail'!AF57</f>
        <v>0.50661</v>
      </c>
      <c r="AZ68" s="367"/>
      <c r="BA68" s="369"/>
      <c r="BB68" s="368">
        <f t="shared" si="71"/>
        <v>0.50780999999999998</v>
      </c>
      <c r="BC68" s="1200"/>
      <c r="BD68" s="1721"/>
      <c r="BE68" s="368">
        <f>'Rates in summary'!W58</f>
        <v>0.71125000000000005</v>
      </c>
      <c r="BF68" s="367"/>
      <c r="BG68" s="369"/>
      <c r="BH68" s="570"/>
      <c r="BX68" s="645"/>
    </row>
    <row r="69" spans="1:83" x14ac:dyDescent="0.3">
      <c r="A69" s="85">
        <f t="shared" si="17"/>
        <v>62</v>
      </c>
      <c r="B69" s="709"/>
      <c r="C69" s="858" t="s">
        <v>7</v>
      </c>
      <c r="D69" s="294">
        <f>'WA Volumes &amp; Revenues'!E60</f>
        <v>18208</v>
      </c>
      <c r="E69" s="294">
        <f>'WA Volumes &amp; Revenues'!F60</f>
        <v>26942</v>
      </c>
      <c r="F69" s="294">
        <v>100000</v>
      </c>
      <c r="G69" s="378"/>
      <c r="H69" s="378"/>
      <c r="I69" s="864"/>
      <c r="J69" s="650"/>
      <c r="K69" s="121">
        <f>+'Rates in summary'!D59</f>
        <v>0.35180000000000006</v>
      </c>
      <c r="L69" s="121">
        <f>+'Rates in summary'!M59</f>
        <v>0.48334000000000005</v>
      </c>
      <c r="M69" s="367"/>
      <c r="N69" s="367"/>
      <c r="O69" s="942"/>
      <c r="P69" s="942"/>
      <c r="Q69" s="368">
        <f>'Rates in summary'!H59-'Rates in summary'!F59</f>
        <v>0.36311000000000004</v>
      </c>
      <c r="R69" s="367"/>
      <c r="S69" s="369"/>
      <c r="T69" s="368">
        <f>'Rates in summary'!L59</f>
        <v>0.47445000000000004</v>
      </c>
      <c r="U69" s="367"/>
      <c r="V69" s="570"/>
      <c r="W69" s="368">
        <f>'Rates in Detail'!J58+'Rates in Detail'!P58</f>
        <v>0.35079000000000005</v>
      </c>
      <c r="X69" s="367"/>
      <c r="Y69" s="570"/>
      <c r="Z69" s="368">
        <f>'Rates in Detail'!J58+'Rates in Detail'!S58</f>
        <v>0.35000000000000003</v>
      </c>
      <c r="AA69" s="367"/>
      <c r="AB69" s="570"/>
      <c r="AC69" s="121">
        <f>'Rates in Detail'!J58+'Rates in Detail'!T58</f>
        <v>0.35084000000000004</v>
      </c>
      <c r="AD69" s="367"/>
      <c r="AE69" s="570"/>
      <c r="AF69" s="121">
        <f>'Rates in Detail'!J58+'Rates in Detail'!U58</f>
        <v>0.35214000000000006</v>
      </c>
      <c r="AG69" s="367"/>
      <c r="AH69" s="570"/>
      <c r="AI69" s="368">
        <f>'Rates in summary'!M59</f>
        <v>0.48334000000000005</v>
      </c>
      <c r="AJ69" s="367"/>
      <c r="AK69" s="369"/>
      <c r="AL69" s="1200"/>
      <c r="AM69" s="368">
        <f>L69+'Rates in summary'!N59</f>
        <v>0.49017000000000005</v>
      </c>
      <c r="AN69" s="367"/>
      <c r="AO69" s="369"/>
      <c r="AP69" s="368">
        <f>'Rates in summary'!U59</f>
        <v>0.68224000000000007</v>
      </c>
      <c r="AQ69" s="367"/>
      <c r="AR69" s="570"/>
      <c r="AS69" s="368">
        <f>L69+'Rates in Detail'!AD58</f>
        <v>0.48324000000000006</v>
      </c>
      <c r="AT69" s="367"/>
      <c r="AU69" s="369"/>
      <c r="AV69" s="368">
        <f>L69+'Rates in Detail'!AE58</f>
        <v>0.48154000000000002</v>
      </c>
      <c r="AW69" s="367"/>
      <c r="AX69" s="369"/>
      <c r="AY69" s="368">
        <f>L69+'Rates in Detail'!AF58</f>
        <v>0.48238000000000003</v>
      </c>
      <c r="AZ69" s="367"/>
      <c r="BA69" s="369"/>
      <c r="BB69" s="368">
        <f t="shared" si="71"/>
        <v>0.48334000000000005</v>
      </c>
      <c r="BC69" s="1200"/>
      <c r="BD69" s="1721"/>
      <c r="BE69" s="368">
        <f>'Rates in summary'!W59</f>
        <v>0.6862100000000001</v>
      </c>
      <c r="BF69" s="367"/>
      <c r="BG69" s="369"/>
      <c r="BH69" s="570"/>
    </row>
    <row r="70" spans="1:83" x14ac:dyDescent="0.3">
      <c r="A70" s="85">
        <f t="shared" si="17"/>
        <v>63</v>
      </c>
      <c r="B70" s="709"/>
      <c r="C70" s="858" t="s">
        <v>8</v>
      </c>
      <c r="D70" s="294">
        <f>'WA Volumes &amp; Revenues'!E61</f>
        <v>0</v>
      </c>
      <c r="E70" s="294">
        <f>'WA Volumes &amp; Revenues'!F61</f>
        <v>0</v>
      </c>
      <c r="F70" s="294">
        <v>600000</v>
      </c>
      <c r="G70" s="378"/>
      <c r="H70" s="378"/>
      <c r="I70" s="864"/>
      <c r="J70" s="650"/>
      <c r="K70" s="121">
        <f>+'Rates in summary'!D60</f>
        <v>0.32268999999999998</v>
      </c>
      <c r="L70" s="121">
        <f>+'Rates in summary'!M60</f>
        <v>0.45072999999999996</v>
      </c>
      <c r="M70" s="367"/>
      <c r="N70" s="367"/>
      <c r="O70" s="942"/>
      <c r="P70" s="942"/>
      <c r="Q70" s="368">
        <f>'Rates in summary'!H60-'Rates in summary'!F60</f>
        <v>0.33023999999999998</v>
      </c>
      <c r="R70" s="367"/>
      <c r="S70" s="369"/>
      <c r="T70" s="368">
        <f>'Rates in summary'!L60</f>
        <v>0.44478999999999996</v>
      </c>
      <c r="U70" s="367"/>
      <c r="V70" s="570"/>
      <c r="W70" s="368">
        <f>'Rates in Detail'!J59+'Rates in Detail'!P59</f>
        <v>0.32201999999999997</v>
      </c>
      <c r="X70" s="367"/>
      <c r="Y70" s="570"/>
      <c r="Z70" s="368">
        <f>'Rates in Detail'!J59+'Rates in Detail'!S59</f>
        <v>0.32149</v>
      </c>
      <c r="AA70" s="367"/>
      <c r="AB70" s="570"/>
      <c r="AC70" s="121">
        <f>'Rates in Detail'!J59+'Rates in Detail'!T59</f>
        <v>0.32205</v>
      </c>
      <c r="AD70" s="367"/>
      <c r="AE70" s="570"/>
      <c r="AF70" s="121">
        <f>'Rates in Detail'!J59+'Rates in Detail'!U59</f>
        <v>0.32291999999999998</v>
      </c>
      <c r="AG70" s="367"/>
      <c r="AH70" s="570"/>
      <c r="AI70" s="368">
        <f>'Rates in summary'!M60</f>
        <v>0.45072999999999996</v>
      </c>
      <c r="AJ70" s="367"/>
      <c r="AK70" s="369"/>
      <c r="AL70" s="1200"/>
      <c r="AM70" s="368">
        <f>L70+'Rates in summary'!N60</f>
        <v>0.45528999999999997</v>
      </c>
      <c r="AN70" s="367"/>
      <c r="AO70" s="369"/>
      <c r="AP70" s="368">
        <f>'Rates in summary'!U60</f>
        <v>0.65022999999999997</v>
      </c>
      <c r="AQ70" s="367"/>
      <c r="AR70" s="570"/>
      <c r="AS70" s="368">
        <f>L70+'Rates in Detail'!AD59</f>
        <v>0.45065999999999995</v>
      </c>
      <c r="AT70" s="367"/>
      <c r="AU70" s="369"/>
      <c r="AV70" s="368">
        <f>L70+'Rates in Detail'!AE59</f>
        <v>0.44952999999999999</v>
      </c>
      <c r="AW70" s="367"/>
      <c r="AX70" s="369"/>
      <c r="AY70" s="368">
        <f>L70+'Rates in Detail'!AF59</f>
        <v>0.45008999999999999</v>
      </c>
      <c r="AZ70" s="367"/>
      <c r="BA70" s="369"/>
      <c r="BB70" s="368">
        <f t="shared" si="71"/>
        <v>0.45072999999999996</v>
      </c>
      <c r="BC70" s="1200"/>
      <c r="BD70" s="1721"/>
      <c r="BE70" s="368">
        <f>'Rates in summary'!W60</f>
        <v>0.65288000000000002</v>
      </c>
      <c r="BF70" s="367"/>
      <c r="BG70" s="369"/>
      <c r="BH70" s="570"/>
      <c r="BX70" s="645"/>
    </row>
    <row r="71" spans="1:83" x14ac:dyDescent="0.3">
      <c r="A71" s="85">
        <f t="shared" si="17"/>
        <v>64</v>
      </c>
      <c r="B71" s="709"/>
      <c r="C71" s="858" t="s">
        <v>9</v>
      </c>
      <c r="D71" s="294">
        <f>'WA Volumes &amp; Revenues'!E62</f>
        <v>0</v>
      </c>
      <c r="E71" s="294">
        <f>'WA Volumes &amp; Revenues'!F62</f>
        <v>0</v>
      </c>
      <c r="F71" s="366" t="s">
        <v>72</v>
      </c>
      <c r="G71" s="378"/>
      <c r="H71" s="378"/>
      <c r="I71" s="864"/>
      <c r="J71" s="650"/>
      <c r="K71" s="121">
        <f>+'Rates in summary'!D61</f>
        <v>0.28632000000000002</v>
      </c>
      <c r="L71" s="121">
        <f>+'Rates in summary'!M61</f>
        <v>0.40994999999999998</v>
      </c>
      <c r="M71" s="367"/>
      <c r="N71" s="367"/>
      <c r="O71" s="942"/>
      <c r="P71" s="942"/>
      <c r="Q71" s="368">
        <f>'Rates in summary'!H61-'Rates in summary'!F61</f>
        <v>0.28915000000000002</v>
      </c>
      <c r="R71" s="367"/>
      <c r="S71" s="369"/>
      <c r="T71" s="368">
        <f>'Rates in summary'!L61</f>
        <v>0.40772999999999998</v>
      </c>
      <c r="U71" s="367"/>
      <c r="V71" s="570"/>
      <c r="W71" s="368">
        <f>'Rates in Detail'!J60+'Rates in Detail'!P60</f>
        <v>0.28607000000000005</v>
      </c>
      <c r="X71" s="367"/>
      <c r="Y71" s="570"/>
      <c r="Z71" s="368">
        <f>'Rates in Detail'!J60+'Rates in Detail'!S60</f>
        <v>0.28587000000000001</v>
      </c>
      <c r="AA71" s="367"/>
      <c r="AB71" s="570"/>
      <c r="AC71" s="121">
        <f>'Rates in Detail'!J60+'Rates in Detail'!T60</f>
        <v>0.28608</v>
      </c>
      <c r="AD71" s="367"/>
      <c r="AE71" s="570"/>
      <c r="AF71" s="121">
        <f>'Rates in Detail'!J60+'Rates in Detail'!U60</f>
        <v>0.28640000000000004</v>
      </c>
      <c r="AG71" s="367"/>
      <c r="AH71" s="570"/>
      <c r="AI71" s="368">
        <f>'Rates in summary'!M61</f>
        <v>0.40994999999999998</v>
      </c>
      <c r="AJ71" s="367"/>
      <c r="AK71" s="369"/>
      <c r="AL71" s="1200"/>
      <c r="AM71" s="368">
        <f>L71+'Rates in summary'!N61</f>
        <v>0.41165999999999997</v>
      </c>
      <c r="AN71" s="367"/>
      <c r="AO71" s="369"/>
      <c r="AP71" s="368">
        <f>'Rates in summary'!U61</f>
        <v>0.61017999999999994</v>
      </c>
      <c r="AQ71" s="367"/>
      <c r="AR71" s="570"/>
      <c r="AS71" s="368">
        <f>L71+'Rates in Detail'!AD60</f>
        <v>0.40992999999999996</v>
      </c>
      <c r="AT71" s="367"/>
      <c r="AU71" s="369"/>
      <c r="AV71" s="368">
        <f>L71+'Rates in Detail'!AE60</f>
        <v>0.40949999999999998</v>
      </c>
      <c r="AW71" s="367"/>
      <c r="AX71" s="369"/>
      <c r="AY71" s="368">
        <f>L71+'Rates in Detail'!AF60</f>
        <v>0.40970999999999996</v>
      </c>
      <c r="AZ71" s="367"/>
      <c r="BA71" s="369"/>
      <c r="BB71" s="368">
        <f t="shared" si="71"/>
        <v>0.40994999999999998</v>
      </c>
      <c r="BC71" s="1200"/>
      <c r="BD71" s="1721"/>
      <c r="BE71" s="368">
        <f>'Rates in summary'!W61</f>
        <v>0.61118000000000006</v>
      </c>
      <c r="BF71" s="367"/>
      <c r="BG71" s="369"/>
      <c r="BH71" s="570"/>
    </row>
    <row r="72" spans="1:83" x14ac:dyDescent="0.3">
      <c r="A72" s="85">
        <f t="shared" si="17"/>
        <v>65</v>
      </c>
      <c r="B72" s="707"/>
      <c r="C72" s="859" t="s">
        <v>76</v>
      </c>
      <c r="D72" s="370"/>
      <c r="E72" s="370"/>
      <c r="F72" s="371"/>
      <c r="G72" s="372"/>
      <c r="H72" s="372"/>
      <c r="I72" s="863"/>
      <c r="J72" s="374"/>
      <c r="K72" s="373"/>
      <c r="L72" s="373"/>
      <c r="M72" s="374">
        <f>$I66+ROUND(IF($G66&lt;$F66,($G66*K66),IF($G66&lt;SUM($F66:$F67),(($F66*K66)+(($G66-$F66)*K67)),IF($G66&lt;SUM($F66:$F68),(($F66*K66)+($F67*K67)+(($G66-$F66-$F67)*K68)),IF($G66&lt;SUM($F66:$F69),(($F66*K66)+($F67*K67)+($F68*K68)+(($G66-SUM($F66:$F68))*K69)),IF($G66&lt;SUM($F66:$F70),(($F66*K66)+($F67*K67)+($F68*K68)+($F69*K69)+(($G66-SUM($F66:$F69))*K70)),(($F66*K66)+($F67*K67)+($F68*K68)+($F69*K68)+($F70*K70)+(($G66-SUM($F66:$F70))*K71))))))),2)</f>
        <v>17153.690000000002</v>
      </c>
      <c r="N72" s="374">
        <f>$I66+ROUND(IF($H66&lt;$F66,($H66*K66),IF($H66&lt;SUM($F66:$F67),(($F66*K66)+(($H66-$F66)*K67)),IF($H66&lt;SUM($F66:$F68),(($F66*K66)+($F67*K67)+(($H66-$F66-$F67)*K68)),IF($H66&lt;SUM($F66:$F69),(($F66*K66)+($F67*K67)+($F68*K68)+(($H66-SUM($F66:$F68))*K69)),IF($H66&lt;SUM($F66:$F70),(($F66*K66)+($F67*K67)+($F68*K68)+($F69*K69)+(($H66-SUM($F66:$F69))*K70)),(($F66*K66)+($F67*K67)+($F68*K68)+($F69*K68)+($F70*K70)+(($H66-SUM($F66:$F70))*K71))))))),2)</f>
        <v>17272.870000000003</v>
      </c>
      <c r="O72" s="374">
        <f>$I66+ROUND(IF($G66&lt;$F66,($G66*L66),IF($G66&lt;SUM($F66:$F67),(($F66*L66)+(($G66-$F66)*L67)),IF($G66&lt;SUM($F66:$F68),(($F66*L66)+($F67*L67)+(($G66-$F66-$F67)*L68)),IF($G66&lt;SUM($F66:$F69),(($F66*L66)+($F67*L67)+($F68*L68)+(($G66-SUM($F66:$F68))*L69)),IF($G66&lt;SUM($F66:$F70),(($F66*L66)+($F67*L67)+($F68*L68)+($F69*L69)+(($G66-SUM($F66:$F69))*L70)),(($F66*L66)+($F67*L67)+($F68*L68)+($F69*L68)+($F70*L70)+(($G66-SUM($F66:$F70))*L71))))))),2)</f>
        <v>22571.599999999999</v>
      </c>
      <c r="P72" s="374">
        <f>$I66+ROUND(IF($H66&lt;$F66,($H66*L66),IF($H66&lt;SUM($F66:$F67),(($F66*L66)+(($H66-$F66)*L67)),IF($H66&lt;SUM($F66:$F68),(($F66*L66)+($F67*L67)+(($H66-$F66-$F67)*L68)),IF($H66&lt;SUM($F66:$F69),(($F66*L66)+($F67*L67)+($F68*L68)+(($H66-SUM($F66:$F68))*L69)),IF($H66&lt;SUM($F66:$F70),(($F66*L66)+($F67*L67)+($F68*L68)+($F69*L69)+(($H66-SUM($F66:$F69))*L70)),(($F66*L66)+($F67*L67)+($F68*L68)+($F69*L68)+($F70*L70)+(($H66-SUM($F66:$F70))*L71))))))),2)</f>
        <v>22733.599999999999</v>
      </c>
      <c r="Q72" s="376"/>
      <c r="R72" s="374">
        <f>$J66+ROUND(IF($G66&lt;$F66,($G66*Q66),IF($G66&lt;SUM($F66:$F67),(($F66*Q66)+(($G66-$F66)*Q67)),IF($G66&lt;SUM($F66:$F68),(($F66*Q66)+($F67*Q67)+(($G66-$F66-$F67)*Q68)),IF($G66&lt;SUM($F66:$F69),(($F66*Q66)+($F67*Q67)+($F68*Q68)+(($G66-SUM($F66:$F68))*Q69)),IF($G66&lt;SUM($F66:$F70),(($F66*Q66)+($F67*Q67)+($F68*Q68)+($F69*Q69)+(($G66-SUM($F66:$F69))*Q70)),(($F66*Q66)+($F67*Q67)+($F68*Q68)+($F69*Q68)+($F70*Q70)+(($G66-SUM($F66:$F70))*Q71))))))),2)</f>
        <v>17860.509999999998</v>
      </c>
      <c r="S72" s="377">
        <f>ROUND((R72-M72)/M72,3)</f>
        <v>4.1000000000000002E-2</v>
      </c>
      <c r="T72" s="375"/>
      <c r="U72" s="374">
        <f>$I66+ROUND(IF($H66&lt;$F66,($H66*T66),IF($H66&lt;SUM($F66:$F67),(($F66*T66)+(($H66-$F66)*T67)),IF($H66&lt;SUM($F66:$F68),(($F66*T66)+($F67*T67)+(($H66-$F66-$F67)*T68)),IF($H66&lt;SUM($F66:$F69),(($F66*T66)+($F67*T67)+($F68*T68)+(($H66-SUM($F66:$F68))*T69)),IF($H66&lt;SUM($F66:$F70),(($F66*T66)+($F67*T67)+($F68*T68)+($F69*T69)+(($H66-SUM($F66:$F69))*T70)),(($F66*T66)+($F67*T67)+($F68*T68)+($F69*T68)+($F70*T70)+(($H66-SUM($F66:$F70))*T71))))))),2)</f>
        <v>22174.58</v>
      </c>
      <c r="V72" s="571">
        <f>ROUND((U72-N72)/N72,3)</f>
        <v>0.28399999999999997</v>
      </c>
      <c r="W72" s="375"/>
      <c r="X72" s="374">
        <f>$J66+ROUND(IF($G66&lt;$F66,($G66*W66),IF($G66&lt;SUM($F66:$F67),(($F66*W66)+(($G66-$F66)*W67)),IF($G66&lt;SUM($F66:$F68),(($F66*W66)+($F67*W67)+(($G66-$F66-$F67)*W68)),IF($G66&lt;SUM($F66:$F69),(($F66*W66)+($F67*W67)+($F68*W68)+(($G66-SUM($F66:$F68))*W69)),IF($G66&lt;SUM($F66:$F70),(($F66*W66)+($F67*W67)+($F68*W68)+($F69*W69)+(($G66-SUM($F66:$F69))*W70)),(($F66*W66)+($F67*W67)+($F68*W68)+($F69*W68)+($F70*W70)+(($G66-SUM($F66:$F70))*W71))))))),2)</f>
        <v>17090.75</v>
      </c>
      <c r="Y72" s="571">
        <f t="shared" ref="Y72" si="104">ROUND(($X72-$M72)/$M72,3)</f>
        <v>-4.0000000000000001E-3</v>
      </c>
      <c r="Z72" s="375"/>
      <c r="AA72" s="374">
        <f>$J66+ROUND(IF($G66&lt;$F66,($G66*Z66),IF($G66&lt;SUM($F66:$F67),(($F66*Z66)+(($G66-$F66)*Z67)),IF($G66&lt;SUM($F66:$F68),(($F66*Z66)+($F67*Z67)+(($G66-$F66-$F67)*Z68)),IF($G66&lt;SUM($F66:$F69),(($F66*Z66)+($F67*Z67)+($F68*Z68)+(($G66-SUM($F66:$F68))*Z69)),IF($G66&lt;SUM($F66:$F70),(($F66*Z66)+($F67*Z67)+($F68*Z68)+($F69*Z69)+(($G66-SUM($F66:$F69))*Z70)),(($F66*Z66)+($F67*Z67)+($F68*Z68)+($F69*Z68)+($F70*Z70)+(($G66-SUM($F66:$F70))*Z71))))))),2)</f>
        <v>17041.120000000003</v>
      </c>
      <c r="AB72" s="571">
        <f>ROUND(($AA72-$M72)/$M72,3)</f>
        <v>-7.0000000000000001E-3</v>
      </c>
      <c r="AC72" s="374"/>
      <c r="AD72" s="374">
        <f>$J66+ROUND(IF($G66&lt;$F66,($G66*AC66),IF($G66&lt;SUM($F66:$F67),(($F66*AC66)+(($G66-$F66)*AC67)),IF($G66&lt;SUM($F66:$F68),(($F66*AC66)+($F67*AC67)+(($G66-$F66-$F67)*AC68)),IF($G66&lt;SUM($F66:$F69),(($F66*AC66)+($F67*AC67)+($F68*AC68)+(($G66-SUM($F66:$F68))*AC69)),IF($G66&lt;SUM($F66:$F70),(($F66*AC66)+($F67*AC67)+($F68*AC68)+($F69*AC69)+(($G66-SUM($F66:$F69))*AC70)),(($F66*AC66)+($F67*AC67)+($F68*AC68)+($F69*AC68)+($F70*AC70)+(($G66-SUM($F66:$F70))*AC71))))))),2)</f>
        <v>17093.809999999998</v>
      </c>
      <c r="AE72" s="571">
        <f>ROUND(($AD72-$M72)/$M72,3)</f>
        <v>-3.0000000000000001E-3</v>
      </c>
      <c r="AF72" s="374"/>
      <c r="AG72" s="374">
        <f>$J66+ROUND(IF($G66&lt;$F66,($G66*AF66),IF($G66&lt;SUM($F66:$F67),(($F66*AF66)+(($G66-$F66)*AF67)),IF($G66&lt;SUM($F66:$F68),(($F66*AF66)+($F67*AF67)+(($G66-$F66-$F67)*AF68)),IF($G66&lt;SUM($F66:$F69),(($F66*AF66)+($F67*AF67)+($F68*AF68)+(($G66-SUM($F66:$F68))*AF69)),IF($G66&lt;SUM($F66:$F70),(($F66*AF66)+($F67*AF67)+($F68*AF68)+($F69*AF69)+(($G66-SUM($F66:$F69))*AF70)),(($F66*AF66)+($F67*AF67)+($F68*AF68)+($F69*AF68)+($F70*AF70)+(($G66-SUM($F66:$F70))*AF71))))))),2)</f>
        <v>17174.809999999998</v>
      </c>
      <c r="AH72" s="571">
        <f t="shared" ref="AH72" si="105">ROUND(($AG72-$M72)/$M72,3)</f>
        <v>1E-3</v>
      </c>
      <c r="AI72" s="376"/>
      <c r="AJ72" s="374">
        <f>$J66+ROUND(IF($G66&lt;$F66,($G66*AI66),IF($G66&lt;SUM($F66:$F67),(($F66*AI66)+(($G66-$F66)*AI67)),IF($G66&lt;SUM($F66:$F68),(($F66*AI66)+($F67*AI67)+(($G66-$F66-$F67)*AI68)),IF($G66&lt;SUM($F66:$F69),(($F66*AI66)+($F67*AI67)+($F68*AI68)+(($G66-SUM($F66:$F68))*AI69)),IF($G66&lt;SUM($F66:$F70),(($F66*AI66)+($F67*AI67)+($F68*AI68)+($F69*AI69)+(($G66-SUM($F66:$F69))*AI70)),(($F66*AI66)+($F67*AI67)+($F68*AI68)+($F69*AI68)+($F70*AI70)+(($G66-SUM($F66:$F70))*AI71))))))),2)</f>
        <v>22571.599999999999</v>
      </c>
      <c r="AK72" s="377">
        <f>ROUND((AJ72-M72)/M72,3)</f>
        <v>0.316</v>
      </c>
      <c r="AL72" s="374">
        <f t="shared" si="55"/>
        <v>5417.9099999999962</v>
      </c>
      <c r="AM72" s="376"/>
      <c r="AN72" s="374">
        <f>$J66+ROUND(IF($G66&lt;$F66,($G66*AM66),IF($G66&lt;SUM($F66:$F67),(($F66*AM66)+(($G66-$F66)*AM67)),IF($G66&lt;SUM($F66:$F68),(($F66*AM66)+($F67*AM67)+(($G66-$F66-$F67)*AM68)),IF($G66&lt;SUM($F66:$F69),(($F66*AM66)+($F67*AM67)+($F68*AM68)+(($G66-SUM($F66:$F68))*AM69)),IF($G66&lt;SUM($F66:$F70),(($F66*AM66)+($F67*AM67)+($F68*AM68)+($F69*AM69)+(($G66-SUM($F66:$F69))*AM70)),(($F66*AM66)+($F67*AM67)+($F68*AM68)+($F69*AM68)+($F70*AM70)+(($G66-SUM($F66:$F70))*AM71))))))),2)</f>
        <v>22998.51</v>
      </c>
      <c r="AO72" s="377">
        <f>ROUND((AN72-O72)/O72,3)</f>
        <v>1.9E-2</v>
      </c>
      <c r="AP72" s="375"/>
      <c r="AQ72" s="374">
        <f>$I66+ROUND(IF($G66&lt;$F66,($G66*AP66),IF($G66&lt;SUM($F66:$F67),(($F66*AP66)+(($G66-$F66)*AP67)),IF($G66&lt;SUM($F66:$F68),(($F66*AP66)+($F67*AP67)+(($G66-$F66-$F67)*AP68)),IF($G66&lt;SUM($F66:$F69),(($F66*AP66)+($F67*AP67)+($F68*AP68)+(($G66-SUM($F66:$F68))*AP69)),IF($G66&lt;SUM($F66:$F70),(($F66*AP66)+($F67*AP67)+($F68*AP68)+($F69*AP69)+(($G66-SUM($F66:$F69))*AP70)),(($F66*AP66)+($F67*AP67)+($F68*AP68)+($F69*AP68)+($F70*AP70)+(($G66-SUM($F66:$F70))*AP71))))))),2)</f>
        <v>30351.64</v>
      </c>
      <c r="AR72" s="571">
        <f t="shared" si="58"/>
        <v>0.34499999999999997</v>
      </c>
      <c r="AS72" s="376"/>
      <c r="AT72" s="374">
        <f>$J66+ROUND(IF($G66&lt;$F66,($G66*AS66),IF($G66&lt;SUM($F66:$F67),(($F66*AS66)+(($G66-$F66)*AS67)),IF($G66&lt;SUM($F66:$F68),(($F66*AS66)+($F67*AS67)+(($G66-$F66-$F67)*AS68)),IF($G66&lt;SUM($F66:$F69),(($F66*AS66)+($F67*AS67)+($F68*AS68)+(($G66-SUM($F66:$F68))*AS69)),IF($G66&lt;SUM($F66:$F70),(($F66*AS66)+($F67*AS67)+($F68*AS68)+($F69*AS69)+(($G66-SUM($F66:$F69))*AS70)),(($F66*AS66)+($F67*AS67)+($F68*AS68)+($F69*AS68)+($F70*AS70)+(($G66-SUM($F66:$F70))*AS71))))))),2)</f>
        <v>22565.49</v>
      </c>
      <c r="AU72" s="377">
        <f>ROUND(($AT72-$O72)/$O72,3)</f>
        <v>0</v>
      </c>
      <c r="AV72" s="376"/>
      <c r="AW72" s="374">
        <f>$J66+ROUND(IF($G66&lt;$F66,($G66*AV66),IF($G66&lt;SUM($F66:$F67),(($F66*AV66)+(($G66-$F66)*AV67)),IF($G66&lt;SUM($F66:$F68),(($F66*AV66)+($F67*AV67)+(($G66-$F66-$F67)*AV68)),IF($G66&lt;SUM($F66:$F69),(($F66*AV66)+($F67*AV67)+($F68*AV68)+(($G66-SUM($F66:$F68))*AV69)),IF($G66&lt;SUM($F66:$F70),(($F66*AV66)+($F67*AV67)+($F68*AV68)+($F69*AV69)+(($G66-SUM($F66:$F69))*AV70)),(($F66*AV66)+($F67*AV67)+($F68*AV68)+($F69*AV68)+($F70*AV70)+(($G66-SUM($F66:$F70))*AV71))))))),2)</f>
        <v>22459.03</v>
      </c>
      <c r="AX72" s="377">
        <f>ROUND(($AW72-$O72)/$O72,3)</f>
        <v>-5.0000000000000001E-3</v>
      </c>
      <c r="AY72" s="376"/>
      <c r="AZ72" s="374">
        <f>$J66+ROUND(IF($G66&lt;$F66,($G66*AY66),IF($G66&lt;SUM($F66:$F67),(($F66*AY66)+(($G66-$F66)*AY67)),IF($G66&lt;SUM($F66:$F68),(($F66*AY66)+($F67*AY67)+(($G66-$F66-$F67)*AY68)),IF($G66&lt;SUM($F66:$F69),(($F66*AY66)+($F67*AY67)+($F68*AY68)+(($G66-SUM($F66:$F68))*AY69)),IF($G66&lt;SUM($F66:$F70),(($F66*AY66)+($F67*AY67)+($F68*AY68)+($F69*AY69)+(($G66-SUM($F66:$F69))*AY70)),(($F66*AY66)+($F67*AY67)+($F68*AY68)+($F69*AY68)+($F70*AY70)+(($G66-SUM($F66:$F70))*AY71))))))),2)</f>
        <v>22511.52</v>
      </c>
      <c r="BA72" s="377">
        <f>ROUND(($AT72-$O72)/$O72,3)</f>
        <v>0</v>
      </c>
      <c r="BB72" s="376"/>
      <c r="BC72" s="1726">
        <f t="shared" si="72"/>
        <v>22571.599999999999</v>
      </c>
      <c r="BD72" s="1722">
        <f t="shared" si="70"/>
        <v>0</v>
      </c>
      <c r="BE72" s="376"/>
      <c r="BF72" s="374">
        <f>$J66+ROUND(IF($G66&lt;$F66,($G66*BE66),IF($G66&lt;SUM($F66:$F67),(($F66*BE66)+(($G66-$F66)*BE67)),IF($G66&lt;SUM($F66:$F68),(($F66*BE66)+($F67*BE67)+(($G66-$F66-$F67)*BE68)),IF($G66&lt;SUM($F66:$F69),(($F66*BE66)+($F67*BE67)+($F68*BE68)+(($G66-SUM($F66:$F68))*BE69)),IF($G66&lt;SUM($F66:$F70),(($F66*BE66)+($F67*BE67)+($F68*BE68)+($F69*BE69)+(($G66-SUM($F66:$F69))*BE70)),(($F66*BE66)+($F67*BE67)+($F68*BE68)+($F69*BE68)+($F70*BE70)+(($G66-SUM($F66:$F70))*BE71))))))),2)</f>
        <v>30599.77</v>
      </c>
      <c r="BG72" s="377">
        <f>ROUND((BF72-O72)/O72,3)</f>
        <v>0.35599999999999998</v>
      </c>
      <c r="BH72" s="1576">
        <f t="shared" si="63"/>
        <v>8028.1700000000019</v>
      </c>
      <c r="BI72" s="365"/>
      <c r="BJ72" s="365"/>
      <c r="BK72" s="365"/>
      <c r="BL72" s="365"/>
      <c r="BM72" s="365"/>
      <c r="BN72" s="365"/>
      <c r="BO72" s="365"/>
      <c r="BP72" s="365"/>
      <c r="BQ72" s="365"/>
      <c r="BR72" s="365"/>
    </row>
    <row r="73" spans="1:83" x14ac:dyDescent="0.3">
      <c r="A73" s="85">
        <f t="shared" si="17"/>
        <v>66</v>
      </c>
      <c r="B73" s="709" t="str">
        <f>'WA Volumes &amp; Revenues'!B63</f>
        <v>42I Interr Sales</v>
      </c>
      <c r="C73" s="858" t="s">
        <v>4</v>
      </c>
      <c r="D73" s="294">
        <f>'WA Volumes &amp; Revenues'!E63</f>
        <v>156740</v>
      </c>
      <c r="E73" s="294">
        <f>'WA Volumes &amp; Revenues'!F63</f>
        <v>160966</v>
      </c>
      <c r="F73" s="294">
        <v>10000</v>
      </c>
      <c r="G73" s="295">
        <f>+'WA Volumes &amp; Revenues'!I63</f>
        <v>13758</v>
      </c>
      <c r="H73" s="295">
        <f>'WA Volumes &amp; Revenues'!L63</f>
        <v>8520</v>
      </c>
      <c r="I73" s="862">
        <f>'WA Volumes &amp; Revenues'!O63</f>
        <v>1300</v>
      </c>
      <c r="J73" s="367">
        <f>'WA Volumes &amp; Revenues'!N63</f>
        <v>1300</v>
      </c>
      <c r="K73" s="121">
        <f>+'Rates in summary'!D62</f>
        <v>0.4161399999999999</v>
      </c>
      <c r="L73" s="121">
        <f>+'Rates in summary'!M62</f>
        <v>0.54884999999999984</v>
      </c>
      <c r="M73" s="367"/>
      <c r="N73" s="367"/>
      <c r="O73" s="942"/>
      <c r="P73" s="942"/>
      <c r="Q73" s="368">
        <f>'Rates in summary'!H62-'Rates in summary'!F62</f>
        <v>0.42854999999999988</v>
      </c>
      <c r="R73" s="367"/>
      <c r="S73" s="369"/>
      <c r="T73" s="368">
        <f>'Rates in summary'!L62</f>
        <v>0.53791999999999984</v>
      </c>
      <c r="U73" s="367"/>
      <c r="V73" s="570"/>
      <c r="W73" s="368">
        <f>'Rates in Detail'!J61+'Rates in Detail'!P61</f>
        <v>0.41359999999999991</v>
      </c>
      <c r="X73" s="367"/>
      <c r="Y73" s="570"/>
      <c r="Z73" s="368">
        <f>'Rates in Detail'!J61+'Rates in Detail'!S61</f>
        <v>0.4161399999999999</v>
      </c>
      <c r="AA73" s="367"/>
      <c r="AB73" s="570"/>
      <c r="AC73" s="121">
        <f>'Rates in Detail'!J61+'Rates in Detail'!T61</f>
        <v>0.41385999999999989</v>
      </c>
      <c r="AD73" s="367"/>
      <c r="AE73" s="570"/>
      <c r="AF73" s="121">
        <f>'Rates in Detail'!J61+'Rates in Detail'!U61</f>
        <v>0.41693999999999992</v>
      </c>
      <c r="AG73" s="367"/>
      <c r="AH73" s="570"/>
      <c r="AI73" s="368">
        <f>'Rates in summary'!M62</f>
        <v>0.54884999999999984</v>
      </c>
      <c r="AJ73" s="367"/>
      <c r="AK73" s="369"/>
      <c r="AL73" s="1200"/>
      <c r="AM73" s="368">
        <f>L73+'Rates in summary'!N62</f>
        <v>0.55450999999999984</v>
      </c>
      <c r="AN73" s="367"/>
      <c r="AO73" s="369"/>
      <c r="AP73" s="368">
        <f>'Rates in summary'!U62</f>
        <v>0.74781999999999993</v>
      </c>
      <c r="AQ73" s="367"/>
      <c r="AR73" s="570"/>
      <c r="AS73" s="368">
        <f>L73+'Rates in Detail'!AD61</f>
        <v>0.54862999999999984</v>
      </c>
      <c r="AT73" s="367"/>
      <c r="AU73" s="369"/>
      <c r="AV73" s="368">
        <f>L73+'Rates in Detail'!AE61</f>
        <v>0.54884999999999984</v>
      </c>
      <c r="AW73" s="367"/>
      <c r="AX73" s="369"/>
      <c r="AY73" s="368">
        <f>L73+'Rates in Detail'!AF61</f>
        <v>0.54663999999999979</v>
      </c>
      <c r="AZ73" s="367"/>
      <c r="BA73" s="369"/>
      <c r="BB73" s="368">
        <f t="shared" si="71"/>
        <v>0.54884999999999984</v>
      </c>
      <c r="BC73" s="1200"/>
      <c r="BD73" s="1721"/>
      <c r="BE73" s="368">
        <f>'Rates in summary'!W62</f>
        <v>0.75104999999999977</v>
      </c>
      <c r="BF73" s="367"/>
      <c r="BG73" s="369"/>
      <c r="BH73" s="570"/>
    </row>
    <row r="74" spans="1:83" x14ac:dyDescent="0.3">
      <c r="A74" s="85">
        <f t="shared" si="17"/>
        <v>67</v>
      </c>
      <c r="B74" s="709"/>
      <c r="C74" s="858" t="s">
        <v>5</v>
      </c>
      <c r="D74" s="294">
        <f>'WA Volumes &amp; Revenues'!E64</f>
        <v>159690</v>
      </c>
      <c r="E74" s="294">
        <f>'WA Volumes &amp; Revenues'!F64</f>
        <v>145741</v>
      </c>
      <c r="F74" s="294">
        <v>20000</v>
      </c>
      <c r="G74" s="295"/>
      <c r="H74" s="295"/>
      <c r="I74" s="862"/>
      <c r="J74" s="367"/>
      <c r="K74" s="121">
        <f>+'Rates in summary'!D63</f>
        <v>0.40022999999999992</v>
      </c>
      <c r="L74" s="121">
        <f>+'Rates in summary'!M63</f>
        <v>0.53171999999999986</v>
      </c>
      <c r="M74" s="367"/>
      <c r="N74" s="367"/>
      <c r="O74" s="942"/>
      <c r="P74" s="942"/>
      <c r="Q74" s="368">
        <f>'Rates in summary'!H63-'Rates in summary'!F63</f>
        <v>0.41133999999999993</v>
      </c>
      <c r="R74" s="367"/>
      <c r="S74" s="369"/>
      <c r="T74" s="368">
        <f>'Rates in summary'!L63</f>
        <v>0.52192999999999989</v>
      </c>
      <c r="U74" s="367"/>
      <c r="V74" s="570"/>
      <c r="W74" s="368">
        <f>'Rates in Detail'!J62+'Rates in Detail'!P62</f>
        <v>0.39795999999999992</v>
      </c>
      <c r="X74" s="367"/>
      <c r="Y74" s="570"/>
      <c r="Z74" s="368">
        <f>'Rates in Detail'!J62+'Rates in Detail'!S62</f>
        <v>0.40022999999999992</v>
      </c>
      <c r="AA74" s="367"/>
      <c r="AB74" s="570"/>
      <c r="AC74" s="121">
        <f>'Rates in Detail'!J62+'Rates in Detail'!T62</f>
        <v>0.39818999999999993</v>
      </c>
      <c r="AD74" s="367"/>
      <c r="AE74" s="570"/>
      <c r="AF74" s="121">
        <f>'Rates in Detail'!J62+'Rates in Detail'!U62</f>
        <v>0.40094999999999992</v>
      </c>
      <c r="AG74" s="367"/>
      <c r="AH74" s="570"/>
      <c r="AI74" s="368">
        <f>'Rates in summary'!M63</f>
        <v>0.53171999999999986</v>
      </c>
      <c r="AJ74" s="367"/>
      <c r="AK74" s="369"/>
      <c r="AL74" s="1200"/>
      <c r="AM74" s="368">
        <f>L74+'Rates in summary'!N63</f>
        <v>0.53678999999999988</v>
      </c>
      <c r="AN74" s="367"/>
      <c r="AO74" s="369"/>
      <c r="AP74" s="368">
        <f>'Rates in summary'!U63</f>
        <v>0.73085999999999984</v>
      </c>
      <c r="AQ74" s="367"/>
      <c r="AR74" s="570"/>
      <c r="AS74" s="368">
        <f>L74+'Rates in Detail'!AD62</f>
        <v>0.53151999999999988</v>
      </c>
      <c r="AT74" s="367"/>
      <c r="AU74" s="369"/>
      <c r="AV74" s="368">
        <f>L74+'Rates in Detail'!AE62</f>
        <v>0.53171999999999986</v>
      </c>
      <c r="AW74" s="367"/>
      <c r="AX74" s="369"/>
      <c r="AY74" s="368">
        <f>L74+'Rates in Detail'!AF62</f>
        <v>0.52974999999999983</v>
      </c>
      <c r="AZ74" s="367"/>
      <c r="BA74" s="369"/>
      <c r="BB74" s="368">
        <f t="shared" si="71"/>
        <v>0.53171999999999986</v>
      </c>
      <c r="BC74" s="1200"/>
      <c r="BD74" s="1721"/>
      <c r="BE74" s="368">
        <f>'Rates in summary'!W63</f>
        <v>0.73375999999999997</v>
      </c>
      <c r="BF74" s="367"/>
      <c r="BG74" s="369"/>
      <c r="BH74" s="570"/>
    </row>
    <row r="75" spans="1:83" x14ac:dyDescent="0.3">
      <c r="A75" s="85">
        <f t="shared" si="17"/>
        <v>68</v>
      </c>
      <c r="B75" s="709"/>
      <c r="C75" s="858" t="s">
        <v>6</v>
      </c>
      <c r="D75" s="294">
        <f>'WA Volumes &amp; Revenues'!E65</f>
        <v>0</v>
      </c>
      <c r="E75" s="294">
        <f>'WA Volumes &amp; Revenues'!F65</f>
        <v>0</v>
      </c>
      <c r="F75" s="294">
        <v>20000</v>
      </c>
      <c r="G75" s="295"/>
      <c r="H75" s="295"/>
      <c r="I75" s="862"/>
      <c r="J75" s="367"/>
      <c r="K75" s="121">
        <f>+'Rates in summary'!D64</f>
        <v>0.36857999999999996</v>
      </c>
      <c r="L75" s="121">
        <f>+'Rates in summary'!M64</f>
        <v>0.49761999999999995</v>
      </c>
      <c r="M75" s="367"/>
      <c r="N75" s="367"/>
      <c r="O75" s="942"/>
      <c r="P75" s="942"/>
      <c r="Q75" s="368">
        <f>'Rates in summary'!H64-'Rates in summary'!F64</f>
        <v>0.37709999999999999</v>
      </c>
      <c r="R75" s="367"/>
      <c r="S75" s="369"/>
      <c r="T75" s="368">
        <f>'Rates in summary'!L64</f>
        <v>0.49010999999999993</v>
      </c>
      <c r="U75" s="367"/>
      <c r="V75" s="570"/>
      <c r="W75" s="368">
        <f>'Rates in Detail'!J63+'Rates in Detail'!P63</f>
        <v>0.36683999999999994</v>
      </c>
      <c r="X75" s="367"/>
      <c r="Y75" s="570"/>
      <c r="Z75" s="368">
        <f>'Rates in Detail'!J63+'Rates in Detail'!S63</f>
        <v>0.36857999999999996</v>
      </c>
      <c r="AA75" s="367"/>
      <c r="AB75" s="570"/>
      <c r="AC75" s="121">
        <f>'Rates in Detail'!J63+'Rates in Detail'!T63</f>
        <v>0.36701999999999996</v>
      </c>
      <c r="AD75" s="367"/>
      <c r="AE75" s="570"/>
      <c r="AF75" s="121">
        <f>'Rates in Detail'!J63+'Rates in Detail'!U63</f>
        <v>0.36912999999999996</v>
      </c>
      <c r="AG75" s="367"/>
      <c r="AH75" s="570"/>
      <c r="AI75" s="368">
        <f>'Rates in summary'!M64</f>
        <v>0.49761999999999995</v>
      </c>
      <c r="AJ75" s="367"/>
      <c r="AK75" s="369"/>
      <c r="AL75" s="1200"/>
      <c r="AM75" s="368">
        <f>L75+'Rates in summary'!N64</f>
        <v>0.5015099999999999</v>
      </c>
      <c r="AN75" s="367"/>
      <c r="AO75" s="369"/>
      <c r="AP75" s="368">
        <f>'Rates in summary'!U64</f>
        <v>0.69713000000000003</v>
      </c>
      <c r="AQ75" s="367"/>
      <c r="AR75" s="570"/>
      <c r="AS75" s="368">
        <f>L75+'Rates in Detail'!AD63</f>
        <v>0.49746999999999997</v>
      </c>
      <c r="AT75" s="367"/>
      <c r="AU75" s="369"/>
      <c r="AV75" s="368">
        <f>L75+'Rates in Detail'!AE63</f>
        <v>0.49761999999999995</v>
      </c>
      <c r="AW75" s="367"/>
      <c r="AX75" s="369"/>
      <c r="AY75" s="368">
        <f>L75+'Rates in Detail'!AF63</f>
        <v>0.49610999999999994</v>
      </c>
      <c r="AZ75" s="367"/>
      <c r="BA75" s="369"/>
      <c r="BB75" s="368">
        <f t="shared" si="71"/>
        <v>0.49761999999999995</v>
      </c>
      <c r="BC75" s="1200"/>
      <c r="BD75" s="1721"/>
      <c r="BE75" s="368">
        <f>'Rates in summary'!W64</f>
        <v>0.69935999999999998</v>
      </c>
      <c r="BF75" s="367"/>
      <c r="BG75" s="369"/>
      <c r="BH75" s="570"/>
    </row>
    <row r="76" spans="1:83" x14ac:dyDescent="0.3">
      <c r="A76" s="85">
        <f t="shared" si="17"/>
        <v>69</v>
      </c>
      <c r="B76" s="709"/>
      <c r="C76" s="858" t="s">
        <v>7</v>
      </c>
      <c r="D76" s="294">
        <f>'WA Volumes &amp; Revenues'!E66</f>
        <v>0</v>
      </c>
      <c r="E76" s="294">
        <f>'WA Volumes &amp; Revenues'!F66</f>
        <v>0</v>
      </c>
      <c r="F76" s="294">
        <v>100000</v>
      </c>
      <c r="G76" s="295"/>
      <c r="H76" s="295"/>
      <c r="I76" s="862"/>
      <c r="J76" s="367"/>
      <c r="K76" s="121">
        <f>+'Rates in summary'!D65</f>
        <v>0.34777000000000002</v>
      </c>
      <c r="L76" s="121">
        <f>+'Rates in summary'!M65</f>
        <v>0.47520000000000001</v>
      </c>
      <c r="M76" s="367"/>
      <c r="N76" s="367"/>
      <c r="O76" s="942"/>
      <c r="P76" s="942"/>
      <c r="Q76" s="368">
        <f>'Rates in summary'!H65-'Rates in summary'!F65</f>
        <v>0.35459000000000002</v>
      </c>
      <c r="R76" s="367"/>
      <c r="S76" s="369"/>
      <c r="T76" s="368">
        <f>'Rates in summary'!L65</f>
        <v>0.46919</v>
      </c>
      <c r="U76" s="367"/>
      <c r="V76" s="570"/>
      <c r="W76" s="368">
        <f>'Rates in Detail'!J64+'Rates in Detail'!P64</f>
        <v>0.34638000000000002</v>
      </c>
      <c r="X76" s="367"/>
      <c r="Y76" s="570"/>
      <c r="Z76" s="368">
        <f>'Rates in Detail'!J64+'Rates in Detail'!S64</f>
        <v>0.34777000000000002</v>
      </c>
      <c r="AA76" s="367"/>
      <c r="AB76" s="570"/>
      <c r="AC76" s="121">
        <f>'Rates in Detail'!J64+'Rates in Detail'!T64</f>
        <v>0.34652000000000005</v>
      </c>
      <c r="AD76" s="367"/>
      <c r="AE76" s="570"/>
      <c r="AF76" s="121">
        <f>'Rates in Detail'!J64+'Rates in Detail'!U64</f>
        <v>0.34821000000000002</v>
      </c>
      <c r="AG76" s="367"/>
      <c r="AH76" s="570"/>
      <c r="AI76" s="368">
        <f>'Rates in summary'!M65</f>
        <v>0.47520000000000001</v>
      </c>
      <c r="AJ76" s="367"/>
      <c r="AK76" s="369"/>
      <c r="AL76" s="1200"/>
      <c r="AM76" s="368">
        <f>L76+'Rates in summary'!N65</f>
        <v>0.47831000000000001</v>
      </c>
      <c r="AN76" s="367"/>
      <c r="AO76" s="369"/>
      <c r="AP76" s="368">
        <f>'Rates in summary'!U65</f>
        <v>0.67493000000000003</v>
      </c>
      <c r="AQ76" s="367"/>
      <c r="AR76" s="570"/>
      <c r="AS76" s="368">
        <f>L76+'Rates in Detail'!AD64</f>
        <v>0.47508</v>
      </c>
      <c r="AT76" s="367"/>
      <c r="AU76" s="369"/>
      <c r="AV76" s="368">
        <f>L76+'Rates in Detail'!AE64</f>
        <v>0.47520000000000001</v>
      </c>
      <c r="AW76" s="367"/>
      <c r="AX76" s="369"/>
      <c r="AY76" s="368">
        <f>L76+'Rates in Detail'!AF64</f>
        <v>0.47399000000000002</v>
      </c>
      <c r="AZ76" s="367"/>
      <c r="BA76" s="369"/>
      <c r="BB76" s="368">
        <f t="shared" si="71"/>
        <v>0.47520000000000001</v>
      </c>
      <c r="BC76" s="1200"/>
      <c r="BD76" s="1721"/>
      <c r="BE76" s="368">
        <f>'Rates in summary'!W65</f>
        <v>0.67671000000000014</v>
      </c>
      <c r="BF76" s="367"/>
      <c r="BG76" s="369"/>
      <c r="BH76" s="570"/>
    </row>
    <row r="77" spans="1:83" x14ac:dyDescent="0.3">
      <c r="A77" s="85">
        <f t="shared" si="17"/>
        <v>70</v>
      </c>
      <c r="B77" s="709"/>
      <c r="C77" s="858" t="s">
        <v>8</v>
      </c>
      <c r="D77" s="294">
        <f>'WA Volumes &amp; Revenues'!E67</f>
        <v>0</v>
      </c>
      <c r="E77" s="294">
        <f>'WA Volumes &amp; Revenues'!F67</f>
        <v>0</v>
      </c>
      <c r="F77" s="294">
        <v>600000</v>
      </c>
      <c r="G77" s="295"/>
      <c r="H77" s="295"/>
      <c r="I77" s="862"/>
      <c r="J77" s="367"/>
      <c r="K77" s="121">
        <f>+'Rates in summary'!D66</f>
        <v>0.32002000000000003</v>
      </c>
      <c r="L77" s="121">
        <f>+'Rates in summary'!M66</f>
        <v>0.44528000000000001</v>
      </c>
      <c r="M77" s="367"/>
      <c r="N77" s="367"/>
      <c r="O77" s="942"/>
      <c r="P77" s="942"/>
      <c r="Q77" s="368">
        <f>'Rates in summary'!H66-'Rates in summary'!F66</f>
        <v>0.32456000000000002</v>
      </c>
      <c r="R77" s="367"/>
      <c r="S77" s="369"/>
      <c r="T77" s="368">
        <f>'Rates in summary'!L66</f>
        <v>0.44128000000000001</v>
      </c>
      <c r="U77" s="367"/>
      <c r="V77" s="570"/>
      <c r="W77" s="368">
        <f>'Rates in Detail'!J65+'Rates in Detail'!P65</f>
        <v>0.31909000000000004</v>
      </c>
      <c r="X77" s="367"/>
      <c r="Y77" s="570"/>
      <c r="Z77" s="368">
        <f>'Rates in Detail'!J65+'Rates in Detail'!S65</f>
        <v>0.32002000000000003</v>
      </c>
      <c r="AA77" s="367"/>
      <c r="AB77" s="570"/>
      <c r="AC77" s="121">
        <f>'Rates in Detail'!J65+'Rates in Detail'!T65</f>
        <v>0.31919000000000003</v>
      </c>
      <c r="AD77" s="367"/>
      <c r="AE77" s="570"/>
      <c r="AF77" s="121">
        <f>'Rates in Detail'!J65+'Rates in Detail'!U65</f>
        <v>0.32031000000000004</v>
      </c>
      <c r="AG77" s="367"/>
      <c r="AH77" s="570"/>
      <c r="AI77" s="368">
        <f>'Rates in summary'!M66</f>
        <v>0.44528000000000001</v>
      </c>
      <c r="AJ77" s="367"/>
      <c r="AK77" s="369"/>
      <c r="AL77" s="1200"/>
      <c r="AM77" s="368">
        <f>L77+'Rates in summary'!N66</f>
        <v>0.44735000000000003</v>
      </c>
      <c r="AN77" s="367"/>
      <c r="AO77" s="369"/>
      <c r="AP77" s="368">
        <f>'Rates in summary'!U66</f>
        <v>0.64534000000000002</v>
      </c>
      <c r="AQ77" s="367"/>
      <c r="AR77" s="570"/>
      <c r="AS77" s="368">
        <f>L77+'Rates in Detail'!AD65</f>
        <v>0.44519999999999998</v>
      </c>
      <c r="AT77" s="367"/>
      <c r="AU77" s="369"/>
      <c r="AV77" s="368">
        <f>L77+'Rates in Detail'!AE65</f>
        <v>0.44528000000000001</v>
      </c>
      <c r="AW77" s="367"/>
      <c r="AX77" s="369"/>
      <c r="AY77" s="368">
        <f>L77+'Rates in Detail'!AF65</f>
        <v>0.44447000000000003</v>
      </c>
      <c r="AZ77" s="367"/>
      <c r="BA77" s="369"/>
      <c r="BB77" s="368">
        <f t="shared" si="71"/>
        <v>0.44528000000000001</v>
      </c>
      <c r="BC77" s="1200"/>
      <c r="BD77" s="1721"/>
      <c r="BE77" s="368">
        <f>'Rates in summary'!W66</f>
        <v>0.64651999999999998</v>
      </c>
      <c r="BF77" s="367"/>
      <c r="BG77" s="369"/>
      <c r="BH77" s="570"/>
    </row>
    <row r="78" spans="1:83" x14ac:dyDescent="0.3">
      <c r="A78" s="85">
        <f t="shared" si="17"/>
        <v>71</v>
      </c>
      <c r="B78" s="709"/>
      <c r="C78" s="858" t="s">
        <v>9</v>
      </c>
      <c r="D78" s="294">
        <f>'WA Volumes &amp; Revenues'!E68</f>
        <v>0</v>
      </c>
      <c r="E78" s="294">
        <f>'WA Volumes &amp; Revenues'!F68</f>
        <v>0</v>
      </c>
      <c r="F78" s="366" t="s">
        <v>72</v>
      </c>
      <c r="G78" s="295"/>
      <c r="H78" s="295"/>
      <c r="I78" s="862"/>
      <c r="J78" s="367"/>
      <c r="K78" s="121">
        <f>+'Rates in summary'!D67</f>
        <v>0.2853</v>
      </c>
      <c r="L78" s="121">
        <f>+'Rates in summary'!M67</f>
        <v>0.40789999999999998</v>
      </c>
      <c r="M78" s="367"/>
      <c r="N78" s="367"/>
      <c r="O78" s="942"/>
      <c r="P78" s="942"/>
      <c r="Q78" s="368">
        <f>'Rates in summary'!H67-'Rates in summary'!F67</f>
        <v>0.28699999999999998</v>
      </c>
      <c r="R78" s="367"/>
      <c r="S78" s="369"/>
      <c r="T78" s="368">
        <f>'Rates in summary'!L67</f>
        <v>0.40639999999999998</v>
      </c>
      <c r="U78" s="367"/>
      <c r="V78" s="570"/>
      <c r="W78" s="368">
        <f>'Rates in Detail'!J66+'Rates in Detail'!P66</f>
        <v>0.28494999999999998</v>
      </c>
      <c r="X78" s="367"/>
      <c r="Y78" s="570"/>
      <c r="Z78" s="368">
        <f>'Rates in Detail'!J66+'Rates in Detail'!S66</f>
        <v>0.2853</v>
      </c>
      <c r="AA78" s="367"/>
      <c r="AB78" s="570"/>
      <c r="AC78" s="121">
        <f>'Rates in Detail'!J66+'Rates in Detail'!T66</f>
        <v>0.28499000000000002</v>
      </c>
      <c r="AD78" s="367"/>
      <c r="AE78" s="570"/>
      <c r="AF78" s="121">
        <f>'Rates in Detail'!J66+'Rates in Detail'!U66</f>
        <v>0.28541</v>
      </c>
      <c r="AG78" s="367"/>
      <c r="AH78" s="570"/>
      <c r="AI78" s="368">
        <f>'Rates in summary'!M67</f>
        <v>0.40789999999999998</v>
      </c>
      <c r="AJ78" s="367"/>
      <c r="AK78" s="369"/>
      <c r="AL78" s="1200"/>
      <c r="AM78" s="368">
        <f>L78+'Rates in summary'!N67</f>
        <v>0.40867999999999999</v>
      </c>
      <c r="AN78" s="367"/>
      <c r="AO78" s="369"/>
      <c r="AP78" s="368">
        <f>'Rates in summary'!U67</f>
        <v>0.6083400000000001</v>
      </c>
      <c r="AQ78" s="367"/>
      <c r="AR78" s="570"/>
      <c r="AS78" s="368">
        <f>L78+'Rates in Detail'!AD66</f>
        <v>0.40787000000000001</v>
      </c>
      <c r="AT78" s="367"/>
      <c r="AU78" s="369"/>
      <c r="AV78" s="368">
        <f>L78+'Rates in Detail'!AE66</f>
        <v>0.40789999999999998</v>
      </c>
      <c r="AW78" s="367"/>
      <c r="AX78" s="369"/>
      <c r="AY78" s="368">
        <f>L78+'Rates in Detail'!AF66</f>
        <v>0.40759999999999996</v>
      </c>
      <c r="AZ78" s="367"/>
      <c r="BA78" s="369"/>
      <c r="BB78" s="368">
        <f t="shared" si="71"/>
        <v>0.40789999999999998</v>
      </c>
      <c r="BC78" s="1200"/>
      <c r="BD78" s="1721"/>
      <c r="BE78" s="368">
        <f>'Rates in summary'!W67</f>
        <v>0.60879000000000005</v>
      </c>
      <c r="BF78" s="367"/>
      <c r="BG78" s="369"/>
      <c r="BH78" s="570"/>
    </row>
    <row r="79" spans="1:83" x14ac:dyDescent="0.3">
      <c r="A79" s="85">
        <f t="shared" si="17"/>
        <v>72</v>
      </c>
      <c r="B79" s="707"/>
      <c r="C79" s="859" t="s">
        <v>76</v>
      </c>
      <c r="D79" s="370"/>
      <c r="E79" s="370"/>
      <c r="F79" s="371"/>
      <c r="G79" s="372"/>
      <c r="H79" s="372"/>
      <c r="I79" s="863"/>
      <c r="J79" s="374"/>
      <c r="K79" s="373"/>
      <c r="L79" s="373"/>
      <c r="M79" s="374">
        <f>$I73+ROUND(IF($G73&lt;$F73,($G73*K73),IF($G73&lt;SUM($F73:$F74),(($F73*K73)+(($G73-$F73)*K74)),IF($G73&lt;SUM($F73:$F75),(($F73*K73)+($F74*K74)+(($G73-$F73-$F74)*K75)),IF($G73&lt;SUM($F73:$F76),(($F73*K73)+($F74*K74)+($F75*K75)+(($G73-SUM($F73:$F75))*K76)),IF($G73&lt;SUM($F73:$F77),(($F73*K73)+($F74*K74)+($F75*K75)+($F76*K76)+(($G73-SUM($F73:$F76))*K77)),(($F73*K73)+($F74*K74)+($F75*K75)+($F76*K75)+($F77*K77)+(($G73-SUM($F73:$F77))*K78))))))),2)</f>
        <v>6965.46</v>
      </c>
      <c r="N79" s="374">
        <f>$I73+ROUND(IF($H73&lt;$F73,($H73*K73),IF($H73&lt;SUM($F73:$F74),(($F73*K73)+(($H73-$F73)*K74)),IF($H73&lt;SUM($F73:$F75),(($F73*K73)+($F74*K74)+(($H73-$F73-$F74)*K75)),IF($H73&lt;SUM($F73:$F76),(($F73*K73)+($F74*K74)+($F75*K75)+(($H73-SUM($F73:$F75))*K76)),IF($H73&lt;SUM($F73:$F77),(($F73*K73)+($F74*K74)+($F75*K75)+($F76*K76)+(($H73-SUM($F73:$F76))*K77)),(($F73*K73)+($F74*K74)+($F75*K75)+($F76*K75)+($F77*K77)+(($H73-SUM($F73:$F77))*K78))))))),2)</f>
        <v>4845.51</v>
      </c>
      <c r="O79" s="374">
        <f>$I73+ROUND(IF($G73&lt;$F73,($G73*L73),IF($G73&lt;SUM($F73:$F74),(($F73*L73)+(($G73-$F73)*L74)),IF($G73&lt;SUM($F73:$F75),(($F73*L73)+($F74*L74)+(($G73-$F73-$F74)*L75)),IF($G73&lt;SUM($F73:$F76),(($F73*L73)+($F74*L74)+($F75*L75)+(($G73-SUM($F73:$F75))*L76)),IF($G73&lt;SUM($F73:$F77),(($F73*L73)+($F74*L74)+($F75*L75)+($F76*L76)+(($G73-SUM($F73:$F76))*L77)),(($F73*L73)+($F74*L74)+($F75*L75)+($F76*L75)+($F77*L77)+(($G73-SUM($F73:$F77))*L78))))))),2)</f>
        <v>8786.7000000000007</v>
      </c>
      <c r="P79" s="374">
        <f>$I73+ROUND(IF($H73&lt;$F73,($H73*L73),IF($H73&lt;SUM($F73:$F74),(($F73*L73)+(($H73-$F73)*L74)),IF($H73&lt;SUM($F73:$F75),(($F73*L73)+($F74*L74)+(($H73-$F73-$F74)*L75)),IF($H73&lt;SUM($F73:$F76),(($F73*L73)+($F74*L74)+($F75*L75)+(($H73-SUM($F73:$F75))*L76)),IF($H73&lt;SUM($F73:$F77),(($F73*L73)+($F74*L74)+($F75*L75)+($F76*L76)+(($H73-SUM($F73:$F76))*L77)),(($F73*L73)+($F74*L74)+($F75*L75)+($F76*L75)+($F77*L77)+(($H73-SUM($F73:$F77))*L78))))))),2)</f>
        <v>5976.2</v>
      </c>
      <c r="Q79" s="376"/>
      <c r="R79" s="374">
        <f>$J73+ROUND(IF($G73&lt;$F73,($G73*Q73),IF($G73&lt;SUM($F73:$F74),(($F73*Q73)+(($G73-$F73)*Q74)),IF($G73&lt;SUM($F73:$F75),(($F73*Q73)+($F74*Q74)+(($G73-$F73-$F74)*Q75)),IF($G73&lt;SUM($F73:$F76),(($F73*Q73)+($F74*Q74)+($F75*Q75)+(($G73-SUM($F73:$F75))*Q76)),IF($G73&lt;SUM($F73:$F77),(($F73*Q73)+($F74*Q74)+($F75*Q75)+($F76*Q76)+(($G73-SUM($F73:$F76))*Q77)),(($F73*Q73)+($F74*Q74)+($F75*Q75)+($F76*Q75)+($F77*Q77)+(($G73-SUM($F73:$F77))*Q78))))))),2)</f>
        <v>7131.32</v>
      </c>
      <c r="S79" s="377">
        <f>ROUND((R79-M79)/M79,3)</f>
        <v>2.4E-2</v>
      </c>
      <c r="T79" s="375"/>
      <c r="U79" s="374">
        <f>$I73+ROUND(IF($H73&lt;$F73,($H73*T73),IF($H73&lt;SUM($F73:$F74),(($F73*T73)+(($H73-$F73)*T74)),IF($H73&lt;SUM($F73:$F75),(($F73*T73)+($F74*T74)+(($H73-$F73-$F74)*T75)),IF($H73&lt;SUM($F73:$F76),(($F73*T73)+($F74*T74)+($F75*T75)+(($H73-SUM($F73:$F75))*T76)),IF($H73&lt;SUM($F73:$F77),(($F73*T73)+($F74*T74)+($F75*T75)+($F76*T76)+(($H73-SUM($F73:$F76))*T77)),(($F73*T73)+($F74*T74)+($F75*T75)+($F76*T75)+($F77*T77)+(($H73-SUM($F73:$F77))*T78))))))),2)</f>
        <v>5883.08</v>
      </c>
      <c r="V79" s="571">
        <f>ROUND((U79-N79)/N79,3)</f>
        <v>0.214</v>
      </c>
      <c r="W79" s="375"/>
      <c r="X79" s="374">
        <f>$J73+ROUND(IF($G73&lt;$F73,($G73*W73),IF($G73&lt;SUM($F73:$F74),(($F73*W73)+(($G73-$F73)*W74)),IF($G73&lt;SUM($F73:$F75),(($F73*W73)+($F74*W74)+(($G73-$F73-$F74)*W75)),IF($G73&lt;SUM($F73:$F76),(($F73*W73)+($F74*W74)+($F75*W75)+(($G73-SUM($F73:$F75))*W76)),IF($G73&lt;SUM($F73:$F77),(($F73*W73)+($F74*W74)+($F75*W75)+($F76*W76)+(($G73-SUM($F73:$F76))*W77)),(($F73*W73)+($F74*W74)+($F75*W75)+($F76*W75)+($F77*W77)+(($G73-SUM($F73:$F77))*W78))))))),2)</f>
        <v>6931.53</v>
      </c>
      <c r="Y79" s="571">
        <f t="shared" ref="Y79" si="106">ROUND(($X79-$M79)/$M79,3)</f>
        <v>-5.0000000000000001E-3</v>
      </c>
      <c r="Z79" s="375"/>
      <c r="AA79" s="374">
        <f>$J73+ROUND(IF($G73&lt;$F73,($G73*Z73),IF($G73&lt;SUM($F73:$F74),(($F73*Z73)+(($G73-$F73)*Z74)),IF($G73&lt;SUM($F73:$F75),(($F73*Z73)+($F74*Z74)+(($G73-$F73-$F74)*Z75)),IF($G73&lt;SUM($F73:$F76),(($F73*Z73)+($F74*Z74)+($F75*Z75)+(($G73-SUM($F73:$F75))*Z76)),IF($G73&lt;SUM($F73:$F77),(($F73*Z73)+($F74*Z74)+($F75*Z75)+($F76*Z76)+(($G73-SUM($F73:$F76))*Z77)),(($F73*Z73)+($F74*Z74)+($F75*Z75)+($F76*Z75)+($F77*Z77)+(($G73-SUM($F73:$F77))*Z78))))))),2)</f>
        <v>6965.46</v>
      </c>
      <c r="AB79" s="571">
        <f>ROUND(($AA79-$M79)/$M79,3)</f>
        <v>0</v>
      </c>
      <c r="AC79" s="374"/>
      <c r="AD79" s="374">
        <f>$J73+ROUND(IF($G73&lt;$F73,($G73*AC73),IF($G73&lt;SUM($F73:$F74),(($F73*AC73)+(($G73-$F73)*AC74)),IF($G73&lt;SUM($F73:$F75),(($F73*AC73)+($F74*AC74)+(($G73-$F73-$F74)*AC75)),IF($G73&lt;SUM($F73:$F76),(($F73*AC73)+($F74*AC74)+($F75*AC75)+(($G73-SUM($F73:$F75))*AC76)),IF($G73&lt;SUM($F73:$F77),(($F73*AC73)+($F74*AC74)+($F75*AC75)+($F76*AC76)+(($G73-SUM($F73:$F76))*AC77)),(($F73*AC73)+($F74*AC74)+($F75*AC75)+($F76*AC75)+($F77*AC77)+(($G73-SUM($F73:$F77))*AC78))))))),2)</f>
        <v>6935</v>
      </c>
      <c r="AE79" s="571">
        <f>ROUND(($AD79-$M79)/$M79,3)</f>
        <v>-4.0000000000000001E-3</v>
      </c>
      <c r="AF79" s="374"/>
      <c r="AG79" s="374">
        <f>$J73+ROUND(IF($G73&lt;$F73,($G73*AF73),IF($G73&lt;SUM($F73:$F74),(($F73*AF73)+(($G73-$F73)*AF74)),IF($G73&lt;SUM($F73:$F75),(($F73*AF73)+($F74*AF74)+(($G73-$F73-$F74)*AF75)),IF($G73&lt;SUM($F73:$F76),(($F73*AF73)+($F74*AF74)+($F75*AF75)+(($G73-SUM($F73:$F75))*AF76)),IF($G73&lt;SUM($F73:$F77),(($F73*AF73)+($F74*AF74)+($F75*AF75)+($F76*AF76)+(($G73-SUM($F73:$F76))*AF77)),(($F73*AF73)+($F74*AF74)+($F75*AF75)+($F76*AF75)+($F77*AF77)+(($G73-SUM($F73:$F77))*AF78))))))),2)</f>
        <v>6976.17</v>
      </c>
      <c r="AH79" s="571">
        <f t="shared" ref="AH79" si="107">ROUND(($AG79-$M79)/$M79,3)</f>
        <v>2E-3</v>
      </c>
      <c r="AI79" s="376"/>
      <c r="AJ79" s="374">
        <f>$J73+ROUND(IF($G73&lt;$F73,($G73*AI73),IF($G73&lt;SUM($F73:$F74),(($F73*AI73)+(($G73-$F73)*AI74)),IF($G73&lt;SUM($F73:$F75),(($F73*AI73)+($F74*AI74)+(($G73-$F73-$F74)*AI75)),IF($G73&lt;SUM($F73:$F76),(($F73*AI73)+($F74*AI74)+($F75*AI75)+(($G73-SUM($F73:$F75))*AI76)),IF($G73&lt;SUM($F73:$F77),(($F73*AI73)+($F74*AI74)+($F75*AI75)+($F76*AI76)+(($G73-SUM($F73:$F76))*AI77)),(($F73*AI73)+($F74*AI74)+($F75*AI75)+($F76*AI75)+($F77*AI77)+(($G73-SUM($F73:$F77))*AI78))))))),2)</f>
        <v>8786.7000000000007</v>
      </c>
      <c r="AK79" s="377">
        <f>ROUND((AJ79-M79)/M79,3)</f>
        <v>0.26100000000000001</v>
      </c>
      <c r="AL79" s="374">
        <f t="shared" ref="AL79:AL96" si="108">AJ79-M79</f>
        <v>1821.2400000000007</v>
      </c>
      <c r="AM79" s="376"/>
      <c r="AN79" s="374">
        <f>$J73+ROUND(IF($G73&lt;$F73,($G73*AM73),IF($G73&lt;SUM($F73:$F74),(($F73*AM73)+(($G73-$F73)*AM74)),IF($G73&lt;SUM($F73:$F75),(($F73*AM73)+($F74*AM74)+(($G73-$F73-$F74)*AM75)),IF($G73&lt;SUM($F73:$F76),(($F73*AM73)+($F74*AM74)+($F75*AM75)+(($G73-SUM($F73:$F75))*AM76)),IF($G73&lt;SUM($F73:$F77),(($F73*AM73)+($F74*AM74)+($F75*AM75)+($F76*AM76)+(($G73-SUM($F73:$F76))*AM77)),(($F73*AM73)+($F74*AM74)+($F75*AM75)+($F76*AM75)+($F77*AM77)+(($G73-SUM($F73:$F77))*AM78))))))),2)</f>
        <v>8862.36</v>
      </c>
      <c r="AO79" s="377">
        <f>ROUND((AN79-O79)/O79,3)</f>
        <v>8.9999999999999993E-3</v>
      </c>
      <c r="AP79" s="375"/>
      <c r="AQ79" s="374">
        <f>$I73+ROUND(IF($G73&lt;$F73,($G73*AP73),IF($G73&lt;SUM($F73:$F74),(($F73*AP73)+(($G73-$F73)*AP74)),IF($G73&lt;SUM($F73:$F75),(($F73*AP73)+($F74*AP74)+(($G73-$F73-$F74)*AP75)),IF($G73&lt;SUM($F73:$F76),(($F73*AP73)+($F74*AP74)+($F75*AP75)+(($G73-SUM($F73:$F75))*AP76)),IF($G73&lt;SUM($F73:$F77),(($F73*AP73)+($F74*AP74)+($F75*AP75)+($F76*AP76)+(($G73-SUM($F73:$F76))*AP77)),(($F73*AP73)+($F74*AP74)+($F75*AP75)+($F76*AP75)+($F77*AP77)+(($G73-SUM($F73:$F77))*AP78))))))),2)</f>
        <v>11524.77</v>
      </c>
      <c r="AR79" s="571">
        <f t="shared" ref="AR79:AR95" si="109">ROUND((AQ79-O79)/O79,3)</f>
        <v>0.312</v>
      </c>
      <c r="AS79" s="376"/>
      <c r="AT79" s="374">
        <f>$J73+ROUND(IF($G73&lt;$F73,($G73*AS73),IF($G73&lt;SUM($F73:$F74),(($F73*AS73)+(($G73-$F73)*AS74)),IF($G73&lt;SUM($F73:$F75),(($F73*AS73)+($F74*AS74)+(($G73-$F73-$F74)*AS75)),IF($G73&lt;SUM($F73:$F76),(($F73*AS73)+($F74*AS74)+($F75*AS75)+(($G73-SUM($F73:$F75))*AS76)),IF($G73&lt;SUM($F73:$F77),(($F73*AS73)+($F74*AS74)+($F75*AS75)+($F76*AS76)+(($G73-SUM($F73:$F76))*AS77)),(($F73*AS73)+($F74*AS74)+($F75*AS75)+($F76*AS75)+($F77*AS77)+(($G73-SUM($F73:$F77))*AS78))))))),2)</f>
        <v>8783.75</v>
      </c>
      <c r="AU79" s="377">
        <f>ROUND(($AT79-$O79)/$O79,3)</f>
        <v>0</v>
      </c>
      <c r="AV79" s="376"/>
      <c r="AW79" s="374">
        <f>$J73+ROUND(IF($G73&lt;$F73,($G73*AV73),IF($G73&lt;SUM($F73:$F74),(($F73*AV73)+(($G73-$F73)*AV74)),IF($G73&lt;SUM($F73:$F75),(($F73*AV73)+($F74*AV74)+(($G73-$F73-$F74)*AV75)),IF($G73&lt;SUM($F73:$F76),(($F73*AV73)+($F74*AV74)+($F75*AV75)+(($G73-SUM($F73:$F75))*AV76)),IF($G73&lt;SUM($F73:$F77),(($F73*AV73)+($F74*AV74)+($F75*AV75)+($F76*AV76)+(($G73-SUM($F73:$F76))*AV77)),(($F73*AV73)+($F74*AV74)+($F75*AV75)+($F76*AV75)+($F77*AV77)+(($G73-SUM($F73:$F77))*AV78))))))),2)</f>
        <v>8786.7000000000007</v>
      </c>
      <c r="AX79" s="377">
        <f>ROUND(($AW79-$O79)/$O79,3)</f>
        <v>0</v>
      </c>
      <c r="AY79" s="376"/>
      <c r="AZ79" s="374">
        <f>$J73+ROUND(IF($G73&lt;$F73,($G73*AY73),IF($G73&lt;SUM($F73:$F74),(($F73*AY73)+(($G73-$F73)*AY74)),IF($G73&lt;SUM($F73:$F75),(($F73*AY73)+($F74*AY74)+(($G73-$F73-$F74)*AY75)),IF($G73&lt;SUM($F73:$F76),(($F73*AY73)+($F74*AY74)+($F75*AY75)+(($G73-SUM($F73:$F75))*AY76)),IF($G73&lt;SUM($F73:$F77),(($F73*AY73)+($F74*AY74)+($F75*AY75)+($F76*AY76)+(($G73-SUM($F73:$F76))*AY77)),(($F73*AY73)+($F74*AY74)+($F75*AY75)+($F76*AY75)+($F77*AY77)+(($G73-SUM($F73:$F77))*AY78))))))),2)</f>
        <v>8757.2000000000007</v>
      </c>
      <c r="BA79" s="377">
        <f>ROUND(($AT79-$O79)/$O79,3)</f>
        <v>0</v>
      </c>
      <c r="BB79" s="376"/>
      <c r="BC79" s="1726">
        <f t="shared" si="72"/>
        <v>8786.7000000000007</v>
      </c>
      <c r="BD79" s="1722">
        <f t="shared" si="70"/>
        <v>0</v>
      </c>
      <c r="BE79" s="376"/>
      <c r="BF79" s="374">
        <f>$J73+ROUND(IF($G73&lt;$F73,($G73*BE73),IF($G73&lt;SUM($F73:$F74),(($F73*BE73)+(($G73-$F73)*BE74)),IF($G73&lt;SUM($F73:$F75),(($F73*BE73)+($F74*BE74)+(($G73-$F73-$F74)*BE75)),IF($G73&lt;SUM($F73:$F76),(($F73*BE73)+($F74*BE74)+($F75*BE75)+(($G73-SUM($F73:$F75))*BE76)),IF($G73&lt;SUM($F73:$F77),(($F73*BE73)+($F74*BE74)+($F75*BE75)+($F76*BE76)+(($G73-SUM($F73:$F76))*BE77)),(($F73*BE73)+($F74*BE74)+($F75*BE75)+($F76*BE75)+($F77*BE77)+(($G73-SUM($F73:$F77))*BE78))))))),2)</f>
        <v>11567.97</v>
      </c>
      <c r="BG79" s="377">
        <f>ROUND((BF79-O79)/O79,3)</f>
        <v>0.317</v>
      </c>
      <c r="BH79" s="1576">
        <f t="shared" ref="BH79:BH96" si="110">BF79-O79</f>
        <v>2781.2699999999986</v>
      </c>
      <c r="BI79" s="365"/>
      <c r="BJ79" s="365"/>
      <c r="BK79" s="365"/>
      <c r="BL79" s="365"/>
      <c r="BM79" s="365"/>
      <c r="BN79" s="365"/>
      <c r="BO79" s="365"/>
      <c r="BP79" s="365"/>
      <c r="BQ79" s="365"/>
      <c r="BR79" s="365"/>
    </row>
    <row r="80" spans="1:83" x14ac:dyDescent="0.3">
      <c r="A80" s="85">
        <f t="shared" si="17"/>
        <v>73</v>
      </c>
      <c r="B80" s="709" t="str">
        <f>'WA Volumes &amp; Revenues'!B69</f>
        <v>42C Inter Transpt</v>
      </c>
      <c r="C80" s="858" t="s">
        <v>4</v>
      </c>
      <c r="D80" s="379">
        <f>'WA Volumes &amp; Revenues'!E69</f>
        <v>0</v>
      </c>
      <c r="E80" s="379">
        <f>'WA Volumes &amp; Revenues'!F69</f>
        <v>0</v>
      </c>
      <c r="F80" s="294">
        <v>10000</v>
      </c>
      <c r="G80" s="380">
        <f>'WA Volumes &amp; Revenues'!I69</f>
        <v>0</v>
      </c>
      <c r="H80" s="537">
        <f>'WA Volumes &amp; Revenues'!L69</f>
        <v>0</v>
      </c>
      <c r="I80" s="862">
        <f>'WA Volumes &amp; Revenues'!O69</f>
        <v>1550</v>
      </c>
      <c r="J80" s="367">
        <f>'WA Volumes &amp; Revenues'!N69</f>
        <v>1550</v>
      </c>
      <c r="K80" s="381">
        <f>+'Rates in summary'!D68</f>
        <v>0.13459999999999997</v>
      </c>
      <c r="L80" s="381">
        <f>+'Rates in summary'!M68</f>
        <v>0.13989999999999997</v>
      </c>
      <c r="M80" s="367"/>
      <c r="N80" s="367"/>
      <c r="O80" s="942"/>
      <c r="P80" s="942"/>
      <c r="Q80" s="382">
        <f>'Rates in summary'!H68-'Rates in summary'!F68</f>
        <v>0.13947999999999997</v>
      </c>
      <c r="R80" s="367"/>
      <c r="S80" s="369"/>
      <c r="T80" s="368">
        <f>'Rates in summary'!L68</f>
        <v>0.13562999999999997</v>
      </c>
      <c r="U80" s="367"/>
      <c r="V80" s="570"/>
      <c r="W80" s="368">
        <f>'Rates in Detail'!J67+'Rates in Detail'!P67</f>
        <v>0.13333999999999996</v>
      </c>
      <c r="X80" s="367"/>
      <c r="Y80" s="570"/>
      <c r="Z80" s="368">
        <f>'Rates in Detail'!J67+'Rates in Detail'!S67</f>
        <v>0.13459999999999997</v>
      </c>
      <c r="AA80" s="367"/>
      <c r="AB80" s="570"/>
      <c r="AC80" s="121">
        <f>'Rates in Detail'!J67+'Rates in Detail'!T67</f>
        <v>0.13347999999999996</v>
      </c>
      <c r="AD80" s="367"/>
      <c r="AE80" s="570"/>
      <c r="AF80" s="121">
        <f>'Rates in Detail'!J67+'Rates in Detail'!U67</f>
        <v>0.13510999999999998</v>
      </c>
      <c r="AG80" s="367"/>
      <c r="AH80" s="570"/>
      <c r="AI80" s="368">
        <f>'Rates in summary'!M68</f>
        <v>0.13989999999999997</v>
      </c>
      <c r="AJ80" s="367"/>
      <c r="AK80" s="369"/>
      <c r="AL80" s="1200"/>
      <c r="AM80" s="368">
        <f>L80+'Rates in summary'!N68</f>
        <v>0.14267999999999997</v>
      </c>
      <c r="AN80" s="367"/>
      <c r="AO80" s="369"/>
      <c r="AP80" s="368">
        <f>'Rates in summary'!U68</f>
        <v>0.14135999999999996</v>
      </c>
      <c r="AQ80" s="367"/>
      <c r="AR80" s="570"/>
      <c r="AS80" s="368">
        <f>L80+'Rates in Detail'!AD67</f>
        <v>0.13978999999999997</v>
      </c>
      <c r="AT80" s="367"/>
      <c r="AU80" s="369"/>
      <c r="AV80" s="368">
        <f>L80+'Rates in Detail'!AE67</f>
        <v>0.13989999999999997</v>
      </c>
      <c r="AW80" s="367"/>
      <c r="AX80" s="369"/>
      <c r="AY80" s="368">
        <f>L80+'Rates in Detail'!AF67</f>
        <v>0.13881999999999997</v>
      </c>
      <c r="AZ80" s="367"/>
      <c r="BA80" s="369"/>
      <c r="BB80" s="368">
        <f t="shared" si="71"/>
        <v>0.13989999999999997</v>
      </c>
      <c r="BC80" s="1200"/>
      <c r="BD80" s="1721"/>
      <c r="BE80" s="368">
        <f>'Rates in summary'!W68</f>
        <v>0.14294999999999997</v>
      </c>
      <c r="BF80" s="367"/>
      <c r="BG80" s="369"/>
      <c r="BH80" s="570"/>
    </row>
    <row r="81" spans="1:70" x14ac:dyDescent="0.3">
      <c r="A81" s="85">
        <f t="shared" si="17"/>
        <v>74</v>
      </c>
      <c r="B81" s="709"/>
      <c r="C81" s="858" t="s">
        <v>5</v>
      </c>
      <c r="D81" s="379">
        <f>'WA Volumes &amp; Revenues'!E70</f>
        <v>0</v>
      </c>
      <c r="E81" s="379">
        <f>'WA Volumes &amp; Revenues'!F70</f>
        <v>0</v>
      </c>
      <c r="F81" s="294">
        <v>20000</v>
      </c>
      <c r="G81" s="380"/>
      <c r="H81" s="380"/>
      <c r="I81" s="865"/>
      <c r="J81" s="651"/>
      <c r="K81" s="381">
        <f>+'Rates in summary'!D69</f>
        <v>0.12048999999999999</v>
      </c>
      <c r="L81" s="381">
        <f>+'Rates in summary'!M69</f>
        <v>0.12523999999999999</v>
      </c>
      <c r="M81" s="367"/>
      <c r="N81" s="367"/>
      <c r="O81" s="942"/>
      <c r="P81" s="942"/>
      <c r="Q81" s="382">
        <f>'Rates in summary'!H69-'Rates in summary'!F69</f>
        <v>0.12486999999999998</v>
      </c>
      <c r="R81" s="367"/>
      <c r="S81" s="369"/>
      <c r="T81" s="368">
        <f>'Rates in summary'!L69</f>
        <v>0.12140999999999999</v>
      </c>
      <c r="U81" s="367"/>
      <c r="V81" s="570"/>
      <c r="W81" s="368">
        <f>'Rates in Detail'!J68+'Rates in Detail'!P68</f>
        <v>0.11936999999999999</v>
      </c>
      <c r="X81" s="367"/>
      <c r="Y81" s="570"/>
      <c r="Z81" s="368">
        <f>'Rates in Detail'!J68+'Rates in Detail'!S68</f>
        <v>0.12048999999999999</v>
      </c>
      <c r="AA81" s="367"/>
      <c r="AB81" s="570"/>
      <c r="AC81" s="121">
        <f>'Rates in Detail'!J68+'Rates in Detail'!T68</f>
        <v>0.11948999999999999</v>
      </c>
      <c r="AD81" s="367"/>
      <c r="AE81" s="570"/>
      <c r="AF81" s="121">
        <f>'Rates in Detail'!J68+'Rates in Detail'!U68</f>
        <v>0.12093999999999999</v>
      </c>
      <c r="AG81" s="367"/>
      <c r="AH81" s="570"/>
      <c r="AI81" s="368">
        <f>'Rates in summary'!M69</f>
        <v>0.12523999999999999</v>
      </c>
      <c r="AJ81" s="367"/>
      <c r="AK81" s="369"/>
      <c r="AL81" s="1200"/>
      <c r="AM81" s="368">
        <f>L81+'Rates in summary'!N69</f>
        <v>0.12772999999999998</v>
      </c>
      <c r="AN81" s="367"/>
      <c r="AO81" s="369"/>
      <c r="AP81" s="368">
        <f>'Rates in summary'!U69</f>
        <v>0.12655</v>
      </c>
      <c r="AQ81" s="367"/>
      <c r="AR81" s="570"/>
      <c r="AS81" s="368">
        <f>L81+'Rates in Detail'!AD68</f>
        <v>0.12514</v>
      </c>
      <c r="AT81" s="367"/>
      <c r="AU81" s="369"/>
      <c r="AV81" s="368">
        <f>L81+'Rates in Detail'!AE68</f>
        <v>0.12523999999999999</v>
      </c>
      <c r="AW81" s="367"/>
      <c r="AX81" s="369"/>
      <c r="AY81" s="368">
        <f>L81+'Rates in Detail'!AF68</f>
        <v>0.12426999999999999</v>
      </c>
      <c r="AZ81" s="367"/>
      <c r="BA81" s="369"/>
      <c r="BB81" s="368">
        <f t="shared" si="71"/>
        <v>0.12523999999999999</v>
      </c>
      <c r="BC81" s="1200"/>
      <c r="BD81" s="1721"/>
      <c r="BE81" s="368">
        <f>'Rates in summary'!W69</f>
        <v>0.12797</v>
      </c>
      <c r="BF81" s="367"/>
      <c r="BG81" s="369"/>
      <c r="BH81" s="570"/>
    </row>
    <row r="82" spans="1:70" x14ac:dyDescent="0.3">
      <c r="A82" s="85">
        <f t="shared" si="17"/>
        <v>75</v>
      </c>
      <c r="B82" s="709"/>
      <c r="C82" s="858" t="s">
        <v>6</v>
      </c>
      <c r="D82" s="379">
        <f>'WA Volumes &amp; Revenues'!E71</f>
        <v>0</v>
      </c>
      <c r="E82" s="379">
        <f>'WA Volumes &amp; Revenues'!F71</f>
        <v>0</v>
      </c>
      <c r="F82" s="294">
        <v>20000</v>
      </c>
      <c r="G82" s="380"/>
      <c r="H82" s="380"/>
      <c r="I82" s="865"/>
      <c r="J82" s="651"/>
      <c r="K82" s="381">
        <f>+'Rates in summary'!D70</f>
        <v>9.2380000000000004E-2</v>
      </c>
      <c r="L82" s="381">
        <f>+'Rates in summary'!M70</f>
        <v>9.604E-2</v>
      </c>
      <c r="M82" s="367"/>
      <c r="N82" s="367"/>
      <c r="O82" s="942"/>
      <c r="P82" s="942"/>
      <c r="Q82" s="382">
        <f>'Rates in summary'!H70-'Rates in summary'!F70</f>
        <v>9.5740000000000006E-2</v>
      </c>
      <c r="R82" s="367"/>
      <c r="S82" s="369"/>
      <c r="T82" s="368">
        <f>'Rates in summary'!L70</f>
        <v>9.3100000000000002E-2</v>
      </c>
      <c r="U82" s="367"/>
      <c r="V82" s="570"/>
      <c r="W82" s="368">
        <f>'Rates in Detail'!J69+'Rates in Detail'!P69</f>
        <v>9.1520000000000004E-2</v>
      </c>
      <c r="X82" s="367"/>
      <c r="Y82" s="570"/>
      <c r="Z82" s="368">
        <f>'Rates in Detail'!J69+'Rates in Detail'!S69</f>
        <v>9.2380000000000004E-2</v>
      </c>
      <c r="AA82" s="367"/>
      <c r="AB82" s="570"/>
      <c r="AC82" s="121">
        <f>'Rates in Detail'!J69+'Rates in Detail'!T69</f>
        <v>9.1609999999999997E-2</v>
      </c>
      <c r="AD82" s="367"/>
      <c r="AE82" s="570"/>
      <c r="AF82" s="121">
        <f>'Rates in Detail'!J69+'Rates in Detail'!U69</f>
        <v>9.2730000000000007E-2</v>
      </c>
      <c r="AG82" s="367"/>
      <c r="AH82" s="570"/>
      <c r="AI82" s="368">
        <f>'Rates in summary'!M70</f>
        <v>9.604E-2</v>
      </c>
      <c r="AJ82" s="367"/>
      <c r="AK82" s="369"/>
      <c r="AL82" s="1200"/>
      <c r="AM82" s="368">
        <f>L82+'Rates in summary'!N70</f>
        <v>9.7949999999999995E-2</v>
      </c>
      <c r="AN82" s="367"/>
      <c r="AO82" s="369"/>
      <c r="AP82" s="368">
        <f>'Rates in summary'!U70</f>
        <v>9.7040000000000001E-2</v>
      </c>
      <c r="AQ82" s="367"/>
      <c r="AR82" s="570"/>
      <c r="AS82" s="368">
        <f>L82+'Rates in Detail'!AD69</f>
        <v>9.5960000000000004E-2</v>
      </c>
      <c r="AT82" s="367"/>
      <c r="AU82" s="369"/>
      <c r="AV82" s="368">
        <f>L82+'Rates in Detail'!AE69</f>
        <v>9.604E-2</v>
      </c>
      <c r="AW82" s="367"/>
      <c r="AX82" s="369"/>
      <c r="AY82" s="368">
        <f>L82+'Rates in Detail'!AF69</f>
        <v>9.5299999999999996E-2</v>
      </c>
      <c r="AZ82" s="367"/>
      <c r="BA82" s="369"/>
      <c r="BB82" s="368">
        <f t="shared" ref="BB82:BB96" si="111">L82</f>
        <v>9.604E-2</v>
      </c>
      <c r="BC82" s="1200"/>
      <c r="BD82" s="1721"/>
      <c r="BE82" s="368">
        <f>'Rates in summary'!W70</f>
        <v>9.8129999999999995E-2</v>
      </c>
      <c r="BF82" s="367"/>
      <c r="BG82" s="369"/>
      <c r="BH82" s="570"/>
    </row>
    <row r="83" spans="1:70" x14ac:dyDescent="0.3">
      <c r="A83" s="85">
        <f t="shared" si="17"/>
        <v>76</v>
      </c>
      <c r="B83" s="709"/>
      <c r="C83" s="858" t="s">
        <v>7</v>
      </c>
      <c r="D83" s="379">
        <f>'WA Volumes &amp; Revenues'!E72</f>
        <v>0</v>
      </c>
      <c r="E83" s="379">
        <f>'WA Volumes &amp; Revenues'!F72</f>
        <v>0</v>
      </c>
      <c r="F83" s="294">
        <v>100000</v>
      </c>
      <c r="G83" s="380"/>
      <c r="H83" s="380"/>
      <c r="I83" s="865"/>
      <c r="J83" s="651"/>
      <c r="K83" s="381">
        <f>+'Rates in summary'!D71</f>
        <v>7.392E-2</v>
      </c>
      <c r="L83" s="381">
        <f>+'Rates in summary'!M71</f>
        <v>7.6840000000000006E-2</v>
      </c>
      <c r="M83" s="367"/>
      <c r="N83" s="367"/>
      <c r="O83" s="942"/>
      <c r="P83" s="942"/>
      <c r="Q83" s="382">
        <f>'Rates in summary'!H71-'Rates in summary'!F71</f>
        <v>7.6600000000000001E-2</v>
      </c>
      <c r="R83" s="367"/>
      <c r="S83" s="369"/>
      <c r="T83" s="368">
        <f>'Rates in summary'!L71</f>
        <v>7.4490000000000001E-2</v>
      </c>
      <c r="U83" s="367"/>
      <c r="V83" s="570"/>
      <c r="W83" s="368">
        <f>'Rates in Detail'!J70+'Rates in Detail'!P70</f>
        <v>7.3230000000000003E-2</v>
      </c>
      <c r="X83" s="367"/>
      <c r="Y83" s="570"/>
      <c r="Z83" s="368">
        <f>'Rates in Detail'!J70+'Rates in Detail'!S70</f>
        <v>7.392E-2</v>
      </c>
      <c r="AA83" s="367"/>
      <c r="AB83" s="570"/>
      <c r="AC83" s="121">
        <f>'Rates in Detail'!J70+'Rates in Detail'!T70</f>
        <v>7.331E-2</v>
      </c>
      <c r="AD83" s="367"/>
      <c r="AE83" s="570"/>
      <c r="AF83" s="121">
        <f>'Rates in Detail'!J70+'Rates in Detail'!U70</f>
        <v>7.4200000000000002E-2</v>
      </c>
      <c r="AG83" s="367"/>
      <c r="AH83" s="570"/>
      <c r="AI83" s="368">
        <f>'Rates in summary'!M71</f>
        <v>7.6840000000000006E-2</v>
      </c>
      <c r="AJ83" s="367"/>
      <c r="AK83" s="369"/>
      <c r="AL83" s="1200"/>
      <c r="AM83" s="368">
        <f>L83+'Rates in summary'!N71</f>
        <v>7.8370000000000009E-2</v>
      </c>
      <c r="AN83" s="367"/>
      <c r="AO83" s="369"/>
      <c r="AP83" s="368">
        <f>'Rates in summary'!U71</f>
        <v>7.7630000000000005E-2</v>
      </c>
      <c r="AQ83" s="367"/>
      <c r="AR83" s="570"/>
      <c r="AS83" s="368">
        <f>L83+'Rates in Detail'!AD70</f>
        <v>7.6780000000000001E-2</v>
      </c>
      <c r="AT83" s="367"/>
      <c r="AU83" s="369"/>
      <c r="AV83" s="368">
        <f>L83+'Rates in Detail'!AE70</f>
        <v>7.6840000000000006E-2</v>
      </c>
      <c r="AW83" s="367"/>
      <c r="AX83" s="369"/>
      <c r="AY83" s="368">
        <f>L83+'Rates in Detail'!AF70</f>
        <v>7.6250000000000012E-2</v>
      </c>
      <c r="AZ83" s="367"/>
      <c r="BA83" s="369"/>
      <c r="BB83" s="368">
        <f t="shared" si="111"/>
        <v>7.6840000000000006E-2</v>
      </c>
      <c r="BC83" s="1200"/>
      <c r="BD83" s="1721"/>
      <c r="BE83" s="368">
        <f>'Rates in summary'!W71</f>
        <v>7.851000000000001E-2</v>
      </c>
      <c r="BF83" s="367"/>
      <c r="BG83" s="369"/>
      <c r="BH83" s="570"/>
    </row>
    <row r="84" spans="1:70" x14ac:dyDescent="0.3">
      <c r="A84" s="85">
        <f t="shared" si="17"/>
        <v>77</v>
      </c>
      <c r="B84" s="709"/>
      <c r="C84" s="858" t="s">
        <v>8</v>
      </c>
      <c r="D84" s="379">
        <f>'WA Volumes &amp; Revenues'!E73</f>
        <v>0</v>
      </c>
      <c r="E84" s="379">
        <f>'WA Volumes &amp; Revenues'!F73</f>
        <v>0</v>
      </c>
      <c r="F84" s="294">
        <v>600000</v>
      </c>
      <c r="G84" s="380"/>
      <c r="H84" s="380"/>
      <c r="I84" s="865"/>
      <c r="J84" s="651"/>
      <c r="K84" s="381">
        <f>+'Rates in summary'!D72</f>
        <v>4.929E-2</v>
      </c>
      <c r="L84" s="381">
        <f>+'Rates in summary'!M72</f>
        <v>5.1240000000000001E-2</v>
      </c>
      <c r="M84" s="367"/>
      <c r="N84" s="367"/>
      <c r="O84" s="942"/>
      <c r="P84" s="942"/>
      <c r="Q84" s="382">
        <f>'Rates in summary'!H72-'Rates in summary'!F72</f>
        <v>5.108E-2</v>
      </c>
      <c r="R84" s="367"/>
      <c r="S84" s="369"/>
      <c r="T84" s="368">
        <f>'Rates in summary'!L72</f>
        <v>4.9669999999999999E-2</v>
      </c>
      <c r="U84" s="367"/>
      <c r="V84" s="570"/>
      <c r="W84" s="368">
        <f>'Rates in Detail'!J71+'Rates in Detail'!P71</f>
        <v>4.8829999999999998E-2</v>
      </c>
      <c r="X84" s="367"/>
      <c r="Y84" s="570"/>
      <c r="Z84" s="368">
        <f>'Rates in Detail'!J71+'Rates in Detail'!S71</f>
        <v>4.929E-2</v>
      </c>
      <c r="AA84" s="367"/>
      <c r="AB84" s="570"/>
      <c r="AC84" s="121">
        <f>'Rates in Detail'!J71+'Rates in Detail'!T71</f>
        <v>4.888E-2</v>
      </c>
      <c r="AD84" s="367"/>
      <c r="AE84" s="570"/>
      <c r="AF84" s="121">
        <f>'Rates in Detail'!J71+'Rates in Detail'!U71</f>
        <v>4.9480000000000003E-2</v>
      </c>
      <c r="AG84" s="367"/>
      <c r="AH84" s="570"/>
      <c r="AI84" s="368">
        <f>'Rates in summary'!M72</f>
        <v>5.1240000000000001E-2</v>
      </c>
      <c r="AJ84" s="367"/>
      <c r="AK84" s="369"/>
      <c r="AL84" s="1200"/>
      <c r="AM84" s="368">
        <f>L84+'Rates in summary'!N72</f>
        <v>5.2260000000000001E-2</v>
      </c>
      <c r="AN84" s="367"/>
      <c r="AO84" s="369"/>
      <c r="AP84" s="368">
        <f>'Rates in summary'!U72</f>
        <v>5.1770000000000004E-2</v>
      </c>
      <c r="AQ84" s="367"/>
      <c r="AR84" s="570"/>
      <c r="AS84" s="368">
        <f>L84+'Rates in Detail'!AD71</f>
        <v>5.1200000000000002E-2</v>
      </c>
      <c r="AT84" s="367"/>
      <c r="AU84" s="369"/>
      <c r="AV84" s="368">
        <f>L84+'Rates in Detail'!AE71</f>
        <v>5.1240000000000001E-2</v>
      </c>
      <c r="AW84" s="367"/>
      <c r="AX84" s="369"/>
      <c r="AY84" s="368">
        <f>L84+'Rates in Detail'!AF71</f>
        <v>5.0840000000000003E-2</v>
      </c>
      <c r="AZ84" s="367"/>
      <c r="BA84" s="369"/>
      <c r="BB84" s="368">
        <f t="shared" si="111"/>
        <v>5.1240000000000001E-2</v>
      </c>
      <c r="BC84" s="1200"/>
      <c r="BD84" s="1721"/>
      <c r="BE84" s="368">
        <f>'Rates in summary'!W72</f>
        <v>5.2350000000000001E-2</v>
      </c>
      <c r="BF84" s="367"/>
      <c r="BG84" s="369"/>
      <c r="BH84" s="570"/>
    </row>
    <row r="85" spans="1:70" x14ac:dyDescent="0.3">
      <c r="A85" s="85">
        <f t="shared" si="17"/>
        <v>78</v>
      </c>
      <c r="B85" s="709"/>
      <c r="C85" s="858" t="s">
        <v>9</v>
      </c>
      <c r="D85" s="379">
        <f>'WA Volumes &amp; Revenues'!E74</f>
        <v>0</v>
      </c>
      <c r="E85" s="379">
        <f>'WA Volumes &amp; Revenues'!F74</f>
        <v>0</v>
      </c>
      <c r="F85" s="366" t="s">
        <v>72</v>
      </c>
      <c r="G85" s="380"/>
      <c r="H85" s="380"/>
      <c r="I85" s="865"/>
      <c r="J85" s="651"/>
      <c r="K85" s="381">
        <f>+'Rates in summary'!D73</f>
        <v>1.8460000000000001E-2</v>
      </c>
      <c r="L85" s="381">
        <f>+'Rates in summary'!M73</f>
        <v>1.9200000000000002E-2</v>
      </c>
      <c r="M85" s="367"/>
      <c r="N85" s="367"/>
      <c r="O85" s="942"/>
      <c r="P85" s="942"/>
      <c r="Q85" s="382">
        <f>'Rates in summary'!H73-'Rates in summary'!F73</f>
        <v>1.9130000000000001E-2</v>
      </c>
      <c r="R85" s="367"/>
      <c r="S85" s="369"/>
      <c r="T85" s="368">
        <f>'Rates in summary'!L73</f>
        <v>1.8610000000000002E-2</v>
      </c>
      <c r="U85" s="367"/>
      <c r="V85" s="570"/>
      <c r="W85" s="368">
        <f>'Rates in Detail'!J72+'Rates in Detail'!P72</f>
        <v>1.8290000000000001E-2</v>
      </c>
      <c r="X85" s="367"/>
      <c r="Y85" s="570"/>
      <c r="Z85" s="368">
        <f>'Rates in Detail'!J72+'Rates in Detail'!S72</f>
        <v>1.8460000000000001E-2</v>
      </c>
      <c r="AA85" s="367"/>
      <c r="AB85" s="570"/>
      <c r="AC85" s="121">
        <f>'Rates in Detail'!J72+'Rates in Detail'!T72</f>
        <v>1.831E-2</v>
      </c>
      <c r="AD85" s="367"/>
      <c r="AE85" s="570"/>
      <c r="AF85" s="121">
        <f>'Rates in Detail'!J72+'Rates in Detail'!U72</f>
        <v>1.8530000000000001E-2</v>
      </c>
      <c r="AG85" s="367"/>
      <c r="AH85" s="570"/>
      <c r="AI85" s="368">
        <f>'Rates in summary'!M73</f>
        <v>1.9200000000000002E-2</v>
      </c>
      <c r="AJ85" s="367"/>
      <c r="AK85" s="369"/>
      <c r="AL85" s="1200"/>
      <c r="AM85" s="368">
        <f>L85+'Rates in summary'!N73</f>
        <v>1.958E-2</v>
      </c>
      <c r="AN85" s="367"/>
      <c r="AO85" s="369"/>
      <c r="AP85" s="368">
        <f>'Rates in summary'!U73</f>
        <v>1.9400000000000001E-2</v>
      </c>
      <c r="AQ85" s="367"/>
      <c r="AR85" s="570"/>
      <c r="AS85" s="368">
        <f>L85+'Rates in Detail'!AD72</f>
        <v>1.9180000000000003E-2</v>
      </c>
      <c r="AT85" s="367"/>
      <c r="AU85" s="369"/>
      <c r="AV85" s="368">
        <f>L85+'Rates in Detail'!AE72</f>
        <v>1.9200000000000002E-2</v>
      </c>
      <c r="AW85" s="367"/>
      <c r="AX85" s="369"/>
      <c r="AY85" s="368">
        <f>L85+'Rates in Detail'!AF72</f>
        <v>1.9050000000000001E-2</v>
      </c>
      <c r="AZ85" s="367"/>
      <c r="BA85" s="369"/>
      <c r="BB85" s="368">
        <f t="shared" si="111"/>
        <v>1.9200000000000002E-2</v>
      </c>
      <c r="BC85" s="1200"/>
      <c r="BD85" s="1721"/>
      <c r="BE85" s="368">
        <f>'Rates in summary'!W73</f>
        <v>1.9609999999999999E-2</v>
      </c>
      <c r="BF85" s="367"/>
      <c r="BG85" s="369"/>
      <c r="BH85" s="570"/>
    </row>
    <row r="86" spans="1:70" x14ac:dyDescent="0.3">
      <c r="A86" s="85">
        <f t="shared" si="17"/>
        <v>79</v>
      </c>
      <c r="B86" s="707"/>
      <c r="C86" s="859" t="s">
        <v>76</v>
      </c>
      <c r="D86" s="370"/>
      <c r="E86" s="370"/>
      <c r="F86" s="371"/>
      <c r="G86" s="372"/>
      <c r="H86" s="372"/>
      <c r="I86" s="863"/>
      <c r="J86" s="374"/>
      <c r="K86" s="373"/>
      <c r="L86" s="373"/>
      <c r="M86" s="374">
        <f>$I80+ROUND(IF($G80&lt;$F80,($G80*K80),IF($G80&lt;SUM($F80:$F81),(($F80*K80)+(($G80-$F80)*K81)),IF($G80&lt;SUM($F80:$F82),(($F80*K80)+($F81*K81)+(($G80-$F80-$F81)*K82)),IF($G80&lt;SUM($F80:$F83),(($F80*K80)+($F81*K81)+($F82*K82)+(($G80-SUM($F80:$F82))*K83)),IF($G80&lt;SUM($F80:$F84),(($F80*K80)+($F81*K81)+($F82*K82)+($F83*K83)+(($G80-SUM($F80:$F83))*K84)),(($F80*K80)+($F81*K81)+($F82*K82)+($F83*K82)+($F84*K84)+(($G80-SUM($F80:$F84))*K85))))))),2)</f>
        <v>1550</v>
      </c>
      <c r="N86" s="374">
        <f>$I80+ROUND(IF($H80&lt;$F80,($H80*K80),IF($H80&lt;SUM($F80:$F81),(($F80*K80)+(($H80-$F80)*K81)),IF($H80&lt;SUM($F80:$F82),(($F80*K80)+($F81*K81)+(($H80-$F80-$F81)*K82)),IF($H80&lt;SUM($F80:$F83),(($F80*K80)+($F81*K81)+($F82*K82)+(($H80-SUM($F80:$F82))*K83)),IF($H80&lt;SUM($F80:$F84),(($F80*K80)+($F81*K81)+($F82*K82)+($F83*K83)+(($H80-SUM($F80:$F83))*K84)),(($F80*K80)+($F81*K81)+($F82*K82)+($F83*K82)+($F84*K84)+(($H80-SUM($F80:$F84))*K85))))))),2)</f>
        <v>1550</v>
      </c>
      <c r="O86" s="374">
        <f>$I80+ROUND(IF($G80&lt;$F80,($G80*L80),IF($G80&lt;SUM($F80:$F81),(($F80*L80)+(($G80-$F80)*L81)),IF($G80&lt;SUM($F80:$F82),(($F80*L80)+($F81*L81)+(($G80-$F80-$F81)*L82)),IF($G80&lt;SUM($F80:$F83),(($F80*L80)+($F81*L81)+($F82*L82)+(($G80-SUM($F80:$F82))*L83)),IF($G80&lt;SUM($F80:$F84),(($F80*L80)+($F81*L81)+($F82*L82)+($F83*L83)+(($G80-SUM($F80:$F83))*L84)),(($F80*L80)+($F81*L81)+($F82*L82)+($F83*L82)+($F84*L84)+(($G80-SUM($F80:$F84))*L85))))))),2)</f>
        <v>1550</v>
      </c>
      <c r="P86" s="374">
        <f>$I80+ROUND(IF($H80&lt;$F80,($H80*L80),IF($H80&lt;SUM($F80:$F81),(($F80*L80)+(($H80-$F80)*L81)),IF($H80&lt;SUM($F80:$F82),(($F80*L80)+($F81*L81)+(($H80-$F80-$F81)*L82)),IF($H80&lt;SUM($F80:$F83),(($F80*L80)+($F81*L81)+($F82*L82)+(($H80-SUM($F80:$F82))*L83)),IF($H80&lt;SUM($F80:$F84),(($F80*L80)+($F81*L81)+($F82*L82)+($F83*L83)+(($H80-SUM($F80:$F83))*L84)),(($F80*L80)+($F81*L81)+($F82*L82)+($F83*L82)+($F84*L84)+(($H80-SUM($F80:$F84))*L85))))))),2)</f>
        <v>1550</v>
      </c>
      <c r="Q86" s="376"/>
      <c r="R86" s="374">
        <f>$J80+ROUND(IF($G80&lt;$F80,($G80*Q80),IF($G80&lt;SUM($F80:$F81),(($F80*Q80)+(($G80-$F80)*Q81)),IF($G80&lt;SUM($F80:$F82),(($F80*Q80)+($F81*Q81)+(($G80-$F80-$F81)*Q82)),IF($G80&lt;SUM($F80:$F83),(($F80*Q80)+($F81*Q81)+($F82*Q82)+(($G80-SUM($F80:$F82))*Q83)),IF($G80&lt;SUM($F80:$F84),(($F80*Q80)+($F81*Q81)+($F82*Q82)+($F83*Q83)+(($G80-SUM($F80:$F83))*Q84)),(($F80*Q80)+($F81*Q81)+($F82*Q82)+($F83*Q82)+($F84*Q84)+(($G80-SUM($F80:$F84))*Q85))))))),2)</f>
        <v>1550</v>
      </c>
      <c r="S86" s="377">
        <f>ROUND((R86-M86)/M86,3)</f>
        <v>0</v>
      </c>
      <c r="T86" s="375"/>
      <c r="U86" s="374">
        <f>$I80+ROUND(IF($H80&lt;$F80,($H80*T80),IF($H80&lt;SUM($F80:$F81),(($F80*T80)+(($H80-$F80)*T81)),IF($H80&lt;SUM($F80:$F82),(($F80*T80)+($F81*T81)+(($H80-$F80-$F81)*T82)),IF($H80&lt;SUM($F80:$F83),(($F80*T80)+($F81*T81)+($F82*T82)+(($H80-SUM($F80:$F82))*T83)),IF($H80&lt;SUM($F80:$F84),(($F80*T80)+($F81*T81)+($F82*T82)+($F83*T83)+(($H80-SUM($F80:$F83))*T84)),(($F80*T80)+($F81*T81)+($F82*T82)+($F83*T82)+($F84*T84)+(($H80-SUM($F80:$F84))*T85))))))),2)</f>
        <v>1550</v>
      </c>
      <c r="V86" s="571">
        <f>ROUND((U86-N86)/N86,3)</f>
        <v>0</v>
      </c>
      <c r="W86" s="375"/>
      <c r="X86" s="374">
        <f>$J80+ROUND(IF($G80&lt;$F80,($G80*W80),IF($G80&lt;SUM($F80:$F81),(($F80*W80)+(($G80-$F80)*W81)),IF($G80&lt;SUM($F80:$F82),(($F80*W80)+($F81*W81)+(($G80-$F80-$F81)*W82)),IF($G80&lt;SUM($F80:$F83),(($F80*W80)+($F81*W81)+($F82*W82)+(($G80-SUM($F80:$F82))*W83)),IF($G80&lt;SUM($F80:$F84),(($F80*W80)+($F81*W81)+($F82*W82)+($F83*W83)+(($G80-SUM($F80:$F83))*W84)),(($F80*W80)+($F81*W81)+($F82*W82)+($F83*W82)+($F84*W84)+(($G80-SUM($F80:$F84))*W85))))))),2)</f>
        <v>1550</v>
      </c>
      <c r="Y86" s="571">
        <f t="shared" ref="Y86" si="112">ROUND(($X86-$M86)/$M86,3)</f>
        <v>0</v>
      </c>
      <c r="Z86" s="375"/>
      <c r="AA86" s="374">
        <f>$J80+ROUND(IF($G80&lt;$F80,($G80*Z80),IF($G80&lt;SUM($F80:$F81),(($F80*Z80)+(($G80-$F80)*Z81)),IF($G80&lt;SUM($F80:$F82),(($F80*Z80)+($F81*Z81)+(($G80-$F80-$F81)*Z82)),IF($G80&lt;SUM($F80:$F83),(($F80*Z80)+($F81*Z81)+($F82*Z82)+(($G80-SUM($F80:$F82))*Z83)),IF($G80&lt;SUM($F80:$F84),(($F80*Z80)+($F81*Z81)+($F82*Z82)+($F83*Z83)+(($G80-SUM($F80:$F83))*Z84)),(($F80*Z80)+($F81*Z81)+($F82*Z82)+($F83*Z82)+($F84*Z84)+(($G80-SUM($F80:$F84))*Z85))))))),2)</f>
        <v>1550</v>
      </c>
      <c r="AB86" s="571">
        <f>ROUND(($AA86-$M86)/$M86,3)</f>
        <v>0</v>
      </c>
      <c r="AC86" s="374"/>
      <c r="AD86" s="374">
        <f>$J80+ROUND(IF($G80&lt;$F80,($G80*AC80),IF($G80&lt;SUM($F80:$F81),(($F80*AC80)+(($G80-$F80)*AC81)),IF($G80&lt;SUM($F80:$F82),(($F80*AC80)+($F81*AC81)+(($G80-$F80-$F81)*AC82)),IF($G80&lt;SUM($F80:$F83),(($F80*AC80)+($F81*AC81)+($F82*AC82)+(($G80-SUM($F80:$F82))*AC83)),IF($G80&lt;SUM($F80:$F84),(($F80*AC80)+($F81*AC81)+($F82*AC82)+($F83*AC83)+(($G80-SUM($F80:$F83))*AC84)),(($F80*AC80)+($F81*AC81)+($F82*AC82)+($F83*AC82)+($F84*AC84)+(($G80-SUM($F80:$F84))*AC85))))))),2)</f>
        <v>1550</v>
      </c>
      <c r="AE86" s="571">
        <f>ROUND(($AD86-$M86)/$M86,3)</f>
        <v>0</v>
      </c>
      <c r="AF86" s="374"/>
      <c r="AG86" s="374">
        <f>$J80+ROUND(IF($G80&lt;$F80,($G80*AF80),IF($G80&lt;SUM($F80:$F81),(($F80*AF80)+(($G80-$F80)*AF81)),IF($G80&lt;SUM($F80:$F82),(($F80*AF80)+($F81*AF81)+(($G80-$F80-$F81)*AF82)),IF($G80&lt;SUM($F80:$F83),(($F80*AF80)+($F81*AF81)+($F82*AF82)+(($G80-SUM($F80:$F82))*AF83)),IF($G80&lt;SUM($F80:$F84),(($F80*AF80)+($F81*AF81)+($F82*AF82)+($F83*AF83)+(($G80-SUM($F80:$F83))*AF84)),(($F80*AF80)+($F81*AF81)+($F82*AF82)+($F83*AF82)+($F84*AF84)+(($G80-SUM($F80:$F84))*AF85))))))),2)</f>
        <v>1550</v>
      </c>
      <c r="AH86" s="571">
        <f t="shared" ref="AH86" si="113">ROUND(($AG86-$M86)/$M86,3)</f>
        <v>0</v>
      </c>
      <c r="AI86" s="376"/>
      <c r="AJ86" s="374">
        <f>$J80+ROUND(IF($G80&lt;$F80,($G80*AI80),IF($G80&lt;SUM($F80:$F81),(($F80*AI80)+(($G80-$F80)*AI81)),IF($G80&lt;SUM($F80:$F82),(($F80*AI80)+($F81*AI81)+(($G80-$F80-$F81)*AI82)),IF($G80&lt;SUM($F80:$F83),(($F80*AI80)+($F81*AI81)+($F82*AI82)+(($G80-SUM($F80:$F82))*AI83)),IF($G80&lt;SUM($F80:$F84),(($F80*AI80)+($F81*AI81)+($F82*AI82)+($F83*AI83)+(($G80-SUM($F80:$F83))*AI84)),(($F80*AI80)+($F81*AI81)+($F82*AI82)+($F83*AI82)+($F84*AI84)+(($G80-SUM($F80:$F84))*AI85))))))),2)</f>
        <v>1550</v>
      </c>
      <c r="AK86" s="377">
        <f>ROUND((AJ86-M86)/M86,3)</f>
        <v>0</v>
      </c>
      <c r="AL86" s="374">
        <f t="shared" si="108"/>
        <v>0</v>
      </c>
      <c r="AM86" s="376"/>
      <c r="AN86" s="374">
        <f>$J80+ROUND(IF($G80&lt;$F80,($G80*AM80),IF($G80&lt;SUM($F80:$F81),(($F80*AM80)+(($G80-$F80)*AM81)),IF($G80&lt;SUM($F80:$F82),(($F80*AM80)+($F81*AM81)+(($G80-$F80-$F81)*AM82)),IF($G80&lt;SUM($F80:$F83),(($F80*AM80)+($F81*AM81)+($F82*AM82)+(($G80-SUM($F80:$F82))*AM83)),IF($G80&lt;SUM($F80:$F84),(($F80*AM80)+($F81*AM81)+($F82*AM82)+($F83*AM83)+(($G80-SUM($F80:$F83))*AM84)),(($F80*AM80)+($F81*AM81)+($F82*AM82)+($F83*AM82)+($F84*AM84)+(($G80-SUM($F80:$F84))*AM85))))))),2)</f>
        <v>1550</v>
      </c>
      <c r="AO86" s="377">
        <f>ROUND((AN86-O86)/O86,3)</f>
        <v>0</v>
      </c>
      <c r="AP86" s="375"/>
      <c r="AQ86" s="374">
        <f>$I80+ROUND(IF($G80&lt;$F80,($G80*AP80),IF($G80&lt;SUM($F80:$F81),(($F80*AP80)+(($G80-$F80)*AP81)),IF($G80&lt;SUM($F80:$F82),(($F80*AP80)+($F81*AP81)+(($G80-$F80-$F81)*AP82)),IF($G80&lt;SUM($F80:$F83),(($F80*AP80)+($F81*AP81)+($F82*AP82)+(($G80-SUM($F80:$F82))*AP83)),IF($G80&lt;SUM($F80:$F84),(($F80*AP80)+($F81*AP81)+($F82*AP82)+($F83*AP83)+(($G80-SUM($F80:$F83))*AP84)),(($F80*AP80)+($F81*AP81)+($F82*AP82)+($F83*AP82)+($F84*AP84)+(($G80-SUM($F80:$F84))*AP85))))))),2)</f>
        <v>1550</v>
      </c>
      <c r="AR86" s="571">
        <f t="shared" si="109"/>
        <v>0</v>
      </c>
      <c r="AS86" s="376"/>
      <c r="AT86" s="374">
        <f>$J80+ROUND(IF($G80&lt;$F80,($G80*AS80),IF($G80&lt;SUM($F80:$F81),(($F80*AS80)+(($G80-$F80)*AS81)),IF($G80&lt;SUM($F80:$F82),(($F80*AS80)+($F81*AS81)+(($G80-$F80-$F81)*AS82)),IF($G80&lt;SUM($F80:$F83),(($F80*AS80)+($F81*AS81)+($F82*AS82)+(($G80-SUM($F80:$F82))*AS83)),IF($G80&lt;SUM($F80:$F84),(($F80*AS80)+($F81*AS81)+($F82*AS82)+($F83*AS83)+(($G80-SUM($F80:$F83))*AS84)),(($F80*AS80)+($F81*AS81)+($F82*AS82)+($F83*AS82)+($F84*AS84)+(($G80-SUM($F80:$F84))*AS85))))))),2)</f>
        <v>1550</v>
      </c>
      <c r="AU86" s="377">
        <f>ROUND(($AT86-$O86)/$O86,3)</f>
        <v>0</v>
      </c>
      <c r="AV86" s="376"/>
      <c r="AW86" s="374">
        <f>$J80+ROUND(IF($G80&lt;$F80,($G80*AV80),IF($G80&lt;SUM($F80:$F81),(($F80*AV80)+(($G80-$F80)*AV81)),IF($G80&lt;SUM($F80:$F82),(($F80*AV80)+($F81*AV81)+(($G80-$F80-$F81)*AV82)),IF($G80&lt;SUM($F80:$F83),(($F80*AV80)+($F81*AV81)+($F82*AV82)+(($G80-SUM($F80:$F82))*AV83)),IF($G80&lt;SUM($F80:$F84),(($F80*AV80)+($F81*AV81)+($F82*AV82)+($F83*AV83)+(($G80-SUM($F80:$F83))*AV84)),(($F80*AV80)+($F81*AV81)+($F82*AV82)+($F83*AV82)+($F84*AV84)+(($G80-SUM($F80:$F84))*AV85))))))),2)</f>
        <v>1550</v>
      </c>
      <c r="AX86" s="377">
        <f>ROUND(($AW86-$O86)/$O86,3)</f>
        <v>0</v>
      </c>
      <c r="AY86" s="376"/>
      <c r="AZ86" s="374">
        <f>$J80+ROUND(IF($G80&lt;$F80,($G80*AY80),IF($G80&lt;SUM($F80:$F81),(($F80*AY80)+(($G80-$F80)*AY81)),IF($G80&lt;SUM($F80:$F82),(($F80*AY80)+($F81*AY81)+(($G80-$F80-$F81)*AY82)),IF($G80&lt;SUM($F80:$F83),(($F80*AY80)+($F81*AY81)+($F82*AY82)+(($G80-SUM($F80:$F82))*AY83)),IF($G80&lt;SUM($F80:$F84),(($F80*AY80)+($F81*AY81)+($F82*AY82)+($F83*AY83)+(($G80-SUM($F80:$F83))*AY84)),(($F80*AY80)+($F81*AY81)+($F82*AY82)+($F83*AY82)+($F84*AY84)+(($G80-SUM($F80:$F84))*AY85))))))),2)</f>
        <v>1550</v>
      </c>
      <c r="BA86" s="377">
        <f>ROUND(($AT86-$O86)/$O86,3)</f>
        <v>0</v>
      </c>
      <c r="BB86" s="376"/>
      <c r="BC86" s="1726">
        <f t="shared" ref="BC86:BC96" si="114">O86</f>
        <v>1550</v>
      </c>
      <c r="BD86" s="1722">
        <f t="shared" ref="BD86:BD95" si="115">(BC86-O86)/O86</f>
        <v>0</v>
      </c>
      <c r="BE86" s="376"/>
      <c r="BF86" s="374">
        <f>$J80+ROUND(IF($G80&lt;$F80,($G80*BE80),IF($G80&lt;SUM($F80:$F81),(($F80*BE80)+(($G80-$F80)*BE81)),IF($G80&lt;SUM($F80:$F82),(($F80*BE80)+($F81*BE81)+(($G80-$F80-$F81)*BE82)),IF($G80&lt;SUM($F80:$F83),(($F80*BE80)+($F81*BE81)+($F82*BE82)+(($G80-SUM($F80:$F82))*BE83)),IF($G80&lt;SUM($F80:$F84),(($F80*BE80)+($F81*BE81)+($F82*BE82)+($F83*BE83)+(($G80-SUM($F80:$F83))*BE84)),(($F80*BE80)+($F81*BE81)+($F82*BE82)+($F83*BE82)+($F84*BE84)+(($G80-SUM($F80:$F84))*BE85))))))),2)</f>
        <v>1550</v>
      </c>
      <c r="BG86" s="377">
        <f>ROUND((BF86-O86)/O86,3)</f>
        <v>0</v>
      </c>
      <c r="BH86" s="1576">
        <f t="shared" si="110"/>
        <v>0</v>
      </c>
      <c r="BI86" s="365"/>
      <c r="BJ86" s="365"/>
      <c r="BK86" s="365"/>
      <c r="BL86" s="365"/>
      <c r="BM86" s="365"/>
      <c r="BN86" s="365"/>
      <c r="BO86" s="365"/>
      <c r="BP86" s="365"/>
      <c r="BQ86" s="365"/>
      <c r="BR86" s="365"/>
    </row>
    <row r="87" spans="1:70" x14ac:dyDescent="0.3">
      <c r="A87" s="85">
        <f t="shared" si="17"/>
        <v>80</v>
      </c>
      <c r="B87" s="709" t="str">
        <f>'WA Volumes &amp; Revenues'!B75</f>
        <v>42I Inter Transpt</v>
      </c>
      <c r="C87" s="858" t="s">
        <v>4</v>
      </c>
      <c r="D87" s="379">
        <f>'WA Volumes &amp; Revenues'!E75</f>
        <v>844078</v>
      </c>
      <c r="E87" s="379">
        <f>'WA Volumes &amp; Revenues'!F75</f>
        <v>861932</v>
      </c>
      <c r="F87" s="294">
        <v>10000</v>
      </c>
      <c r="G87" s="380">
        <f>'WA Volumes &amp; Revenues'!I75</f>
        <v>95634</v>
      </c>
      <c r="H87" s="537">
        <f>'WA Volumes &amp; Revenues'!L75</f>
        <v>63670</v>
      </c>
      <c r="I87" s="862">
        <f>'WA Volumes &amp; Revenues'!O75</f>
        <v>1550</v>
      </c>
      <c r="J87" s="367">
        <f>'WA Volumes &amp; Revenues'!N75</f>
        <v>1550</v>
      </c>
      <c r="K87" s="381">
        <f>+'Rates in summary'!D74</f>
        <v>0.13459999999999997</v>
      </c>
      <c r="L87" s="381">
        <f>+'Rates in summary'!M74</f>
        <v>0.14205999999999996</v>
      </c>
      <c r="M87" s="367"/>
      <c r="N87" s="367"/>
      <c r="O87" s="942"/>
      <c r="P87" s="942"/>
      <c r="Q87" s="382">
        <f>'Rates in summary'!H74-'Rates in summary'!F74</f>
        <v>0.14189999999999997</v>
      </c>
      <c r="R87" s="367"/>
      <c r="S87" s="369"/>
      <c r="T87" s="368">
        <f>'Rates in summary'!L74</f>
        <v>0.13562999999999997</v>
      </c>
      <c r="U87" s="367"/>
      <c r="V87" s="570"/>
      <c r="W87" s="368">
        <f>'Rates in Detail'!J73+'Rates in Detail'!P73</f>
        <v>0.13310999999999998</v>
      </c>
      <c r="X87" s="367"/>
      <c r="Y87" s="570"/>
      <c r="Z87" s="368">
        <f>'Rates in Detail'!J73+'Rates in Detail'!S73</f>
        <v>0.13459999999999997</v>
      </c>
      <c r="AA87" s="367"/>
      <c r="AB87" s="570"/>
      <c r="AC87" s="121">
        <f>'Rates in Detail'!J73+'Rates in Detail'!T73</f>
        <v>0.13325999999999996</v>
      </c>
      <c r="AD87" s="367"/>
      <c r="AE87" s="570"/>
      <c r="AF87" s="121">
        <f>'Rates in Detail'!J73+'Rates in Detail'!U73</f>
        <v>0.13506999999999997</v>
      </c>
      <c r="AG87" s="367"/>
      <c r="AH87" s="570"/>
      <c r="AI87" s="368">
        <f>'Rates in summary'!M74</f>
        <v>0.14205999999999996</v>
      </c>
      <c r="AJ87" s="367"/>
      <c r="AK87" s="369"/>
      <c r="AL87" s="1200"/>
      <c r="AM87" s="368">
        <f>L87+'Rates in summary'!N74</f>
        <v>0.14538999999999996</v>
      </c>
      <c r="AN87" s="367"/>
      <c r="AO87" s="369"/>
      <c r="AP87" s="368">
        <f>'Rates in summary'!U74</f>
        <v>0.14181999999999997</v>
      </c>
      <c r="AQ87" s="367"/>
      <c r="AR87" s="570"/>
      <c r="AS87" s="368">
        <f>L87+'Rates in Detail'!AD73</f>
        <v>0.14192999999999997</v>
      </c>
      <c r="AT87" s="367"/>
      <c r="AU87" s="369"/>
      <c r="AV87" s="368">
        <f>L87+'Rates in Detail'!AE73</f>
        <v>0.14205999999999996</v>
      </c>
      <c r="AW87" s="367"/>
      <c r="AX87" s="369"/>
      <c r="AY87" s="368">
        <f>L87+'Rates in Detail'!AF73</f>
        <v>0.14075999999999997</v>
      </c>
      <c r="AZ87" s="367"/>
      <c r="BA87" s="369"/>
      <c r="BB87" s="368">
        <f t="shared" si="111"/>
        <v>0.14205999999999996</v>
      </c>
      <c r="BC87" s="1200"/>
      <c r="BD87" s="1721"/>
      <c r="BE87" s="368">
        <f>'Rates in summary'!W74</f>
        <v>0.14371999999999999</v>
      </c>
      <c r="BF87" s="367"/>
      <c r="BG87" s="369"/>
      <c r="BH87" s="570">
        <f t="shared" si="110"/>
        <v>0</v>
      </c>
    </row>
    <row r="88" spans="1:70" x14ac:dyDescent="0.3">
      <c r="A88" s="85">
        <f t="shared" si="17"/>
        <v>81</v>
      </c>
      <c r="B88" s="709"/>
      <c r="C88" s="858" t="s">
        <v>5</v>
      </c>
      <c r="D88" s="379">
        <f>'WA Volumes &amp; Revenues'!E76</f>
        <v>1445175</v>
      </c>
      <c r="E88" s="379">
        <f>'WA Volumes &amp; Revenues'!F76</f>
        <v>1453508</v>
      </c>
      <c r="F88" s="294">
        <v>20000</v>
      </c>
      <c r="G88" s="380"/>
      <c r="H88" s="380"/>
      <c r="I88" s="865"/>
      <c r="J88" s="651"/>
      <c r="K88" s="381">
        <f>+'Rates in summary'!D75</f>
        <v>0.12048999999999999</v>
      </c>
      <c r="L88" s="381">
        <f>+'Rates in summary'!M75</f>
        <v>0.12716</v>
      </c>
      <c r="M88" s="367"/>
      <c r="N88" s="367"/>
      <c r="O88" s="942"/>
      <c r="P88" s="942"/>
      <c r="Q88" s="382">
        <f>'Rates in summary'!H75-'Rates in summary'!F75</f>
        <v>0.12701999999999999</v>
      </c>
      <c r="R88" s="367"/>
      <c r="S88" s="369"/>
      <c r="T88" s="368">
        <f>'Rates in summary'!L75</f>
        <v>0.12140999999999999</v>
      </c>
      <c r="U88" s="367"/>
      <c r="V88" s="570"/>
      <c r="W88" s="368">
        <f>'Rates in Detail'!J74+'Rates in Detail'!P74</f>
        <v>0.11915999999999999</v>
      </c>
      <c r="X88" s="367"/>
      <c r="Y88" s="570"/>
      <c r="Z88" s="368">
        <f>'Rates in Detail'!J74+'Rates in Detail'!S74</f>
        <v>0.12048999999999999</v>
      </c>
      <c r="AA88" s="367"/>
      <c r="AB88" s="570"/>
      <c r="AC88" s="121">
        <f>'Rates in Detail'!J74+'Rates in Detail'!T74</f>
        <v>0.11928999999999998</v>
      </c>
      <c r="AD88" s="367"/>
      <c r="AE88" s="570"/>
      <c r="AF88" s="121">
        <f>'Rates in Detail'!J74+'Rates in Detail'!U74</f>
        <v>0.12090999999999999</v>
      </c>
      <c r="AG88" s="367"/>
      <c r="AH88" s="570"/>
      <c r="AI88" s="368">
        <f>'Rates in summary'!M75</f>
        <v>0.12716</v>
      </c>
      <c r="AJ88" s="367"/>
      <c r="AK88" s="369"/>
      <c r="AL88" s="1200"/>
      <c r="AM88" s="368">
        <f>L88+'Rates in summary'!N75</f>
        <v>0.13014000000000001</v>
      </c>
      <c r="AN88" s="367"/>
      <c r="AO88" s="369"/>
      <c r="AP88" s="368">
        <f>'Rates in summary'!U75</f>
        <v>0.12695000000000001</v>
      </c>
      <c r="AQ88" s="367"/>
      <c r="AR88" s="570"/>
      <c r="AS88" s="368">
        <f>L88+'Rates in Detail'!AD74</f>
        <v>0.12703999999999999</v>
      </c>
      <c r="AT88" s="367"/>
      <c r="AU88" s="369"/>
      <c r="AV88" s="368">
        <f>L88+'Rates in Detail'!AE74</f>
        <v>0.12716</v>
      </c>
      <c r="AW88" s="367"/>
      <c r="AX88" s="369"/>
      <c r="AY88" s="368">
        <f>L88+'Rates in Detail'!AF74</f>
        <v>0.126</v>
      </c>
      <c r="AZ88" s="367"/>
      <c r="BA88" s="369"/>
      <c r="BB88" s="368">
        <f t="shared" si="111"/>
        <v>0.12716</v>
      </c>
      <c r="BC88" s="1200"/>
      <c r="BD88" s="1721"/>
      <c r="BE88" s="368">
        <f>'Rates in summary'!W75</f>
        <v>0.12865000000000001</v>
      </c>
      <c r="BF88" s="367"/>
      <c r="BG88" s="369"/>
      <c r="BH88" s="570"/>
    </row>
    <row r="89" spans="1:70" x14ac:dyDescent="0.3">
      <c r="A89" s="85">
        <f t="shared" si="17"/>
        <v>82</v>
      </c>
      <c r="B89" s="709"/>
      <c r="C89" s="858" t="s">
        <v>6</v>
      </c>
      <c r="D89" s="379">
        <f>'WA Volumes &amp; Revenues'!E77</f>
        <v>1034978</v>
      </c>
      <c r="E89" s="379">
        <f>'WA Volumes &amp; Revenues'!F77</f>
        <v>976710</v>
      </c>
      <c r="F89" s="294">
        <v>20000</v>
      </c>
      <c r="G89" s="380"/>
      <c r="H89" s="380"/>
      <c r="I89" s="865"/>
      <c r="J89" s="651"/>
      <c r="K89" s="381">
        <f>+'Rates in summary'!D76</f>
        <v>9.2380000000000004E-2</v>
      </c>
      <c r="L89" s="381">
        <f>+'Rates in summary'!M76</f>
        <v>9.7509999999999999E-2</v>
      </c>
      <c r="M89" s="367"/>
      <c r="N89" s="367"/>
      <c r="O89" s="942"/>
      <c r="P89" s="942"/>
      <c r="Q89" s="382">
        <f>'Rates in summary'!H76-'Rates in summary'!F76</f>
        <v>9.7390000000000004E-2</v>
      </c>
      <c r="R89" s="367"/>
      <c r="S89" s="369"/>
      <c r="T89" s="368">
        <f>'Rates in summary'!L76</f>
        <v>9.3100000000000002E-2</v>
      </c>
      <c r="U89" s="367"/>
      <c r="V89" s="570"/>
      <c r="W89" s="368">
        <f>'Rates in Detail'!J75+'Rates in Detail'!P75</f>
        <v>9.1359999999999997E-2</v>
      </c>
      <c r="X89" s="367"/>
      <c r="Y89" s="570"/>
      <c r="Z89" s="368">
        <f>'Rates in Detail'!J75+'Rates in Detail'!S75</f>
        <v>9.2380000000000004E-2</v>
      </c>
      <c r="AA89" s="367"/>
      <c r="AB89" s="570"/>
      <c r="AC89" s="121">
        <f>'Rates in Detail'!J75+'Rates in Detail'!T75</f>
        <v>9.146E-2</v>
      </c>
      <c r="AD89" s="367"/>
      <c r="AE89" s="570"/>
      <c r="AF89" s="121">
        <f>'Rates in Detail'!J75+'Rates in Detail'!U75</f>
        <v>9.2700000000000005E-2</v>
      </c>
      <c r="AG89" s="367"/>
      <c r="AH89" s="570"/>
      <c r="AI89" s="368">
        <f>'Rates in summary'!M76</f>
        <v>9.7509999999999999E-2</v>
      </c>
      <c r="AJ89" s="367"/>
      <c r="AK89" s="369"/>
      <c r="AL89" s="1200"/>
      <c r="AM89" s="368">
        <f>L89+'Rates in summary'!N76</f>
        <v>9.9790000000000004E-2</v>
      </c>
      <c r="AN89" s="367"/>
      <c r="AO89" s="369"/>
      <c r="AP89" s="368">
        <f>'Rates in summary'!U76</f>
        <v>9.7350000000000006E-2</v>
      </c>
      <c r="AQ89" s="367"/>
      <c r="AR89" s="570"/>
      <c r="AS89" s="368">
        <f>L89+'Rates in Detail'!AD75</f>
        <v>9.7419999999999993E-2</v>
      </c>
      <c r="AT89" s="367"/>
      <c r="AU89" s="369"/>
      <c r="AV89" s="368">
        <f>L89+'Rates in Detail'!AE75</f>
        <v>9.7509999999999999E-2</v>
      </c>
      <c r="AW89" s="367"/>
      <c r="AX89" s="369"/>
      <c r="AY89" s="368">
        <f>L89+'Rates in Detail'!AF75</f>
        <v>9.6619999999999998E-2</v>
      </c>
      <c r="AZ89" s="367"/>
      <c r="BA89" s="369"/>
      <c r="BB89" s="368">
        <f t="shared" si="111"/>
        <v>9.7509999999999999E-2</v>
      </c>
      <c r="BC89" s="1200"/>
      <c r="BD89" s="1721"/>
      <c r="BE89" s="368">
        <f>'Rates in summary'!W76</f>
        <v>9.8650000000000015E-2</v>
      </c>
      <c r="BF89" s="367"/>
      <c r="BG89" s="369"/>
      <c r="BH89" s="570"/>
    </row>
    <row r="90" spans="1:70" x14ac:dyDescent="0.3">
      <c r="A90" s="85">
        <f t="shared" si="17"/>
        <v>83</v>
      </c>
      <c r="B90" s="709"/>
      <c r="C90" s="858" t="s">
        <v>7</v>
      </c>
      <c r="D90" s="379">
        <f>'WA Volumes &amp; Revenues'!E78</f>
        <v>3359916</v>
      </c>
      <c r="E90" s="379">
        <f>'WA Volumes &amp; Revenues'!F78</f>
        <v>3078834</v>
      </c>
      <c r="F90" s="294">
        <v>100000</v>
      </c>
      <c r="G90" s="380"/>
      <c r="H90" s="380"/>
      <c r="I90" s="865"/>
      <c r="J90" s="651"/>
      <c r="K90" s="381">
        <f>+'Rates in summary'!D77</f>
        <v>7.392E-2</v>
      </c>
      <c r="L90" s="381">
        <f>+'Rates in summary'!M77</f>
        <v>7.8020000000000006E-2</v>
      </c>
      <c r="M90" s="367"/>
      <c r="N90" s="367"/>
      <c r="O90" s="942"/>
      <c r="P90" s="942"/>
      <c r="Q90" s="382">
        <f>'Rates in summary'!H77-'Rates in summary'!F77</f>
        <v>7.7929999999999999E-2</v>
      </c>
      <c r="R90" s="367"/>
      <c r="S90" s="369"/>
      <c r="T90" s="368">
        <f>'Rates in summary'!L77</f>
        <v>7.4490000000000001E-2</v>
      </c>
      <c r="U90" s="367"/>
      <c r="V90" s="570"/>
      <c r="W90" s="368">
        <f>'Rates in Detail'!J76+'Rates in Detail'!P76</f>
        <v>7.3099999999999998E-2</v>
      </c>
      <c r="X90" s="367"/>
      <c r="Y90" s="570"/>
      <c r="Z90" s="368">
        <f>'Rates in Detail'!J76+'Rates in Detail'!S76</f>
        <v>7.392E-2</v>
      </c>
      <c r="AA90" s="367"/>
      <c r="AB90" s="570"/>
      <c r="AC90" s="121">
        <f>'Rates in Detail'!J76+'Rates in Detail'!T76</f>
        <v>7.3179999999999995E-2</v>
      </c>
      <c r="AD90" s="367"/>
      <c r="AE90" s="570"/>
      <c r="AF90" s="121">
        <f>'Rates in Detail'!J76+'Rates in Detail'!U76</f>
        <v>7.4179999999999996E-2</v>
      </c>
      <c r="AG90" s="367"/>
      <c r="AH90" s="570"/>
      <c r="AI90" s="368">
        <f>'Rates in summary'!M77</f>
        <v>7.8020000000000006E-2</v>
      </c>
      <c r="AJ90" s="367"/>
      <c r="AK90" s="369"/>
      <c r="AL90" s="1200"/>
      <c r="AM90" s="368">
        <f>L90+'Rates in summary'!N77</f>
        <v>7.9850000000000004E-2</v>
      </c>
      <c r="AN90" s="367"/>
      <c r="AO90" s="369"/>
      <c r="AP90" s="368">
        <f>'Rates in summary'!U77</f>
        <v>7.7890000000000001E-2</v>
      </c>
      <c r="AQ90" s="367"/>
      <c r="AR90" s="570"/>
      <c r="AS90" s="368">
        <f>L90+'Rates in Detail'!AD76</f>
        <v>7.7950000000000005E-2</v>
      </c>
      <c r="AT90" s="367"/>
      <c r="AU90" s="369"/>
      <c r="AV90" s="368">
        <f>L90+'Rates in Detail'!AE76</f>
        <v>7.8020000000000006E-2</v>
      </c>
      <c r="AW90" s="367"/>
      <c r="AX90" s="369"/>
      <c r="AY90" s="368">
        <f>L90+'Rates in Detail'!AF76</f>
        <v>7.7310000000000004E-2</v>
      </c>
      <c r="AZ90" s="367"/>
      <c r="BA90" s="369"/>
      <c r="BB90" s="368">
        <f t="shared" si="111"/>
        <v>7.8020000000000006E-2</v>
      </c>
      <c r="BC90" s="1200"/>
      <c r="BD90" s="1721"/>
      <c r="BE90" s="368">
        <f>'Rates in summary'!W77</f>
        <v>7.8939999999999996E-2</v>
      </c>
      <c r="BF90" s="367"/>
      <c r="BG90" s="369"/>
      <c r="BH90" s="570"/>
    </row>
    <row r="91" spans="1:70" x14ac:dyDescent="0.3">
      <c r="A91" s="85">
        <f t="shared" si="17"/>
        <v>84</v>
      </c>
      <c r="B91" s="709"/>
      <c r="C91" s="858" t="s">
        <v>8</v>
      </c>
      <c r="D91" s="379">
        <f>'WA Volumes &amp; Revenues'!E79</f>
        <v>1349120</v>
      </c>
      <c r="E91" s="379">
        <f>'WA Volumes &amp; Revenues'!F79</f>
        <v>1269411</v>
      </c>
      <c r="F91" s="294">
        <v>600000</v>
      </c>
      <c r="G91" s="380"/>
      <c r="H91" s="380"/>
      <c r="I91" s="865"/>
      <c r="J91" s="651"/>
      <c r="K91" s="381">
        <f>+'Rates in summary'!D78</f>
        <v>4.929E-2</v>
      </c>
      <c r="L91" s="381">
        <f>+'Rates in summary'!M78</f>
        <v>5.2019999999999997E-2</v>
      </c>
      <c r="M91" s="367"/>
      <c r="N91" s="367"/>
      <c r="O91" s="942"/>
      <c r="P91" s="942"/>
      <c r="Q91" s="382">
        <f>'Rates in summary'!H78-'Rates in summary'!F78</f>
        <v>5.1959999999999999E-2</v>
      </c>
      <c r="R91" s="367"/>
      <c r="S91" s="369"/>
      <c r="T91" s="368">
        <f>'Rates in summary'!L78</f>
        <v>4.9669999999999999E-2</v>
      </c>
      <c r="U91" s="367"/>
      <c r="V91" s="570"/>
      <c r="W91" s="368">
        <f>'Rates in Detail'!J77+'Rates in Detail'!P77</f>
        <v>4.8739999999999999E-2</v>
      </c>
      <c r="X91" s="367"/>
      <c r="Y91" s="570"/>
      <c r="Z91" s="368">
        <f>'Rates in Detail'!J77+'Rates in Detail'!S77</f>
        <v>4.929E-2</v>
      </c>
      <c r="AA91" s="367"/>
      <c r="AB91" s="570"/>
      <c r="AC91" s="121">
        <f>'Rates in Detail'!J77+'Rates in Detail'!T77</f>
        <v>4.8800000000000003E-2</v>
      </c>
      <c r="AD91" s="367"/>
      <c r="AE91" s="570"/>
      <c r="AF91" s="121">
        <f>'Rates in Detail'!J77+'Rates in Detail'!U77</f>
        <v>4.9460000000000004E-2</v>
      </c>
      <c r="AG91" s="367"/>
      <c r="AH91" s="570"/>
      <c r="AI91" s="368">
        <f>'Rates in summary'!M78</f>
        <v>5.2019999999999997E-2</v>
      </c>
      <c r="AJ91" s="367"/>
      <c r="AK91" s="369"/>
      <c r="AL91" s="1200"/>
      <c r="AM91" s="368">
        <f>L91+'Rates in summary'!N78</f>
        <v>5.3239999999999996E-2</v>
      </c>
      <c r="AN91" s="367"/>
      <c r="AO91" s="369"/>
      <c r="AP91" s="368">
        <f>'Rates in summary'!U78</f>
        <v>5.1929999999999997E-2</v>
      </c>
      <c r="AQ91" s="367"/>
      <c r="AR91" s="570"/>
      <c r="AS91" s="368">
        <f>L91+'Rates in Detail'!AD77</f>
        <v>5.1969999999999995E-2</v>
      </c>
      <c r="AT91" s="367"/>
      <c r="AU91" s="369"/>
      <c r="AV91" s="368">
        <f>L91+'Rates in Detail'!AE77</f>
        <v>5.2019999999999997E-2</v>
      </c>
      <c r="AW91" s="367"/>
      <c r="AX91" s="369"/>
      <c r="AY91" s="368">
        <f>L91+'Rates in Detail'!AF77</f>
        <v>5.1549999999999999E-2</v>
      </c>
      <c r="AZ91" s="367"/>
      <c r="BA91" s="369"/>
      <c r="BB91" s="368">
        <f t="shared" si="111"/>
        <v>5.2019999999999997E-2</v>
      </c>
      <c r="BC91" s="1200"/>
      <c r="BD91" s="1721"/>
      <c r="BE91" s="368">
        <f>'Rates in summary'!W78</f>
        <v>5.2629999999999996E-2</v>
      </c>
      <c r="BF91" s="367"/>
      <c r="BG91" s="369"/>
      <c r="BH91" s="570"/>
    </row>
    <row r="92" spans="1:70" x14ac:dyDescent="0.3">
      <c r="A92" s="85">
        <f t="shared" ref="A92:A106" si="116">+A91+1</f>
        <v>85</v>
      </c>
      <c r="B92" s="709"/>
      <c r="C92" s="858" t="s">
        <v>9</v>
      </c>
      <c r="D92" s="379">
        <f>'WA Volumes &amp; Revenues'!E80</f>
        <v>0</v>
      </c>
      <c r="E92" s="379">
        <f>'WA Volumes &amp; Revenues'!F80</f>
        <v>0</v>
      </c>
      <c r="F92" s="366" t="s">
        <v>72</v>
      </c>
      <c r="G92" s="380"/>
      <c r="H92" s="380"/>
      <c r="I92" s="865"/>
      <c r="J92" s="651"/>
      <c r="K92" s="381">
        <f>+'Rates in summary'!D79</f>
        <v>1.8460000000000001E-2</v>
      </c>
      <c r="L92" s="381">
        <f>+'Rates in summary'!M79</f>
        <v>1.9500000000000003E-2</v>
      </c>
      <c r="M92" s="367"/>
      <c r="N92" s="367"/>
      <c r="O92" s="942"/>
      <c r="P92" s="942"/>
      <c r="Q92" s="382">
        <f>'Rates in summary'!H79-'Rates in summary'!F79</f>
        <v>1.9470000000000001E-2</v>
      </c>
      <c r="R92" s="367"/>
      <c r="S92" s="369"/>
      <c r="T92" s="368">
        <f>'Rates in summary'!L79</f>
        <v>1.8610000000000002E-2</v>
      </c>
      <c r="U92" s="367"/>
      <c r="V92" s="570"/>
      <c r="W92" s="368">
        <f>'Rates in Detail'!J78+'Rates in Detail'!P78</f>
        <v>1.8260000000000002E-2</v>
      </c>
      <c r="X92" s="367"/>
      <c r="Y92" s="570"/>
      <c r="Z92" s="368">
        <f>'Rates in Detail'!J78+'Rates in Detail'!S78</f>
        <v>1.8460000000000001E-2</v>
      </c>
      <c r="AA92" s="367"/>
      <c r="AB92" s="570"/>
      <c r="AC92" s="121">
        <f>'Rates in Detail'!J78+'Rates in Detail'!T78</f>
        <v>1.8280000000000001E-2</v>
      </c>
      <c r="AD92" s="367"/>
      <c r="AE92" s="570"/>
      <c r="AF92" s="121">
        <f>'Rates in Detail'!J78+'Rates in Detail'!U78</f>
        <v>1.8520000000000002E-2</v>
      </c>
      <c r="AG92" s="367"/>
      <c r="AH92" s="570"/>
      <c r="AI92" s="368">
        <f>'Rates in summary'!M79</f>
        <v>1.9500000000000003E-2</v>
      </c>
      <c r="AJ92" s="367"/>
      <c r="AK92" s="369"/>
      <c r="AL92" s="1200"/>
      <c r="AM92" s="368">
        <f>L92+'Rates in summary'!N79</f>
        <v>1.9960000000000002E-2</v>
      </c>
      <c r="AN92" s="367"/>
      <c r="AO92" s="369"/>
      <c r="AP92" s="368">
        <f>'Rates in summary'!U79</f>
        <v>1.9470000000000005E-2</v>
      </c>
      <c r="AQ92" s="367"/>
      <c r="AR92" s="570"/>
      <c r="AS92" s="368">
        <f>L92+'Rates in Detail'!AD78</f>
        <v>1.9480000000000004E-2</v>
      </c>
      <c r="AT92" s="367"/>
      <c r="AU92" s="369"/>
      <c r="AV92" s="368">
        <f>L92+'Rates in Detail'!AE78</f>
        <v>1.9500000000000003E-2</v>
      </c>
      <c r="AW92" s="367"/>
      <c r="AX92" s="369"/>
      <c r="AY92" s="368">
        <f>L92+'Rates in Detail'!AF78</f>
        <v>1.9320000000000004E-2</v>
      </c>
      <c r="AZ92" s="367"/>
      <c r="BA92" s="369"/>
      <c r="BB92" s="368">
        <f t="shared" si="111"/>
        <v>1.9500000000000003E-2</v>
      </c>
      <c r="BC92" s="1200"/>
      <c r="BD92" s="1721"/>
      <c r="BE92" s="368">
        <f>'Rates in summary'!W79</f>
        <v>1.9730000000000004E-2</v>
      </c>
      <c r="BF92" s="367"/>
      <c r="BG92" s="369"/>
      <c r="BH92" s="570"/>
    </row>
    <row r="93" spans="1:70" x14ac:dyDescent="0.3">
      <c r="A93" s="85">
        <f t="shared" si="116"/>
        <v>86</v>
      </c>
      <c r="B93" s="707"/>
      <c r="C93" s="859" t="s">
        <v>76</v>
      </c>
      <c r="D93" s="370"/>
      <c r="E93" s="370"/>
      <c r="F93" s="371"/>
      <c r="G93" s="372"/>
      <c r="H93" s="372"/>
      <c r="I93" s="863"/>
      <c r="J93" s="374"/>
      <c r="K93" s="373"/>
      <c r="L93" s="373"/>
      <c r="M93" s="374">
        <f>$I87+ROUND(IF($G87&lt;$F87,($G87*K87),IF($G87&lt;SUM($F87:$F88),(($F87*K87)+(($G87-$F87)*K88)),IF($G87&lt;SUM($F87:$F89),(($F87*K87)+($F88*K88)+(($G87-$F87-$F88)*K89)),IF($G87&lt;SUM($F87:$F90),(($F87*K87)+($F88*K88)+($F89*K89)+(($G87-SUM($F87:$F89))*K90)),IF($G87&lt;SUM($F87:$F91),(($F87*K87)+($F88*K88)+($F89*K89)+($F90*K90)+(($G87-SUM($F87:$F90))*K91)),(($F87*K87)+($F88*K88)+($F89*K89)+($F90*K89)+($F91*K91)+(($G87-SUM($F87:$F91))*K92))))))),2)</f>
        <v>10526.67</v>
      </c>
      <c r="N93" s="374">
        <f>$I87+ROUND(IF($H87&lt;$F87,($H87*K87),IF($H87&lt;SUM($F87:$F88),(($F87*K87)+(($H87-$F87)*K88)),IF($H87&lt;SUM($F87:$F89),(($F87*K87)+($F88*K88)+(($H87-$F87-$F88)*K89)),IF($H87&lt;SUM($F87:$F90),(($F87*K87)+($F88*K88)+($F89*K89)+(($H87-SUM($F87:$F89))*K90)),IF($H87&lt;SUM($F87:$F91),(($F87*K87)+($F88*K88)+($F89*K89)+($F90*K90)+(($H87-SUM($F87:$F90))*K91)),(($F87*K87)+($F88*K88)+($F89*K89)+($F90*K89)+($F91*K91)+(($H87-SUM($F87:$F91))*K92))))))),2)</f>
        <v>8163.89</v>
      </c>
      <c r="O93" s="374">
        <f>$I87+ROUND(IF($G87&lt;$F87,($G87*L87),IF($G87&lt;SUM($F87:$F88),(($F87*L87)+(($G87-$F87)*L88)),IF($G87&lt;SUM($F87:$F89),(($F87*L87)+($F88*L88)+(($G87-$F87-$F88)*L89)),IF($G87&lt;SUM($F87:$F90),(($F87*L87)+($F88*L88)+($F89*L89)+(($G87-SUM($F87:$F89))*L90)),IF($G87&lt;SUM($F87:$F91),(($F87*L87)+($F88*L88)+($F89*L89)+($F90*L90)+(($G87-SUM($F87:$F90))*L91)),(($F87*L87)+($F88*L88)+($F89*L89)+($F90*L89)+($F91*L91)+(($G87-SUM($F87:$F91))*L92))))))),2)</f>
        <v>11024.36</v>
      </c>
      <c r="P93" s="374">
        <f>$I87+ROUND(IF($H87&lt;$F87,($H87*L87),IF($H87&lt;SUM($F87:$F88),(($F87*L87)+(($H87-$F87)*L88)),IF($H87&lt;SUM($F87:$F89),(($F87*L87)+($F88*L88)+(($H87-$F87-$F88)*L89)),IF($H87&lt;SUM($F87:$F90),(($F87*L87)+($F88*L88)+($F89*L89)+(($H87-SUM($F87:$F89))*L90)),IF($H87&lt;SUM($F87:$F91),(($F87*L87)+($F88*L88)+($F89*L89)+($F90*L90)+(($H87-SUM($F87:$F90))*L91)),(($F87*L87)+($F88*L88)+($F89*L89)+($F90*L89)+($F91*L91)+(($H87-SUM($F87:$F91))*L92))))))),2)</f>
        <v>8530.5299999999988</v>
      </c>
      <c r="Q93" s="376"/>
      <c r="R93" s="374">
        <f>$J87+ROUND(IF($G87&lt;$F87,($G87*Q87),IF($G87&lt;SUM($F87:$F88),(($F87*Q87)+(($G87-$F87)*Q88)),IF($G87&lt;SUM($F87:$F89),(($F87*Q87)+($F88*Q88)+(($G87-$F87-$F88)*Q89)),IF($G87&lt;SUM($F87:$F90),(($F87*Q87)+($F88*Q88)+($F89*Q89)+(($G87-SUM($F87:$F89))*Q90)),IF($G87&lt;SUM($F87:$F91),(($F87*Q87)+($F88*Q88)+($F89*Q89)+($F90*Q90)+(($G87-SUM($F87:$F90))*Q91)),(($F87*Q87)+($F88*Q88)+($F89*Q89)+($F90*Q89)+($F91*Q91)+(($G87-SUM($F87:$F91))*Q92))))))),2)</f>
        <v>11013.46</v>
      </c>
      <c r="S93" s="377">
        <f>ROUND((R93-M93)/M93,3)</f>
        <v>4.5999999999999999E-2</v>
      </c>
      <c r="T93" s="375"/>
      <c r="U93" s="374">
        <f>$I87+ROUND(IF($H87&lt;$F87,($H87*T87),IF($H87&lt;SUM($F87:$F88),(($F87*T87)+(($H87-$F87)*T88)),IF($H87&lt;SUM($F87:$F89),(($F87*T87)+($F88*T88)+(($H87-$F87-$F88)*T89)),IF($H87&lt;SUM($F87:$F90),(($F87*T87)+($F88*T88)+($F89*T89)+(($H87-SUM($F87:$F89))*T90)),IF($H87&lt;SUM($F87:$F91),(($F87*T87)+($F88*T88)+($F89*T89)+($F90*T90)+(($H87-SUM($F87:$F90))*T91)),(($F87*T87)+($F88*T88)+($F89*T89)+($F90*T89)+($F91*T91)+(($H87-SUM($F87:$F91))*T92))))))),2)</f>
        <v>8214.7799999999988</v>
      </c>
      <c r="V93" s="571">
        <f>ROUND((U93-N93)/N93,3)</f>
        <v>6.0000000000000001E-3</v>
      </c>
      <c r="W93" s="375"/>
      <c r="X93" s="374">
        <f>$J87+ROUND(IF($G87&lt;$F87,($G87*W87),IF($G87&lt;SUM($F87:$F88),(($F87*W87)+(($G87-$F87)*W88)),IF($G87&lt;SUM($F87:$F89),(($F87*W87)+($F88*W88)+(($G87-$F87-$F88)*W89)),IF($G87&lt;SUM($F87:$F90),(($F87*W87)+($F88*W88)+($F89*W89)+(($G87-SUM($F87:$F89))*W90)),IF($G87&lt;SUM($F87:$F91),(($F87*W87)+($F88*W88)+($F89*W89)+($F90*W90)+(($G87-SUM($F87:$F90))*W91)),(($F87*W87)+($F88*W88)+($F89*W89)+($F90*W89)+($F91*W91)+(($G87-SUM($F87:$F91))*W92))))))),2)</f>
        <v>10427.35</v>
      </c>
      <c r="Y93" s="571">
        <f t="shared" ref="Y93:Y95" si="117">ROUND(($X93-$M93)/$M93,3)</f>
        <v>-8.9999999999999993E-3</v>
      </c>
      <c r="Z93" s="375"/>
      <c r="AA93" s="374">
        <f>$J87+ROUND(IF($G87&lt;$F87,($G87*Z87),IF($G87&lt;SUM($F87:$F88),(($F87*Z87)+(($G87-$F87)*Z88)),IF($G87&lt;SUM($F87:$F89),(($F87*Z87)+($F88*Z88)+(($G87-$F87-$F88)*Z89)),IF($G87&lt;SUM($F87:$F90),(($F87*Z87)+($F88*Z88)+($F89*Z89)+(($G87-SUM($F87:$F89))*Z90)),IF($G87&lt;SUM($F87:$F91),(($F87*Z87)+($F88*Z88)+($F89*Z89)+($F90*Z90)+(($G87-SUM($F87:$F90))*Z91)),(($F87*Z87)+($F88*Z88)+($F89*Z89)+($F90*Z89)+($F91*Z91)+(($G87-SUM($F87:$F91))*Z92))))))),2)</f>
        <v>10526.67</v>
      </c>
      <c r="AB93" s="571">
        <f>ROUND(($AA93-$M93)/$M93,3)</f>
        <v>0</v>
      </c>
      <c r="AC93" s="374"/>
      <c r="AD93" s="374">
        <f>$J87+ROUND(IF($G87&lt;$F87,($G87*AC87),IF($G87&lt;SUM($F87:$F88),(($F87*AC87)+(($G87-$F87)*AC88)),IF($G87&lt;SUM($F87:$F89),(($F87*AC87)+($F88*AC88)+(($G87-$F87-$F88)*AC89)),IF($G87&lt;SUM($F87:$F90),(($F87*AC87)+($F88*AC88)+($F89*AC89)+(($G87-SUM($F87:$F89))*AC90)),IF($G87&lt;SUM($F87:$F91),(($F87*AC87)+($F88*AC88)+($F89*AC89)+($F90*AC90)+(($G87-SUM($F87:$F90))*AC91)),(($F87*AC87)+($F88*AC88)+($F89*AC89)+($F90*AC89)+($F91*AC91)+(($G87-SUM($F87:$F91))*AC92))))))),2)</f>
        <v>10437.1</v>
      </c>
      <c r="AE93" s="571">
        <f>ROUND(($AD93-$M93)/$M93,3)</f>
        <v>-8.9999999999999993E-3</v>
      </c>
      <c r="AF93" s="374"/>
      <c r="AG93" s="374">
        <f>$J87+ROUND(IF($G87&lt;$F87,($G87*AF87),IF($G87&lt;SUM($F87:$F88),(($F87*AF87)+(($G87-$F87)*AF88)),IF($G87&lt;SUM($F87:$F89),(($F87*AF87)+($F88*AF88)+(($G87-$F87-$F88)*AF89)),IF($G87&lt;SUM($F87:$F90),(($F87*AF87)+($F88*AF88)+($F89*AF89)+(($G87-SUM($F87:$F89))*AF90)),IF($G87&lt;SUM($F87:$F91),(($F87*AF87)+($F88*AF88)+($F89*AF89)+($F90*AF90)+(($G87-SUM($F87:$F90))*AF91)),(($F87*AF87)+($F88*AF88)+($F89*AF89)+($F90*AF89)+($F91*AF91)+(($G87-SUM($F87:$F91))*AF92))))))),2)</f>
        <v>10558.03</v>
      </c>
      <c r="AH93" s="571">
        <f t="shared" ref="AH93:AH95" si="118">ROUND(($AG93-$M93)/$M93,3)</f>
        <v>3.0000000000000001E-3</v>
      </c>
      <c r="AI93" s="383"/>
      <c r="AJ93" s="374">
        <f>$J87+ROUND(IF($G87&lt;$F87,($G87*AI87),IF($G87&lt;SUM($F87:$F88),(($F87*AI87)+(($G87-$F87)*AI88)),IF($G87&lt;SUM($F87:$F89),(($F87*AI87)+($F88*AI88)+(($G87-$F87-$F88)*AI89)),IF($G87&lt;SUM($F87:$F90),(($F87*AI87)+($F88*AI88)+($F89*AI89)+(($G87-SUM($F87:$F89))*AI90)),IF($G87&lt;SUM($F87:$F91),(($F87*AI87)+($F88*AI88)+($F89*AI89)+($F90*AI90)+(($G87-SUM($F87:$F90))*AI91)),(($F87*AI87)+($F88*AI88)+($F89*AI89)+($F90*AI89)+($F91*AI91)+(($G87-SUM($F87:$F91))*AI92))))))),2)</f>
        <v>11024.36</v>
      </c>
      <c r="AK93" s="377">
        <f>ROUND((AJ93-M93)/M93,3)</f>
        <v>4.7E-2</v>
      </c>
      <c r="AL93" s="374">
        <f t="shared" si="108"/>
        <v>497.69000000000051</v>
      </c>
      <c r="AM93" s="376"/>
      <c r="AN93" s="374">
        <f>$J87+ROUND(IF($G87&lt;$F87,($G87*AM87),IF($G87&lt;SUM($F87:$F88),(($F87*AM87)+(($G87-$F87)*AM88)),IF($G87&lt;SUM($F87:$F89),(($F87*AM87)+($F88*AM88)+(($G87-$F87-$F88)*AM89)),IF($G87&lt;SUM($F87:$F90),(($F87*AM87)+($F88*AM88)+($F89*AM89)+(($G87-SUM($F87:$F89))*AM90)),IF($G87&lt;SUM($F87:$F91),(($F87*AM87)+($F88*AM88)+($F89*AM89)+($F90*AM90)+(($G87-SUM($F87:$F90))*AM91)),(($F87*AM87)+($F88*AM88)+($F89*AM89)+($F90*AM89)+($F91*AM91)+(($G87-SUM($F87:$F91))*AM92))))))),2)</f>
        <v>11246.37</v>
      </c>
      <c r="AO93" s="377">
        <f>ROUND((AN93-O93)/O93,3)</f>
        <v>0.02</v>
      </c>
      <c r="AP93" s="375"/>
      <c r="AQ93" s="374">
        <f>$I87+ROUND(IF($G87&lt;$F87,($G87*AP87),IF($G87&lt;SUM($F87:$F88),(($F87*AP87)+(($G87-$F87)*AP88)),IF($G87&lt;SUM($F87:$F89),(($F87*AP87)+($F88*AP88)+(($G87-$F87-$F88)*AP89)),IF($G87&lt;SUM($F87:$F90),(($F87*AP87)+($F88*AP88)+($F89*AP89)+(($G87-SUM($F87:$F89))*AP90)),IF($G87&lt;SUM($F87:$F91),(($F87*AP87)+($F88*AP88)+($F89*AP89)+($F90*AP90)+(($G87-SUM($F87:$F90))*AP91)),(($F87*AP87)+($F88*AP88)+($F89*AP89)+($F90*AP89)+($F91*AP91)+(($G87-SUM($F87:$F91))*AP92))))))),2)</f>
        <v>11008.63</v>
      </c>
      <c r="AR93" s="571">
        <f t="shared" si="109"/>
        <v>-1E-3</v>
      </c>
      <c r="AS93" s="376"/>
      <c r="AT93" s="374">
        <f>$J87+ROUND(IF($G87&lt;$F87,($G87*AS87),IF($G87&lt;SUM($F87:$F88),(($F87*AS87)+(($G87-$F87)*AS88)),IF($G87&lt;SUM($F87:$F89),(($F87*AS87)+($F88*AS88)+(($G87-$F87-$F88)*AS89)),IF($G87&lt;SUM($F87:$F90),(($F87*AS87)+($F88*AS88)+($F89*AS89)+(($G87-SUM($F87:$F89))*AS90)),IF($G87&lt;SUM($F87:$F91),(($F87*AS87)+($F88*AS88)+($F89*AS89)+($F90*AS90)+(($G87-SUM($F87:$F90))*AS91)),(($F87*AS87)+($F88*AS88)+($F89*AS89)+($F90*AS89)+($F91*AS91)+(($G87-SUM($F87:$F91))*AS92))))))),2)</f>
        <v>11015.67</v>
      </c>
      <c r="AU93" s="377">
        <f>ROUND(($AT93-$O93)/$O93,3)</f>
        <v>-1E-3</v>
      </c>
      <c r="AV93" s="376"/>
      <c r="AW93" s="374">
        <f>$J87+ROUND(IF($G87&lt;$F87,($G87*AV87),IF($G87&lt;SUM($F87:$F88),(($F87*AV87)+(($G87-$F87)*AV88)),IF($G87&lt;SUM($F87:$F89),(($F87*AV87)+($F88*AV88)+(($G87-$F87-$F88)*AV89)),IF($G87&lt;SUM($F87:$F90),(($F87*AV87)+($F88*AV88)+($F89*AV89)+(($G87-SUM($F87:$F89))*AV90)),IF($G87&lt;SUM($F87:$F91),(($F87*AV87)+($F88*AV88)+($F89*AV89)+($F90*AV90)+(($G87-SUM($F87:$F90))*AV91)),(($F87*AV87)+($F88*AV88)+($F89*AV89)+($F90*AV89)+($F91*AV91)+(($G87-SUM($F87:$F91))*AV92))))))),2)</f>
        <v>11024.36</v>
      </c>
      <c r="AX93" s="377">
        <f>ROUND(($AW93-$O93)/$O93,3)</f>
        <v>0</v>
      </c>
      <c r="AY93" s="376"/>
      <c r="AZ93" s="374">
        <f>$J87+ROUND(IF($G87&lt;$F87,($G87*AY87),IF($G87&lt;SUM($F87:$F88),(($F87*AY87)+(($G87-$F87)*AY88)),IF($G87&lt;SUM($F87:$F89),(($F87*AY87)+($F88*AY88)+(($G87-$F87-$F88)*AY89)),IF($G87&lt;SUM($F87:$F90),(($F87*AY87)+($F88*AY88)+($F89*AY89)+(($G87-SUM($F87:$F89))*AY90)),IF($G87&lt;SUM($F87:$F91),(($F87*AY87)+($F88*AY88)+($F89*AY89)+($F90*AY90)+(($G87-SUM($F87:$F90))*AY91)),(($F87*AY87)+($F88*AY88)+($F89*AY89)+($F90*AY89)+($F91*AY91)+(($G87-SUM($F87:$F91))*AY92))))))),2)</f>
        <v>10937.96</v>
      </c>
      <c r="BA93" s="377">
        <f>ROUND(($AT93-$O93)/$O93,3)</f>
        <v>-1E-3</v>
      </c>
      <c r="BB93" s="376"/>
      <c r="BC93" s="1727">
        <f t="shared" si="114"/>
        <v>11024.36</v>
      </c>
      <c r="BD93" s="1723">
        <f t="shared" si="115"/>
        <v>0</v>
      </c>
      <c r="BE93" s="383"/>
      <c r="BF93" s="374">
        <f>$J87+ROUND(IF($G87&lt;$F87,($G87*BE87),IF($G87&lt;SUM($F87:$F88),(($F87*BE87)+(($G87-$F87)*BE88)),IF($G87&lt;SUM($F87:$F89),(($F87*BE87)+($F88*BE88)+(($G87-$F87-$F88)*BE89)),IF($G87&lt;SUM($F87:$F90),(($F87*BE87)+($F88*BE88)+($F89*BE89)+(($G87-SUM($F87:$F89))*BE90)),IF($G87&lt;SUM($F87:$F91),(($F87*BE87)+($F88*BE88)+($F89*BE89)+($F90*BE90)+(($G87-SUM($F87:$F90))*BE91)),(($F87*BE87)+($F88*BE88)+($F89*BE89)+($F90*BE89)+($F91*BE91)+(($G87-SUM($F87:$F91))*BE92))))))),2)</f>
        <v>11135.55</v>
      </c>
      <c r="BG93" s="377">
        <f>ROUND((BF93-O93)/O93,3)</f>
        <v>0.01</v>
      </c>
      <c r="BH93" s="1576">
        <f t="shared" si="110"/>
        <v>111.18999999999869</v>
      </c>
      <c r="BI93" s="365"/>
      <c r="BJ93" s="365"/>
      <c r="BK93" s="365"/>
      <c r="BL93" s="365"/>
      <c r="BM93" s="365"/>
      <c r="BN93" s="365"/>
      <c r="BO93" s="365"/>
      <c r="BP93" s="365"/>
      <c r="BQ93" s="365"/>
      <c r="BR93" s="365"/>
    </row>
    <row r="94" spans="1:70" x14ac:dyDescent="0.3">
      <c r="A94" s="85">
        <f t="shared" si="116"/>
        <v>87</v>
      </c>
      <c r="B94" s="707" t="str">
        <f>'WA Volumes &amp; Revenues'!B81</f>
        <v>43 Firm Transpt</v>
      </c>
      <c r="C94" s="860" t="s">
        <v>270</v>
      </c>
      <c r="D94" s="384">
        <f>'WA Volumes &amp; Revenues'!E81</f>
        <v>0</v>
      </c>
      <c r="E94" s="384">
        <f>'WA Volumes &amp; Revenues'!F81</f>
        <v>0</v>
      </c>
      <c r="F94" s="385" t="s">
        <v>270</v>
      </c>
      <c r="G94" s="386">
        <f>+'WA Volumes &amp; Revenues'!I81</f>
        <v>0</v>
      </c>
      <c r="H94" s="386">
        <f>'WA Volumes &amp; Revenues'!L81</f>
        <v>0</v>
      </c>
      <c r="I94" s="866">
        <f>'WA Volumes &amp; Revenues'!O81</f>
        <v>38000</v>
      </c>
      <c r="J94" s="652">
        <f>'WA Volumes &amp; Revenues'!N81</f>
        <v>38000</v>
      </c>
      <c r="K94" s="387">
        <f>+'Rates in summary'!D80</f>
        <v>4.919999999999999E-3</v>
      </c>
      <c r="L94" s="387">
        <f>+'Rates in summary'!M80</f>
        <v>4.9499999999999987E-3</v>
      </c>
      <c r="M94" s="362">
        <f>ROUND(+$I94+(K94*$G94),2)</f>
        <v>38000</v>
      </c>
      <c r="N94" s="362">
        <f>ROUND(I94+(K94*H94),2)</f>
        <v>38000</v>
      </c>
      <c r="O94" s="362">
        <f t="shared" ref="O94:O96" si="119">ROUND(+$I94+(L94*$G94),2)</f>
        <v>38000</v>
      </c>
      <c r="P94" s="459">
        <f t="shared" ref="P94:P96" si="120">ROUND(I94+(L94*H94),2)</f>
        <v>38000</v>
      </c>
      <c r="Q94" s="388">
        <f>'Rates in summary'!H80-'Rates in summary'!F80</f>
        <v>4.919999999999999E-3</v>
      </c>
      <c r="R94" s="362">
        <f>ROUND(I94+(Q94*G94),2)</f>
        <v>38000</v>
      </c>
      <c r="S94" s="389">
        <f t="shared" ref="S94" si="121">ROUND((R94-M94)/M94,3)</f>
        <v>0</v>
      </c>
      <c r="T94" s="363">
        <f>'Rates in summary'!L80</f>
        <v>4.9699999999999987E-3</v>
      </c>
      <c r="U94" s="362">
        <f>ROUND(I94+(T94*H94),2)</f>
        <v>38000</v>
      </c>
      <c r="V94" s="569">
        <f>ROUND((U94-N94)/N94,3)</f>
        <v>0</v>
      </c>
      <c r="W94" s="363">
        <f>'Rates in Detail'!J79+'Rates in Detail'!P79</f>
        <v>4.919999999999999E-3</v>
      </c>
      <c r="X94" s="362">
        <f t="shared" ref="X94:X96" si="122">ROUND($J94+($W94*$G94),2)</f>
        <v>38000</v>
      </c>
      <c r="Y94" s="569">
        <f t="shared" si="117"/>
        <v>0</v>
      </c>
      <c r="Z94" s="363">
        <f>'Rates in Detail'!J79+'Rates in Detail'!S79</f>
        <v>4.919999999999999E-3</v>
      </c>
      <c r="AA94" s="362">
        <f>ROUND($J94+($Z94*$G94),2)</f>
        <v>38000</v>
      </c>
      <c r="AB94" s="569">
        <f>ROUND(($AA94-$M94)/$M94,3)</f>
        <v>0</v>
      </c>
      <c r="AC94" s="122">
        <f>'Rates in Detail'!J79+'Rates in Detail'!T79</f>
        <v>4.8799999999999989E-3</v>
      </c>
      <c r="AD94" s="362">
        <f>ROUND($J94+($AC94*$G94),2)</f>
        <v>38000</v>
      </c>
      <c r="AE94" s="569">
        <f>ROUND(($AD94-$M94)/$M94,3)</f>
        <v>0</v>
      </c>
      <c r="AF94" s="122">
        <f>'Rates in Detail'!J79+'Rates in Detail'!U79</f>
        <v>4.9399999999999991E-3</v>
      </c>
      <c r="AG94" s="362">
        <f>ROUND($J94+($AC94*$G94),2)</f>
        <v>38000</v>
      </c>
      <c r="AH94" s="569">
        <f t="shared" si="118"/>
        <v>0</v>
      </c>
      <c r="AI94" s="390">
        <f>'Rates in summary'!M80</f>
        <v>4.9499999999999987E-3</v>
      </c>
      <c r="AJ94" s="362">
        <f t="shared" ref="AJ94:AJ95" si="123">ROUND(J94+(G94*AI94),2)</f>
        <v>38000</v>
      </c>
      <c r="AK94" s="389">
        <f>ROUND((AJ94-M94)/M94,3)</f>
        <v>0</v>
      </c>
      <c r="AL94" s="362">
        <f t="shared" si="108"/>
        <v>0</v>
      </c>
      <c r="AM94" s="363">
        <f>L94+'Rates in summary'!N80</f>
        <v>4.9499999999999987E-3</v>
      </c>
      <c r="AN94" s="362">
        <f>ROUND(J94+(AM94*G94),2)</f>
        <v>38000</v>
      </c>
      <c r="AO94" s="389">
        <f>ROUND((AN94-O94)/O94,3)</f>
        <v>0</v>
      </c>
      <c r="AP94" s="363">
        <f>'Rates in summary'!U80</f>
        <v>5.8199999999999988E-3</v>
      </c>
      <c r="AQ94" s="362">
        <f>ROUND(M94+(AP94*K94),2)</f>
        <v>38000</v>
      </c>
      <c r="AR94" s="569">
        <f t="shared" si="109"/>
        <v>0</v>
      </c>
      <c r="AS94" s="363">
        <f>L94+'Rates in Detail'!AD79</f>
        <v>4.9499999999999987E-3</v>
      </c>
      <c r="AT94" s="362">
        <f>ROUND($J94+($AS94*$G94),2)</f>
        <v>38000</v>
      </c>
      <c r="AU94" s="389">
        <f>ROUND(($AT94-$O94)/$O94,3)</f>
        <v>0</v>
      </c>
      <c r="AV94" s="363">
        <f>L94+'Rates in Detail'!AG79</f>
        <v>4.9499999999999987E-3</v>
      </c>
      <c r="AW94" s="362">
        <f>ROUND($J94+($AS94*$G94),2)</f>
        <v>38000</v>
      </c>
      <c r="AX94" s="389">
        <f>ROUND(($AT94-$O94)/$O94,3)</f>
        <v>0</v>
      </c>
      <c r="AY94" s="363">
        <f>L94+'Rates in Detail'!AG79</f>
        <v>4.9499999999999987E-3</v>
      </c>
      <c r="AZ94" s="362">
        <f>ROUND($J94+($AS94*$G94),2)</f>
        <v>38000</v>
      </c>
      <c r="BA94" s="389">
        <f>ROUND(($AT94-$O94)/$O94,3)</f>
        <v>0</v>
      </c>
      <c r="BB94" s="363">
        <f t="shared" si="111"/>
        <v>4.9499999999999987E-3</v>
      </c>
      <c r="BC94" s="1728">
        <f t="shared" si="114"/>
        <v>38000</v>
      </c>
      <c r="BD94" s="1724">
        <f t="shared" si="115"/>
        <v>0</v>
      </c>
      <c r="BE94" s="390">
        <f>'Rates in summary'!W80</f>
        <v>5.7799999999999987E-3</v>
      </c>
      <c r="BF94" s="362">
        <f>ROUND(J94+(G94*BE94),2)</f>
        <v>38000</v>
      </c>
      <c r="BG94" s="389">
        <f>ROUND((BF94-O94)/O94,3)</f>
        <v>0</v>
      </c>
      <c r="BH94" s="1203">
        <f t="shared" si="110"/>
        <v>0</v>
      </c>
    </row>
    <row r="95" spans="1:70" x14ac:dyDescent="0.3">
      <c r="A95" s="85">
        <f t="shared" si="116"/>
        <v>88</v>
      </c>
      <c r="B95" s="707" t="str">
        <f>'WA Volumes &amp; Revenues'!B82</f>
        <v>43 Interr Transpt</v>
      </c>
      <c r="C95" s="829" t="s">
        <v>270</v>
      </c>
      <c r="D95" s="384">
        <f>'WA Volumes &amp; Revenues'!E82</f>
        <v>0</v>
      </c>
      <c r="E95" s="384">
        <f>'WA Volumes &amp; Revenues'!F82</f>
        <v>0</v>
      </c>
      <c r="F95" s="385" t="s">
        <v>270</v>
      </c>
      <c r="G95" s="386">
        <f>+'WA Volumes &amp; Revenues'!I82</f>
        <v>0</v>
      </c>
      <c r="H95" s="386">
        <f>'WA Volumes &amp; Revenues'!L82</f>
        <v>0</v>
      </c>
      <c r="I95" s="866">
        <f>'WA Volumes &amp; Revenues'!O82</f>
        <v>38000</v>
      </c>
      <c r="J95" s="652">
        <f>'WA Volumes &amp; Revenues'!N82</f>
        <v>38000</v>
      </c>
      <c r="K95" s="387">
        <f>+'Rates in summary'!D81</f>
        <v>4.919999999999999E-3</v>
      </c>
      <c r="L95" s="387">
        <f>+'Rates in summary'!M81</f>
        <v>4.9499999999999987E-3</v>
      </c>
      <c r="M95" s="362">
        <f t="shared" ref="M95:M96" si="124">ROUND(+$I95+(K95*$G95),2)</f>
        <v>38000</v>
      </c>
      <c r="N95" s="362">
        <f t="shared" ref="N95:N96" si="125">ROUND(I95+(K95*H95),2)</f>
        <v>38000</v>
      </c>
      <c r="O95" s="362">
        <f t="shared" si="119"/>
        <v>38000</v>
      </c>
      <c r="P95" s="459">
        <f t="shared" si="120"/>
        <v>38000</v>
      </c>
      <c r="Q95" s="388">
        <f>'Rates in summary'!H81-'Rates in summary'!F81</f>
        <v>4.919999999999999E-3</v>
      </c>
      <c r="R95" s="362">
        <f t="shared" ref="R95" si="126">ROUND(I95+(Q95*G95),2)</f>
        <v>38000</v>
      </c>
      <c r="S95" s="389">
        <f>ROUND((R95-M95)/M95,3)</f>
        <v>0</v>
      </c>
      <c r="T95" s="363">
        <f>'Rates in summary'!L81</f>
        <v>4.9699999999999987E-3</v>
      </c>
      <c r="U95" s="362">
        <f>ROUND(I95+(T95*H95),2)</f>
        <v>38000</v>
      </c>
      <c r="V95" s="569">
        <f>ROUND((U95-N95)/N95,3)</f>
        <v>0</v>
      </c>
      <c r="W95" s="363">
        <f>'Rates in Detail'!J80+'Rates in Detail'!P80</f>
        <v>4.919999999999999E-3</v>
      </c>
      <c r="X95" s="362">
        <f t="shared" si="122"/>
        <v>38000</v>
      </c>
      <c r="Y95" s="569">
        <f t="shared" si="117"/>
        <v>0</v>
      </c>
      <c r="Z95" s="363">
        <f>'Rates in Detail'!J80+'Rates in Detail'!S80</f>
        <v>4.919999999999999E-3</v>
      </c>
      <c r="AA95" s="362">
        <f>ROUND($J95+($Z95*$G95),2)</f>
        <v>38000</v>
      </c>
      <c r="AB95" s="569">
        <f>ROUND(($AA95-$M95)/$M95,3)</f>
        <v>0</v>
      </c>
      <c r="AC95" s="122">
        <f>'Rates in Detail'!J80+'Rates in Detail'!T80</f>
        <v>4.8799999999999989E-3</v>
      </c>
      <c r="AD95" s="362">
        <f>ROUND($J95+($AC95*$G95),2)</f>
        <v>38000</v>
      </c>
      <c r="AE95" s="569">
        <f>ROUND(($AD95-$M95)/$M95,3)</f>
        <v>0</v>
      </c>
      <c r="AF95" s="122">
        <f>'Rates in Detail'!J80+'Rates in Detail'!U80</f>
        <v>4.9399999999999991E-3</v>
      </c>
      <c r="AG95" s="362">
        <f>ROUND($J95+($AC95*$G95),2)</f>
        <v>38000</v>
      </c>
      <c r="AH95" s="569">
        <f t="shared" si="118"/>
        <v>0</v>
      </c>
      <c r="AI95" s="390">
        <f>'Rates in summary'!M81</f>
        <v>4.9499999999999987E-3</v>
      </c>
      <c r="AJ95" s="362">
        <f t="shared" si="123"/>
        <v>38000</v>
      </c>
      <c r="AK95" s="389">
        <f>ROUND((AJ95-M95)/M95,3)</f>
        <v>0</v>
      </c>
      <c r="AL95" s="362">
        <f t="shared" si="108"/>
        <v>0</v>
      </c>
      <c r="AM95" s="363">
        <f>L95+'Rates in summary'!N81</f>
        <v>4.9499999999999987E-3</v>
      </c>
      <c r="AN95" s="362">
        <f>ROUND(J95+(AM95*G95),2)</f>
        <v>38000</v>
      </c>
      <c r="AO95" s="389">
        <f>ROUND((AN95-O95)/O95,3)</f>
        <v>0</v>
      </c>
      <c r="AP95" s="363">
        <f>'Rates in summary'!U81</f>
        <v>5.2499999999999986E-3</v>
      </c>
      <c r="AQ95" s="362">
        <f>ROUND(M95+(AP95*K95),2)</f>
        <v>38000</v>
      </c>
      <c r="AR95" s="569">
        <f t="shared" si="109"/>
        <v>0</v>
      </c>
      <c r="AS95" s="363">
        <f>L95+'Rates in Detail'!AD80</f>
        <v>4.9499999999999987E-3</v>
      </c>
      <c r="AT95" s="362">
        <f>ROUND($J95+($AS95*$G95),2)</f>
        <v>38000</v>
      </c>
      <c r="AU95" s="389">
        <f>ROUND(($AT95-$O95)/$O95,3)</f>
        <v>0</v>
      </c>
      <c r="AV95" s="363">
        <f>L95+'Rates in Detail'!AG80</f>
        <v>4.9499999999999987E-3</v>
      </c>
      <c r="AW95" s="362">
        <f>ROUND($J95+($AS95*$G95),2)</f>
        <v>38000</v>
      </c>
      <c r="AX95" s="389">
        <f>ROUND(($AT95-$O95)/$O95,3)</f>
        <v>0</v>
      </c>
      <c r="AY95" s="363">
        <f>L95+'Rates in Detail'!AG80</f>
        <v>4.9499999999999987E-3</v>
      </c>
      <c r="AZ95" s="362">
        <f>ROUND($J95+($AS95*$G95),2)</f>
        <v>38000</v>
      </c>
      <c r="BA95" s="389">
        <f>ROUND(($AT95-$O95)/$O95,3)</f>
        <v>0</v>
      </c>
      <c r="BB95" s="363">
        <f t="shared" si="111"/>
        <v>4.9499999999999987E-3</v>
      </c>
      <c r="BC95" s="1728">
        <f t="shared" si="114"/>
        <v>38000</v>
      </c>
      <c r="BD95" s="1724">
        <f t="shared" si="115"/>
        <v>0</v>
      </c>
      <c r="BE95" s="390">
        <f>'Rates in summary'!W81</f>
        <v>5.2099999999999985E-3</v>
      </c>
      <c r="BF95" s="362">
        <f>ROUND(J95+(G95*BE95),2)</f>
        <v>38000</v>
      </c>
      <c r="BG95" s="389">
        <f>ROUND((BF95-O95)/O95,3)</f>
        <v>0</v>
      </c>
      <c r="BH95" s="1203">
        <f t="shared" si="110"/>
        <v>0</v>
      </c>
    </row>
    <row r="96" spans="1:70" x14ac:dyDescent="0.3">
      <c r="A96" s="85">
        <f t="shared" si="116"/>
        <v>89</v>
      </c>
      <c r="B96" s="709" t="str">
        <f>'WA Volumes &amp; Revenues'!B83</f>
        <v>Special Contract</v>
      </c>
      <c r="C96" s="960" t="s">
        <v>270</v>
      </c>
      <c r="D96" s="961">
        <f>'WA Volumes &amp; Revenues'!E83</f>
        <v>2895114</v>
      </c>
      <c r="E96" s="961">
        <f>'WA Volumes &amp; Revenues'!F83</f>
        <v>0</v>
      </c>
      <c r="F96" s="962" t="s">
        <v>270</v>
      </c>
      <c r="G96" s="681">
        <f>+'WA Volumes &amp; Revenues'!I83</f>
        <v>241259.5</v>
      </c>
      <c r="H96" s="681">
        <f>'WA Volumes &amp; Revenues'!L83</f>
        <v>0</v>
      </c>
      <c r="I96" s="865">
        <f>'WA Volumes &amp; Revenues'!O83</f>
        <v>0</v>
      </c>
      <c r="J96" s="651">
        <f>'WA Volumes &amp; Revenues'!N83</f>
        <v>0</v>
      </c>
      <c r="K96" s="963">
        <f>+'Rates in summary'!D82</f>
        <v>0</v>
      </c>
      <c r="L96" s="963">
        <f>+'Rates in summary'!M82</f>
        <v>0</v>
      </c>
      <c r="M96" s="367">
        <f t="shared" si="124"/>
        <v>0</v>
      </c>
      <c r="N96" s="367">
        <f t="shared" si="125"/>
        <v>0</v>
      </c>
      <c r="O96" s="367">
        <f t="shared" si="119"/>
        <v>0</v>
      </c>
      <c r="P96" s="367">
        <f t="shared" si="120"/>
        <v>0</v>
      </c>
      <c r="Q96" s="388">
        <f>'Rates in summary'!H82-'Rates in summary'!F82</f>
        <v>0</v>
      </c>
      <c r="R96" s="362">
        <f>ROUND(I96+(Q96*G96),2)</f>
        <v>0</v>
      </c>
      <c r="S96" s="389">
        <f>IF(M96=0,0,ROUND((R96-M96)/M96,3))</f>
        <v>0</v>
      </c>
      <c r="T96" s="363">
        <f>'Rates in summary'!L82</f>
        <v>0</v>
      </c>
      <c r="U96" s="362">
        <f>ROUND(I96+(T96*H96),2)</f>
        <v>0</v>
      </c>
      <c r="V96" s="569">
        <f>IF(N96=0,0,ROUND((U96-N96)/N96,3))</f>
        <v>0</v>
      </c>
      <c r="W96" s="363">
        <f>'Rates in Detail'!J81+'Rates in Detail'!P81</f>
        <v>0</v>
      </c>
      <c r="X96" s="362">
        <f t="shared" si="122"/>
        <v>0</v>
      </c>
      <c r="Y96" s="569">
        <f>IF(M96=0,0,ROUND(($X96-$M96)/$M96,3))</f>
        <v>0</v>
      </c>
      <c r="Z96" s="363">
        <f>'Rates in Detail'!J81+'Rates in Detail'!S81</f>
        <v>0</v>
      </c>
      <c r="AA96" s="362">
        <f>ROUND($J96+($Z96*$G96),2)</f>
        <v>0</v>
      </c>
      <c r="AB96" s="569">
        <f>IF(P96=0,0,ROUND(($AA96-$M96)/$M96,3))</f>
        <v>0</v>
      </c>
      <c r="AC96" s="122">
        <f>'Rates in Detail'!J81+'Rates in Detail'!T81</f>
        <v>0</v>
      </c>
      <c r="AD96" s="362">
        <f>ROUND($J96+($AC96*$G96),2)</f>
        <v>0</v>
      </c>
      <c r="AE96" s="569">
        <f>IF(S96=0,0,ROUND(($AD96-$M96)/$M96,3))</f>
        <v>0</v>
      </c>
      <c r="AF96" s="122">
        <f>'Rates in Detail'!J81+'Rates in Detail'!U81</f>
        <v>0</v>
      </c>
      <c r="AG96" s="362">
        <f>ROUND($J96+($AC96*$G96),2)</f>
        <v>0</v>
      </c>
      <c r="AH96" s="569">
        <f>IF(V96=0,0,ROUND(($AD96-$M96)/$M96,3))</f>
        <v>0</v>
      </c>
      <c r="AI96" s="390">
        <f>'Rates in summary'!M82</f>
        <v>0</v>
      </c>
      <c r="AJ96" s="362">
        <v>0</v>
      </c>
      <c r="AK96" s="389">
        <f>IF(M96=0,0,ROUND((AJ96-M96)/M96,3))</f>
        <v>0</v>
      </c>
      <c r="AL96" s="362">
        <f t="shared" si="108"/>
        <v>0</v>
      </c>
      <c r="AM96" s="363">
        <f>L96+'Rates in summary'!N82</f>
        <v>0</v>
      </c>
      <c r="AN96" s="362">
        <f>IF(J96=0,0,ROUND(J96+(AM96*G96),2))</f>
        <v>0</v>
      </c>
      <c r="AO96" s="389">
        <f>IF(O96=0,0,ROUND((AN96-O96)/O96,3))</f>
        <v>0</v>
      </c>
      <c r="AP96" s="363">
        <f>'Rates in summary'!U82</f>
        <v>0</v>
      </c>
      <c r="AQ96" s="362">
        <f>ROUND(M96+(AP96*K96),2)</f>
        <v>0</v>
      </c>
      <c r="AR96" s="569">
        <v>0</v>
      </c>
      <c r="AS96" s="363">
        <f>L96+'Rates in Detail'!AD81</f>
        <v>0</v>
      </c>
      <c r="AT96" s="362">
        <f>ROUND($J96+($AS96*$G96),2)</f>
        <v>0</v>
      </c>
      <c r="AU96" s="389">
        <f>IF(AE96=0,0,ROUND(($AT96-$O96)/$O96,3))</f>
        <v>0</v>
      </c>
      <c r="AV96" s="363">
        <f>L96+'Rates in Detail'!AG81</f>
        <v>0</v>
      </c>
      <c r="AW96" s="362">
        <f>ROUND($J96+($AS96*$G96),2)</f>
        <v>0</v>
      </c>
      <c r="AX96" s="389">
        <f>IF(AK96=0,0,ROUND(($AT96-$O96)/$O96,3))</f>
        <v>0</v>
      </c>
      <c r="AY96" s="363">
        <f>L96+'Rates in Detail'!AG81</f>
        <v>0</v>
      </c>
      <c r="AZ96" s="362">
        <f>ROUND($J96+($AS96*$G96),2)</f>
        <v>0</v>
      </c>
      <c r="BA96" s="389">
        <f>IF(AK96=0,0,ROUND(($AT96-$O96)/$O96,3))</f>
        <v>0</v>
      </c>
      <c r="BB96" s="363">
        <f t="shared" si="111"/>
        <v>0</v>
      </c>
      <c r="BC96" s="1728">
        <f t="shared" si="114"/>
        <v>0</v>
      </c>
      <c r="BD96" s="1724">
        <v>0</v>
      </c>
      <c r="BE96" s="390">
        <f>'Rates in summary'!W82</f>
        <v>0</v>
      </c>
      <c r="BF96" s="362">
        <f>ROUND(J96+(G96*BE96),2)</f>
        <v>0</v>
      </c>
      <c r="BG96" s="389">
        <f>IF(O96=0,0,ROUND((BF96-O96)/O96,3))</f>
        <v>0</v>
      </c>
      <c r="BH96" s="1203">
        <f t="shared" si="110"/>
        <v>0</v>
      </c>
    </row>
    <row r="97" spans="1:60" ht="13.5" thickBot="1" x14ac:dyDescent="0.35">
      <c r="A97" s="85">
        <f t="shared" si="116"/>
        <v>90</v>
      </c>
      <c r="B97" s="601" t="s">
        <v>76</v>
      </c>
      <c r="C97" s="894"/>
      <c r="D97" s="964">
        <f>SUM(D14:D96)</f>
        <v>103032055.6009268</v>
      </c>
      <c r="E97" s="964">
        <f>SUM(E14:E96)</f>
        <v>101085884.30000001</v>
      </c>
      <c r="F97" s="729"/>
      <c r="G97" s="964">
        <f>SUM(G14:G96)</f>
        <v>543910.62040000001</v>
      </c>
      <c r="H97" s="964">
        <f>SUM(H14:H96)</f>
        <v>270612</v>
      </c>
      <c r="I97" s="965"/>
      <c r="J97" s="965"/>
      <c r="K97" s="966"/>
      <c r="L97" s="966"/>
      <c r="M97" s="967"/>
      <c r="N97" s="967"/>
      <c r="O97" s="967"/>
      <c r="P97" s="968"/>
      <c r="Q97" s="165"/>
      <c r="R97" s="394"/>
      <c r="S97" s="396"/>
      <c r="T97" s="393"/>
      <c r="U97" s="394"/>
      <c r="V97" s="572"/>
      <c r="W97" s="393"/>
      <c r="X97" s="394"/>
      <c r="Y97" s="572"/>
      <c r="Z97" s="393"/>
      <c r="AA97" s="394"/>
      <c r="AB97" s="572"/>
      <c r="AC97" s="394"/>
      <c r="AD97" s="394"/>
      <c r="AE97" s="572"/>
      <c r="AF97" s="394"/>
      <c r="AG97" s="394"/>
      <c r="AH97" s="572"/>
      <c r="AI97" s="393"/>
      <c r="AJ97" s="394"/>
      <c r="AK97" s="396"/>
      <c r="AL97" s="393"/>
      <c r="AM97" s="395"/>
      <c r="AN97" s="394"/>
      <c r="AO97" s="396"/>
      <c r="AP97" s="393"/>
      <c r="AQ97" s="394"/>
      <c r="AR97" s="572"/>
      <c r="AS97" s="395"/>
      <c r="AT97" s="394"/>
      <c r="AU97" s="396"/>
      <c r="AV97" s="395"/>
      <c r="AW97" s="394"/>
      <c r="AX97" s="396"/>
      <c r="AY97" s="395"/>
      <c r="AZ97" s="394"/>
      <c r="BA97" s="396"/>
      <c r="BB97" s="395"/>
      <c r="BC97" s="393"/>
      <c r="BD97" s="393"/>
      <c r="BE97" s="393"/>
      <c r="BF97" s="394"/>
      <c r="BG97" s="396"/>
      <c r="BH97" s="572"/>
    </row>
    <row r="98" spans="1:60" ht="12.65" customHeight="1" x14ac:dyDescent="0.3">
      <c r="A98" s="85">
        <f t="shared" si="116"/>
        <v>91</v>
      </c>
      <c r="B98" s="1893" t="s">
        <v>358</v>
      </c>
      <c r="C98" s="1893"/>
      <c r="D98" s="1893"/>
      <c r="E98" s="1893"/>
      <c r="F98" s="1893"/>
      <c r="G98" s="1893"/>
      <c r="H98" s="1893"/>
      <c r="I98" s="1893"/>
      <c r="J98" s="1893"/>
      <c r="K98" s="407"/>
      <c r="L98" s="407"/>
      <c r="M98" s="407"/>
      <c r="N98" s="407"/>
      <c r="O98" s="407"/>
      <c r="P98" s="407"/>
      <c r="T98" s="407"/>
      <c r="U98" s="407"/>
      <c r="V98" s="407"/>
      <c r="W98" s="407"/>
      <c r="X98" s="407"/>
      <c r="Y98" s="407"/>
      <c r="Z98" s="407"/>
      <c r="AA98" s="407"/>
      <c r="AB98" s="407"/>
      <c r="AC98" s="407"/>
      <c r="AD98" s="407"/>
      <c r="AE98" s="407"/>
      <c r="AF98" s="407"/>
      <c r="AG98" s="407"/>
      <c r="AH98" s="407"/>
      <c r="AI98" s="54"/>
      <c r="AJ98" s="54"/>
      <c r="AK98" s="54"/>
      <c r="AL98" s="54"/>
      <c r="AP98" s="407"/>
      <c r="AQ98" s="407"/>
      <c r="AR98" s="407"/>
      <c r="AS98" s="407"/>
      <c r="AT98" s="407"/>
      <c r="AU98" s="407"/>
      <c r="AV98" s="407"/>
      <c r="AW98" s="407"/>
      <c r="AX98" s="407"/>
      <c r="AY98" s="407"/>
      <c r="AZ98" s="407"/>
      <c r="BA98" s="407"/>
      <c r="BB98" s="407"/>
      <c r="BC98" s="407"/>
      <c r="BD98" s="407"/>
      <c r="BE98" s="54"/>
      <c r="BF98" s="54"/>
      <c r="BG98" s="54"/>
    </row>
    <row r="99" spans="1:60" ht="12.65" customHeight="1" x14ac:dyDescent="0.3">
      <c r="A99" s="85">
        <f t="shared" si="116"/>
        <v>92</v>
      </c>
      <c r="B99" s="1893"/>
      <c r="C99" s="1893"/>
      <c r="D99" s="1893"/>
      <c r="E99" s="1893"/>
      <c r="F99" s="1893"/>
      <c r="G99" s="1893"/>
      <c r="H99" s="1893"/>
      <c r="I99" s="1893"/>
      <c r="J99" s="1893"/>
      <c r="K99" s="408"/>
      <c r="L99" s="408"/>
      <c r="M99" s="408"/>
      <c r="N99" s="408"/>
      <c r="O99" s="408"/>
      <c r="P99" s="408"/>
      <c r="T99" s="408"/>
      <c r="U99" s="408"/>
      <c r="V99" s="408"/>
      <c r="W99" s="408"/>
      <c r="X99" s="408"/>
      <c r="Y99" s="408"/>
      <c r="Z99" s="408"/>
      <c r="AA99" s="408"/>
      <c r="AB99" s="408"/>
      <c r="AC99" s="408"/>
      <c r="AD99" s="408"/>
      <c r="AE99" s="408"/>
      <c r="AF99" s="408"/>
      <c r="AG99" s="408"/>
      <c r="AH99" s="408"/>
      <c r="AI99" s="54"/>
      <c r="AJ99" s="54"/>
      <c r="AK99" s="54"/>
      <c r="AL99" s="54"/>
      <c r="AP99" s="408"/>
      <c r="AQ99" s="408"/>
      <c r="AR99" s="408"/>
      <c r="AS99" s="408"/>
      <c r="AT99" s="408"/>
      <c r="AU99" s="408"/>
      <c r="AV99" s="408"/>
      <c r="AW99" s="408"/>
      <c r="AX99" s="408"/>
      <c r="AY99" s="408"/>
      <c r="AZ99" s="408"/>
      <c r="BA99" s="408"/>
      <c r="BB99" s="408"/>
      <c r="BC99" s="408"/>
      <c r="BD99" s="408"/>
      <c r="BE99" s="54"/>
      <c r="BF99" s="54"/>
      <c r="BG99" s="54"/>
    </row>
    <row r="100" spans="1:60" x14ac:dyDescent="0.3">
      <c r="A100" s="85">
        <f t="shared" si="116"/>
        <v>93</v>
      </c>
      <c r="B100" s="728"/>
      <c r="C100" s="728"/>
      <c r="D100" s="728"/>
      <c r="E100" s="728"/>
      <c r="F100" s="728"/>
      <c r="G100" s="728"/>
      <c r="H100" s="728"/>
      <c r="I100" s="728"/>
      <c r="J100" s="409"/>
      <c r="K100" s="409"/>
      <c r="L100" s="409"/>
      <c r="M100" s="409"/>
      <c r="N100" s="409"/>
      <c r="O100" s="409"/>
      <c r="P100" s="409"/>
      <c r="Q100" s="346"/>
      <c r="R100" s="346"/>
      <c r="S100" s="346"/>
      <c r="T100" s="409"/>
      <c r="U100" s="409"/>
      <c r="V100" s="409"/>
      <c r="W100" s="409"/>
      <c r="X100" s="409"/>
      <c r="Y100" s="409"/>
      <c r="Z100" s="409"/>
      <c r="AA100" s="409"/>
      <c r="AB100" s="409"/>
      <c r="AC100" s="409"/>
      <c r="AD100" s="409"/>
      <c r="AE100" s="409"/>
      <c r="AF100" s="409"/>
      <c r="AG100" s="409"/>
      <c r="AH100" s="409"/>
      <c r="AI100" s="397"/>
      <c r="AJ100" s="397"/>
      <c r="AK100" s="397"/>
      <c r="AL100" s="397"/>
      <c r="AM100" s="346"/>
      <c r="AN100" s="346"/>
      <c r="AO100" s="346"/>
      <c r="AP100" s="409"/>
      <c r="AQ100" s="409"/>
      <c r="AR100" s="409"/>
      <c r="AS100" s="409"/>
      <c r="AT100" s="409"/>
      <c r="AU100" s="409"/>
      <c r="AV100" s="409"/>
      <c r="AW100" s="409"/>
      <c r="AX100" s="409"/>
      <c r="AY100" s="409"/>
      <c r="AZ100" s="409"/>
      <c r="BA100" s="409"/>
      <c r="BB100" s="409"/>
      <c r="BC100" s="409"/>
      <c r="BD100" s="409"/>
      <c r="BE100" s="397"/>
      <c r="BF100" s="397"/>
      <c r="BG100" s="397"/>
    </row>
    <row r="101" spans="1:60" x14ac:dyDescent="0.3">
      <c r="A101" s="85">
        <f t="shared" si="116"/>
        <v>94</v>
      </c>
      <c r="B101" s="728"/>
      <c r="C101" s="728"/>
      <c r="D101" s="728"/>
      <c r="E101" s="728"/>
      <c r="F101" s="728"/>
      <c r="G101" s="728"/>
      <c r="H101" s="728"/>
      <c r="I101" s="728"/>
      <c r="J101" s="409"/>
      <c r="K101" s="409"/>
      <c r="L101" s="409"/>
      <c r="M101" s="409"/>
      <c r="N101" s="409"/>
      <c r="O101" s="409"/>
      <c r="P101" s="409"/>
      <c r="T101" s="409"/>
      <c r="U101" s="409"/>
      <c r="V101" s="409"/>
      <c r="W101" s="409"/>
      <c r="X101" s="409"/>
      <c r="Y101" s="409"/>
      <c r="Z101" s="409"/>
      <c r="AA101" s="409"/>
      <c r="AB101" s="409"/>
      <c r="AC101" s="409"/>
      <c r="AD101" s="409"/>
      <c r="AE101" s="409"/>
      <c r="AF101" s="409"/>
      <c r="AG101" s="409"/>
      <c r="AH101" s="409"/>
      <c r="AP101" s="409"/>
      <c r="AQ101" s="409"/>
      <c r="AR101" s="409"/>
      <c r="AS101" s="409"/>
      <c r="AT101" s="409"/>
      <c r="AU101" s="409"/>
      <c r="AV101" s="409"/>
      <c r="AW101" s="409"/>
      <c r="AX101" s="409"/>
      <c r="AY101" s="409"/>
      <c r="AZ101" s="409"/>
      <c r="BA101" s="409"/>
      <c r="BB101" s="409"/>
      <c r="BC101" s="409"/>
      <c r="BD101" s="409"/>
    </row>
    <row r="102" spans="1:60" x14ac:dyDescent="0.3">
      <c r="A102" s="85">
        <f t="shared" si="116"/>
        <v>95</v>
      </c>
      <c r="B102" s="409"/>
      <c r="C102" s="409"/>
      <c r="D102" s="409"/>
      <c r="E102" s="409"/>
      <c r="F102" s="409"/>
      <c r="G102" s="409"/>
      <c r="H102" s="409"/>
      <c r="I102" s="409"/>
      <c r="J102" s="409"/>
      <c r="K102" s="409"/>
      <c r="L102" s="409"/>
      <c r="M102" s="409"/>
      <c r="N102" s="409"/>
      <c r="O102" s="409"/>
      <c r="P102" s="409"/>
      <c r="T102" s="409"/>
      <c r="U102" s="409"/>
      <c r="V102" s="409"/>
      <c r="W102" s="409"/>
      <c r="X102" s="409"/>
      <c r="Y102" s="409"/>
      <c r="Z102" s="409"/>
      <c r="AA102" s="409"/>
      <c r="AB102" s="409"/>
      <c r="AC102" s="409"/>
      <c r="AD102" s="409"/>
      <c r="AE102" s="409"/>
      <c r="AF102" s="409"/>
      <c r="AG102" s="409"/>
      <c r="AH102" s="409"/>
      <c r="AP102" s="409"/>
      <c r="AQ102" s="409"/>
      <c r="AR102" s="409"/>
      <c r="AS102" s="409"/>
      <c r="AT102" s="409"/>
      <c r="AU102" s="409"/>
      <c r="AV102" s="409"/>
      <c r="AW102" s="409"/>
      <c r="AX102" s="409"/>
      <c r="AY102" s="409"/>
      <c r="AZ102" s="409"/>
      <c r="BA102" s="409"/>
      <c r="BB102" s="409"/>
      <c r="BC102" s="409"/>
      <c r="BD102" s="409"/>
    </row>
    <row r="103" spans="1:60" x14ac:dyDescent="0.3">
      <c r="A103" s="85">
        <f t="shared" si="116"/>
        <v>96</v>
      </c>
      <c r="B103" s="398" t="s">
        <v>58</v>
      </c>
      <c r="C103" s="146"/>
      <c r="D103" s="146"/>
      <c r="E103" s="146"/>
      <c r="F103" s="146"/>
      <c r="G103" s="146"/>
      <c r="H103" s="146"/>
      <c r="I103" s="146"/>
      <c r="J103" s="146"/>
    </row>
    <row r="104" spans="1:60" x14ac:dyDescent="0.3">
      <c r="A104" s="85">
        <f t="shared" si="116"/>
        <v>97</v>
      </c>
      <c r="B104" s="867" t="s">
        <v>59</v>
      </c>
      <c r="C104" s="868"/>
      <c r="D104" s="869"/>
      <c r="E104" s="869"/>
      <c r="F104" s="870" t="s">
        <v>75</v>
      </c>
      <c r="G104" s="869"/>
      <c r="H104" s="869"/>
      <c r="I104" s="870"/>
      <c r="J104" s="870" t="s">
        <v>75</v>
      </c>
      <c r="K104" s="869"/>
      <c r="L104" s="932"/>
      <c r="M104" s="869"/>
      <c r="N104" s="869"/>
      <c r="O104" s="932"/>
      <c r="P104" s="932"/>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71"/>
      <c r="AL104" s="869"/>
      <c r="AM104" s="932"/>
      <c r="AN104" s="932"/>
      <c r="AO104" s="932"/>
      <c r="AP104" s="869"/>
      <c r="AQ104" s="869"/>
      <c r="AR104" s="869"/>
      <c r="AS104" s="869"/>
      <c r="AT104" s="869"/>
      <c r="AU104" s="869"/>
      <c r="AV104" s="869"/>
      <c r="AW104" s="869"/>
      <c r="AX104" s="869"/>
      <c r="AY104" s="869"/>
      <c r="AZ104" s="869"/>
      <c r="BA104" s="869"/>
      <c r="BB104" s="869"/>
      <c r="BC104" s="869"/>
      <c r="BD104" s="869"/>
      <c r="BE104" s="869"/>
      <c r="BF104" s="869"/>
      <c r="BG104" s="871"/>
    </row>
    <row r="105" spans="1:60" x14ac:dyDescent="0.3">
      <c r="A105" s="85">
        <f t="shared" si="116"/>
        <v>98</v>
      </c>
    </row>
    <row r="106" spans="1:60" x14ac:dyDescent="0.3">
      <c r="A106" s="85">
        <f t="shared" si="116"/>
        <v>99</v>
      </c>
      <c r="B106" s="867" t="s">
        <v>63</v>
      </c>
      <c r="C106" s="868"/>
      <c r="D106" s="868"/>
      <c r="E106" s="868"/>
      <c r="F106" s="870"/>
      <c r="G106" s="870"/>
      <c r="H106" s="870"/>
      <c r="I106" s="868"/>
      <c r="J106" s="868"/>
      <c r="K106" s="870" t="s">
        <v>34</v>
      </c>
      <c r="L106" s="959" t="s">
        <v>34</v>
      </c>
      <c r="M106" s="868"/>
      <c r="N106" s="868"/>
      <c r="O106" s="933"/>
      <c r="P106" s="933"/>
      <c r="Q106" s="868"/>
      <c r="R106" s="868"/>
      <c r="S106" s="868"/>
      <c r="T106" s="868"/>
      <c r="U106" s="868"/>
      <c r="V106" s="868"/>
      <c r="W106" s="868"/>
      <c r="X106" s="868"/>
      <c r="Y106" s="868"/>
      <c r="Z106" s="868"/>
      <c r="AA106" s="868"/>
      <c r="AB106" s="868"/>
      <c r="AC106" s="868"/>
      <c r="AD106" s="868"/>
      <c r="AE106" s="868"/>
      <c r="AF106" s="868"/>
      <c r="AG106" s="868"/>
      <c r="AH106" s="868"/>
      <c r="AI106" s="868"/>
      <c r="AJ106" s="868"/>
      <c r="AK106" s="872"/>
      <c r="AL106" s="868"/>
      <c r="AM106" s="933"/>
      <c r="AN106" s="933"/>
      <c r="AO106" s="933"/>
      <c r="AP106" s="868"/>
      <c r="AQ106" s="868"/>
      <c r="AR106" s="868"/>
      <c r="AS106" s="868"/>
      <c r="AT106" s="868"/>
      <c r="AU106" s="868"/>
      <c r="AV106" s="868"/>
      <c r="AW106" s="868"/>
      <c r="AX106" s="868"/>
      <c r="AY106" s="868"/>
      <c r="AZ106" s="868"/>
      <c r="BA106" s="868"/>
      <c r="BB106" s="868"/>
      <c r="BC106" s="868"/>
      <c r="BD106" s="868"/>
      <c r="BE106" s="868"/>
      <c r="BF106" s="868"/>
      <c r="BG106" s="872"/>
    </row>
    <row r="107" spans="1:60" x14ac:dyDescent="0.3">
      <c r="A107" s="85"/>
    </row>
    <row r="108" spans="1:60" x14ac:dyDescent="0.3">
      <c r="A108" s="85"/>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45">
    <mergeCell ref="Q6:S6"/>
    <mergeCell ref="AM6:AO6"/>
    <mergeCell ref="BU12:BU13"/>
    <mergeCell ref="BV12:BV13"/>
    <mergeCell ref="BW12:BW13"/>
    <mergeCell ref="BE6:BG6"/>
    <mergeCell ref="T6:V6"/>
    <mergeCell ref="AP6:AR6"/>
    <mergeCell ref="AI6:AK6"/>
    <mergeCell ref="AF6:AH6"/>
    <mergeCell ref="AY6:BA6"/>
    <mergeCell ref="AV6:AX6"/>
    <mergeCell ref="BB6:BD6"/>
    <mergeCell ref="W6:Y6"/>
    <mergeCell ref="Z6:AB6"/>
    <mergeCell ref="AC6:AE6"/>
    <mergeCell ref="AS6:AU6"/>
    <mergeCell ref="CE12:CE13"/>
    <mergeCell ref="BZ12:BZ13"/>
    <mergeCell ref="CA12:CA13"/>
    <mergeCell ref="CB12:CB13"/>
    <mergeCell ref="CC12:CC13"/>
    <mergeCell ref="CD12:CD13"/>
    <mergeCell ref="CE41:CE42"/>
    <mergeCell ref="BT40:BY40"/>
    <mergeCell ref="BZ40:CE40"/>
    <mergeCell ref="B98:J99"/>
    <mergeCell ref="BX41:BX42"/>
    <mergeCell ref="BY41:BY42"/>
    <mergeCell ref="Q5:AL5"/>
    <mergeCell ref="AM5:BH5"/>
    <mergeCell ref="BE4:BH4"/>
    <mergeCell ref="AI4:AL4"/>
    <mergeCell ref="CD41:CD42"/>
    <mergeCell ref="BT10:BY10"/>
    <mergeCell ref="BZ10:CE10"/>
    <mergeCell ref="BZ11:CA11"/>
    <mergeCell ref="CB11:CC11"/>
    <mergeCell ref="CD11:CE11"/>
    <mergeCell ref="BX11:BY11"/>
    <mergeCell ref="BV11:BW11"/>
    <mergeCell ref="BT11:BU11"/>
    <mergeCell ref="BX12:BX13"/>
    <mergeCell ref="BY12:BY13"/>
    <mergeCell ref="BT12:BT13"/>
  </mergeCells>
  <phoneticPr fontId="10" type="noConversion"/>
  <pageMargins left="0.5" right="0.5" top="0.5" bottom="0.5" header="0.25" footer="0.25"/>
  <pageSetup scale="51" orientation="portrait" r:id="rId3"/>
  <headerFooter alignWithMargins="0">
    <oddHeader>&amp;RUG-200994 et al. / NWN WUTC Advice 22-09
WP1 / &amp;A</oddHeader>
    <oddFooter xml:space="preserve">&amp;C&amp;F &amp;D &amp;T
&amp;A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workbookViewId="0"/>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3" width="3.296875" style="55" customWidth="1"/>
    <col min="14" max="14" width="18" style="55" customWidth="1"/>
    <col min="15" max="15" width="15.796875" style="55" customWidth="1"/>
    <col min="16" max="16" width="22.296875" style="55" bestFit="1" customWidth="1"/>
    <col min="17" max="17" width="17.69921875" style="55" customWidth="1"/>
    <col min="18" max="18" width="17" style="55" customWidth="1"/>
    <col min="19" max="21" width="11.5" style="55" customWidth="1"/>
    <col min="22" max="16384" width="9.296875" style="55"/>
  </cols>
  <sheetData>
    <row r="1" spans="2:21" x14ac:dyDescent="0.3">
      <c r="B1" s="873" t="s">
        <v>0</v>
      </c>
      <c r="C1" s="874"/>
      <c r="D1" s="874"/>
      <c r="E1" s="874"/>
      <c r="F1" s="874"/>
      <c r="G1" s="874"/>
      <c r="H1" s="874"/>
      <c r="I1" s="874"/>
      <c r="N1" s="873" t="s">
        <v>0</v>
      </c>
    </row>
    <row r="2" spans="2:21" x14ac:dyDescent="0.3">
      <c r="B2" s="873" t="s">
        <v>265</v>
      </c>
      <c r="C2" s="874"/>
      <c r="D2" s="874"/>
      <c r="E2" s="874"/>
      <c r="F2" s="874"/>
      <c r="G2" s="874"/>
      <c r="H2" s="874"/>
      <c r="I2" s="874"/>
      <c r="N2" s="873" t="s">
        <v>265</v>
      </c>
    </row>
    <row r="3" spans="2:21" x14ac:dyDescent="0.3">
      <c r="B3" s="873" t="s">
        <v>266</v>
      </c>
      <c r="C3" s="874"/>
      <c r="D3" s="874"/>
      <c r="E3" s="874"/>
      <c r="F3" s="874"/>
      <c r="G3" s="874"/>
      <c r="H3" s="874"/>
      <c r="I3" s="874"/>
      <c r="N3" s="873" t="s">
        <v>266</v>
      </c>
    </row>
    <row r="4" spans="2:21" x14ac:dyDescent="0.3">
      <c r="B4" s="873" t="s">
        <v>610</v>
      </c>
      <c r="C4" s="874"/>
      <c r="D4" s="874"/>
      <c r="E4" s="874"/>
      <c r="F4" s="874"/>
      <c r="G4" s="874"/>
      <c r="H4" s="874"/>
      <c r="I4" s="874"/>
      <c r="N4" s="873" t="s">
        <v>610</v>
      </c>
    </row>
    <row r="5" spans="2:21" x14ac:dyDescent="0.3">
      <c r="B5" s="873" t="s">
        <v>611</v>
      </c>
      <c r="C5" s="874"/>
      <c r="D5" s="874"/>
      <c r="E5" s="874"/>
      <c r="F5" s="874"/>
      <c r="G5" s="874"/>
      <c r="H5" s="874"/>
      <c r="I5" s="874"/>
      <c r="N5" s="873" t="s">
        <v>611</v>
      </c>
    </row>
    <row r="6" spans="2:21" x14ac:dyDescent="0.3">
      <c r="C6" s="874"/>
      <c r="D6" s="874"/>
      <c r="E6" s="874"/>
      <c r="F6" s="874"/>
      <c r="G6" s="874"/>
      <c r="H6" s="874"/>
      <c r="I6" s="874"/>
    </row>
    <row r="7" spans="2:21" x14ac:dyDescent="0.3">
      <c r="B7" s="167" t="s">
        <v>509</v>
      </c>
      <c r="C7" s="874"/>
      <c r="D7" s="874"/>
      <c r="E7" s="874"/>
      <c r="F7" s="874"/>
      <c r="G7" s="874"/>
      <c r="H7" s="874"/>
      <c r="I7" s="874"/>
      <c r="N7" s="167" t="s">
        <v>510</v>
      </c>
    </row>
    <row r="8" spans="2:21" ht="13" customHeight="1" x14ac:dyDescent="0.3">
      <c r="B8" s="593" t="s">
        <v>661</v>
      </c>
      <c r="C8" s="1428"/>
      <c r="D8" s="1428"/>
      <c r="E8" s="1428"/>
      <c r="F8" s="1428"/>
      <c r="G8" s="1428"/>
      <c r="H8" s="1428"/>
      <c r="I8" s="1428"/>
      <c r="J8" s="1428"/>
      <c r="K8" s="1428"/>
      <c r="L8" s="1428"/>
      <c r="N8" s="593" t="s">
        <v>629</v>
      </c>
      <c r="O8" s="1428"/>
      <c r="P8" s="1428"/>
      <c r="Q8" s="1428"/>
      <c r="R8" s="1428"/>
      <c r="S8" s="1428"/>
      <c r="T8" s="1428"/>
      <c r="U8" s="1428"/>
    </row>
    <row r="9" spans="2:21" x14ac:dyDescent="0.3">
      <c r="B9" s="593" t="s">
        <v>662</v>
      </c>
      <c r="C9" s="1428"/>
      <c r="D9" s="1428"/>
      <c r="E9" s="1428"/>
      <c r="F9" s="1428"/>
      <c r="G9" s="1428"/>
      <c r="H9" s="1428"/>
      <c r="I9" s="1428"/>
      <c r="J9" s="1428"/>
      <c r="K9" s="1428"/>
      <c r="L9" s="1428"/>
      <c r="N9" s="593" t="s">
        <v>630</v>
      </c>
      <c r="O9" s="1428"/>
      <c r="P9" s="1428"/>
      <c r="Q9" s="1428"/>
      <c r="R9" s="1428"/>
      <c r="S9" s="1428"/>
      <c r="T9" s="1428"/>
      <c r="U9" s="1428"/>
    </row>
    <row r="10" spans="2:21" ht="13.5" thickBot="1" x14ac:dyDescent="0.35">
      <c r="C10" s="874"/>
      <c r="D10" s="874"/>
      <c r="E10" s="874"/>
      <c r="F10" s="874"/>
      <c r="G10" s="874"/>
      <c r="H10" s="874"/>
      <c r="I10" s="874"/>
    </row>
    <row r="11" spans="2:21" ht="13.5" thickBot="1" x14ac:dyDescent="0.35">
      <c r="B11" s="875"/>
      <c r="C11" s="874"/>
      <c r="D11" s="1903" t="s">
        <v>511</v>
      </c>
      <c r="E11" s="1904"/>
      <c r="F11" s="1904"/>
      <c r="G11" s="1904"/>
      <c r="H11" s="1904"/>
      <c r="I11" s="1904"/>
      <c r="J11" s="1904"/>
      <c r="K11" s="1904"/>
      <c r="L11" s="1905"/>
      <c r="M11" s="992"/>
      <c r="N11" s="1900" t="s">
        <v>512</v>
      </c>
      <c r="O11" s="1901"/>
      <c r="P11" s="1901"/>
      <c r="Q11" s="1901"/>
      <c r="R11" s="1901"/>
      <c r="S11" s="1901"/>
      <c r="T11" s="1901"/>
      <c r="U11" s="1902"/>
    </row>
    <row r="12" spans="2:21" ht="13.5" customHeight="1" thickBot="1" x14ac:dyDescent="0.35">
      <c r="B12" s="969"/>
      <c r="C12" s="970"/>
      <c r="D12" s="970"/>
      <c r="E12" s="970"/>
      <c r="F12" s="940" t="s">
        <v>172</v>
      </c>
      <c r="G12" s="940" t="s">
        <v>451</v>
      </c>
      <c r="H12" s="970"/>
      <c r="I12" s="970"/>
      <c r="J12" s="1846" t="s">
        <v>206</v>
      </c>
      <c r="K12" s="1847"/>
      <c r="L12" s="1848"/>
      <c r="M12" s="992"/>
      <c r="N12" s="969"/>
      <c r="O12" s="970"/>
      <c r="P12" s="940" t="s">
        <v>172</v>
      </c>
      <c r="Q12" s="970"/>
      <c r="R12" s="970"/>
      <c r="S12" s="1846" t="s">
        <v>206</v>
      </c>
      <c r="T12" s="1847"/>
      <c r="U12" s="1848"/>
    </row>
    <row r="13" spans="2:21" ht="52" x14ac:dyDescent="0.3">
      <c r="B13" s="991" t="s">
        <v>167</v>
      </c>
      <c r="C13" s="68" t="s">
        <v>153</v>
      </c>
      <c r="D13" s="68" t="s">
        <v>200</v>
      </c>
      <c r="E13" s="68" t="s">
        <v>201</v>
      </c>
      <c r="F13" s="66" t="s">
        <v>194</v>
      </c>
      <c r="G13" s="1136" t="s">
        <v>462</v>
      </c>
      <c r="H13" s="68" t="s">
        <v>667</v>
      </c>
      <c r="I13" s="68" t="s">
        <v>668</v>
      </c>
      <c r="J13" s="67" t="s">
        <v>197</v>
      </c>
      <c r="K13" s="68" t="s">
        <v>198</v>
      </c>
      <c r="L13" s="69" t="s">
        <v>199</v>
      </c>
      <c r="M13" s="992"/>
      <c r="N13" s="981" t="s">
        <v>667</v>
      </c>
      <c r="O13" s="68" t="s">
        <v>669</v>
      </c>
      <c r="P13" s="66" t="s">
        <v>194</v>
      </c>
      <c r="Q13" s="68" t="s">
        <v>670</v>
      </c>
      <c r="R13" s="68" t="s">
        <v>671</v>
      </c>
      <c r="S13" s="67" t="s">
        <v>197</v>
      </c>
      <c r="T13" s="68" t="s">
        <v>198</v>
      </c>
      <c r="U13" s="69" t="s">
        <v>199</v>
      </c>
    </row>
    <row r="14" spans="2:21" x14ac:dyDescent="0.3">
      <c r="B14" s="70"/>
      <c r="C14" s="71"/>
      <c r="D14" s="71"/>
      <c r="E14" s="71"/>
      <c r="F14" s="1369" t="s">
        <v>190</v>
      </c>
      <c r="G14" s="1369" t="s">
        <v>191</v>
      </c>
      <c r="H14" s="71"/>
      <c r="I14" s="71"/>
      <c r="J14" s="72"/>
      <c r="K14" s="71"/>
      <c r="L14" s="73"/>
      <c r="M14" s="992"/>
      <c r="N14" s="979"/>
      <c r="O14" s="71"/>
      <c r="P14" s="1369" t="s">
        <v>452</v>
      </c>
      <c r="Q14" s="71"/>
      <c r="R14" s="71"/>
      <c r="S14" s="72"/>
      <c r="T14" s="71"/>
      <c r="U14" s="73"/>
    </row>
    <row r="15" spans="2:21" ht="13.5" thickBot="1" x14ac:dyDescent="0.35">
      <c r="B15" s="74"/>
      <c r="C15" s="75"/>
      <c r="D15" s="108" t="s">
        <v>35</v>
      </c>
      <c r="E15" s="108" t="s">
        <v>36</v>
      </c>
      <c r="F15" s="128" t="s">
        <v>13</v>
      </c>
      <c r="G15" s="128" t="s">
        <v>37</v>
      </c>
      <c r="H15" s="108" t="s">
        <v>469</v>
      </c>
      <c r="I15" s="108" t="s">
        <v>453</v>
      </c>
      <c r="J15" s="124" t="s">
        <v>40</v>
      </c>
      <c r="K15" s="108" t="s">
        <v>41</v>
      </c>
      <c r="L15" s="125" t="s">
        <v>42</v>
      </c>
      <c r="M15" s="992"/>
      <c r="N15" s="980" t="s">
        <v>35</v>
      </c>
      <c r="O15" s="108" t="s">
        <v>36</v>
      </c>
      <c r="P15" s="128" t="s">
        <v>13</v>
      </c>
      <c r="Q15" s="108" t="s">
        <v>207</v>
      </c>
      <c r="R15" s="108" t="s">
        <v>208</v>
      </c>
      <c r="S15" s="124" t="s">
        <v>39</v>
      </c>
      <c r="T15" s="108" t="s">
        <v>40</v>
      </c>
      <c r="U15" s="125" t="s">
        <v>41</v>
      </c>
    </row>
    <row r="16" spans="2:21" ht="12" customHeight="1" thickTop="1" x14ac:dyDescent="0.3">
      <c r="B16" s="76"/>
      <c r="C16" s="68"/>
      <c r="D16" s="68"/>
      <c r="E16" s="68"/>
      <c r="F16" s="66"/>
      <c r="G16" s="66"/>
      <c r="H16" s="68"/>
      <c r="I16" s="68"/>
      <c r="J16" s="67"/>
      <c r="K16" s="68"/>
      <c r="L16" s="69"/>
      <c r="M16" s="992"/>
      <c r="N16" s="981"/>
      <c r="O16" s="68"/>
      <c r="P16" s="66"/>
      <c r="Q16" s="68"/>
      <c r="R16" s="68"/>
      <c r="S16" s="67"/>
      <c r="T16" s="68"/>
      <c r="U16" s="69"/>
    </row>
    <row r="17" spans="2:21" x14ac:dyDescent="0.3">
      <c r="B17" s="76">
        <v>1</v>
      </c>
      <c r="C17" s="78" t="s">
        <v>268</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35">
        <f>'Avg Bill by RS'!S14</f>
        <v>7.0999999999999994E-2</v>
      </c>
      <c r="M17" s="992"/>
      <c r="N17" s="1139">
        <f>H17</f>
        <v>230543.5487528964</v>
      </c>
      <c r="O17" s="80">
        <f>I17</f>
        <v>305599.54875289643</v>
      </c>
      <c r="P17" s="81">
        <f>SUM('Rev Req Proof Yr2'!AF14:AH14)</f>
        <v>13236.513970769913</v>
      </c>
      <c r="Q17" s="80">
        <f>N17+P17</f>
        <v>243780.06272366631</v>
      </c>
      <c r="R17" s="80">
        <f>O17+P17</f>
        <v>318836.06272366631</v>
      </c>
      <c r="S17" s="82">
        <f>IFERROR((P17)/N17,0)</f>
        <v>5.7414375905860682E-2</v>
      </c>
      <c r="T17" s="83">
        <f>IFERROR((P17)/O17,0)</f>
        <v>4.3313264122234602E-2</v>
      </c>
      <c r="U17" s="582">
        <f>'Avg Bill by RS'!AO14</f>
        <v>3.7999999999999999E-2</v>
      </c>
    </row>
    <row r="18" spans="2:21" x14ac:dyDescent="0.3">
      <c r="B18" s="76">
        <v>2</v>
      </c>
      <c r="C18" s="85" t="s">
        <v>269</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0">D18+F18+G18</f>
        <v>41553.219820603801</v>
      </c>
      <c r="I18" s="80">
        <f t="shared" ref="I18:I39" si="1">E18+F18+G18</f>
        <v>57820.219820603801</v>
      </c>
      <c r="J18" s="82">
        <f t="shared" ref="J18:J39" si="2">IFERROR((F18+G18)/D18,0)</f>
        <v>0.10501007894275873</v>
      </c>
      <c r="K18" s="83">
        <f t="shared" ref="K18:K39" si="3">IFERROR((F18+G18)/E18,0)</f>
        <v>7.3301239701954263E-2</v>
      </c>
      <c r="L18" s="1235">
        <f>'Avg Bill by RS'!S15</f>
        <v>6.8000000000000005E-2</v>
      </c>
      <c r="M18" s="992"/>
      <c r="N18" s="1139">
        <f t="shared" ref="N18:N39" si="4">H18</f>
        <v>41553.219820603801</v>
      </c>
      <c r="O18" s="80">
        <f t="shared" ref="O18:O39" si="5">I18</f>
        <v>57820.219820603801</v>
      </c>
      <c r="P18" s="81">
        <f>SUM('Rev Req Proof Yr2'!AF15:AH15)</f>
        <v>2385.5920692214495</v>
      </c>
      <c r="Q18" s="80">
        <f t="shared" ref="Q18:Q39" si="6">N18+P18</f>
        <v>43938.811889825251</v>
      </c>
      <c r="R18" s="80">
        <f t="shared" ref="R18:R39" si="7">O18+P18</f>
        <v>60205.811889825251</v>
      </c>
      <c r="S18" s="82">
        <f t="shared" ref="S18:S38" si="8">IFERROR((P18)/N18,0)</f>
        <v>5.7410522686826171E-2</v>
      </c>
      <c r="T18" s="83">
        <f>IFERROR((P18)/O18,0)</f>
        <v>4.1258785881878673E-2</v>
      </c>
      <c r="U18" s="582">
        <f>'Avg Bill by RS'!AO15</f>
        <v>3.5999999999999997E-2</v>
      </c>
    </row>
    <row r="19" spans="2:21" x14ac:dyDescent="0.3">
      <c r="B19" s="76">
        <v>3</v>
      </c>
      <c r="C19" s="85"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0"/>
        <v>37346997.639098279</v>
      </c>
      <c r="I19" s="80">
        <f t="shared" si="1"/>
        <v>56557095.639098279</v>
      </c>
      <c r="J19" s="82">
        <f t="shared" si="2"/>
        <v>0.10500288751390384</v>
      </c>
      <c r="K19" s="83">
        <f t="shared" si="3"/>
        <v>6.6949985299829928E-2</v>
      </c>
      <c r="L19" s="1235">
        <f>'Avg Bill by RS'!S16</f>
        <v>6.3E-2</v>
      </c>
      <c r="M19" s="992"/>
      <c r="N19" s="1139">
        <f t="shared" si="4"/>
        <v>37346997.639098279</v>
      </c>
      <c r="O19" s="80">
        <f t="shared" si="5"/>
        <v>56557095.639098279</v>
      </c>
      <c r="P19" s="81">
        <f>SUM('Rev Req Proof Yr2'!AF16:AH16)</f>
        <v>2144286.1859339848</v>
      </c>
      <c r="Q19" s="80">
        <f t="shared" si="6"/>
        <v>39491283.825032264</v>
      </c>
      <c r="R19" s="80">
        <f t="shared" si="7"/>
        <v>58701381.825032264</v>
      </c>
      <c r="S19" s="82">
        <f t="shared" si="8"/>
        <v>5.7415222681492031E-2</v>
      </c>
      <c r="T19" s="83">
        <f t="shared" ref="T19:T38" si="9">IFERROR((P19)/O19,0)</f>
        <v>3.7913654541546618E-2</v>
      </c>
      <c r="U19" s="582">
        <f>'Avg Bill by RS'!AO16</f>
        <v>3.3000000000000002E-2</v>
      </c>
    </row>
    <row r="20" spans="2:21" x14ac:dyDescent="0.3">
      <c r="B20" s="76">
        <v>4</v>
      </c>
      <c r="C20" s="85"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0"/>
        <v>10902287.61190678</v>
      </c>
      <c r="I20" s="80">
        <f t="shared" si="1"/>
        <v>17148126.611906782</v>
      </c>
      <c r="J20" s="82">
        <f t="shared" si="2"/>
        <v>0.10501742275670389</v>
      </c>
      <c r="K20" s="83">
        <f t="shared" si="3"/>
        <v>6.430729198708024E-2</v>
      </c>
      <c r="L20" s="1235">
        <f>'Avg Bill by RS'!S17</f>
        <v>0.06</v>
      </c>
      <c r="M20" s="992"/>
      <c r="N20" s="1139">
        <f t="shared" si="4"/>
        <v>10902287.61190678</v>
      </c>
      <c r="O20" s="80">
        <f t="shared" si="5"/>
        <v>17148126.611906782</v>
      </c>
      <c r="P20" s="81">
        <f>SUM('Rev Req Proof Yr2'!AF17:AH17)</f>
        <v>625888.38754716702</v>
      </c>
      <c r="Q20" s="80">
        <f t="shared" si="6"/>
        <v>11528175.999453947</v>
      </c>
      <c r="R20" s="80">
        <f t="shared" si="7"/>
        <v>17774014.999453947</v>
      </c>
      <c r="S20" s="82">
        <f t="shared" si="8"/>
        <v>5.7408904426958229E-2</v>
      </c>
      <c r="T20" s="83">
        <f t="shared" si="9"/>
        <v>3.6498936689246399E-2</v>
      </c>
      <c r="U20" s="582">
        <f>'Avg Bill by RS'!AO17</f>
        <v>3.1E-2</v>
      </c>
    </row>
    <row r="21" spans="2:21" x14ac:dyDescent="0.3">
      <c r="B21" s="76">
        <v>5</v>
      </c>
      <c r="C21" s="85"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0"/>
        <v>156786.12809190157</v>
      </c>
      <c r="I21" s="80">
        <f t="shared" si="1"/>
        <v>255941.12809190157</v>
      </c>
      <c r="J21" s="82">
        <f t="shared" si="2"/>
        <v>0.10499356474272831</v>
      </c>
      <c r="K21" s="83">
        <f t="shared" si="3"/>
        <v>6.1803737213205992E-2</v>
      </c>
      <c r="L21" s="1235">
        <f>'Avg Bill by RS'!S18</f>
        <v>6.2E-2</v>
      </c>
      <c r="M21" s="992"/>
      <c r="N21" s="1139">
        <f t="shared" si="4"/>
        <v>156786.12809190157</v>
      </c>
      <c r="O21" s="80">
        <f t="shared" si="5"/>
        <v>255941.12809190157</v>
      </c>
      <c r="P21" s="81">
        <f>SUM('Rev Req Proof Yr2'!AF18:AH18)</f>
        <v>9000.2779600000067</v>
      </c>
      <c r="Q21" s="80">
        <f t="shared" si="6"/>
        <v>165786.40605190158</v>
      </c>
      <c r="R21" s="80">
        <f t="shared" si="7"/>
        <v>264941.40605190158</v>
      </c>
      <c r="S21" s="82">
        <f t="shared" si="8"/>
        <v>5.7404810422542064E-2</v>
      </c>
      <c r="T21" s="83">
        <f t="shared" si="9"/>
        <v>3.5165422716931405E-2</v>
      </c>
      <c r="U21" s="582">
        <f>'Avg Bill by RS'!AO18</f>
        <v>3.2000000000000001E-2</v>
      </c>
    </row>
    <row r="22" spans="2:21" x14ac:dyDescent="0.3">
      <c r="B22" s="76">
        <v>6</v>
      </c>
      <c r="C22" s="85" t="s">
        <v>434</v>
      </c>
      <c r="D22" s="79">
        <f>'Rate Spread SETTLEMENT'!J$15</f>
        <v>201938.20437801833</v>
      </c>
      <c r="E22" s="80">
        <f>'Rate Spread SETTLEMENT'!J$14</f>
        <v>363218.20437801839</v>
      </c>
      <c r="F22" s="81">
        <f>SUM('Rev Req Proof Yr1'!AF19:AH19)</f>
        <v>23096.270772728705</v>
      </c>
      <c r="G22" s="81">
        <f>SUM('Rev Req Proof Yr1'!AM19:AO19)</f>
        <v>-1891.6242542586419</v>
      </c>
      <c r="H22" s="80">
        <f t="shared" si="0"/>
        <v>223142.85089648841</v>
      </c>
      <c r="I22" s="80">
        <f t="shared" si="1"/>
        <v>384422.85089648847</v>
      </c>
      <c r="J22" s="82">
        <f t="shared" si="2"/>
        <v>0.10500562082237799</v>
      </c>
      <c r="K22" s="83">
        <f t="shared" si="3"/>
        <v>5.837991120181131E-2</v>
      </c>
      <c r="L22" s="1235">
        <f>'Avg Bill by RS'!S19</f>
        <v>5.6000000000000001E-2</v>
      </c>
      <c r="M22" s="992"/>
      <c r="N22" s="1139">
        <f t="shared" si="4"/>
        <v>223142.85089648841</v>
      </c>
      <c r="O22" s="80">
        <f t="shared" si="5"/>
        <v>384422.85089648847</v>
      </c>
      <c r="P22" s="81">
        <f>SUM('Rev Req Proof Yr2'!AF19:AH19)</f>
        <v>12812.294034332299</v>
      </c>
      <c r="Q22" s="80">
        <f t="shared" si="6"/>
        <v>235955.14493082071</v>
      </c>
      <c r="R22" s="80">
        <f t="shared" si="7"/>
        <v>397235.1449308208</v>
      </c>
      <c r="S22" s="82">
        <f t="shared" si="8"/>
        <v>5.7417452465352209E-2</v>
      </c>
      <c r="T22" s="83">
        <f t="shared" si="9"/>
        <v>3.3328648399681624E-2</v>
      </c>
      <c r="U22" s="582">
        <f>'Avg Bill by RS'!AO19</f>
        <v>2.9000000000000001E-2</v>
      </c>
    </row>
    <row r="23" spans="2:21" x14ac:dyDescent="0.3">
      <c r="B23" s="76">
        <v>7</v>
      </c>
      <c r="C23" s="85" t="s">
        <v>339</v>
      </c>
      <c r="D23" s="79">
        <f>'Rate Spread SETTLEMENT'!K$15</f>
        <v>1542348.175315036</v>
      </c>
      <c r="E23" s="80">
        <f>'Rate Spread SETTLEMENT'!K$14</f>
        <v>2853836.1753150364</v>
      </c>
      <c r="F23" s="81">
        <f>SUM('Rev Req Proof Yr1'!AF22:AH22)</f>
        <v>176417.40376421309</v>
      </c>
      <c r="G23" s="81">
        <f>SUM('Rev Req Proof Yr1'!AM22:AO22)</f>
        <v>-14451.994176944718</v>
      </c>
      <c r="H23" s="80">
        <f t="shared" si="0"/>
        <v>1704313.5849023042</v>
      </c>
      <c r="I23" s="80">
        <f t="shared" si="1"/>
        <v>3015801.5849023047</v>
      </c>
      <c r="J23" s="82">
        <f t="shared" si="2"/>
        <v>0.10501222238888164</v>
      </c>
      <c r="K23" s="83">
        <f t="shared" si="3"/>
        <v>5.6753576462527294E-2</v>
      </c>
      <c r="L23" s="1235">
        <f>'Avg Bill by RS'!S22</f>
        <v>6.2E-2</v>
      </c>
      <c r="M23" s="992"/>
      <c r="N23" s="1139">
        <f t="shared" si="4"/>
        <v>1704313.5849023042</v>
      </c>
      <c r="O23" s="80">
        <f t="shared" si="5"/>
        <v>3015801.5849023047</v>
      </c>
      <c r="P23" s="81">
        <f>SUM('Rev Req Proof Yr2'!AF22:AH22)</f>
        <v>97836.782478516921</v>
      </c>
      <c r="Q23" s="80">
        <f t="shared" si="6"/>
        <v>1802150.3673808211</v>
      </c>
      <c r="R23" s="80">
        <f t="shared" si="7"/>
        <v>3113638.3673808216</v>
      </c>
      <c r="S23" s="82">
        <f t="shared" si="8"/>
        <v>5.7405387919926242E-2</v>
      </c>
      <c r="T23" s="83">
        <f t="shared" si="9"/>
        <v>3.2441385722557836E-2</v>
      </c>
      <c r="U23" s="582">
        <f>'Avg Bill by RS'!AO22</f>
        <v>3.1E-2</v>
      </c>
    </row>
    <row r="24" spans="2:21" x14ac:dyDescent="0.3">
      <c r="B24" s="76">
        <v>8</v>
      </c>
      <c r="C24" s="85" t="s">
        <v>340</v>
      </c>
      <c r="D24" s="79">
        <f>'Rate Spread SETTLEMENT'!L$15</f>
        <v>392614.2804678994</v>
      </c>
      <c r="E24" s="80">
        <f>'Rate Spread SETTLEMENT'!L$14</f>
        <v>747266.28046789952</v>
      </c>
      <c r="F24" s="81">
        <f>SUM('Rev Req Proof Yr1'!AF25:AH25)</f>
        <v>21671.68520800001</v>
      </c>
      <c r="G24" s="81">
        <f>SUM('Rev Req Proof Yr1'!AM25:AO25)</f>
        <v>-3674.6766820000012</v>
      </c>
      <c r="H24" s="80">
        <f t="shared" si="0"/>
        <v>410611.28899389942</v>
      </c>
      <c r="I24" s="80">
        <f t="shared" si="1"/>
        <v>765263.28899389948</v>
      </c>
      <c r="J24" s="82">
        <f t="shared" si="2"/>
        <v>4.5838904546599814E-2</v>
      </c>
      <c r="K24" s="83">
        <f t="shared" si="3"/>
        <v>2.4083795825406724E-2</v>
      </c>
      <c r="L24" s="1235">
        <f>'Avg Bill by RS'!S25</f>
        <v>2.8000000000000001E-2</v>
      </c>
      <c r="M24" s="992"/>
      <c r="N24" s="1139">
        <f t="shared" si="4"/>
        <v>410611.28899389942</v>
      </c>
      <c r="O24" s="80">
        <f t="shared" si="5"/>
        <v>765263.28899389948</v>
      </c>
      <c r="P24" s="81">
        <f>SUM('Rev Req Proof Yr2'!AF25:AH25)</f>
        <v>8210.41994599998</v>
      </c>
      <c r="Q24" s="80">
        <f t="shared" si="6"/>
        <v>418821.7089398994</v>
      </c>
      <c r="R24" s="80">
        <f t="shared" si="7"/>
        <v>773473.70893989946</v>
      </c>
      <c r="S24" s="82">
        <f t="shared" si="8"/>
        <v>1.9995602084193952E-2</v>
      </c>
      <c r="T24" s="83">
        <f t="shared" si="9"/>
        <v>1.0728882548115321E-2</v>
      </c>
      <c r="U24" s="582">
        <f>'Avg Bill by RS'!AO25</f>
        <v>1.0999999999999999E-2</v>
      </c>
    </row>
    <row r="25" spans="2:21" x14ac:dyDescent="0.3">
      <c r="B25" s="76">
        <v>9</v>
      </c>
      <c r="C25" s="85" t="s">
        <v>342</v>
      </c>
      <c r="D25" s="79">
        <f>'Rate Spread SETTLEMENT'!M$15</f>
        <v>0</v>
      </c>
      <c r="E25" s="80">
        <f>'Rate Spread SETTLEMENT'!M$14</f>
        <v>0</v>
      </c>
      <c r="F25" s="81">
        <f>SUM('Rev Req Proof Yr1'!AF28:AH28)</f>
        <v>0</v>
      </c>
      <c r="G25" s="81">
        <f>SUM('Rev Req Proof Yr1'!AM28:AO28)</f>
        <v>0</v>
      </c>
      <c r="H25" s="80">
        <f t="shared" si="0"/>
        <v>0</v>
      </c>
      <c r="I25" s="80">
        <f t="shared" si="1"/>
        <v>0</v>
      </c>
      <c r="J25" s="82">
        <f t="shared" si="2"/>
        <v>0</v>
      </c>
      <c r="K25" s="83">
        <f t="shared" si="3"/>
        <v>0</v>
      </c>
      <c r="L25" s="1235">
        <f>'Avg Bill by RS'!S28</f>
        <v>0</v>
      </c>
      <c r="M25" s="992"/>
      <c r="N25" s="1139">
        <f t="shared" si="4"/>
        <v>0</v>
      </c>
      <c r="O25" s="80">
        <f t="shared" si="5"/>
        <v>0</v>
      </c>
      <c r="P25" s="81">
        <f>SUM('Rev Req Proof Yr2'!AF28:AH28)</f>
        <v>0</v>
      </c>
      <c r="Q25" s="80">
        <f t="shared" si="6"/>
        <v>0</v>
      </c>
      <c r="R25" s="80">
        <f t="shared" si="7"/>
        <v>0</v>
      </c>
      <c r="S25" s="82">
        <f t="shared" si="8"/>
        <v>0</v>
      </c>
      <c r="T25" s="83">
        <f t="shared" si="9"/>
        <v>0</v>
      </c>
      <c r="U25" s="582">
        <f>'Avg Bill by RS'!AO28</f>
        <v>0</v>
      </c>
    </row>
    <row r="26" spans="2:21" x14ac:dyDescent="0.3">
      <c r="B26" s="76">
        <v>10</v>
      </c>
      <c r="C26" s="85" t="s">
        <v>343</v>
      </c>
      <c r="D26" s="79">
        <f>'Rate Spread SETTLEMENT'!N$15</f>
        <v>0</v>
      </c>
      <c r="E26" s="80">
        <f>'Rate Spread SETTLEMENT'!N$14</f>
        <v>0</v>
      </c>
      <c r="F26" s="81">
        <f>SUM('Rev Req Proof Yr1'!AF31:AH31)</f>
        <v>0</v>
      </c>
      <c r="G26" s="81">
        <f>SUM('Rev Req Proof Yr1'!AM31:AO31)</f>
        <v>0</v>
      </c>
      <c r="H26" s="80">
        <f t="shared" si="0"/>
        <v>0</v>
      </c>
      <c r="I26" s="80">
        <f t="shared" si="1"/>
        <v>0</v>
      </c>
      <c r="J26" s="82">
        <f t="shared" si="2"/>
        <v>0</v>
      </c>
      <c r="K26" s="83">
        <f t="shared" si="3"/>
        <v>0</v>
      </c>
      <c r="L26" s="1235">
        <f>'Avg Bill by RS'!S31</f>
        <v>0</v>
      </c>
      <c r="M26" s="992"/>
      <c r="N26" s="1139">
        <f t="shared" si="4"/>
        <v>0</v>
      </c>
      <c r="O26" s="80">
        <f t="shared" si="5"/>
        <v>0</v>
      </c>
      <c r="P26" s="81">
        <f>SUM('Rev Req Proof Yr2'!AF31:AH31)</f>
        <v>0</v>
      </c>
      <c r="Q26" s="80">
        <f t="shared" si="6"/>
        <v>0</v>
      </c>
      <c r="R26" s="80">
        <f t="shared" si="7"/>
        <v>0</v>
      </c>
      <c r="S26" s="82">
        <f t="shared" si="8"/>
        <v>0</v>
      </c>
      <c r="T26" s="83">
        <f t="shared" si="9"/>
        <v>0</v>
      </c>
      <c r="U26" s="582">
        <f>'Avg Bill by RS'!AO31</f>
        <v>0</v>
      </c>
    </row>
    <row r="27" spans="2:21" x14ac:dyDescent="0.3">
      <c r="B27" s="76">
        <v>11</v>
      </c>
      <c r="C27" s="85" t="s">
        <v>344</v>
      </c>
      <c r="D27" s="79">
        <f>'Rate Spread SETTLEMENT'!O$15</f>
        <v>189841.33809000003</v>
      </c>
      <c r="E27" s="80">
        <f>'Rate Spread SETTLEMENT'!O$14</f>
        <v>189841.33809000003</v>
      </c>
      <c r="F27" s="81">
        <f>SUM('Rev Req Proof Yr1'!AF34:AH34)</f>
        <v>10481.217639999981</v>
      </c>
      <c r="G27" s="81">
        <f>SUM('Rev Req Proof Yr1'!AM34:AO34)</f>
        <v>-1779.01313</v>
      </c>
      <c r="H27" s="80">
        <f t="shared" si="0"/>
        <v>198543.54260000002</v>
      </c>
      <c r="I27" s="80">
        <f t="shared" si="1"/>
        <v>198543.54260000002</v>
      </c>
      <c r="J27" s="82">
        <f t="shared" si="2"/>
        <v>4.5839355103336019E-2</v>
      </c>
      <c r="K27" s="83">
        <f t="shared" si="3"/>
        <v>4.5839355103336019E-2</v>
      </c>
      <c r="L27" s="1235">
        <f>'Avg Bill by RS'!S34</f>
        <v>4.5999999999999999E-2</v>
      </c>
      <c r="M27" s="992"/>
      <c r="N27" s="1139">
        <f t="shared" si="4"/>
        <v>198543.54260000002</v>
      </c>
      <c r="O27" s="80">
        <f t="shared" si="5"/>
        <v>198543.54260000002</v>
      </c>
      <c r="P27" s="81">
        <f>SUM('Rev Req Proof Yr2'!AF34:AH34)</f>
        <v>3971.2852100000018</v>
      </c>
      <c r="Q27" s="80">
        <f t="shared" si="6"/>
        <v>202514.82781000002</v>
      </c>
      <c r="R27" s="80">
        <f t="shared" si="7"/>
        <v>202514.82781000002</v>
      </c>
      <c r="S27" s="82">
        <f>IFERROR((P27)/N27,0)</f>
        <v>2.0002086988045925E-2</v>
      </c>
      <c r="T27" s="83">
        <f t="shared" si="9"/>
        <v>2.0002086988045925E-2</v>
      </c>
      <c r="U27" s="582">
        <f>'Avg Bill by RS'!AO34</f>
        <v>0.02</v>
      </c>
    </row>
    <row r="28" spans="2:21" x14ac:dyDescent="0.3">
      <c r="B28" s="76">
        <v>12</v>
      </c>
      <c r="C28" s="85" t="s">
        <v>345</v>
      </c>
      <c r="D28" s="79">
        <f>'Rate Spread SETTLEMENT'!P$15</f>
        <v>0</v>
      </c>
      <c r="E28" s="80">
        <f>'Rate Spread SETTLEMENT'!P$14</f>
        <v>0</v>
      </c>
      <c r="F28" s="81">
        <f>SUM('Rev Req Proof Yr1'!AF37:AH37)</f>
        <v>0</v>
      </c>
      <c r="G28" s="81">
        <f>SUM('Rev Req Proof Yr1'!AM37:AO37)</f>
        <v>0</v>
      </c>
      <c r="H28" s="80">
        <f t="shared" si="0"/>
        <v>0</v>
      </c>
      <c r="I28" s="80">
        <f t="shared" si="1"/>
        <v>0</v>
      </c>
      <c r="J28" s="82">
        <f t="shared" si="2"/>
        <v>0</v>
      </c>
      <c r="K28" s="83">
        <f t="shared" si="3"/>
        <v>0</v>
      </c>
      <c r="L28" s="1235">
        <f>'Avg Bill by RS'!S37</f>
        <v>0</v>
      </c>
      <c r="M28" s="992"/>
      <c r="N28" s="1139">
        <f t="shared" si="4"/>
        <v>0</v>
      </c>
      <c r="O28" s="80">
        <f t="shared" si="5"/>
        <v>0</v>
      </c>
      <c r="P28" s="81">
        <f>SUM('Rev Req Proof Yr2'!AF37:AH37)</f>
        <v>0</v>
      </c>
      <c r="Q28" s="80">
        <f t="shared" si="6"/>
        <v>0</v>
      </c>
      <c r="R28" s="80">
        <f t="shared" si="7"/>
        <v>0</v>
      </c>
      <c r="S28" s="82">
        <f t="shared" si="8"/>
        <v>0</v>
      </c>
      <c r="T28" s="83">
        <f t="shared" si="9"/>
        <v>0</v>
      </c>
      <c r="U28" s="582">
        <f>'Avg Bill by RS'!AO37</f>
        <v>0</v>
      </c>
    </row>
    <row r="29" spans="2:21" x14ac:dyDescent="0.3">
      <c r="B29" s="76">
        <v>13</v>
      </c>
      <c r="C29" s="85" t="s">
        <v>346</v>
      </c>
      <c r="D29" s="79">
        <f>'Rate Spread SETTLEMENT'!Q$15</f>
        <v>219574.60083981926</v>
      </c>
      <c r="E29" s="80">
        <f>'Rate Spread SETTLEMENT'!Q$14</f>
        <v>470188.60083981924</v>
      </c>
      <c r="F29" s="81">
        <f>SUM('Rev Req Proof Yr1'!AF44:AH44)</f>
        <v>25112.297418342769</v>
      </c>
      <c r="G29" s="81">
        <f>SUM('Rev Req Proof Yr1'!AM44:AO44)</f>
        <v>-2055.595853643305</v>
      </c>
      <c r="H29" s="80">
        <f t="shared" si="0"/>
        <v>242631.3024045187</v>
      </c>
      <c r="I29" s="80">
        <f t="shared" si="1"/>
        <v>493245.3024045187</v>
      </c>
      <c r="J29" s="82">
        <f t="shared" si="2"/>
        <v>0.1050062323989806</v>
      </c>
      <c r="K29" s="83">
        <f t="shared" si="3"/>
        <v>4.9037134297847999E-2</v>
      </c>
      <c r="L29" s="1235">
        <f>'Avg Bill by RS'!S44</f>
        <v>6.3E-2</v>
      </c>
      <c r="M29" s="992"/>
      <c r="N29" s="1139">
        <f t="shared" si="4"/>
        <v>242631.3024045187</v>
      </c>
      <c r="O29" s="80">
        <f t="shared" si="5"/>
        <v>493245.3024045187</v>
      </c>
      <c r="P29" s="81">
        <f>SUM('Rev Req Proof Yr2'!AF44:AH44)</f>
        <v>13927.917812603351</v>
      </c>
      <c r="Q29" s="80">
        <f t="shared" si="6"/>
        <v>256559.22021712206</v>
      </c>
      <c r="R29" s="80">
        <f t="shared" si="7"/>
        <v>507173.22021712206</v>
      </c>
      <c r="S29" s="82">
        <f t="shared" si="8"/>
        <v>5.7403631248628045E-2</v>
      </c>
      <c r="T29" s="83">
        <f t="shared" si="9"/>
        <v>2.8237304531246874E-2</v>
      </c>
      <c r="U29" s="582">
        <f>'Avg Bill by RS'!AO44</f>
        <v>3.1E-2</v>
      </c>
    </row>
    <row r="30" spans="2:21" x14ac:dyDescent="0.3">
      <c r="B30" s="76">
        <v>14</v>
      </c>
      <c r="C30" s="85" t="s">
        <v>347</v>
      </c>
      <c r="D30" s="79">
        <f>'Rate Spread SETTLEMENT'!R$15</f>
        <v>511672.37933789124</v>
      </c>
      <c r="E30" s="80">
        <f>'Rate Spread SETTLEMENT'!R$14</f>
        <v>1154958.3793378912</v>
      </c>
      <c r="F30" s="81">
        <f>SUM('Rev Req Proof Yr1'!AF51:AH51)</f>
        <v>28251.710180000027</v>
      </c>
      <c r="G30" s="81">
        <f>SUM('Rev Req Proof Yr1'!AM51:AO51)</f>
        <v>-4788.9728660000001</v>
      </c>
      <c r="H30" s="80">
        <f t="shared" si="0"/>
        <v>535135.11665189127</v>
      </c>
      <c r="I30" s="80">
        <f t="shared" si="1"/>
        <v>1178421.1166518913</v>
      </c>
      <c r="J30" s="82">
        <f t="shared" si="2"/>
        <v>4.5855000702521846E-2</v>
      </c>
      <c r="K30" s="83">
        <f t="shared" si="3"/>
        <v>2.0314790328159381E-2</v>
      </c>
      <c r="L30" s="1235">
        <f>'Avg Bill by RS'!S51</f>
        <v>2.5999999999999999E-2</v>
      </c>
      <c r="M30" s="992"/>
      <c r="N30" s="1139">
        <f t="shared" si="4"/>
        <v>535135.11665189127</v>
      </c>
      <c r="O30" s="80">
        <f t="shared" si="5"/>
        <v>1178421.1166518913</v>
      </c>
      <c r="P30" s="81">
        <f>SUM('Rev Req Proof Yr2'!AF51:AH51)</f>
        <v>10697.382511000014</v>
      </c>
      <c r="Q30" s="80">
        <f t="shared" si="6"/>
        <v>545832.4991628913</v>
      </c>
      <c r="R30" s="80">
        <f t="shared" si="7"/>
        <v>1189118.4991628912</v>
      </c>
      <c r="S30" s="82">
        <f t="shared" si="8"/>
        <v>1.9990058918070833E-2</v>
      </c>
      <c r="T30" s="83">
        <f t="shared" si="9"/>
        <v>9.0777247283154797E-3</v>
      </c>
      <c r="U30" s="582">
        <f>'Avg Bill by RS'!AO51</f>
        <v>0.01</v>
      </c>
    </row>
    <row r="31" spans="2:21" x14ac:dyDescent="0.3">
      <c r="B31" s="76">
        <v>15</v>
      </c>
      <c r="C31" s="85" t="s">
        <v>348</v>
      </c>
      <c r="D31" s="79">
        <f>'Rate Spread SETTLEMENT'!S$15</f>
        <v>360784.67333999998</v>
      </c>
      <c r="E31" s="80">
        <f>'Rate Spread SETTLEMENT'!S$14</f>
        <v>360784.67333999998</v>
      </c>
      <c r="F31" s="81">
        <f>SUM('Rev Req Proof Yr1'!AF58:AH58)</f>
        <v>25027.144079999984</v>
      </c>
      <c r="G31" s="81">
        <f>SUM('Rev Req Proof Yr1'!AM58:AO58)</f>
        <v>-3383.8287</v>
      </c>
      <c r="H31" s="80">
        <f t="shared" si="0"/>
        <v>382427.98871999996</v>
      </c>
      <c r="I31" s="80">
        <f t="shared" si="1"/>
        <v>382427.98871999996</v>
      </c>
      <c r="J31" s="82">
        <f t="shared" si="2"/>
        <v>5.9989564356032206E-2</v>
      </c>
      <c r="K31" s="83">
        <f t="shared" si="3"/>
        <v>5.9989564356032206E-2</v>
      </c>
      <c r="L31" s="1235">
        <f>'Avg Bill by RS'!S58</f>
        <v>6.4000000000000001E-2</v>
      </c>
      <c r="M31" s="992"/>
      <c r="N31" s="1139">
        <f t="shared" si="4"/>
        <v>382427.98871999996</v>
      </c>
      <c r="O31" s="80">
        <f t="shared" si="5"/>
        <v>382427.98871999996</v>
      </c>
      <c r="P31" s="81">
        <f>SUM('Rev Req Proof Yr2'!AF58:AH58)</f>
        <v>11469.364369999996</v>
      </c>
      <c r="Q31" s="80">
        <f t="shared" si="6"/>
        <v>393897.35308999999</v>
      </c>
      <c r="R31" s="80">
        <f t="shared" si="7"/>
        <v>393897.35308999999</v>
      </c>
      <c r="S31" s="82">
        <f t="shared" si="8"/>
        <v>2.9990912559481761E-2</v>
      </c>
      <c r="T31" s="83">
        <f t="shared" si="9"/>
        <v>2.9990912559481761E-2</v>
      </c>
      <c r="U31" s="582">
        <f>'Avg Bill by RS'!AO58</f>
        <v>3.2000000000000001E-2</v>
      </c>
    </row>
    <row r="32" spans="2:21" x14ac:dyDescent="0.3">
      <c r="B32" s="76">
        <v>16</v>
      </c>
      <c r="C32" s="85" t="s">
        <v>349</v>
      </c>
      <c r="D32" s="79">
        <f>'Rate Spread SETTLEMENT'!T$15</f>
        <v>823615.79209999996</v>
      </c>
      <c r="E32" s="80">
        <f>'Rate Spread SETTLEMENT'!T$14</f>
        <v>823615.79209999996</v>
      </c>
      <c r="F32" s="81">
        <f>SUM('Rev Req Proof Yr1'!AF65:AH65)</f>
        <v>45461.501829999994</v>
      </c>
      <c r="G32" s="81">
        <f>SUM('Rev Req Proof Yr1'!AM65:AO65)</f>
        <v>-7716.6626000000006</v>
      </c>
      <c r="H32" s="80">
        <f t="shared" si="0"/>
        <v>861360.63132999989</v>
      </c>
      <c r="I32" s="80">
        <f t="shared" si="1"/>
        <v>861360.63132999989</v>
      </c>
      <c r="J32" s="82">
        <f t="shared" si="2"/>
        <v>4.5828212125171554E-2</v>
      </c>
      <c r="K32" s="83">
        <f t="shared" si="3"/>
        <v>4.5828212125171554E-2</v>
      </c>
      <c r="L32" s="1235">
        <f>'Avg Bill by RS'!S65</f>
        <v>5.0999999999999997E-2</v>
      </c>
      <c r="M32" s="992"/>
      <c r="N32" s="1139">
        <f t="shared" si="4"/>
        <v>861360.63132999989</v>
      </c>
      <c r="O32" s="80">
        <f t="shared" si="5"/>
        <v>861360.63132999989</v>
      </c>
      <c r="P32" s="81">
        <f>SUM('Rev Req Proof Yr2'!AF65:AH65)</f>
        <v>17230.849550000014</v>
      </c>
      <c r="Q32" s="80">
        <f t="shared" si="6"/>
        <v>878591.48087999993</v>
      </c>
      <c r="R32" s="80">
        <f t="shared" si="7"/>
        <v>878591.48087999993</v>
      </c>
      <c r="S32" s="82">
        <f t="shared" si="8"/>
        <v>2.0004222300471754E-2</v>
      </c>
      <c r="T32" s="83">
        <f t="shared" si="9"/>
        <v>2.0004222300471754E-2</v>
      </c>
      <c r="U32" s="582">
        <f>'Avg Bill by RS'!AO65</f>
        <v>2.1999999999999999E-2</v>
      </c>
    </row>
    <row r="33" spans="2:21" x14ac:dyDescent="0.3">
      <c r="B33" s="76">
        <v>17</v>
      </c>
      <c r="C33" s="85" t="s">
        <v>350</v>
      </c>
      <c r="D33" s="79">
        <f>'Rate Spread SETTLEMENT'!U$15</f>
        <v>160512.61187958997</v>
      </c>
      <c r="E33" s="80">
        <f>'Rate Spread SETTLEMENT'!U$14</f>
        <v>430728.61187958985</v>
      </c>
      <c r="F33" s="81">
        <f>SUM('Rev Req Proof Yr1'!AF72:AH72)</f>
        <v>18359.480149999996</v>
      </c>
      <c r="G33" s="81">
        <f>SUM('Rev Req Proof Yr1'!AM72:AO72)</f>
        <v>-1501.3931600000001</v>
      </c>
      <c r="H33" s="80">
        <f t="shared" si="0"/>
        <v>177370.69886958995</v>
      </c>
      <c r="I33" s="80">
        <f t="shared" si="1"/>
        <v>447586.69886958989</v>
      </c>
      <c r="J33" s="82">
        <f t="shared" si="2"/>
        <v>0.10502655705737471</v>
      </c>
      <c r="K33" s="83">
        <f t="shared" si="3"/>
        <v>3.9138535321430364E-2</v>
      </c>
      <c r="L33" s="1235">
        <f>'Avg Bill by RS'!S72</f>
        <v>4.1000000000000002E-2</v>
      </c>
      <c r="M33" s="992"/>
      <c r="N33" s="1139">
        <f t="shared" si="4"/>
        <v>177370.69886958995</v>
      </c>
      <c r="O33" s="80">
        <f t="shared" si="5"/>
        <v>447586.69886958989</v>
      </c>
      <c r="P33" s="81">
        <f>SUM('Rev Req Proof Yr2'!AF72:AH72)</f>
        <v>10182.187340000004</v>
      </c>
      <c r="Q33" s="80">
        <f t="shared" si="6"/>
        <v>187552.88620958995</v>
      </c>
      <c r="R33" s="80">
        <f t="shared" si="7"/>
        <v>457768.88620958989</v>
      </c>
      <c r="S33" s="82">
        <f t="shared" si="8"/>
        <v>5.7406253709843903E-2</v>
      </c>
      <c r="T33" s="83">
        <f t="shared" si="9"/>
        <v>2.2749083843902864E-2</v>
      </c>
      <c r="U33" s="582">
        <f>'Avg Bill by RS'!AO72</f>
        <v>1.9E-2</v>
      </c>
    </row>
    <row r="34" spans="2:21" x14ac:dyDescent="0.3">
      <c r="B34" s="76">
        <v>18</v>
      </c>
      <c r="C34" s="85" t="s">
        <v>351</v>
      </c>
      <c r="D34" s="79">
        <f>'Rate Spread SETTLEMENT'!V$15</f>
        <v>81130.03459599179</v>
      </c>
      <c r="E34" s="80">
        <f>'Rate Spread SETTLEMENT'!V$14</f>
        <v>171731.03459599178</v>
      </c>
      <c r="F34" s="81">
        <f>SUM('Rev Req Proof Yr1'!AF79:AH79)</f>
        <v>4479.9151999999995</v>
      </c>
      <c r="G34" s="81">
        <f>SUM('Rev Req Proof Yr1'!AM79:AO79)</f>
        <v>-760.61590000000001</v>
      </c>
      <c r="H34" s="80">
        <f t="shared" si="0"/>
        <v>84849.333895991789</v>
      </c>
      <c r="I34" s="80">
        <f t="shared" si="1"/>
        <v>175450.33389599176</v>
      </c>
      <c r="J34" s="82">
        <f t="shared" si="2"/>
        <v>4.5843679452637023E-2</v>
      </c>
      <c r="K34" s="83">
        <f t="shared" si="3"/>
        <v>2.1657700419437226E-2</v>
      </c>
      <c r="L34" s="1235">
        <f>'Avg Bill by RS'!S79</f>
        <v>2.4E-2</v>
      </c>
      <c r="M34" s="992"/>
      <c r="N34" s="1139">
        <f t="shared" si="4"/>
        <v>84849.333895991789</v>
      </c>
      <c r="O34" s="80">
        <f t="shared" si="5"/>
        <v>175450.33389599176</v>
      </c>
      <c r="P34" s="81">
        <f>SUM('Rev Req Proof Yr2'!AF79:AH79)</f>
        <v>1696.7766999999985</v>
      </c>
      <c r="Q34" s="80">
        <f t="shared" si="6"/>
        <v>86546.110595991791</v>
      </c>
      <c r="R34" s="80">
        <f t="shared" si="7"/>
        <v>177147.11059599175</v>
      </c>
      <c r="S34" s="82">
        <f t="shared" si="8"/>
        <v>1.9997525284994051E-2</v>
      </c>
      <c r="T34" s="83">
        <f t="shared" si="9"/>
        <v>9.6709801704102771E-3</v>
      </c>
      <c r="U34" s="582">
        <f>'Avg Bill by RS'!AO79</f>
        <v>8.9999999999999993E-3</v>
      </c>
    </row>
    <row r="35" spans="2:21" x14ac:dyDescent="0.3">
      <c r="B35" s="76">
        <v>19</v>
      </c>
      <c r="C35" s="85" t="s">
        <v>353</v>
      </c>
      <c r="D35" s="79">
        <f>'Rate Spread SETTLEMENT'!W$15</f>
        <v>0</v>
      </c>
      <c r="E35" s="80">
        <f>'Rate Spread SETTLEMENT'!W$14</f>
        <v>0</v>
      </c>
      <c r="F35" s="81">
        <f>SUM('Rev Req Proof Yr1'!AF86:AH86)</f>
        <v>0</v>
      </c>
      <c r="G35" s="81">
        <f>SUM('Rev Req Proof Yr1'!AM86:AO86)</f>
        <v>0</v>
      </c>
      <c r="H35" s="80">
        <f t="shared" si="0"/>
        <v>0</v>
      </c>
      <c r="I35" s="80">
        <f t="shared" si="1"/>
        <v>0</v>
      </c>
      <c r="J35" s="82">
        <f t="shared" si="2"/>
        <v>0</v>
      </c>
      <c r="K35" s="83">
        <f t="shared" si="3"/>
        <v>0</v>
      </c>
      <c r="L35" s="1235">
        <f>'Avg Bill by RS'!S86</f>
        <v>0</v>
      </c>
      <c r="M35" s="992"/>
      <c r="N35" s="1139">
        <f t="shared" si="4"/>
        <v>0</v>
      </c>
      <c r="O35" s="80">
        <f t="shared" si="5"/>
        <v>0</v>
      </c>
      <c r="P35" s="81">
        <f>SUM('Rev Req Proof Yr2'!AF86:AH86)</f>
        <v>0</v>
      </c>
      <c r="Q35" s="80">
        <f t="shared" si="6"/>
        <v>0</v>
      </c>
      <c r="R35" s="80">
        <f t="shared" si="7"/>
        <v>0</v>
      </c>
      <c r="S35" s="82">
        <f t="shared" si="8"/>
        <v>0</v>
      </c>
      <c r="T35" s="83">
        <f t="shared" si="9"/>
        <v>0</v>
      </c>
      <c r="U35" s="582">
        <f>'Avg Bill by RS'!AO86</f>
        <v>0</v>
      </c>
    </row>
    <row r="36" spans="2:21" x14ac:dyDescent="0.3">
      <c r="B36" s="76">
        <v>20</v>
      </c>
      <c r="C36" s="85" t="s">
        <v>354</v>
      </c>
      <c r="D36" s="79">
        <f>'Rate Spread SETTLEMENT'!X$15</f>
        <v>825480.07319999998</v>
      </c>
      <c r="E36" s="80">
        <f>'Rate Spread SETTLEMENT'!X$14</f>
        <v>825480.07319999998</v>
      </c>
      <c r="F36" s="81">
        <f>SUM('Rev Req Proof Yr1'!AF93:AH93)</f>
        <v>45591.999140000014</v>
      </c>
      <c r="G36" s="81">
        <f>SUM('Rev Req Proof Yr1'!AM93:AO93)</f>
        <v>-7732.5836500000005</v>
      </c>
      <c r="H36" s="80">
        <f t="shared" si="0"/>
        <v>863339.48868999991</v>
      </c>
      <c r="I36" s="80">
        <f t="shared" si="1"/>
        <v>863339.48868999991</v>
      </c>
      <c r="J36" s="82">
        <f t="shared" si="2"/>
        <v>4.5863512299257295E-2</v>
      </c>
      <c r="K36" s="83">
        <f t="shared" si="3"/>
        <v>4.5863512299257295E-2</v>
      </c>
      <c r="L36" s="1235">
        <f>'Avg Bill by RS'!S93</f>
        <v>4.5999999999999999E-2</v>
      </c>
      <c r="M36" s="992"/>
      <c r="N36" s="1139">
        <f t="shared" si="4"/>
        <v>863339.48868999991</v>
      </c>
      <c r="O36" s="80">
        <f t="shared" si="5"/>
        <v>863339.48868999991</v>
      </c>
      <c r="P36" s="81">
        <f>SUM('Rev Req Proof Yr2'!AF93:AH93)</f>
        <v>17271.723759999964</v>
      </c>
      <c r="Q36" s="80">
        <f t="shared" si="6"/>
        <v>880611.21244999988</v>
      </c>
      <c r="R36" s="80">
        <f t="shared" si="7"/>
        <v>880611.21244999988</v>
      </c>
      <c r="S36" s="82">
        <f t="shared" si="8"/>
        <v>2.0005715001183894E-2</v>
      </c>
      <c r="T36" s="83">
        <f t="shared" si="9"/>
        <v>2.0005715001183894E-2</v>
      </c>
      <c r="U36" s="582">
        <f>'Avg Bill by RS'!AO93</f>
        <v>0.02</v>
      </c>
    </row>
    <row r="37" spans="2:21" x14ac:dyDescent="0.3">
      <c r="B37" s="76">
        <v>21</v>
      </c>
      <c r="C37" s="85" t="s">
        <v>56</v>
      </c>
      <c r="D37" s="79">
        <f>'Rate Spread SETTLEMENT'!Y$15</f>
        <v>0</v>
      </c>
      <c r="E37" s="80">
        <f>'Rate Spread SETTLEMENT'!Y$14</f>
        <v>0</v>
      </c>
      <c r="F37" s="81">
        <f>SUM('Rev Req Proof Yr1'!AF94:AH94)</f>
        <v>0</v>
      </c>
      <c r="G37" s="81">
        <f>SUM('Rev Req Proof Yr1'!AM94:AO94)</f>
        <v>0</v>
      </c>
      <c r="H37" s="80">
        <f t="shared" si="0"/>
        <v>0</v>
      </c>
      <c r="I37" s="80">
        <f t="shared" si="1"/>
        <v>0</v>
      </c>
      <c r="J37" s="82">
        <f t="shared" si="2"/>
        <v>0</v>
      </c>
      <c r="K37" s="83">
        <f t="shared" si="3"/>
        <v>0</v>
      </c>
      <c r="L37" s="1235">
        <f>'Avg Bill by RS'!S94</f>
        <v>0</v>
      </c>
      <c r="M37" s="992"/>
      <c r="N37" s="1139">
        <f t="shared" si="4"/>
        <v>0</v>
      </c>
      <c r="O37" s="80">
        <f t="shared" si="5"/>
        <v>0</v>
      </c>
      <c r="P37" s="81">
        <f>SUM('Rev Req Proof Yr2'!AF94:AH94)</f>
        <v>0</v>
      </c>
      <c r="Q37" s="80">
        <f t="shared" si="6"/>
        <v>0</v>
      </c>
      <c r="R37" s="80">
        <f t="shared" si="7"/>
        <v>0</v>
      </c>
      <c r="S37" s="82">
        <f t="shared" si="8"/>
        <v>0</v>
      </c>
      <c r="T37" s="83">
        <f t="shared" si="9"/>
        <v>0</v>
      </c>
      <c r="U37" s="582">
        <f>'Avg Bill by RS'!AO94</f>
        <v>0</v>
      </c>
    </row>
    <row r="38" spans="2:21" x14ac:dyDescent="0.3">
      <c r="B38" s="76">
        <v>22</v>
      </c>
      <c r="C38" s="85" t="s">
        <v>335</v>
      </c>
      <c r="D38" s="79">
        <f>'Rate Spread SETTLEMENT'!Z$15</f>
        <v>0</v>
      </c>
      <c r="E38" s="80">
        <f>'Rate Spread SETTLEMENT'!Z$14</f>
        <v>0</v>
      </c>
      <c r="F38" s="81">
        <f>SUM('Rev Req Proof Yr1'!AF95:AH95)</f>
        <v>0</v>
      </c>
      <c r="G38" s="81">
        <f>SUM('Rev Req Proof Yr1'!AM95:AO95)</f>
        <v>0</v>
      </c>
      <c r="H38" s="80">
        <f t="shared" si="0"/>
        <v>0</v>
      </c>
      <c r="I38" s="80">
        <f t="shared" si="1"/>
        <v>0</v>
      </c>
      <c r="J38" s="82">
        <f t="shared" si="2"/>
        <v>0</v>
      </c>
      <c r="K38" s="83">
        <f t="shared" si="3"/>
        <v>0</v>
      </c>
      <c r="L38" s="1235">
        <f>'Avg Bill by RS'!S95</f>
        <v>0</v>
      </c>
      <c r="M38" s="992"/>
      <c r="N38" s="1139">
        <f t="shared" si="4"/>
        <v>0</v>
      </c>
      <c r="O38" s="80">
        <f t="shared" si="5"/>
        <v>0</v>
      </c>
      <c r="P38" s="81">
        <f>SUM('Rev Req Proof Yr2'!AF95:AH95)</f>
        <v>0</v>
      </c>
      <c r="Q38" s="80">
        <f t="shared" si="6"/>
        <v>0</v>
      </c>
      <c r="R38" s="80">
        <f t="shared" si="7"/>
        <v>0</v>
      </c>
      <c r="S38" s="82">
        <f t="shared" si="8"/>
        <v>0</v>
      </c>
      <c r="T38" s="83">
        <f t="shared" si="9"/>
        <v>0</v>
      </c>
      <c r="U38" s="582">
        <f>'Avg Bill by RS'!AO95</f>
        <v>0</v>
      </c>
    </row>
    <row r="39" spans="2:21" x14ac:dyDescent="0.3">
      <c r="B39" s="76">
        <v>23</v>
      </c>
      <c r="C39" s="85" t="s">
        <v>373</v>
      </c>
      <c r="D39" s="79">
        <f>'Rate Spread SETTLEMENT'!AA$15</f>
        <v>242994.60207180592</v>
      </c>
      <c r="E39" s="80">
        <f>'Rate Spread SETTLEMENT'!AA$14</f>
        <v>242994.60207180592</v>
      </c>
      <c r="F39" s="81">
        <f>SUM('Rev Req Proof Yr1'!AF96:AH96)</f>
        <v>0</v>
      </c>
      <c r="G39" s="81">
        <f>SUM('Rev Req Proof Yr1'!AM96:AO96)</f>
        <v>0</v>
      </c>
      <c r="H39" s="80">
        <f t="shared" si="0"/>
        <v>242994.60207180592</v>
      </c>
      <c r="I39" s="80">
        <f t="shared" si="1"/>
        <v>242994.60207180592</v>
      </c>
      <c r="J39" s="82">
        <f t="shared" si="2"/>
        <v>0</v>
      </c>
      <c r="K39" s="83">
        <f t="shared" si="3"/>
        <v>0</v>
      </c>
      <c r="L39" s="1235">
        <f>'Avg Bill by RS'!S96</f>
        <v>0</v>
      </c>
      <c r="M39" s="992"/>
      <c r="N39" s="1139">
        <f t="shared" si="4"/>
        <v>242994.60207180592</v>
      </c>
      <c r="O39" s="80">
        <f t="shared" si="5"/>
        <v>242994.60207180592</v>
      </c>
      <c r="P39" s="81">
        <f>SUM('Rev Req Proof Yr2'!AF96:AH96)</f>
        <v>0</v>
      </c>
      <c r="Q39" s="80">
        <f t="shared" si="6"/>
        <v>242994.60207180592</v>
      </c>
      <c r="R39" s="80">
        <f t="shared" si="7"/>
        <v>242994.60207180592</v>
      </c>
      <c r="S39" s="82">
        <f>IFERROR((P39)/N39,0)</f>
        <v>0</v>
      </c>
      <c r="T39" s="83">
        <f>IFERROR((P39)/O39,0)</f>
        <v>0</v>
      </c>
      <c r="U39" s="582">
        <f>'Avg Bill by RS'!AO96</f>
        <v>0</v>
      </c>
    </row>
    <row r="40" spans="2:21" ht="13.5" thickBot="1" x14ac:dyDescent="0.35">
      <c r="B40" s="405"/>
      <c r="C40" s="54"/>
      <c r="D40" s="54"/>
      <c r="E40" s="54"/>
      <c r="F40" s="842"/>
      <c r="G40" s="1137"/>
      <c r="H40" s="54"/>
      <c r="I40" s="54"/>
      <c r="J40" s="417"/>
      <c r="K40" s="85"/>
      <c r="L40" s="767"/>
      <c r="M40" s="992"/>
      <c r="N40" s="405"/>
      <c r="O40" s="54"/>
      <c r="P40" s="842"/>
      <c r="Q40" s="54"/>
      <c r="R40" s="54"/>
      <c r="S40" s="417"/>
      <c r="T40" s="85"/>
      <c r="U40" s="767"/>
    </row>
    <row r="41" spans="2:21" s="59" customFormat="1" x14ac:dyDescent="0.3">
      <c r="B41" s="989"/>
      <c r="C41" s="356" t="s">
        <v>32</v>
      </c>
      <c r="D41" s="982">
        <f t="shared" ref="D41:I41" si="10">SUM(D17:D39)</f>
        <v>49604902.662138224</v>
      </c>
      <c r="E41" s="983">
        <f t="shared" si="10"/>
        <v>78333454.662138224</v>
      </c>
      <c r="F41" s="984">
        <f>SUM(F17:F39)</f>
        <v>5462264.5776675073</v>
      </c>
      <c r="G41" s="984">
        <f t="shared" si="10"/>
        <v>-462278.66210878297</v>
      </c>
      <c r="H41" s="982">
        <f t="shared" si="10"/>
        <v>54604888.577696942</v>
      </c>
      <c r="I41" s="983">
        <f t="shared" si="10"/>
        <v>83333440.577696964</v>
      </c>
      <c r="J41" s="985">
        <f>(F41+G41)/(D41-D39)</f>
        <v>0.1012923955345173</v>
      </c>
      <c r="K41" s="986">
        <f>(F41+G41)/(E41-E39)</f>
        <v>6.4028127273328711E-2</v>
      </c>
      <c r="L41" s="987"/>
      <c r="M41" s="993"/>
      <c r="N41" s="988">
        <f>SUM(N17:N39)</f>
        <v>54604888.577696942</v>
      </c>
      <c r="O41" s="983">
        <f>SUM(O17:O39)</f>
        <v>83333440.577696964</v>
      </c>
      <c r="P41" s="984">
        <f>SUM(P17:P39)</f>
        <v>3000103.941193596</v>
      </c>
      <c r="Q41" s="982">
        <f>SUM(Q17:Q39)</f>
        <v>57604992.518890552</v>
      </c>
      <c r="R41" s="983">
        <f>SUM(R17:R39)</f>
        <v>86333544.518890575</v>
      </c>
      <c r="S41" s="985">
        <f>IFERROR((P41)/(N41-N39),0)</f>
        <v>5.5187627247475723E-2</v>
      </c>
      <c r="T41" s="986">
        <f>IFERROR((P41)/(O41-O39),0)</f>
        <v>3.6106484999174106E-2</v>
      </c>
      <c r="U41" s="987"/>
    </row>
    <row r="42" spans="2:21" ht="13.5" thickBot="1" x14ac:dyDescent="0.35">
      <c r="B42" s="990"/>
      <c r="C42" s="549"/>
      <c r="D42" s="549"/>
      <c r="E42" s="549"/>
      <c r="F42" s="1195" t="s">
        <v>452</v>
      </c>
      <c r="G42" s="1500" t="s">
        <v>452</v>
      </c>
      <c r="H42" s="549"/>
      <c r="I42" s="549"/>
      <c r="J42" s="548"/>
      <c r="K42" s="549"/>
      <c r="L42" s="1368" t="s">
        <v>461</v>
      </c>
      <c r="M42" s="992"/>
      <c r="N42" s="548"/>
      <c r="O42" s="549"/>
      <c r="P42" s="1138" t="s">
        <v>191</v>
      </c>
      <c r="Q42" s="549"/>
      <c r="R42" s="549"/>
      <c r="S42" s="548"/>
      <c r="T42" s="549"/>
      <c r="U42" s="1368" t="s">
        <v>452</v>
      </c>
    </row>
    <row r="43" spans="2:21" ht="6" customHeight="1" x14ac:dyDescent="0.3">
      <c r="D43" s="468"/>
      <c r="E43" s="468"/>
      <c r="F43" s="468"/>
      <c r="G43" s="468"/>
      <c r="H43" s="468"/>
    </row>
    <row r="44" spans="2:21" ht="12" customHeight="1" x14ac:dyDescent="0.3">
      <c r="B44" s="880" t="s">
        <v>631</v>
      </c>
      <c r="C44" s="876"/>
      <c r="D44" s="1240"/>
      <c r="E44" s="873"/>
      <c r="N44" s="880" t="s">
        <v>631</v>
      </c>
      <c r="O44" s="876"/>
    </row>
    <row r="45" spans="2:21" ht="12" customHeight="1" x14ac:dyDescent="0.3">
      <c r="B45" s="880" t="s">
        <v>522</v>
      </c>
      <c r="C45" s="881"/>
      <c r="D45" s="1240"/>
      <c r="E45" s="873"/>
      <c r="F45" s="428"/>
      <c r="G45" s="428"/>
      <c r="N45" s="880" t="s">
        <v>516</v>
      </c>
      <c r="O45" s="876"/>
    </row>
    <row r="46" spans="2:21" ht="12" customHeight="1" x14ac:dyDescent="0.3">
      <c r="B46" s="880" t="s">
        <v>513</v>
      </c>
      <c r="C46" s="876"/>
      <c r="D46" s="1240"/>
      <c r="E46" s="873"/>
      <c r="N46" s="880" t="s">
        <v>632</v>
      </c>
      <c r="O46" s="881"/>
    </row>
    <row r="47" spans="2:21" ht="12" customHeight="1" x14ac:dyDescent="0.3">
      <c r="B47" s="880" t="s">
        <v>632</v>
      </c>
      <c r="C47" s="881"/>
      <c r="D47" s="1240"/>
      <c r="E47" s="873"/>
      <c r="N47" s="880" t="s">
        <v>517</v>
      </c>
      <c r="O47" s="881"/>
    </row>
    <row r="48" spans="2:21" x14ac:dyDescent="0.3">
      <c r="B48" s="880" t="s">
        <v>514</v>
      </c>
      <c r="C48" s="881"/>
      <c r="D48" s="1239"/>
      <c r="N48" s="880" t="s">
        <v>518</v>
      </c>
    </row>
    <row r="49" spans="2:7" ht="13" customHeight="1" x14ac:dyDescent="0.3">
      <c r="B49" s="880" t="s">
        <v>515</v>
      </c>
      <c r="D49" s="876"/>
    </row>
    <row r="50" spans="2:7" ht="12" customHeight="1" x14ac:dyDescent="0.3">
      <c r="D50" s="876"/>
      <c r="F50" s="877"/>
      <c r="G50" s="877"/>
    </row>
    <row r="51" spans="2:7" ht="12" customHeight="1" x14ac:dyDescent="0.3">
      <c r="B51" s="880"/>
      <c r="C51" s="881"/>
      <c r="F51" s="877"/>
      <c r="G51" s="877"/>
    </row>
    <row r="52" spans="2:7" x14ac:dyDescent="0.3">
      <c r="F52" s="877"/>
      <c r="G52" s="877"/>
    </row>
    <row r="53" spans="2:7" x14ac:dyDescent="0.3">
      <c r="F53" s="878"/>
      <c r="G53" s="878"/>
    </row>
    <row r="54" spans="2:7" x14ac:dyDescent="0.3">
      <c r="F54" s="879"/>
      <c r="G54" s="879"/>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9" orientation="landscape" r:id="rId3"/>
  <headerFooter alignWithMargins="0">
    <oddHeader>&amp;RUG 388 - NW Natural/2500
Wyman/WP02</oddHeader>
    <oddFooter xml:space="preserve">&amp;C&amp;F &amp;D &amp;T
&amp;A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B1:BH77"/>
  <sheetViews>
    <sheetView zoomScale="90" zoomScaleNormal="90" workbookViewId="0">
      <pane xSplit="4" ySplit="8" topLeftCell="AW9" activePane="bottomRight" state="frozen"/>
      <selection pane="topRight" activeCell="E1" sqref="E1"/>
      <selection pane="bottomLeft" activeCell="A9" sqref="A9"/>
      <selection pane="bottomRight" activeCell="BD11" sqref="BD11"/>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14" customWidth="1" outlineLevel="1"/>
    <col min="11" max="11" width="15.19921875" style="614" customWidth="1" outlineLevel="1"/>
    <col min="12" max="12" width="14" style="614" customWidth="1" outlineLevel="1"/>
    <col min="13" max="13" width="14.296875" style="614" customWidth="1" outlineLevel="1"/>
    <col min="14" max="14" width="14" style="51" customWidth="1"/>
    <col min="15" max="17" width="16" style="51" hidden="1" customWidth="1" outlineLevel="1"/>
    <col min="18" max="18" width="16.5" style="91" hidden="1" customWidth="1" outlineLevel="1"/>
    <col min="19" max="19" width="16" style="51" hidden="1" customWidth="1" outlineLevel="1"/>
    <col min="20" max="20" width="15.69921875" style="51" hidden="1" customWidth="1" outlineLevel="1"/>
    <col min="21" max="21" width="15.5" style="51" hidden="1" customWidth="1" outlineLevel="1"/>
    <col min="22" max="22" width="16" style="51" customWidth="1" collapsed="1"/>
    <col min="23" max="23" width="3" style="55" customWidth="1"/>
    <col min="24" max="24" width="12.5" style="55" hidden="1" customWidth="1" outlineLevel="1"/>
    <col min="25" max="25" width="12.796875" style="55" hidden="1" customWidth="1" outlineLevel="1"/>
    <col min="26" max="26" width="12.5" style="55" hidden="1" customWidth="1" outlineLevel="1"/>
    <col min="27" max="27" width="12.19921875" style="55" hidden="1" customWidth="1" outlineLevel="1"/>
    <col min="28" max="28" width="13" style="55" hidden="1" customWidth="1" outlineLevel="1"/>
    <col min="29" max="29" width="15" style="91" customWidth="1" collapsed="1"/>
    <col min="30" max="30" width="3" style="51" customWidth="1"/>
    <col min="31" max="32" width="11.296875" style="51" hidden="1" customWidth="1" outlineLevel="1"/>
    <col min="33" max="34" width="13" style="51" hidden="1" customWidth="1" outlineLevel="1"/>
    <col min="35" max="35" width="12.69921875" style="51" hidden="1" customWidth="1" outlineLevel="1"/>
    <col min="36" max="36" width="14.69921875" style="91" customWidth="1" collapsed="1"/>
    <col min="37" max="37" width="3.19921875" style="129" customWidth="1"/>
    <col min="38" max="42" width="13.19921875" style="129" customWidth="1" outlineLevel="1"/>
    <col min="43" max="43" width="6.296875" style="129" customWidth="1" outlineLevel="1"/>
    <col min="44" max="44" width="12.5" style="55" customWidth="1" outlineLevel="1"/>
    <col min="45" max="45" width="12.796875" style="55" customWidth="1" outlineLevel="1"/>
    <col min="46" max="46" width="12.5" style="55" customWidth="1" outlineLevel="1"/>
    <col min="47" max="48" width="11.5" style="55" customWidth="1" outlineLevel="1"/>
    <col min="49" max="49" width="15" style="91" customWidth="1" outlineLevel="1"/>
    <col min="50" max="50" width="3.796875" style="51" customWidth="1" outlineLevel="1"/>
    <col min="51" max="52" width="11.296875" style="51" customWidth="1" outlineLevel="1"/>
    <col min="53" max="54" width="13" style="51" customWidth="1" outlineLevel="1"/>
    <col min="55" max="56" width="12.69921875" style="51" customWidth="1" outlineLevel="1"/>
    <col min="57" max="57" width="14.69921875" style="91" customWidth="1" outlineLevel="1"/>
    <col min="58" max="58" width="11.19921875" style="51" customWidth="1"/>
    <col min="59" max="59" width="11.69921875" style="51" bestFit="1" customWidth="1"/>
    <col min="60" max="60" width="11.19921875" style="51" customWidth="1"/>
    <col min="61" max="16384" width="9.296875" style="51"/>
  </cols>
  <sheetData>
    <row r="1" spans="2:60" ht="13.5" thickBot="1" x14ac:dyDescent="0.35">
      <c r="B1" s="90" t="s">
        <v>0</v>
      </c>
      <c r="T1" s="64"/>
      <c r="U1" s="64"/>
    </row>
    <row r="2" spans="2:60" ht="13.5" thickBot="1" x14ac:dyDescent="0.35">
      <c r="B2" s="90" t="s">
        <v>265</v>
      </c>
      <c r="O2" s="1912" t="s">
        <v>788</v>
      </c>
      <c r="P2" s="1913"/>
      <c r="Q2" s="1913"/>
      <c r="R2" s="1913"/>
      <c r="S2" s="1913"/>
      <c r="T2" s="1913"/>
      <c r="U2" s="1913"/>
      <c r="V2" s="1914"/>
      <c r="AJ2" s="1788">
        <v>44501</v>
      </c>
      <c r="AL2" s="1915" t="s">
        <v>791</v>
      </c>
      <c r="AM2" s="1916"/>
      <c r="AN2" s="1916"/>
      <c r="AO2" s="1916"/>
      <c r="AP2" s="1917"/>
      <c r="BE2" s="1788">
        <v>44866</v>
      </c>
    </row>
    <row r="3" spans="2:60" x14ac:dyDescent="0.3">
      <c r="B3" s="90" t="s">
        <v>266</v>
      </c>
      <c r="P3" s="100"/>
      <c r="R3" s="137"/>
      <c r="AJ3" s="1714" t="s">
        <v>115</v>
      </c>
      <c r="AL3" s="1920"/>
      <c r="AM3" s="1920"/>
      <c r="AN3" s="1920"/>
      <c r="AO3" s="1920"/>
      <c r="AP3" s="1920"/>
      <c r="BE3" s="1714" t="s">
        <v>792</v>
      </c>
    </row>
    <row r="4" spans="2:60" x14ac:dyDescent="0.3">
      <c r="B4" s="90" t="s">
        <v>613</v>
      </c>
      <c r="N4" s="646"/>
      <c r="O4" s="58" t="s">
        <v>218</v>
      </c>
      <c r="P4" s="58" t="s">
        <v>218</v>
      </c>
      <c r="Q4" s="58" t="s">
        <v>218</v>
      </c>
      <c r="R4" s="57"/>
      <c r="S4" s="57" t="s">
        <v>217</v>
      </c>
      <c r="T4" s="57" t="s">
        <v>217</v>
      </c>
      <c r="U4" s="57" t="s">
        <v>217</v>
      </c>
      <c r="AE4" s="598"/>
      <c r="AH4" s="100"/>
      <c r="AI4" s="598"/>
      <c r="AJ4" s="1787" t="s">
        <v>762</v>
      </c>
      <c r="AK4" s="130"/>
      <c r="AL4" s="130"/>
      <c r="AM4" s="57" t="s">
        <v>217</v>
      </c>
      <c r="AN4" s="57" t="s">
        <v>217</v>
      </c>
      <c r="AO4" s="57" t="s">
        <v>217</v>
      </c>
      <c r="AP4" s="130"/>
      <c r="AQ4" s="130"/>
      <c r="AY4" s="598"/>
      <c r="BB4" s="100"/>
      <c r="BC4" s="598"/>
      <c r="BD4" s="598"/>
      <c r="BE4" s="1787" t="s">
        <v>762</v>
      </c>
    </row>
    <row r="5" spans="2:60" ht="13.5" thickBot="1" x14ac:dyDescent="0.35">
      <c r="O5" s="950">
        <f>'Rates in Detail'!L4</f>
        <v>5462.2520000000004</v>
      </c>
      <c r="P5" s="951">
        <f>'Rates in Detail'!P4</f>
        <v>-462.25200000000001</v>
      </c>
      <c r="Q5" s="101">
        <v>0</v>
      </c>
      <c r="R5" s="101"/>
      <c r="S5" s="951">
        <f>'Rates in Detail'!S4</f>
        <v>-770.71600000000001</v>
      </c>
      <c r="T5" s="951">
        <f>'Rates in Detail'!T4</f>
        <v>-437.87</v>
      </c>
      <c r="U5" s="951">
        <f>'Rates in Detail'!U4</f>
        <v>154.42099999999999</v>
      </c>
      <c r="AE5" s="100"/>
      <c r="AF5" s="100"/>
      <c r="AG5" s="100"/>
      <c r="AH5" s="100"/>
      <c r="AI5" s="100"/>
      <c r="AJ5" s="1714" t="s">
        <v>789</v>
      </c>
      <c r="AL5" s="954"/>
      <c r="AM5" s="951">
        <f>'Rates in Detail'!AD4</f>
        <v>-44.543999999999997</v>
      </c>
      <c r="AN5" s="951">
        <f>'Rates in Detail'!AE4</f>
        <v>-770.71600000000001</v>
      </c>
      <c r="AO5" s="951">
        <f>'Rates in Detail'!AF4</f>
        <v>-437.87</v>
      </c>
      <c r="AP5" s="954"/>
      <c r="AY5" s="100"/>
      <c r="AZ5" s="100"/>
      <c r="BA5" s="100"/>
      <c r="BB5" s="100"/>
      <c r="BC5" s="100"/>
      <c r="BD5" s="100"/>
      <c r="BE5" s="1714" t="s">
        <v>789</v>
      </c>
    </row>
    <row r="6" spans="2:60" ht="13.5" thickBot="1" x14ac:dyDescent="0.35">
      <c r="B6" s="102"/>
      <c r="C6" s="102"/>
      <c r="D6" s="102"/>
      <c r="E6" s="102"/>
      <c r="F6" s="102"/>
      <c r="G6" s="102"/>
      <c r="H6" s="624" t="s">
        <v>247</v>
      </c>
      <c r="I6" s="103" t="s">
        <v>599</v>
      </c>
      <c r="J6" s="1906" t="s">
        <v>782</v>
      </c>
      <c r="K6" s="1907"/>
      <c r="L6" s="1907"/>
      <c r="M6" s="1907"/>
      <c r="N6" s="1908"/>
      <c r="O6" s="1054" t="s">
        <v>173</v>
      </c>
      <c r="P6" s="1054" t="str">
        <f>'Rates in Detail'!P9</f>
        <v>EDIT Amort Cr</v>
      </c>
      <c r="Q6" s="1055" t="s">
        <v>360</v>
      </c>
      <c r="R6" s="252" t="s">
        <v>235</v>
      </c>
      <c r="S6" s="1054" t="str">
        <f>'Rates in Detail'!S9</f>
        <v>Historical EE</v>
      </c>
      <c r="T6" s="1054" t="str">
        <f>'Rates in Detail'!T9</f>
        <v>Truck Lot Sale</v>
      </c>
      <c r="U6" s="1054" t="str">
        <f>'Rates in Detail'!U9</f>
        <v>CPA</v>
      </c>
      <c r="V6" s="1810" t="s">
        <v>235</v>
      </c>
      <c r="X6" s="1909" t="s">
        <v>380</v>
      </c>
      <c r="Y6" s="1910"/>
      <c r="Z6" s="1910"/>
      <c r="AA6" s="1910"/>
      <c r="AB6" s="1910"/>
      <c r="AC6" s="1911"/>
      <c r="AE6" s="1918" t="s">
        <v>790</v>
      </c>
      <c r="AF6" s="1919"/>
      <c r="AG6" s="1919"/>
      <c r="AH6" s="1919"/>
      <c r="AI6" s="1919"/>
      <c r="AJ6" s="1919"/>
      <c r="AL6" s="1804" t="s">
        <v>173</v>
      </c>
      <c r="AM6" s="1805" t="s">
        <v>398</v>
      </c>
      <c r="AN6" s="1805" t="str">
        <f>S6</f>
        <v>Historical EE</v>
      </c>
      <c r="AO6" s="1805" t="str">
        <f>T6</f>
        <v>Truck Lot Sale</v>
      </c>
      <c r="AP6" s="1805" t="s">
        <v>399</v>
      </c>
      <c r="AR6" s="1909" t="s">
        <v>409</v>
      </c>
      <c r="AS6" s="1910"/>
      <c r="AT6" s="1910"/>
      <c r="AU6" s="1910"/>
      <c r="AV6" s="1910"/>
      <c r="AW6" s="1911"/>
      <c r="AY6" s="1918" t="s">
        <v>793</v>
      </c>
      <c r="AZ6" s="1919"/>
      <c r="BA6" s="1919"/>
      <c r="BB6" s="1919"/>
      <c r="BC6" s="1919"/>
      <c r="BD6" s="1919"/>
      <c r="BE6" s="1919"/>
    </row>
    <row r="7" spans="2:60" ht="52" x14ac:dyDescent="0.3">
      <c r="B7" s="104" t="s">
        <v>145</v>
      </c>
      <c r="C7" s="65" t="s">
        <v>2</v>
      </c>
      <c r="D7" s="65" t="s">
        <v>3</v>
      </c>
      <c r="E7" s="65" t="s">
        <v>158</v>
      </c>
      <c r="F7" s="65" t="s">
        <v>156</v>
      </c>
      <c r="G7" s="65" t="s">
        <v>157</v>
      </c>
      <c r="H7" s="105" t="s">
        <v>154</v>
      </c>
      <c r="I7" s="65" t="s">
        <v>617</v>
      </c>
      <c r="J7" s="615" t="s">
        <v>783</v>
      </c>
      <c r="K7" s="616" t="s">
        <v>784</v>
      </c>
      <c r="L7" s="616" t="s">
        <v>785</v>
      </c>
      <c r="M7" s="616" t="s">
        <v>786</v>
      </c>
      <c r="N7" s="106" t="s">
        <v>787</v>
      </c>
      <c r="O7" s="119" t="s">
        <v>618</v>
      </c>
      <c r="P7" s="120" t="s">
        <v>619</v>
      </c>
      <c r="Q7" s="120" t="s">
        <v>620</v>
      </c>
      <c r="R7" s="248" t="s">
        <v>614</v>
      </c>
      <c r="S7" s="120" t="s">
        <v>621</v>
      </c>
      <c r="T7" s="120" t="s">
        <v>621</v>
      </c>
      <c r="U7" s="120" t="s">
        <v>676</v>
      </c>
      <c r="V7" s="1294" t="s">
        <v>615</v>
      </c>
      <c r="W7" s="611"/>
      <c r="X7" s="341" t="s">
        <v>87</v>
      </c>
      <c r="Y7" s="341" t="s">
        <v>220</v>
      </c>
      <c r="Z7" s="341" t="s">
        <v>215</v>
      </c>
      <c r="AA7" s="341" t="s">
        <v>216</v>
      </c>
      <c r="AB7" s="341" t="s">
        <v>214</v>
      </c>
      <c r="AC7" s="342" t="s">
        <v>616</v>
      </c>
      <c r="AE7" s="336" t="s">
        <v>87</v>
      </c>
      <c r="AF7" s="336" t="s">
        <v>220</v>
      </c>
      <c r="AG7" s="336" t="str">
        <f>Z7</f>
        <v>Pipeline Capacity Rate (Demand)</v>
      </c>
      <c r="AH7" s="336" t="str">
        <f>AA7</f>
        <v>Commodity Rate (WACOG)</v>
      </c>
      <c r="AI7" s="336" t="str">
        <f>AB7</f>
        <v>Temporary Adjustment</v>
      </c>
      <c r="AJ7" s="337" t="s">
        <v>622</v>
      </c>
      <c r="AK7" s="107"/>
      <c r="AL7" s="1806" t="s">
        <v>618</v>
      </c>
      <c r="AM7" s="1806" t="s">
        <v>621</v>
      </c>
      <c r="AN7" s="1806" t="s">
        <v>621</v>
      </c>
      <c r="AO7" s="1806" t="s">
        <v>621</v>
      </c>
      <c r="AP7" s="1800" t="s">
        <v>623</v>
      </c>
      <c r="AQ7" s="107"/>
      <c r="AR7" s="341" t="s">
        <v>87</v>
      </c>
      <c r="AS7" s="341" t="s">
        <v>220</v>
      </c>
      <c r="AT7" s="341" t="s">
        <v>215</v>
      </c>
      <c r="AU7" s="341" t="s">
        <v>216</v>
      </c>
      <c r="AV7" s="341" t="s">
        <v>214</v>
      </c>
      <c r="AW7" s="342" t="s">
        <v>624</v>
      </c>
      <c r="AY7" s="336" t="s">
        <v>87</v>
      </c>
      <c r="AZ7" s="336" t="s">
        <v>220</v>
      </c>
      <c r="BA7" s="336" t="str">
        <f>AT7</f>
        <v>Pipeline Capacity Rate (Demand)</v>
      </c>
      <c r="BB7" s="336" t="str">
        <f>AU7</f>
        <v>Commodity Rate (WACOG)</v>
      </c>
      <c r="BC7" s="336" t="str">
        <f>AV7</f>
        <v>Temporary Adjustment</v>
      </c>
      <c r="BD7" s="336" t="s">
        <v>758</v>
      </c>
      <c r="BE7" s="337" t="s">
        <v>625</v>
      </c>
    </row>
    <row r="8" spans="2:60" ht="13.5" thickBot="1" x14ac:dyDescent="0.35">
      <c r="B8" s="632"/>
      <c r="C8" s="633" t="s">
        <v>35</v>
      </c>
      <c r="D8" s="633" t="s">
        <v>36</v>
      </c>
      <c r="E8" s="633" t="s">
        <v>13</v>
      </c>
      <c r="F8" s="633" t="s">
        <v>37</v>
      </c>
      <c r="G8" s="633" t="s">
        <v>38</v>
      </c>
      <c r="H8" s="634" t="s">
        <v>39</v>
      </c>
      <c r="I8" s="635" t="s">
        <v>40</v>
      </c>
      <c r="J8" s="634" t="s">
        <v>41</v>
      </c>
      <c r="K8" s="633" t="s">
        <v>42</v>
      </c>
      <c r="L8" s="633" t="s">
        <v>124</v>
      </c>
      <c r="M8" s="633" t="s">
        <v>125</v>
      </c>
      <c r="N8" s="635" t="s">
        <v>248</v>
      </c>
      <c r="O8" s="636" t="s">
        <v>126</v>
      </c>
      <c r="P8" s="637" t="s">
        <v>127</v>
      </c>
      <c r="Q8" s="637" t="s">
        <v>128</v>
      </c>
      <c r="R8" s="638" t="s">
        <v>454</v>
      </c>
      <c r="S8" s="637" t="s">
        <v>130</v>
      </c>
      <c r="T8" s="637" t="s">
        <v>86</v>
      </c>
      <c r="U8" s="637" t="s">
        <v>89</v>
      </c>
      <c r="V8" s="1811" t="s">
        <v>455</v>
      </c>
      <c r="W8" s="625"/>
      <c r="X8" s="626" t="s">
        <v>91</v>
      </c>
      <c r="Y8" s="627" t="s">
        <v>180</v>
      </c>
      <c r="Z8" s="627" t="s">
        <v>224</v>
      </c>
      <c r="AA8" s="627" t="s">
        <v>219</v>
      </c>
      <c r="AB8" s="627" t="s">
        <v>225</v>
      </c>
      <c r="AC8" s="628" t="s">
        <v>456</v>
      </c>
      <c r="AD8" s="625"/>
      <c r="AE8" s="629" t="s">
        <v>227</v>
      </c>
      <c r="AF8" s="630" t="s">
        <v>243</v>
      </c>
      <c r="AG8" s="630" t="s">
        <v>410</v>
      </c>
      <c r="AH8" s="630" t="s">
        <v>244</v>
      </c>
      <c r="AI8" s="630" t="s">
        <v>245</v>
      </c>
      <c r="AJ8" s="631" t="s">
        <v>457</v>
      </c>
      <c r="AK8" s="952"/>
      <c r="AL8" s="1807" t="s">
        <v>249</v>
      </c>
      <c r="AM8" s="1808" t="s">
        <v>458</v>
      </c>
      <c r="AN8" s="1808" t="s">
        <v>546</v>
      </c>
      <c r="AO8" s="1808" t="s">
        <v>411</v>
      </c>
      <c r="AP8" s="1801" t="s">
        <v>731</v>
      </c>
      <c r="AQ8" s="953"/>
      <c r="AR8" s="626" t="s">
        <v>250</v>
      </c>
      <c r="AS8" s="627" t="s">
        <v>251</v>
      </c>
      <c r="AT8" s="627" t="s">
        <v>412</v>
      </c>
      <c r="AU8" s="627" t="s">
        <v>723</v>
      </c>
      <c r="AV8" s="627" t="s">
        <v>252</v>
      </c>
      <c r="AW8" s="628" t="s">
        <v>730</v>
      </c>
      <c r="AX8" s="625"/>
      <c r="AY8" s="629" t="s">
        <v>413</v>
      </c>
      <c r="AZ8" s="630" t="s">
        <v>414</v>
      </c>
      <c r="BA8" s="630" t="s">
        <v>415</v>
      </c>
      <c r="BB8" s="630" t="s">
        <v>724</v>
      </c>
      <c r="BC8" s="630" t="s">
        <v>725</v>
      </c>
      <c r="BD8" s="630"/>
      <c r="BE8" s="631" t="s">
        <v>732</v>
      </c>
      <c r="BG8" s="598" t="s">
        <v>794</v>
      </c>
    </row>
    <row r="9" spans="2:60" x14ac:dyDescent="0.3">
      <c r="B9" s="109">
        <v>1</v>
      </c>
      <c r="C9" s="882" t="str">
        <f>'WA Volumes &amp; Revenues'!B15</f>
        <v>1R</v>
      </c>
      <c r="D9" s="882" t="s">
        <v>270</v>
      </c>
      <c r="E9" s="110" t="s">
        <v>270</v>
      </c>
      <c r="F9" s="112">
        <f>'WA Volumes &amp; Revenues'!E15</f>
        <v>214704.20066131229</v>
      </c>
      <c r="G9" s="112">
        <f>'WA Volumes &amp; Revenues'!H15</f>
        <v>911</v>
      </c>
      <c r="H9" s="885">
        <f>'WA Volumes &amp; Revenues'!O15</f>
        <v>5.5</v>
      </c>
      <c r="I9" s="886">
        <f>'WA Volumes &amp; Revenues'!N15</f>
        <v>5.5</v>
      </c>
      <c r="J9" s="619">
        <f>'Rates in Detail'!E13</f>
        <v>0.67652999999999996</v>
      </c>
      <c r="K9" s="623">
        <f>'Rates in Detail'!H13</f>
        <v>0.10141</v>
      </c>
      <c r="L9" s="623">
        <f>'Rates in Detail'!F13</f>
        <v>0.26333000000000001</v>
      </c>
      <c r="M9" s="623">
        <f>'Rates in Detail'!I13</f>
        <v>0.11125999999999998</v>
      </c>
      <c r="N9" s="135">
        <f>SUM(J9:M9)</f>
        <v>1.1525299999999998</v>
      </c>
      <c r="O9" s="949">
        <f>'Rates in Detail'!L13</f>
        <v>0.11114</v>
      </c>
      <c r="P9" s="623">
        <f>'Rates in Detail'!P13</f>
        <v>-9.1000000000000004E-3</v>
      </c>
      <c r="Q9" s="623">
        <f>'Rates in Detail'!Q13</f>
        <v>0</v>
      </c>
      <c r="R9" s="249">
        <f>SUM(O9:Q9)</f>
        <v>0.10204000000000001</v>
      </c>
      <c r="S9" s="949">
        <f>'Rates in Detail'!S13</f>
        <v>-1.627E-2</v>
      </c>
      <c r="T9" s="623">
        <f>'Rates in Detail'!T13</f>
        <v>-8.6499999999999997E-3</v>
      </c>
      <c r="U9" s="623">
        <f>'Rates in Detail'!U13</f>
        <v>3.0500000000000002E-3</v>
      </c>
      <c r="V9" s="1317">
        <f>SUM(R9:U9)</f>
        <v>8.0170000000000005E-2</v>
      </c>
      <c r="W9" s="612"/>
      <c r="X9" s="113">
        <f>'[25]Rates in detail'!$AC13</f>
        <v>0.67653000000000008</v>
      </c>
      <c r="Y9" s="113"/>
      <c r="Z9" s="113">
        <f>'[25]Rates in detail'!$AD13</f>
        <v>0.10689</v>
      </c>
      <c r="AA9" s="113">
        <f>'[25]Rates in detail'!$AE13</f>
        <v>0.34872999999999998</v>
      </c>
      <c r="AB9" s="113">
        <f>'[25]Rates in detail'!$AF13</f>
        <v>0.13515000000000002</v>
      </c>
      <c r="AC9" s="343">
        <f>SUM(X9:AB9)</f>
        <v>1.2673000000000003</v>
      </c>
      <c r="AD9" s="1594"/>
      <c r="AE9" s="113">
        <f>X9+O9+P9+Q9</f>
        <v>0.7785700000000001</v>
      </c>
      <c r="AF9" s="113"/>
      <c r="AG9" s="113">
        <f>Z9</f>
        <v>0.10689</v>
      </c>
      <c r="AH9" s="113">
        <f>AA9</f>
        <v>0.34872999999999998</v>
      </c>
      <c r="AI9" s="1597">
        <f>AB9+S9+T9+U9</f>
        <v>0.11328000000000001</v>
      </c>
      <c r="AJ9" s="1604">
        <f>SUM(AE9:AI9)</f>
        <v>1.3474700000000002</v>
      </c>
      <c r="AK9" s="1595"/>
      <c r="AL9" s="113">
        <f>'Rates in Detail'!AC13</f>
        <v>6.1650000000000003E-2</v>
      </c>
      <c r="AM9" s="113">
        <f>'Rates in Detail'!AD13</f>
        <v>-8.8000000000000003E-4</v>
      </c>
      <c r="AN9" s="113">
        <f>'Rates in Detail'!AE13</f>
        <v>-1.627E-2</v>
      </c>
      <c r="AO9" s="113">
        <f>'Rates in Detail'!AF13</f>
        <v>-8.6700000000000006E-3</v>
      </c>
      <c r="AP9" s="1802">
        <f>SUM(AL9:AO9)</f>
        <v>3.5830000000000001E-2</v>
      </c>
      <c r="AQ9" s="130"/>
      <c r="AR9" s="1680">
        <v>0.77857000000000032</v>
      </c>
      <c r="AS9" s="1680"/>
      <c r="AT9" s="1680">
        <v>8.6959999999999996E-2</v>
      </c>
      <c r="AU9" s="1680">
        <v>0.46972000000000003</v>
      </c>
      <c r="AV9" s="1680">
        <v>0.22081999999999999</v>
      </c>
      <c r="AW9" s="343">
        <f>SUM(AR9:AV9)</f>
        <v>1.5560700000000003</v>
      </c>
      <c r="AY9" s="1797">
        <f>AR9+AL9</f>
        <v>0.8402200000000003</v>
      </c>
      <c r="AZ9" s="113">
        <f>AF9+AS9</f>
        <v>0</v>
      </c>
      <c r="BA9" s="113">
        <f>AT9</f>
        <v>8.6959999999999996E-2</v>
      </c>
      <c r="BB9" s="113">
        <f>AU9</f>
        <v>0.46972000000000003</v>
      </c>
      <c r="BC9" s="113">
        <f>SUM(AM9:AO9)+AV9</f>
        <v>0.19499999999999998</v>
      </c>
      <c r="BD9" s="113">
        <f>'Rates in summary'!V14</f>
        <v>0</v>
      </c>
      <c r="BE9" s="338">
        <f>SUM(AY9:BD9)</f>
        <v>1.5919000000000005</v>
      </c>
      <c r="BF9" s="100"/>
      <c r="BG9" s="100">
        <f>BE9-'Rates in Detail'!AN13</f>
        <v>0</v>
      </c>
      <c r="BH9" s="100"/>
    </row>
    <row r="10" spans="2:60" x14ac:dyDescent="0.3">
      <c r="B10" s="109">
        <f>B9+1</f>
        <v>2</v>
      </c>
      <c r="C10" s="882" t="str">
        <f>'WA Volumes &amp; Revenues'!B16</f>
        <v>1C</v>
      </c>
      <c r="D10" s="882" t="s">
        <v>270</v>
      </c>
      <c r="E10" s="110" t="s">
        <v>270</v>
      </c>
      <c r="F10" s="112">
        <f>'WA Volumes &amp; Revenues'!E16</f>
        <v>46539.057144390383</v>
      </c>
      <c r="G10" s="112">
        <f>'WA Volumes &amp; Revenues'!H16</f>
        <v>34</v>
      </c>
      <c r="H10" s="885">
        <f>'WA Volumes &amp; Revenues'!O16</f>
        <v>7</v>
      </c>
      <c r="I10" s="886">
        <f>'WA Volumes &amp; Revenues'!N16</f>
        <v>7</v>
      </c>
      <c r="J10" s="619">
        <f>'Rates in Detail'!E14</f>
        <v>0.73148999999999997</v>
      </c>
      <c r="K10" s="623">
        <f>'Rates in Detail'!H14</f>
        <v>0.10141</v>
      </c>
      <c r="L10" s="623">
        <f>'Rates in Detail'!F14</f>
        <v>0.26333000000000001</v>
      </c>
      <c r="M10" s="623">
        <f>'Rates in Detail'!I14</f>
        <v>9.3060000000000004E-2</v>
      </c>
      <c r="N10" s="134">
        <f t="shared" ref="N10:N73" si="0">SUM(J10:M10)</f>
        <v>1.18929</v>
      </c>
      <c r="O10" s="949">
        <f>'Rates in Detail'!L14</f>
        <v>9.2410000000000006E-2</v>
      </c>
      <c r="P10" s="623">
        <f>'Rates in Detail'!P14</f>
        <v>-7.5599999999999999E-3</v>
      </c>
      <c r="Q10" s="623">
        <f>'Rates in Detail'!Q14</f>
        <v>0</v>
      </c>
      <c r="R10" s="249">
        <f t="shared" ref="R10:R73" si="1">SUM(O10:Q10)</f>
        <v>8.4850000000000009E-2</v>
      </c>
      <c r="S10" s="949">
        <f>'Rates in Detail'!S14</f>
        <v>-1.354E-2</v>
      </c>
      <c r="T10" s="623">
        <f>'Rates in Detail'!T14</f>
        <v>-7.1999999999999998E-3</v>
      </c>
      <c r="U10" s="623">
        <f>'Rates in Detail'!U14</f>
        <v>2.5400000000000002E-3</v>
      </c>
      <c r="V10" s="1317">
        <f t="shared" ref="V10:V40" si="2">SUM(R10:U10)</f>
        <v>6.6650000000000015E-2</v>
      </c>
      <c r="W10" s="612"/>
      <c r="X10" s="113">
        <f>'[25]Rates in detail'!$AC14</f>
        <v>0.73148999999999942</v>
      </c>
      <c r="Y10" s="113"/>
      <c r="Z10" s="113">
        <f>'[25]Rates in detail'!$AD14</f>
        <v>0.10689</v>
      </c>
      <c r="AA10" s="113">
        <f>'[25]Rates in detail'!$AE14</f>
        <v>0.34872999999999998</v>
      </c>
      <c r="AB10" s="113">
        <f>'[25]Rates in detail'!$AF14</f>
        <v>0.11452999999999999</v>
      </c>
      <c r="AC10" s="343">
        <f t="shared" ref="AC10:AC73" si="3">SUM(X10:AB10)</f>
        <v>1.3016399999999995</v>
      </c>
      <c r="AD10" s="1594"/>
      <c r="AE10" s="113">
        <f t="shared" ref="AE10:AE73" si="4">X10+O10+P10+Q10</f>
        <v>0.8163399999999994</v>
      </c>
      <c r="AF10" s="113"/>
      <c r="AG10" s="113">
        <f t="shared" ref="AG10:AG73" si="5">Z10</f>
        <v>0.10689</v>
      </c>
      <c r="AH10" s="113">
        <f t="shared" ref="AH10:AH73" si="6">AA10</f>
        <v>0.34872999999999998</v>
      </c>
      <c r="AI10" s="113">
        <f t="shared" ref="AI10:AI73" si="7">AB10+S10+T10+U10</f>
        <v>9.6329999999999999E-2</v>
      </c>
      <c r="AJ10" s="1604">
        <f t="shared" ref="AJ10:AJ73" si="8">SUM(AE10:AI10)</f>
        <v>1.3682899999999996</v>
      </c>
      <c r="AK10" s="1596"/>
      <c r="AL10" s="113">
        <f>'Rates in Detail'!AC14</f>
        <v>5.126E-2</v>
      </c>
      <c r="AM10" s="113">
        <f>'Rates in Detail'!AD14</f>
        <v>-7.2999999999999996E-4</v>
      </c>
      <c r="AN10" s="113">
        <f>'Rates in Detail'!AE14</f>
        <v>-1.354E-2</v>
      </c>
      <c r="AO10" s="113">
        <f>'Rates in Detail'!AF14</f>
        <v>-7.1999999999999998E-3</v>
      </c>
      <c r="AP10" s="1802">
        <f t="shared" ref="AP10:AP40" si="9">SUM(AL10:AO10)</f>
        <v>2.9789999999999997E-2</v>
      </c>
      <c r="AQ10" s="130"/>
      <c r="AR10" s="1680">
        <v>0.81633999999999962</v>
      </c>
      <c r="AS10" s="1680"/>
      <c r="AT10" s="1680">
        <v>8.6959999999999996E-2</v>
      </c>
      <c r="AU10" s="1680">
        <v>0.46972000000000003</v>
      </c>
      <c r="AV10" s="1680">
        <v>0.20319999999999999</v>
      </c>
      <c r="AW10" s="343">
        <f t="shared" ref="AW10:AW73" si="10">SUM(AR10:AV10)</f>
        <v>1.5762199999999997</v>
      </c>
      <c r="AY10" s="1797">
        <f t="shared" ref="AY10" si="11">AR10+AL10</f>
        <v>0.86759999999999959</v>
      </c>
      <c r="AZ10" s="113">
        <f t="shared" ref="AZ10:AZ40" si="12">AF10+AS10</f>
        <v>0</v>
      </c>
      <c r="BA10" s="113">
        <f t="shared" ref="BA10:BA73" si="13">AT10</f>
        <v>8.6959999999999996E-2</v>
      </c>
      <c r="BB10" s="113">
        <f t="shared" ref="BB10:BB73" si="14">AU10</f>
        <v>0.46972000000000003</v>
      </c>
      <c r="BC10" s="113">
        <f t="shared" ref="BC10:BC73" si="15">SUM(AM10:AO10)+AV10</f>
        <v>0.18173</v>
      </c>
      <c r="BD10" s="113">
        <f>'Rates in summary'!V15</f>
        <v>0</v>
      </c>
      <c r="BE10" s="338">
        <f t="shared" ref="BE10:BE73" si="16">SUM(AY10:BD10)</f>
        <v>1.6060099999999995</v>
      </c>
      <c r="BF10" s="100"/>
      <c r="BG10" s="100">
        <f>BE10-'Rates in Detail'!AN14</f>
        <v>0</v>
      </c>
      <c r="BH10" s="100"/>
    </row>
    <row r="11" spans="2:60" x14ac:dyDescent="0.3">
      <c r="B11" s="109">
        <f t="shared" ref="B11:B74" si="17">B10+1</f>
        <v>3</v>
      </c>
      <c r="C11" s="882" t="str">
        <f>'WA Volumes &amp; Revenues'!B17</f>
        <v>2R</v>
      </c>
      <c r="D11" s="882" t="s">
        <v>270</v>
      </c>
      <c r="E11" s="110" t="s">
        <v>270</v>
      </c>
      <c r="F11" s="112">
        <f>'WA Volumes &amp; Revenues'!E17</f>
        <v>54953515.785084128</v>
      </c>
      <c r="G11" s="112">
        <f>'WA Volumes &amp; Revenues'!H17</f>
        <v>81119</v>
      </c>
      <c r="H11" s="885">
        <f>'WA Volumes &amp; Revenues'!O17</f>
        <v>8</v>
      </c>
      <c r="I11" s="886">
        <f>'WA Volumes &amp; Revenues'!N17</f>
        <v>8</v>
      </c>
      <c r="J11" s="619">
        <f>'Rates in Detail'!E15</f>
        <v>0.45815999999999979</v>
      </c>
      <c r="K11" s="623">
        <f>'Rates in Detail'!H15</f>
        <v>0.10141</v>
      </c>
      <c r="L11" s="623">
        <f>'Rates in Detail'!F15</f>
        <v>0.26333000000000001</v>
      </c>
      <c r="M11" s="623">
        <f>'Rates in Detail'!I15</f>
        <v>6.6579999999999986E-2</v>
      </c>
      <c r="N11" s="134">
        <f t="shared" si="0"/>
        <v>0.88947999999999972</v>
      </c>
      <c r="O11" s="619">
        <f>'Rates in Detail'!L15</f>
        <v>7.034E-2</v>
      </c>
      <c r="P11" s="623">
        <f>'Rates in Detail'!P15</f>
        <v>-5.7600000000000004E-3</v>
      </c>
      <c r="Q11" s="623">
        <f>'Rates in Detail'!Q15</f>
        <v>0</v>
      </c>
      <c r="R11" s="249">
        <f t="shared" si="1"/>
        <v>6.4579999999999999E-2</v>
      </c>
      <c r="S11" s="619">
        <f>'Rates in Detail'!S15</f>
        <v>-1.03E-2</v>
      </c>
      <c r="T11" s="623">
        <f>'Rates in Detail'!T15</f>
        <v>-5.47E-3</v>
      </c>
      <c r="U11" s="623">
        <f>'Rates in Detail'!U15</f>
        <v>1.9300000000000001E-3</v>
      </c>
      <c r="V11" s="1317">
        <f t="shared" si="2"/>
        <v>5.0739999999999993E-2</v>
      </c>
      <c r="W11" s="612"/>
      <c r="X11" s="113">
        <f>'[25]Rates in detail'!$AC15</f>
        <v>0.4581599999999999</v>
      </c>
      <c r="Y11" s="113"/>
      <c r="Z11" s="113">
        <f>'[25]Rates in detail'!$AD15</f>
        <v>0.10689</v>
      </c>
      <c r="AA11" s="113">
        <f>'[25]Rates in detail'!$AE15</f>
        <v>0.34872999999999998</v>
      </c>
      <c r="AB11" s="113">
        <f>'[25]Rates in detail'!$AF15</f>
        <v>8.6949999999999986E-2</v>
      </c>
      <c r="AC11" s="343">
        <f t="shared" si="3"/>
        <v>1.0007299999999999</v>
      </c>
      <c r="AD11" s="1594"/>
      <c r="AE11" s="113">
        <f>X11+O11+P11+Q11</f>
        <v>0.52273999999999987</v>
      </c>
      <c r="AF11" s="113"/>
      <c r="AG11" s="113">
        <f t="shared" si="5"/>
        <v>0.10689</v>
      </c>
      <c r="AH11" s="113">
        <f t="shared" si="6"/>
        <v>0.34872999999999998</v>
      </c>
      <c r="AI11" s="113">
        <f>AB11+S11+T11+U11</f>
        <v>7.3109999999999981E-2</v>
      </c>
      <c r="AJ11" s="1604">
        <f t="shared" si="8"/>
        <v>1.0514699999999999</v>
      </c>
      <c r="AK11" s="1595"/>
      <c r="AL11" s="113">
        <f>'Rates in Detail'!AC15</f>
        <v>3.9019999999999999E-2</v>
      </c>
      <c r="AM11" s="113">
        <f>'Rates in Detail'!AD15</f>
        <v>-5.5999999999999995E-4</v>
      </c>
      <c r="AN11" s="113">
        <f>'Rates in Detail'!AE15</f>
        <v>-1.03E-2</v>
      </c>
      <c r="AO11" s="113">
        <f>'Rates in Detail'!AF15</f>
        <v>-5.4900000000000001E-3</v>
      </c>
      <c r="AP11" s="1802">
        <f>SUM(AL11:AO11)</f>
        <v>2.2670000000000003E-2</v>
      </c>
      <c r="AQ11" s="130"/>
      <c r="AR11" s="1680">
        <v>0.52273999999999998</v>
      </c>
      <c r="AS11" s="1680"/>
      <c r="AT11" s="1680">
        <v>8.6959999999999996E-2</v>
      </c>
      <c r="AU11" s="1694">
        <v>0.46972000000000003</v>
      </c>
      <c r="AV11" s="1680">
        <v>0.17807000000000001</v>
      </c>
      <c r="AW11" s="343">
        <f t="shared" si="10"/>
        <v>1.25749</v>
      </c>
      <c r="AY11" s="1797">
        <f>AR11+AL11</f>
        <v>0.56176000000000004</v>
      </c>
      <c r="AZ11" s="113">
        <f t="shared" si="12"/>
        <v>0</v>
      </c>
      <c r="BA11" s="113">
        <f t="shared" si="13"/>
        <v>8.6959999999999996E-2</v>
      </c>
      <c r="BB11" s="113">
        <f t="shared" si="14"/>
        <v>0.46972000000000003</v>
      </c>
      <c r="BC11" s="113">
        <f t="shared" si="15"/>
        <v>0.16172</v>
      </c>
      <c r="BD11" s="113">
        <f>'Rates in summary'!V16</f>
        <v>-6.3856382978723369E-2</v>
      </c>
      <c r="BE11" s="338">
        <f t="shared" si="16"/>
        <v>1.2163036170212769</v>
      </c>
      <c r="BF11" s="100"/>
      <c r="BG11" s="100">
        <f>BE11-'Rates in Detail'!AN15</f>
        <v>0</v>
      </c>
      <c r="BH11" s="100"/>
    </row>
    <row r="12" spans="2:60" x14ac:dyDescent="0.3">
      <c r="B12" s="109">
        <f t="shared" si="17"/>
        <v>4</v>
      </c>
      <c r="C12" s="882" t="str">
        <f>'WA Volumes &amp; Revenues'!B18</f>
        <v>3 CFS</v>
      </c>
      <c r="D12" s="882" t="s">
        <v>270</v>
      </c>
      <c r="E12" s="110" t="s">
        <v>270</v>
      </c>
      <c r="F12" s="112">
        <f>'WA Volumes &amp; Revenues'!E18</f>
        <v>17867210.60654201</v>
      </c>
      <c r="G12" s="112">
        <f>'WA Volumes &amp; Revenues'!H18</f>
        <v>6318</v>
      </c>
      <c r="H12" s="885">
        <f>'WA Volumes &amp; Revenues'!O18</f>
        <v>22</v>
      </c>
      <c r="I12" s="887">
        <f>'WA Volumes &amp; Revenues'!N18</f>
        <v>22</v>
      </c>
      <c r="J12" s="619">
        <f>'Rates in Detail'!E16</f>
        <v>0.44368000000000019</v>
      </c>
      <c r="K12" s="623">
        <f>'Rates in Detail'!H16</f>
        <v>0.10141</v>
      </c>
      <c r="L12" s="623">
        <f>'Rates in Detail'!F16</f>
        <v>0.26333000000000001</v>
      </c>
      <c r="M12" s="623">
        <f>'Rates in Detail'!I16</f>
        <v>5.8480000000000004E-2</v>
      </c>
      <c r="N12" s="134">
        <f t="shared" si="0"/>
        <v>0.86690000000000011</v>
      </c>
      <c r="O12" s="619">
        <f>'Rates in Detail'!L16</f>
        <v>6.3159999999999994E-2</v>
      </c>
      <c r="P12" s="623">
        <f>'Rates in Detail'!P16</f>
        <v>-5.1700000000000001E-3</v>
      </c>
      <c r="Q12" s="623">
        <f>'Rates in Detail'!Q16</f>
        <v>0</v>
      </c>
      <c r="R12" s="249">
        <f t="shared" si="1"/>
        <v>5.7989999999999993E-2</v>
      </c>
      <c r="S12" s="619">
        <f>'Rates in Detail'!S16</f>
        <v>-9.2399999999999999E-3</v>
      </c>
      <c r="T12" s="623">
        <f>'Rates in Detail'!T16</f>
        <v>-4.9100000000000003E-3</v>
      </c>
      <c r="U12" s="623">
        <f>'Rates in Detail'!U16</f>
        <v>1.73E-3</v>
      </c>
      <c r="V12" s="1317">
        <f t="shared" si="2"/>
        <v>4.5569999999999999E-2</v>
      </c>
      <c r="W12" s="612"/>
      <c r="X12" s="113">
        <f>'[25]Rates in detail'!$AC16</f>
        <v>0.44368000000000019</v>
      </c>
      <c r="Y12" s="113"/>
      <c r="Z12" s="113">
        <f>'[25]Rates in detail'!$AD16</f>
        <v>0.10689</v>
      </c>
      <c r="AA12" s="113">
        <f>'[25]Rates in detail'!$AE16</f>
        <v>0.34872999999999998</v>
      </c>
      <c r="AB12" s="113">
        <f>'[25]Rates in detail'!$AF16</f>
        <v>7.7949999999999992E-2</v>
      </c>
      <c r="AC12" s="343">
        <f t="shared" si="3"/>
        <v>0.97725000000000017</v>
      </c>
      <c r="AD12" s="1594"/>
      <c r="AE12" s="113">
        <f t="shared" si="4"/>
        <v>0.50167000000000017</v>
      </c>
      <c r="AF12" s="113"/>
      <c r="AG12" s="113">
        <f t="shared" si="5"/>
        <v>0.10689</v>
      </c>
      <c r="AH12" s="113">
        <f t="shared" si="6"/>
        <v>0.34872999999999998</v>
      </c>
      <c r="AI12" s="113">
        <f t="shared" si="7"/>
        <v>6.5529999999999991E-2</v>
      </c>
      <c r="AJ12" s="1604">
        <f t="shared" si="8"/>
        <v>1.0228200000000003</v>
      </c>
      <c r="AK12" s="1595"/>
      <c r="AL12" s="113">
        <f>'Rates in Detail'!AC16</f>
        <v>3.5029999999999999E-2</v>
      </c>
      <c r="AM12" s="113">
        <f>'Rates in Detail'!AD16</f>
        <v>-5.0000000000000001E-4</v>
      </c>
      <c r="AN12" s="113">
        <f>'Rates in Detail'!AE16</f>
        <v>-9.2399999999999999E-3</v>
      </c>
      <c r="AO12" s="113">
        <f>'Rates in Detail'!AF16</f>
        <v>-4.9300000000000004E-3</v>
      </c>
      <c r="AP12" s="1802">
        <f t="shared" si="9"/>
        <v>2.036E-2</v>
      </c>
      <c r="AQ12" s="130"/>
      <c r="AR12" s="1681">
        <v>0.50167000000000006</v>
      </c>
      <c r="AS12" s="1681"/>
      <c r="AT12" s="1681">
        <v>8.6959999999999996E-2</v>
      </c>
      <c r="AU12" s="1681">
        <v>0.46972000000000003</v>
      </c>
      <c r="AV12" s="1681">
        <v>0.17166999999999999</v>
      </c>
      <c r="AW12" s="343">
        <f t="shared" si="10"/>
        <v>1.2300200000000001</v>
      </c>
      <c r="AY12" s="1797">
        <f t="shared" ref="AY12:AY75" si="18">AR12+AL12</f>
        <v>0.53670000000000007</v>
      </c>
      <c r="AZ12" s="113">
        <f>AF12+AS12</f>
        <v>0</v>
      </c>
      <c r="BA12" s="113">
        <f t="shared" si="13"/>
        <v>8.6959999999999996E-2</v>
      </c>
      <c r="BB12" s="113">
        <f t="shared" si="14"/>
        <v>0.46972000000000003</v>
      </c>
      <c r="BC12" s="113">
        <f t="shared" si="15"/>
        <v>0.157</v>
      </c>
      <c r="BD12" s="113">
        <f>'Rates in summary'!V17</f>
        <v>0</v>
      </c>
      <c r="BE12" s="338">
        <f t="shared" si="16"/>
        <v>1.2503800000000003</v>
      </c>
      <c r="BF12" s="100"/>
      <c r="BG12" s="100">
        <f>BE12-'Rates in Detail'!AN16</f>
        <v>0</v>
      </c>
      <c r="BH12" s="100"/>
    </row>
    <row r="13" spans="2:60" x14ac:dyDescent="0.3">
      <c r="B13" s="109">
        <f t="shared" si="17"/>
        <v>5</v>
      </c>
      <c r="C13" s="882" t="str">
        <f>'WA Volumes &amp; Revenues'!B19</f>
        <v>3 IFS</v>
      </c>
      <c r="D13" s="882" t="s">
        <v>270</v>
      </c>
      <c r="E13" s="110" t="s">
        <v>270</v>
      </c>
      <c r="F13" s="112">
        <f>'WA Volumes &amp; Revenues'!E19</f>
        <v>283651.99999999994</v>
      </c>
      <c r="G13" s="112">
        <f>'WA Volumes &amp; Revenues'!H19</f>
        <v>24.25</v>
      </c>
      <c r="H13" s="885">
        <f>'WA Volumes &amp; Revenues'!O19</f>
        <v>22</v>
      </c>
      <c r="I13" s="887">
        <f>'WA Volumes &amp; Revenues'!N19</f>
        <v>22</v>
      </c>
      <c r="J13" s="619">
        <f>'Rates in Detail'!E17</f>
        <v>0.46249000000000001</v>
      </c>
      <c r="K13" s="623">
        <f>'Rates in Detail'!H17</f>
        <v>0.10141</v>
      </c>
      <c r="L13" s="623">
        <f>'Rates in Detail'!F17</f>
        <v>0.26333000000000001</v>
      </c>
      <c r="M13" s="623">
        <f>'Rates in Detail'!I17</f>
        <v>-8.9999999999999802E-5</v>
      </c>
      <c r="N13" s="134">
        <f t="shared" si="0"/>
        <v>0.8271400000000001</v>
      </c>
      <c r="O13" s="619">
        <f>'Rates in Detail'!L17</f>
        <v>5.7209999999999997E-2</v>
      </c>
      <c r="P13" s="623">
        <f>'Rates in Detail'!P17</f>
        <v>-4.6899999999999997E-3</v>
      </c>
      <c r="Q13" s="623">
        <f>'Rates in Detail'!Q17</f>
        <v>0</v>
      </c>
      <c r="R13" s="249">
        <f t="shared" si="1"/>
        <v>5.2519999999999997E-2</v>
      </c>
      <c r="S13" s="619">
        <f>'Rates in Detail'!S17</f>
        <v>0</v>
      </c>
      <c r="T13" s="623">
        <f>'Rates in Detail'!T17</f>
        <v>-4.45E-3</v>
      </c>
      <c r="U13" s="623">
        <f>'Rates in Detail'!U17</f>
        <v>1.57E-3</v>
      </c>
      <c r="V13" s="1317">
        <f t="shared" si="2"/>
        <v>4.9639999999999997E-2</v>
      </c>
      <c r="W13" s="612"/>
      <c r="X13" s="113">
        <f>'[25]Rates in detail'!$AC17</f>
        <v>0.46248999999999957</v>
      </c>
      <c r="Y13" s="113"/>
      <c r="Z13" s="113">
        <f>'[25]Rates in detail'!$AD17</f>
        <v>0.10689</v>
      </c>
      <c r="AA13" s="113">
        <f>'[25]Rates in detail'!$AE17</f>
        <v>0.34872999999999998</v>
      </c>
      <c r="AB13" s="113">
        <f>'[25]Rates in detail'!$AF17</f>
        <v>1.0829999999999994E-2</v>
      </c>
      <c r="AC13" s="343">
        <f t="shared" si="3"/>
        <v>0.92893999999999954</v>
      </c>
      <c r="AD13" s="1594"/>
      <c r="AE13" s="113">
        <f t="shared" si="4"/>
        <v>0.51500999999999963</v>
      </c>
      <c r="AF13" s="113"/>
      <c r="AG13" s="113">
        <f t="shared" si="5"/>
        <v>0.10689</v>
      </c>
      <c r="AH13" s="113">
        <f t="shared" si="6"/>
        <v>0.34872999999999998</v>
      </c>
      <c r="AI13" s="113">
        <f t="shared" si="7"/>
        <v>7.9499999999999935E-3</v>
      </c>
      <c r="AJ13" s="1604">
        <f t="shared" si="8"/>
        <v>0.97857999999999967</v>
      </c>
      <c r="AK13" s="1595"/>
      <c r="AL13" s="113">
        <f>'Rates in Detail'!AC17</f>
        <v>3.1730000000000001E-2</v>
      </c>
      <c r="AM13" s="113">
        <f>'Rates in Detail'!AD17</f>
        <v>-4.4999999999999999E-4</v>
      </c>
      <c r="AN13" s="113">
        <f>'Rates in Detail'!AE17</f>
        <v>0</v>
      </c>
      <c r="AO13" s="113">
        <f>'Rates in Detail'!AF17</f>
        <v>-4.4600000000000004E-3</v>
      </c>
      <c r="AP13" s="1802">
        <f t="shared" si="9"/>
        <v>2.6820000000000004E-2</v>
      </c>
      <c r="AQ13" s="130"/>
      <c r="AR13" s="1680">
        <v>0.51500999999999975</v>
      </c>
      <c r="AS13" s="1680"/>
      <c r="AT13" s="1680">
        <v>8.6959999999999996E-2</v>
      </c>
      <c r="AU13" s="1680">
        <v>0.46972000000000003</v>
      </c>
      <c r="AV13" s="1680">
        <v>0.13047999999999998</v>
      </c>
      <c r="AW13" s="343">
        <f t="shared" si="10"/>
        <v>1.2021699999999997</v>
      </c>
      <c r="AY13" s="1797">
        <f t="shared" si="18"/>
        <v>0.54673999999999978</v>
      </c>
      <c r="AZ13" s="113">
        <f t="shared" si="12"/>
        <v>0</v>
      </c>
      <c r="BA13" s="113">
        <f t="shared" si="13"/>
        <v>8.6959999999999996E-2</v>
      </c>
      <c r="BB13" s="113">
        <f t="shared" si="14"/>
        <v>0.46972000000000003</v>
      </c>
      <c r="BC13" s="113">
        <f t="shared" si="15"/>
        <v>0.12556999999999999</v>
      </c>
      <c r="BD13" s="113">
        <f>'Rates in summary'!V18</f>
        <v>0</v>
      </c>
      <c r="BE13" s="338">
        <f t="shared" si="16"/>
        <v>1.2289899999999998</v>
      </c>
      <c r="BF13" s="100"/>
      <c r="BG13" s="100">
        <f>BE13-'Rates in Detail'!AN17</f>
        <v>0</v>
      </c>
      <c r="BH13" s="100"/>
    </row>
    <row r="14" spans="2:60" x14ac:dyDescent="0.3">
      <c r="B14" s="109">
        <f t="shared" si="17"/>
        <v>6</v>
      </c>
      <c r="C14" s="883" t="str">
        <f>'WA Volumes &amp; Revenues'!B20</f>
        <v>27R</v>
      </c>
      <c r="D14" s="882" t="s">
        <v>270</v>
      </c>
      <c r="E14" s="110" t="s">
        <v>270</v>
      </c>
      <c r="F14" s="112">
        <f>'WA Volumes &amp; Revenues'!E20</f>
        <v>461371.76933137607</v>
      </c>
      <c r="G14" s="112">
        <f>'WA Volumes &amp; Revenues'!H20</f>
        <v>776</v>
      </c>
      <c r="H14" s="888">
        <f>'WA Volumes &amp; Revenues'!O20</f>
        <v>9</v>
      </c>
      <c r="I14" s="889">
        <f>'WA Volumes &amp; Revenues'!N20</f>
        <v>9</v>
      </c>
      <c r="J14" s="619">
        <f>'Rates in Detail'!E18</f>
        <v>0.24087999999999973</v>
      </c>
      <c r="K14" s="623">
        <f>'Rates in Detail'!H18</f>
        <v>0.10141</v>
      </c>
      <c r="L14" s="623">
        <f>'Rates in Detail'!F18</f>
        <v>0.26333000000000001</v>
      </c>
      <c r="M14" s="623">
        <f>'Rates in Detail'!I18</f>
        <v>3.8710000000000001E-2</v>
      </c>
      <c r="N14" s="134">
        <f t="shared" si="0"/>
        <v>0.64432999999999985</v>
      </c>
      <c r="O14" s="619">
        <f>'Rates in Detail'!L18</f>
        <v>5.006E-2</v>
      </c>
      <c r="P14" s="623">
        <f>'Rates in Detail'!P18</f>
        <v>-4.1000000000000003E-3</v>
      </c>
      <c r="Q14" s="623">
        <f>'Rates in Detail'!Q18</f>
        <v>0</v>
      </c>
      <c r="R14" s="249">
        <f t="shared" si="1"/>
        <v>4.5960000000000001E-2</v>
      </c>
      <c r="S14" s="619">
        <f>'Rates in Detail'!S18</f>
        <v>-7.3299999999999997E-3</v>
      </c>
      <c r="T14" s="623">
        <f>'Rates in Detail'!T18</f>
        <v>-3.8899999999999998E-3</v>
      </c>
      <c r="U14" s="623">
        <f>'Rates in Detail'!U18</f>
        <v>1.3699999999999999E-3</v>
      </c>
      <c r="V14" s="1317">
        <f t="shared" si="2"/>
        <v>3.6110000000000003E-2</v>
      </c>
      <c r="W14" s="612"/>
      <c r="X14" s="113">
        <f>'[25]Rates in detail'!$AC18</f>
        <v>0.24087999999999984</v>
      </c>
      <c r="Y14" s="113"/>
      <c r="Z14" s="116">
        <f>'[25]Rates in detail'!$AD18</f>
        <v>0.10689</v>
      </c>
      <c r="AA14" s="116">
        <f>'[25]Rates in detail'!$AE18</f>
        <v>0.34872999999999998</v>
      </c>
      <c r="AB14" s="116">
        <f>'[25]Rates in detail'!$AF18</f>
        <v>5.695999999999999E-2</v>
      </c>
      <c r="AC14" s="343">
        <f t="shared" si="3"/>
        <v>0.75345999999999991</v>
      </c>
      <c r="AD14" s="1594"/>
      <c r="AE14" s="113">
        <f t="shared" si="4"/>
        <v>0.28683999999999987</v>
      </c>
      <c r="AF14" s="113"/>
      <c r="AG14" s="113">
        <f t="shared" si="5"/>
        <v>0.10689</v>
      </c>
      <c r="AH14" s="113">
        <f t="shared" si="6"/>
        <v>0.34872999999999998</v>
      </c>
      <c r="AI14" s="113">
        <f t="shared" si="7"/>
        <v>4.7109999999999999E-2</v>
      </c>
      <c r="AJ14" s="1604">
        <f t="shared" si="8"/>
        <v>0.78956999999999988</v>
      </c>
      <c r="AK14" s="1595"/>
      <c r="AL14" s="113">
        <f>'Rates in Detail'!AC18</f>
        <v>2.777E-2</v>
      </c>
      <c r="AM14" s="113">
        <f>'Rates in Detail'!AD18</f>
        <v>-4.0000000000000002E-4</v>
      </c>
      <c r="AN14" s="113">
        <f>'Rates in Detail'!AE18</f>
        <v>-7.3299999999999997E-3</v>
      </c>
      <c r="AO14" s="113">
        <f>'Rates in Detail'!AF18</f>
        <v>-3.8999999999999998E-3</v>
      </c>
      <c r="AP14" s="1802">
        <f t="shared" si="9"/>
        <v>1.6139999999999998E-2</v>
      </c>
      <c r="AQ14" s="130"/>
      <c r="AR14" s="1680">
        <v>0.28684000000000004</v>
      </c>
      <c r="AS14" s="1680"/>
      <c r="AT14" s="1680">
        <v>8.6959999999999996E-2</v>
      </c>
      <c r="AU14" s="1680">
        <v>0.46972000000000003</v>
      </c>
      <c r="AV14" s="1680">
        <v>0.16095999999999999</v>
      </c>
      <c r="AW14" s="343">
        <f t="shared" si="10"/>
        <v>1.00448</v>
      </c>
      <c r="AY14" s="1797">
        <f t="shared" si="18"/>
        <v>0.31461000000000006</v>
      </c>
      <c r="AZ14" s="113">
        <f t="shared" si="12"/>
        <v>0</v>
      </c>
      <c r="BA14" s="113">
        <f t="shared" si="13"/>
        <v>8.6959999999999996E-2</v>
      </c>
      <c r="BB14" s="113">
        <f t="shared" si="14"/>
        <v>0.46972000000000003</v>
      </c>
      <c r="BC14" s="113">
        <f t="shared" si="15"/>
        <v>0.14932999999999999</v>
      </c>
      <c r="BD14" s="113">
        <f>'Rates in summary'!V19</f>
        <v>0</v>
      </c>
      <c r="BE14" s="338">
        <f t="shared" si="16"/>
        <v>1.0206200000000001</v>
      </c>
      <c r="BF14" s="100"/>
      <c r="BG14" s="100">
        <f>BE14-'Rates in Detail'!AN18</f>
        <v>0</v>
      </c>
      <c r="BH14" s="100"/>
    </row>
    <row r="15" spans="2:60" x14ac:dyDescent="0.3">
      <c r="B15" s="109">
        <f t="shared" si="17"/>
        <v>7</v>
      </c>
      <c r="C15" s="884" t="str">
        <f>'WA Volumes &amp; Revenues'!B21</f>
        <v>41C Firm Sales</v>
      </c>
      <c r="D15" s="884" t="s">
        <v>4</v>
      </c>
      <c r="E15" s="114">
        <v>2000</v>
      </c>
      <c r="F15" s="115">
        <f>'WA Volumes &amp; Revenues'!E21</f>
        <v>1777065.1510316674</v>
      </c>
      <c r="G15" s="115">
        <f>'WA Volumes &amp; Revenues'!H21</f>
        <v>91</v>
      </c>
      <c r="H15" s="890">
        <f>'WA Volumes &amp; Revenues'!O21</f>
        <v>250</v>
      </c>
      <c r="I15" s="891">
        <f>'WA Volumes &amp; Revenues'!N21</f>
        <v>250</v>
      </c>
      <c r="J15" s="620">
        <f>'Rates in Detail'!E19</f>
        <v>0.34474000000000016</v>
      </c>
      <c r="K15" s="622">
        <f>'Rates in Detail'!H19</f>
        <v>0</v>
      </c>
      <c r="L15" s="622">
        <f>'Rates in Detail'!F19</f>
        <v>0.26333000000000001</v>
      </c>
      <c r="M15" s="622">
        <f>'Rates in Detail'!I19</f>
        <v>4.3429999999999996E-2</v>
      </c>
      <c r="N15" s="136">
        <f t="shared" si="0"/>
        <v>0.65150000000000008</v>
      </c>
      <c r="O15" s="620">
        <f>'Rates in Detail'!L19</f>
        <v>5.0160000000000003E-2</v>
      </c>
      <c r="P15" s="622">
        <f>'Rates in Detail'!P19</f>
        <v>-4.1099999999999999E-3</v>
      </c>
      <c r="Q15" s="622">
        <f>'Rates in Detail'!Q19</f>
        <v>0</v>
      </c>
      <c r="R15" s="250">
        <f t="shared" si="1"/>
        <v>4.6050000000000001E-2</v>
      </c>
      <c r="S15" s="620">
        <f>'Rates in Detail'!S19</f>
        <v>-7.3400000000000002E-3</v>
      </c>
      <c r="T15" s="622">
        <f>'Rates in Detail'!T19</f>
        <v>-3.8999999999999998E-3</v>
      </c>
      <c r="U15" s="622">
        <f>'Rates in Detail'!U19</f>
        <v>1.3799999999999999E-3</v>
      </c>
      <c r="V15" s="1318">
        <f t="shared" si="2"/>
        <v>3.619E-2</v>
      </c>
      <c r="W15" s="612"/>
      <c r="X15" s="1573">
        <f>'[25]Rates in detail'!$AC19</f>
        <v>0.3447400000000001</v>
      </c>
      <c r="Y15" s="1306"/>
      <c r="Z15" s="1570">
        <f>'[25]Rates in detail'!$AD19</f>
        <v>0</v>
      </c>
      <c r="AA15" s="1573">
        <f>'[25]Rates in detail'!$AE19</f>
        <v>0.34872999999999998</v>
      </c>
      <c r="AB15" s="1572">
        <f>'[25]Rates in detail'!$AF19</f>
        <v>6.0999999999999992E-2</v>
      </c>
      <c r="AC15" s="1568">
        <f t="shared" si="3"/>
        <v>0.75446999999999997</v>
      </c>
      <c r="AD15" s="1594"/>
      <c r="AE15" s="1570">
        <f t="shared" si="4"/>
        <v>0.39079000000000008</v>
      </c>
      <c r="AF15" s="1573"/>
      <c r="AG15" s="1571">
        <f t="shared" si="5"/>
        <v>0</v>
      </c>
      <c r="AH15" s="1573">
        <f t="shared" si="6"/>
        <v>0.34872999999999998</v>
      </c>
      <c r="AI15" s="1573">
        <f>AB15+S15+T15+U15</f>
        <v>5.1139999999999991E-2</v>
      </c>
      <c r="AJ15" s="1605">
        <f t="shared" si="8"/>
        <v>0.79066000000000003</v>
      </c>
      <c r="AK15" s="1595"/>
      <c r="AL15" s="116">
        <f>'Rates in Detail'!AC19</f>
        <v>2.7820000000000001E-2</v>
      </c>
      <c r="AM15" s="116">
        <f>'Rates in Detail'!AD19</f>
        <v>-4.0000000000000002E-4</v>
      </c>
      <c r="AN15" s="116">
        <f>'Rates in Detail'!AE19</f>
        <v>-7.3400000000000002E-3</v>
      </c>
      <c r="AO15" s="116">
        <f>'Rates in Detail'!AF19</f>
        <v>-3.9100000000000003E-3</v>
      </c>
      <c r="AP15" s="1803">
        <f t="shared" si="9"/>
        <v>1.617E-2</v>
      </c>
      <c r="AQ15" s="130"/>
      <c r="AR15" s="1682">
        <v>0.39079000000000019</v>
      </c>
      <c r="AS15" s="1682"/>
      <c r="AT15" s="1682">
        <v>0</v>
      </c>
      <c r="AU15" s="1682">
        <v>0.46972000000000003</v>
      </c>
      <c r="AV15" s="1682">
        <v>0.15998999999999999</v>
      </c>
      <c r="AW15" s="344">
        <f t="shared" si="10"/>
        <v>1.0205000000000002</v>
      </c>
      <c r="AY15" s="1798">
        <f t="shared" si="18"/>
        <v>0.4186100000000002</v>
      </c>
      <c r="AZ15" s="116">
        <f t="shared" si="12"/>
        <v>0</v>
      </c>
      <c r="BA15" s="116">
        <f t="shared" si="13"/>
        <v>0</v>
      </c>
      <c r="BB15" s="116">
        <f t="shared" si="14"/>
        <v>0.46972000000000003</v>
      </c>
      <c r="BC15" s="116">
        <f t="shared" si="15"/>
        <v>0.14834</v>
      </c>
      <c r="BD15" s="116">
        <f>'Rates in summary'!V20</f>
        <v>0</v>
      </c>
      <c r="BE15" s="339">
        <f t="shared" si="16"/>
        <v>1.0366700000000002</v>
      </c>
      <c r="BF15" s="100"/>
      <c r="BG15" s="100">
        <f>BE15-'Rates in Detail'!AN19</f>
        <v>0</v>
      </c>
      <c r="BH15" s="100"/>
    </row>
    <row r="16" spans="2:60" x14ac:dyDescent="0.3">
      <c r="B16" s="109">
        <f t="shared" si="17"/>
        <v>8</v>
      </c>
      <c r="C16" s="882"/>
      <c r="D16" s="882" t="s">
        <v>5</v>
      </c>
      <c r="E16" s="111" t="s">
        <v>72</v>
      </c>
      <c r="F16" s="112">
        <f>'WA Volumes &amp; Revenues'!E22</f>
        <v>1974656.4658023661</v>
      </c>
      <c r="G16" s="112"/>
      <c r="H16" s="885"/>
      <c r="I16" s="887"/>
      <c r="J16" s="619">
        <f>'Rates in Detail'!E20</f>
        <v>0.30376999999999998</v>
      </c>
      <c r="K16" s="623">
        <f>'Rates in Detail'!H20</f>
        <v>0</v>
      </c>
      <c r="L16" s="623">
        <f>'Rates in Detail'!F20</f>
        <v>0.26333000000000001</v>
      </c>
      <c r="M16" s="623">
        <f>'Rates in Detail'!I20</f>
        <v>3.7170000000000002E-2</v>
      </c>
      <c r="N16" s="134">
        <f t="shared" si="0"/>
        <v>0.60426999999999997</v>
      </c>
      <c r="O16" s="619">
        <f>'Rates in Detail'!L20</f>
        <v>4.4200000000000003E-2</v>
      </c>
      <c r="P16" s="623">
        <f>'Rates in Detail'!P20</f>
        <v>-3.62E-3</v>
      </c>
      <c r="Q16" s="623">
        <f>'Rates in Detail'!Q20</f>
        <v>0</v>
      </c>
      <c r="R16" s="249">
        <f t="shared" si="1"/>
        <v>4.0580000000000005E-2</v>
      </c>
      <c r="S16" s="619">
        <f>'Rates in Detail'!S20</f>
        <v>-6.4700000000000001E-3</v>
      </c>
      <c r="T16" s="623">
        <f>'Rates in Detail'!T20</f>
        <v>-3.4399999999999999E-3</v>
      </c>
      <c r="U16" s="623">
        <f>'Rates in Detail'!U20</f>
        <v>1.2099999999999999E-3</v>
      </c>
      <c r="V16" s="1317">
        <f t="shared" si="2"/>
        <v>3.1880000000000006E-2</v>
      </c>
      <c r="W16" s="612"/>
      <c r="X16" s="113">
        <f>'[25]Rates in detail'!$AC20</f>
        <v>0.30376999999999998</v>
      </c>
      <c r="Y16" s="1305"/>
      <c r="Z16" s="1305">
        <f>'[25]Rates in detail'!$AD20</f>
        <v>0</v>
      </c>
      <c r="AA16" s="113">
        <f>'[25]Rates in detail'!$AE20</f>
        <v>0.34872999999999998</v>
      </c>
      <c r="AB16" s="1526">
        <f>'[25]Rates in detail'!$AF20</f>
        <v>5.3810000000000004E-2</v>
      </c>
      <c r="AC16" s="1569">
        <f t="shared" si="3"/>
        <v>0.70630999999999999</v>
      </c>
      <c r="AD16" s="1594"/>
      <c r="AE16" s="1305">
        <f t="shared" si="4"/>
        <v>0.34434999999999999</v>
      </c>
      <c r="AF16" s="113"/>
      <c r="AG16" s="1298">
        <f t="shared" si="5"/>
        <v>0</v>
      </c>
      <c r="AH16" s="113">
        <f t="shared" si="6"/>
        <v>0.34872999999999998</v>
      </c>
      <c r="AI16" s="113">
        <f t="shared" si="7"/>
        <v>4.5110000000000011E-2</v>
      </c>
      <c r="AJ16" s="1606">
        <f t="shared" si="8"/>
        <v>0.7381899999999999</v>
      </c>
      <c r="AK16" s="1595"/>
      <c r="AL16" s="113">
        <f>'Rates in Detail'!AC20</f>
        <v>2.4510000000000001E-2</v>
      </c>
      <c r="AM16" s="113">
        <f>'Rates in Detail'!AD20</f>
        <v>-3.5E-4</v>
      </c>
      <c r="AN16" s="113">
        <f>'Rates in Detail'!AE20</f>
        <v>-6.4700000000000001E-3</v>
      </c>
      <c r="AO16" s="113">
        <f>'Rates in Detail'!AF20</f>
        <v>-3.4499999999999999E-3</v>
      </c>
      <c r="AP16" s="1802">
        <f t="shared" si="9"/>
        <v>1.4240000000000001E-2</v>
      </c>
      <c r="AQ16" s="130"/>
      <c r="AR16" s="1680">
        <v>0.34434999999999993</v>
      </c>
      <c r="AS16" s="1680"/>
      <c r="AT16" s="1680">
        <v>0</v>
      </c>
      <c r="AU16" s="1680">
        <v>0.46972000000000003</v>
      </c>
      <c r="AV16" s="1680">
        <v>0.15488999999999997</v>
      </c>
      <c r="AW16" s="343">
        <f t="shared" si="10"/>
        <v>0.96895999999999993</v>
      </c>
      <c r="AY16" s="1797">
        <f t="shared" si="18"/>
        <v>0.36885999999999991</v>
      </c>
      <c r="AZ16" s="113">
        <f t="shared" si="12"/>
        <v>0</v>
      </c>
      <c r="BA16" s="113">
        <f t="shared" si="13"/>
        <v>0</v>
      </c>
      <c r="BB16" s="113">
        <f t="shared" si="14"/>
        <v>0.46972000000000003</v>
      </c>
      <c r="BC16" s="113">
        <f t="shared" si="15"/>
        <v>0.14461999999999997</v>
      </c>
      <c r="BD16" s="113">
        <f>'Rates in summary'!V21</f>
        <v>0</v>
      </c>
      <c r="BE16" s="338">
        <f t="shared" si="16"/>
        <v>0.98319999999999985</v>
      </c>
      <c r="BF16" s="100"/>
      <c r="BG16" s="100">
        <f>BE16-'Rates in Detail'!AN20</f>
        <v>0</v>
      </c>
      <c r="BH16" s="100"/>
    </row>
    <row r="17" spans="2:60" x14ac:dyDescent="0.3">
      <c r="B17" s="109">
        <f t="shared" si="17"/>
        <v>9</v>
      </c>
      <c r="C17" s="884" t="str">
        <f>'WA Volumes &amp; Revenues'!B23</f>
        <v>41I Firm Sales</v>
      </c>
      <c r="D17" s="884" t="s">
        <v>4</v>
      </c>
      <c r="E17" s="114">
        <v>2000</v>
      </c>
      <c r="F17" s="115">
        <f>'WA Volumes &amp; Revenues'!E23</f>
        <v>392890.20000000007</v>
      </c>
      <c r="G17" s="115">
        <f>'WA Volumes &amp; Revenues'!H23</f>
        <v>17.833333333333332</v>
      </c>
      <c r="H17" s="890">
        <f>'WA Volumes &amp; Revenues'!O23</f>
        <v>250</v>
      </c>
      <c r="I17" s="891">
        <f>'WA Volumes &amp; Revenues'!N23</f>
        <v>250</v>
      </c>
      <c r="J17" s="620">
        <f>'Rates in Detail'!E21</f>
        <v>0.34416000000000024</v>
      </c>
      <c r="K17" s="622">
        <f>'Rates in Detail'!H21</f>
        <v>0</v>
      </c>
      <c r="L17" s="622">
        <f>'Rates in Detail'!F21</f>
        <v>0.26333000000000001</v>
      </c>
      <c r="M17" s="622">
        <f>'Rates in Detail'!I21</f>
        <v>-1.7200000000000002E-3</v>
      </c>
      <c r="N17" s="136">
        <f t="shared" si="0"/>
        <v>0.60577000000000025</v>
      </c>
      <c r="O17" s="620">
        <f>'Rates in Detail'!L21</f>
        <v>2.3040000000000001E-2</v>
      </c>
      <c r="P17" s="622">
        <f>'Rates in Detail'!P21</f>
        <v>-3.9100000000000003E-3</v>
      </c>
      <c r="Q17" s="622">
        <f>'Rates in Detail'!Q21</f>
        <v>0</v>
      </c>
      <c r="R17" s="250">
        <f t="shared" si="1"/>
        <v>1.9130000000000001E-2</v>
      </c>
      <c r="S17" s="620">
        <f>'Rates in Detail'!S21</f>
        <v>0</v>
      </c>
      <c r="T17" s="622">
        <f>'Rates in Detail'!T21</f>
        <v>-3.5200000000000001E-3</v>
      </c>
      <c r="U17" s="622">
        <f>'Rates in Detail'!U21</f>
        <v>1.24E-3</v>
      </c>
      <c r="V17" s="1318">
        <f t="shared" si="2"/>
        <v>1.685E-2</v>
      </c>
      <c r="W17" s="612"/>
      <c r="X17" s="116">
        <f>'[25]Rates in detail'!$AC25</f>
        <v>0.34416000000000035</v>
      </c>
      <c r="Y17" s="116"/>
      <c r="Z17" s="116">
        <f>'[25]Rates in detail'!$AD25</f>
        <v>0</v>
      </c>
      <c r="AA17" s="116">
        <f>'[25]Rates in detail'!$AE25</f>
        <v>0.34872999999999998</v>
      </c>
      <c r="AB17" s="116">
        <f>'[25]Rates in detail'!$AF25</f>
        <v>9.1699999999999941E-3</v>
      </c>
      <c r="AC17" s="344">
        <f t="shared" si="3"/>
        <v>0.70206000000000035</v>
      </c>
      <c r="AD17" s="1594"/>
      <c r="AE17" s="1570">
        <f t="shared" si="4"/>
        <v>0.36329000000000033</v>
      </c>
      <c r="AF17" s="1573"/>
      <c r="AG17" s="1571">
        <f t="shared" si="5"/>
        <v>0</v>
      </c>
      <c r="AH17" s="1573">
        <f t="shared" si="6"/>
        <v>0.34872999999999998</v>
      </c>
      <c r="AI17" s="1573">
        <f t="shared" si="7"/>
        <v>6.8899999999999934E-3</v>
      </c>
      <c r="AJ17" s="1605">
        <f t="shared" si="8"/>
        <v>0.71891000000000027</v>
      </c>
      <c r="AK17" s="1595"/>
      <c r="AL17" s="116">
        <f>'Rates in Detail'!AC21</f>
        <v>8.7299999999999999E-3</v>
      </c>
      <c r="AM17" s="116">
        <f>'Rates in Detail'!AD21</f>
        <v>-3.5E-4</v>
      </c>
      <c r="AN17" s="116">
        <f>'Rates in Detail'!AE21</f>
        <v>0</v>
      </c>
      <c r="AO17" s="116">
        <f>'Rates in Detail'!AF21</f>
        <v>-3.3999999999999998E-3</v>
      </c>
      <c r="AP17" s="1803">
        <f t="shared" si="9"/>
        <v>4.9800000000000001E-3</v>
      </c>
      <c r="AQ17" s="130"/>
      <c r="AR17" s="1682">
        <v>0.36329000000000033</v>
      </c>
      <c r="AS17" s="1682"/>
      <c r="AT17" s="1682">
        <v>0</v>
      </c>
      <c r="AU17" s="1682">
        <v>0.46972000000000003</v>
      </c>
      <c r="AV17" s="1682">
        <v>0.12887999999999999</v>
      </c>
      <c r="AW17" s="344">
        <f>SUM(AR17:AV17)</f>
        <v>0.96189000000000036</v>
      </c>
      <c r="AY17" s="1798">
        <f>AR17+AL17</f>
        <v>0.37202000000000035</v>
      </c>
      <c r="AZ17" s="116">
        <f t="shared" si="12"/>
        <v>0</v>
      </c>
      <c r="BA17" s="116">
        <f t="shared" si="13"/>
        <v>0</v>
      </c>
      <c r="BB17" s="116">
        <f t="shared" si="14"/>
        <v>0.46972000000000003</v>
      </c>
      <c r="BC17" s="116">
        <f>SUM(AM17:AO17)+AV17</f>
        <v>0.12512999999999999</v>
      </c>
      <c r="BD17" s="116">
        <f>'Rates in summary'!V22</f>
        <v>0</v>
      </c>
      <c r="BE17" s="339">
        <f>SUM(AY17:BD17)</f>
        <v>0.96687000000000034</v>
      </c>
      <c r="BF17" s="100"/>
      <c r="BG17" s="100">
        <f>BE17-'Rates in Detail'!AN21</f>
        <v>0</v>
      </c>
      <c r="BH17" s="100"/>
    </row>
    <row r="18" spans="2:60" x14ac:dyDescent="0.3">
      <c r="B18" s="109">
        <f t="shared" si="17"/>
        <v>10</v>
      </c>
      <c r="C18" s="882"/>
      <c r="D18" s="882" t="s">
        <v>5</v>
      </c>
      <c r="E18" s="111" t="s">
        <v>72</v>
      </c>
      <c r="F18" s="112">
        <f>'WA Volumes &amp; Revenues'!E24</f>
        <v>621650.00000000012</v>
      </c>
      <c r="G18" s="112"/>
      <c r="H18" s="885"/>
      <c r="I18" s="887"/>
      <c r="J18" s="619">
        <f>'Rates in Detail'!E22</f>
        <v>0.30325000000000002</v>
      </c>
      <c r="K18" s="623">
        <f>'Rates in Detail'!H22</f>
        <v>0</v>
      </c>
      <c r="L18" s="623">
        <f>'Rates in Detail'!F22</f>
        <v>0.26333000000000001</v>
      </c>
      <c r="M18" s="623">
        <f>'Rates in Detail'!I22</f>
        <v>-2.6199999999999999E-3</v>
      </c>
      <c r="N18" s="134">
        <f t="shared" si="0"/>
        <v>0.56396000000000013</v>
      </c>
      <c r="O18" s="619">
        <f>'Rates in Detail'!L22</f>
        <v>2.0299999999999999E-2</v>
      </c>
      <c r="P18" s="623">
        <f>'Rates in Detail'!P22</f>
        <v>-3.4399999999999999E-3</v>
      </c>
      <c r="Q18" s="623">
        <f>'Rates in Detail'!Q22</f>
        <v>0</v>
      </c>
      <c r="R18" s="249">
        <f t="shared" si="1"/>
        <v>1.686E-2</v>
      </c>
      <c r="S18" s="619">
        <f>'Rates in Detail'!S22</f>
        <v>0</v>
      </c>
      <c r="T18" s="623">
        <f>'Rates in Detail'!T22</f>
        <v>-3.0999999999999999E-3</v>
      </c>
      <c r="U18" s="623">
        <f>'Rates in Detail'!U22</f>
        <v>1.09E-3</v>
      </c>
      <c r="V18" s="1317">
        <f t="shared" si="2"/>
        <v>1.485E-2</v>
      </c>
      <c r="W18" s="612"/>
      <c r="X18" s="113">
        <f>'[25]Rates in detail'!$AC26</f>
        <v>0.30324999999999991</v>
      </c>
      <c r="Y18" s="113"/>
      <c r="Z18" s="113">
        <f>'[25]Rates in detail'!$AD26</f>
        <v>0</v>
      </c>
      <c r="AA18" s="113">
        <f>'[25]Rates in detail'!$AE26</f>
        <v>0.34872999999999998</v>
      </c>
      <c r="AB18" s="113">
        <f>'[25]Rates in detail'!$AF26</f>
        <v>8.1299999999999931E-3</v>
      </c>
      <c r="AC18" s="343">
        <f t="shared" si="3"/>
        <v>0.66010999999999986</v>
      </c>
      <c r="AD18" s="1594"/>
      <c r="AE18" s="1305">
        <f t="shared" si="4"/>
        <v>0.32010999999999989</v>
      </c>
      <c r="AF18" s="113"/>
      <c r="AG18" s="1298">
        <f t="shared" si="5"/>
        <v>0</v>
      </c>
      <c r="AH18" s="113">
        <f t="shared" si="6"/>
        <v>0.34872999999999998</v>
      </c>
      <c r="AI18" s="113">
        <f t="shared" si="7"/>
        <v>6.1199999999999926E-3</v>
      </c>
      <c r="AJ18" s="1606">
        <f t="shared" si="8"/>
        <v>0.67495999999999989</v>
      </c>
      <c r="AK18" s="1595"/>
      <c r="AL18" s="113">
        <f>'Rates in Detail'!AC22</f>
        <v>7.6899999999999998E-3</v>
      </c>
      <c r="AM18" s="113">
        <f>'Rates in Detail'!AD22</f>
        <v>-2.9999999999999997E-4</v>
      </c>
      <c r="AN18" s="113">
        <f>'Rates in Detail'!AE22</f>
        <v>0</v>
      </c>
      <c r="AO18" s="113">
        <f>'Rates in Detail'!AF22</f>
        <v>-2.99E-3</v>
      </c>
      <c r="AP18" s="1802">
        <f t="shared" si="9"/>
        <v>4.3999999999999994E-3</v>
      </c>
      <c r="AQ18" s="130"/>
      <c r="AR18" s="1680">
        <v>0.32010999999999989</v>
      </c>
      <c r="AS18" s="1680"/>
      <c r="AT18" s="1680">
        <v>0</v>
      </c>
      <c r="AU18" s="1680">
        <v>0.46972000000000003</v>
      </c>
      <c r="AV18" s="1680">
        <v>0.12747</v>
      </c>
      <c r="AW18" s="343">
        <f t="shared" si="10"/>
        <v>0.91729999999999989</v>
      </c>
      <c r="AY18" s="1797">
        <f t="shared" si="18"/>
        <v>0.32779999999999987</v>
      </c>
      <c r="AZ18" s="113">
        <f t="shared" si="12"/>
        <v>0</v>
      </c>
      <c r="BA18" s="113">
        <f t="shared" si="13"/>
        <v>0</v>
      </c>
      <c r="BB18" s="113">
        <f t="shared" si="14"/>
        <v>0.46972000000000003</v>
      </c>
      <c r="BC18" s="113">
        <f t="shared" si="15"/>
        <v>0.12418</v>
      </c>
      <c r="BD18" s="113">
        <f>'Rates in summary'!V23</f>
        <v>0</v>
      </c>
      <c r="BE18" s="338">
        <f t="shared" si="16"/>
        <v>0.92169999999999985</v>
      </c>
      <c r="BF18" s="100"/>
      <c r="BG18" s="100">
        <f>BE18-'Rates in Detail'!AN22</f>
        <v>0</v>
      </c>
      <c r="BH18" s="100"/>
    </row>
    <row r="19" spans="2:60" x14ac:dyDescent="0.3">
      <c r="B19" s="109">
        <f t="shared" si="17"/>
        <v>11</v>
      </c>
      <c r="C19" s="884" t="str">
        <f>'WA Volumes &amp; Revenues'!B25</f>
        <v>41C Interr Sales</v>
      </c>
      <c r="D19" s="884" t="s">
        <v>4</v>
      </c>
      <c r="E19" s="114">
        <v>2000</v>
      </c>
      <c r="F19" s="115">
        <f>'WA Volumes &amp; Revenues'!E25</f>
        <v>0</v>
      </c>
      <c r="G19" s="115">
        <f>'WA Volumes &amp; Revenues'!H25</f>
        <v>0</v>
      </c>
      <c r="H19" s="890">
        <f>'WA Volumes &amp; Revenues'!O25</f>
        <v>250</v>
      </c>
      <c r="I19" s="891">
        <f>'WA Volumes &amp; Revenues'!N25</f>
        <v>250</v>
      </c>
      <c r="J19" s="620">
        <f>'Rates in Detail'!E23</f>
        <v>0.34372999999999987</v>
      </c>
      <c r="K19" s="622">
        <f>'Rates in Detail'!H23</f>
        <v>0</v>
      </c>
      <c r="L19" s="622">
        <f>'Rates in Detail'!F23</f>
        <v>0.26333000000000001</v>
      </c>
      <c r="M19" s="622">
        <f>'Rates in Detail'!I23</f>
        <v>5.3189999999999994E-2</v>
      </c>
      <c r="N19" s="136">
        <f t="shared" si="0"/>
        <v>0.66024999999999989</v>
      </c>
      <c r="O19" s="620">
        <f>'Rates in Detail'!L23</f>
        <v>3.6089999999999997E-2</v>
      </c>
      <c r="P19" s="622">
        <f>'Rates in Detail'!P23</f>
        <v>-3.2200000000000002E-3</v>
      </c>
      <c r="Q19" s="622">
        <f>'Rates in Detail'!Q23</f>
        <v>0</v>
      </c>
      <c r="R19" s="250">
        <f t="shared" si="1"/>
        <v>3.2869999999999996E-2</v>
      </c>
      <c r="S19" s="620">
        <f>'Rates in Detail'!S23</f>
        <v>-6.8599999999999998E-3</v>
      </c>
      <c r="T19" s="622">
        <f>'Rates in Detail'!T23</f>
        <v>-3.0300000000000001E-3</v>
      </c>
      <c r="U19" s="622">
        <f>'Rates in Detail'!U23</f>
        <v>1.3799999999999999E-3</v>
      </c>
      <c r="V19" s="1318">
        <f t="shared" si="2"/>
        <v>2.4359999999999996E-2</v>
      </c>
      <c r="W19" s="612"/>
      <c r="X19" s="116">
        <f>'[25]Rates in detail'!AC21</f>
        <v>0.34372999999999998</v>
      </c>
      <c r="Y19" s="116"/>
      <c r="Z19" s="116">
        <f>'[25]Rates in detail'!AD21</f>
        <v>0</v>
      </c>
      <c r="AA19" s="116">
        <f>'[25]Rates in detail'!AE21</f>
        <v>0.34872999999999998</v>
      </c>
      <c r="AB19" s="116">
        <f>'[25]Rates in detail'!AF21</f>
        <v>9.6989999999999993E-2</v>
      </c>
      <c r="AC19" s="344">
        <f t="shared" si="3"/>
        <v>0.78944999999999999</v>
      </c>
      <c r="AD19" s="1594"/>
      <c r="AE19" s="1570">
        <f t="shared" si="4"/>
        <v>0.37659999999999999</v>
      </c>
      <c r="AF19" s="1573"/>
      <c r="AG19" s="1571">
        <f t="shared" si="5"/>
        <v>0</v>
      </c>
      <c r="AH19" s="1573">
        <f t="shared" si="6"/>
        <v>0.34872999999999998</v>
      </c>
      <c r="AI19" s="1573">
        <f t="shared" si="7"/>
        <v>8.8479999999999989E-2</v>
      </c>
      <c r="AJ19" s="1605">
        <f t="shared" si="8"/>
        <v>0.81381000000000003</v>
      </c>
      <c r="AK19" s="1595"/>
      <c r="AL19" s="116">
        <f>'Rates in Detail'!AC23</f>
        <v>2.162E-2</v>
      </c>
      <c r="AM19" s="116">
        <f>'Rates in Detail'!AD23</f>
        <v>-3.1E-4</v>
      </c>
      <c r="AN19" s="116">
        <f>'Rates in Detail'!AE23</f>
        <v>-6.7799999999999996E-3</v>
      </c>
      <c r="AO19" s="116">
        <f>'Rates in Detail'!AF23</f>
        <v>-3.0400000000000002E-3</v>
      </c>
      <c r="AP19" s="1803">
        <f t="shared" si="9"/>
        <v>1.149E-2</v>
      </c>
      <c r="AQ19" s="130"/>
      <c r="AR19" s="1682">
        <v>0.37660000000000016</v>
      </c>
      <c r="AS19" s="1682"/>
      <c r="AT19" s="1682">
        <v>0</v>
      </c>
      <c r="AU19" s="1682">
        <v>0.46972000000000003</v>
      </c>
      <c r="AV19" s="1682">
        <v>0.15708999999999998</v>
      </c>
      <c r="AW19" s="344">
        <f t="shared" si="10"/>
        <v>1.0034100000000001</v>
      </c>
      <c r="AY19" s="1798">
        <f t="shared" si="18"/>
        <v>0.39822000000000013</v>
      </c>
      <c r="AZ19" s="116">
        <f t="shared" si="12"/>
        <v>0</v>
      </c>
      <c r="BA19" s="116">
        <f t="shared" si="13"/>
        <v>0</v>
      </c>
      <c r="BB19" s="116">
        <f t="shared" si="14"/>
        <v>0.46972000000000003</v>
      </c>
      <c r="BC19" s="116">
        <f t="shared" si="15"/>
        <v>0.14695999999999998</v>
      </c>
      <c r="BD19" s="116">
        <f>'Rates in summary'!V24</f>
        <v>0</v>
      </c>
      <c r="BE19" s="339">
        <f t="shared" si="16"/>
        <v>1.0149000000000001</v>
      </c>
      <c r="BF19" s="100"/>
      <c r="BG19" s="100">
        <f>BE19-'Rates in Detail'!AN23</f>
        <v>0</v>
      </c>
      <c r="BH19" s="100"/>
    </row>
    <row r="20" spans="2:60" x14ac:dyDescent="0.3">
      <c r="B20" s="109">
        <f t="shared" si="17"/>
        <v>12</v>
      </c>
      <c r="C20" s="882"/>
      <c r="D20" s="882" t="s">
        <v>5</v>
      </c>
      <c r="E20" s="111" t="s">
        <v>72</v>
      </c>
      <c r="F20" s="112">
        <f>'WA Volumes &amp; Revenues'!E26</f>
        <v>0</v>
      </c>
      <c r="G20" s="112"/>
      <c r="H20" s="885"/>
      <c r="I20" s="887"/>
      <c r="J20" s="619">
        <f>'Rates in Detail'!E24</f>
        <v>0.30284999999999984</v>
      </c>
      <c r="K20" s="623">
        <f>'Rates in Detail'!H24</f>
        <v>0</v>
      </c>
      <c r="L20" s="623">
        <f>'Rates in Detail'!F24</f>
        <v>0.26333000000000001</v>
      </c>
      <c r="M20" s="623">
        <f>'Rates in Detail'!I24</f>
        <v>4.6990000000000004E-2</v>
      </c>
      <c r="N20" s="134">
        <f t="shared" si="0"/>
        <v>0.61316999999999988</v>
      </c>
      <c r="O20" s="619">
        <f>'Rates in Detail'!L24</f>
        <v>3.1800000000000002E-2</v>
      </c>
      <c r="P20" s="623">
        <f>'Rates in Detail'!P24</f>
        <v>-2.8400000000000001E-3</v>
      </c>
      <c r="Q20" s="623">
        <f>'Rates in Detail'!Q24</f>
        <v>0</v>
      </c>
      <c r="R20" s="249">
        <f t="shared" si="1"/>
        <v>2.8960000000000003E-2</v>
      </c>
      <c r="S20" s="619">
        <f>'Rates in Detail'!S24</f>
        <v>-6.0499999999999998E-3</v>
      </c>
      <c r="T20" s="623">
        <f>'Rates in Detail'!T24</f>
        <v>-2.6700000000000001E-3</v>
      </c>
      <c r="U20" s="623">
        <f>'Rates in Detail'!U24</f>
        <v>1.2099999999999999E-3</v>
      </c>
      <c r="V20" s="1317">
        <f t="shared" si="2"/>
        <v>2.1450000000000004E-2</v>
      </c>
      <c r="W20" s="612"/>
      <c r="X20" s="113">
        <f>'[25]Rates in detail'!AC22</f>
        <v>0.30285000000000001</v>
      </c>
      <c r="Y20" s="113"/>
      <c r="Z20" s="113">
        <f>'[25]Rates in detail'!AD22</f>
        <v>0</v>
      </c>
      <c r="AA20" s="113">
        <f>'[25]Rates in detail'!AE22</f>
        <v>0.34872999999999998</v>
      </c>
      <c r="AB20" s="113">
        <f>'[25]Rates in detail'!AF22</f>
        <v>8.9839999999999989E-2</v>
      </c>
      <c r="AC20" s="343">
        <f t="shared" si="3"/>
        <v>0.74142000000000008</v>
      </c>
      <c r="AD20" s="1594"/>
      <c r="AE20" s="1305">
        <f t="shared" si="4"/>
        <v>0.33180999999999999</v>
      </c>
      <c r="AF20" s="113"/>
      <c r="AG20" s="1298">
        <f t="shared" si="5"/>
        <v>0</v>
      </c>
      <c r="AH20" s="113">
        <f t="shared" si="6"/>
        <v>0.34872999999999998</v>
      </c>
      <c r="AI20" s="113">
        <f t="shared" si="7"/>
        <v>8.2329999999999987E-2</v>
      </c>
      <c r="AJ20" s="1606">
        <f t="shared" si="8"/>
        <v>0.76286999999999994</v>
      </c>
      <c r="AK20" s="1595"/>
      <c r="AL20" s="113">
        <f>'Rates in Detail'!AC24</f>
        <v>1.9050000000000001E-2</v>
      </c>
      <c r="AM20" s="113">
        <f>'Rates in Detail'!AD24</f>
        <v>-2.7E-4</v>
      </c>
      <c r="AN20" s="113">
        <f>'Rates in Detail'!AE24</f>
        <v>-5.9699999999999996E-3</v>
      </c>
      <c r="AO20" s="113">
        <f>'Rates in Detail'!AF24</f>
        <v>-2.6800000000000001E-3</v>
      </c>
      <c r="AP20" s="1802">
        <f t="shared" si="9"/>
        <v>1.0130000000000002E-2</v>
      </c>
      <c r="AQ20" s="130"/>
      <c r="AR20" s="1680">
        <v>0.33180999999999994</v>
      </c>
      <c r="AS20" s="1680"/>
      <c r="AT20" s="1680">
        <v>0</v>
      </c>
      <c r="AU20" s="1680">
        <v>0.46972000000000003</v>
      </c>
      <c r="AV20" s="1680">
        <v>0.15226999999999999</v>
      </c>
      <c r="AW20" s="343">
        <f t="shared" si="10"/>
        <v>0.95379999999999998</v>
      </c>
      <c r="AY20" s="1797">
        <f t="shared" si="18"/>
        <v>0.35085999999999995</v>
      </c>
      <c r="AZ20" s="113">
        <f t="shared" si="12"/>
        <v>0</v>
      </c>
      <c r="BA20" s="113">
        <f t="shared" si="13"/>
        <v>0</v>
      </c>
      <c r="BB20" s="113">
        <f t="shared" si="14"/>
        <v>0.46972000000000003</v>
      </c>
      <c r="BC20" s="113">
        <f t="shared" si="15"/>
        <v>0.14334999999999998</v>
      </c>
      <c r="BD20" s="113">
        <f>'Rates in summary'!V25</f>
        <v>0</v>
      </c>
      <c r="BE20" s="338">
        <f t="shared" si="16"/>
        <v>0.96392999999999995</v>
      </c>
      <c r="BF20" s="100"/>
      <c r="BG20" s="100">
        <f>BE20-'Rates in Detail'!AN24</f>
        <v>0</v>
      </c>
      <c r="BH20" s="100"/>
    </row>
    <row r="21" spans="2:60" x14ac:dyDescent="0.3">
      <c r="B21" s="109">
        <f t="shared" si="17"/>
        <v>13</v>
      </c>
      <c r="C21" s="884" t="str">
        <f>'WA Volumes &amp; Revenues'!B27</f>
        <v>41I Interr Sales</v>
      </c>
      <c r="D21" s="884" t="s">
        <v>4</v>
      </c>
      <c r="E21" s="114">
        <v>2000</v>
      </c>
      <c r="F21" s="115">
        <f>'WA Volumes &amp; Revenues'!E27</f>
        <v>0</v>
      </c>
      <c r="G21" s="115">
        <f>'WA Volumes &amp; Revenues'!H27</f>
        <v>0</v>
      </c>
      <c r="H21" s="890">
        <f>'WA Volumes &amp; Revenues'!O27</f>
        <v>250</v>
      </c>
      <c r="I21" s="891">
        <f>'WA Volumes &amp; Revenues'!N27</f>
        <v>250</v>
      </c>
      <c r="J21" s="620">
        <f>'Rates in Detail'!E25</f>
        <v>0.34372999999999987</v>
      </c>
      <c r="K21" s="622">
        <f>'Rates in Detail'!H25</f>
        <v>0</v>
      </c>
      <c r="L21" s="622">
        <f>'Rates in Detail'!F25</f>
        <v>0.26333000000000001</v>
      </c>
      <c r="M21" s="622">
        <f>'Rates in Detail'!I25</f>
        <v>8.7499999999999991E-3</v>
      </c>
      <c r="N21" s="136">
        <f t="shared" si="0"/>
        <v>0.61580999999999997</v>
      </c>
      <c r="O21" s="620">
        <f>'Rates in Detail'!L25</f>
        <v>1.576E-2</v>
      </c>
      <c r="P21" s="622">
        <f>'Rates in Detail'!P25</f>
        <v>-3.2200000000000002E-3</v>
      </c>
      <c r="Q21" s="622">
        <f>'Rates in Detail'!Q25</f>
        <v>0</v>
      </c>
      <c r="R21" s="250">
        <f t="shared" si="1"/>
        <v>1.2539999999999999E-2</v>
      </c>
      <c r="S21" s="620">
        <f>'Rates in Detail'!S25</f>
        <v>0</v>
      </c>
      <c r="T21" s="622">
        <f>'Rates in Detail'!T25</f>
        <v>-2.8700000000000002E-3</v>
      </c>
      <c r="U21" s="622">
        <f>'Rates in Detail'!U25</f>
        <v>1.2999999999999999E-3</v>
      </c>
      <c r="V21" s="1318">
        <f t="shared" si="2"/>
        <v>1.0969999999999997E-2</v>
      </c>
      <c r="W21" s="612"/>
      <c r="X21" s="1573">
        <f>'[25]Rates in detail'!AC27</f>
        <v>0.34372999999999987</v>
      </c>
      <c r="Y21" s="116"/>
      <c r="Z21" s="116">
        <f>'[25]Rates in detail'!AD27</f>
        <v>0</v>
      </c>
      <c r="AA21" s="116">
        <f>'[25]Rates in detail'!AE27</f>
        <v>0.34872999999999998</v>
      </c>
      <c r="AB21" s="116">
        <f>'[25]Rates in detail'!AF27</f>
        <v>4.6149999999999997E-2</v>
      </c>
      <c r="AC21" s="344">
        <f t="shared" si="3"/>
        <v>0.73860999999999988</v>
      </c>
      <c r="AD21" s="1594"/>
      <c r="AE21" s="1570">
        <f t="shared" si="4"/>
        <v>0.35626999999999986</v>
      </c>
      <c r="AF21" s="1573"/>
      <c r="AG21" s="1571">
        <f t="shared" si="5"/>
        <v>0</v>
      </c>
      <c r="AH21" s="1573">
        <f t="shared" si="6"/>
        <v>0.34872999999999998</v>
      </c>
      <c r="AI21" s="1573">
        <f t="shared" si="7"/>
        <v>4.4580000000000002E-2</v>
      </c>
      <c r="AJ21" s="1605">
        <f t="shared" si="8"/>
        <v>0.7495799999999998</v>
      </c>
      <c r="AK21" s="1595"/>
      <c r="AL21" s="116">
        <f>'Rates in Detail'!AC25</f>
        <v>7.1300000000000001E-3</v>
      </c>
      <c r="AM21" s="116">
        <f>'Rates in Detail'!AD25</f>
        <v>-2.7999999999999998E-4</v>
      </c>
      <c r="AN21" s="116">
        <f>'Rates in Detail'!AE25</f>
        <v>0</v>
      </c>
      <c r="AO21" s="116">
        <f>'Rates in Detail'!AF25</f>
        <v>-2.7699999999999999E-3</v>
      </c>
      <c r="AP21" s="1803">
        <f t="shared" si="9"/>
        <v>4.0800000000000003E-3</v>
      </c>
      <c r="AQ21" s="130"/>
      <c r="AR21" s="1682">
        <v>0.35626999999999992</v>
      </c>
      <c r="AS21" s="1682"/>
      <c r="AT21" s="1682">
        <v>0</v>
      </c>
      <c r="AU21" s="1682">
        <v>0.46972000000000003</v>
      </c>
      <c r="AV21" s="1682">
        <v>0.12733</v>
      </c>
      <c r="AW21" s="344">
        <f t="shared" si="10"/>
        <v>0.95331999999999995</v>
      </c>
      <c r="AY21" s="1798">
        <f t="shared" si="18"/>
        <v>0.36339999999999995</v>
      </c>
      <c r="AZ21" s="116">
        <f t="shared" si="12"/>
        <v>0</v>
      </c>
      <c r="BA21" s="116">
        <f t="shared" si="13"/>
        <v>0</v>
      </c>
      <c r="BB21" s="116">
        <f t="shared" si="14"/>
        <v>0.46972000000000003</v>
      </c>
      <c r="BC21" s="116">
        <f t="shared" si="15"/>
        <v>0.12428</v>
      </c>
      <c r="BD21" s="116">
        <f>'Rates in summary'!V26</f>
        <v>0</v>
      </c>
      <c r="BE21" s="339">
        <f t="shared" si="16"/>
        <v>0.95740000000000003</v>
      </c>
      <c r="BF21" s="100"/>
      <c r="BG21" s="100">
        <f>BE21-'Rates in Detail'!AN25</f>
        <v>0</v>
      </c>
      <c r="BH21" s="100"/>
    </row>
    <row r="22" spans="2:60" x14ac:dyDescent="0.3">
      <c r="B22" s="109">
        <f t="shared" si="17"/>
        <v>14</v>
      </c>
      <c r="C22" s="882"/>
      <c r="D22" s="882" t="s">
        <v>5</v>
      </c>
      <c r="E22" s="111" t="s">
        <v>72</v>
      </c>
      <c r="F22" s="112">
        <f>'WA Volumes &amp; Revenues'!E28</f>
        <v>0</v>
      </c>
      <c r="G22" s="112"/>
      <c r="H22" s="885"/>
      <c r="I22" s="887"/>
      <c r="J22" s="619">
        <f>'Rates in Detail'!E26</f>
        <v>0.30284999999999984</v>
      </c>
      <c r="K22" s="623">
        <f>'Rates in Detail'!H26</f>
        <v>0</v>
      </c>
      <c r="L22" s="623">
        <f>'Rates in Detail'!F26</f>
        <v>0.26333000000000001</v>
      </c>
      <c r="M22" s="623">
        <f>'Rates in Detail'!I26</f>
        <v>7.8399999999999997E-3</v>
      </c>
      <c r="N22" s="134">
        <f t="shared" si="0"/>
        <v>0.57401999999999986</v>
      </c>
      <c r="O22" s="619">
        <f>'Rates in Detail'!L26</f>
        <v>1.388E-2</v>
      </c>
      <c r="P22" s="623">
        <f>'Rates in Detail'!P26</f>
        <v>-2.8400000000000001E-3</v>
      </c>
      <c r="Q22" s="623">
        <f>'Rates in Detail'!Q26</f>
        <v>0</v>
      </c>
      <c r="R22" s="249">
        <f t="shared" si="1"/>
        <v>1.1039999999999999E-2</v>
      </c>
      <c r="S22" s="619">
        <f>'Rates in Detail'!S26</f>
        <v>0</v>
      </c>
      <c r="T22" s="623">
        <f>'Rates in Detail'!T26</f>
        <v>-2.5300000000000001E-3</v>
      </c>
      <c r="U22" s="623">
        <f>'Rates in Detail'!U26</f>
        <v>1.15E-3</v>
      </c>
      <c r="V22" s="1317">
        <f t="shared" si="2"/>
        <v>9.6600000000000002E-3</v>
      </c>
      <c r="W22" s="612"/>
      <c r="X22" s="113">
        <f>'[25]Rates in detail'!AC28</f>
        <v>0.30284999999999995</v>
      </c>
      <c r="Y22" s="113"/>
      <c r="Z22" s="113">
        <f>'[25]Rates in detail'!AD28</f>
        <v>0</v>
      </c>
      <c r="AA22" s="113">
        <f>'[25]Rates in detail'!AE28</f>
        <v>0.34872999999999998</v>
      </c>
      <c r="AB22" s="113">
        <f>'[25]Rates in detail'!AF28</f>
        <v>4.5039999999999997E-2</v>
      </c>
      <c r="AC22" s="343">
        <f t="shared" si="3"/>
        <v>0.69661999999999991</v>
      </c>
      <c r="AD22" s="1594"/>
      <c r="AE22" s="1305">
        <f t="shared" si="4"/>
        <v>0.31388999999999995</v>
      </c>
      <c r="AF22" s="113"/>
      <c r="AG22" s="1298">
        <f t="shared" si="5"/>
        <v>0</v>
      </c>
      <c r="AH22" s="113">
        <f t="shared" si="6"/>
        <v>0.34872999999999998</v>
      </c>
      <c r="AI22" s="113">
        <f t="shared" si="7"/>
        <v>4.3659999999999997E-2</v>
      </c>
      <c r="AJ22" s="1606">
        <f t="shared" si="8"/>
        <v>0.70628000000000002</v>
      </c>
      <c r="AK22" s="1595"/>
      <c r="AL22" s="113">
        <f>'Rates in Detail'!AC26</f>
        <v>6.28E-3</v>
      </c>
      <c r="AM22" s="113">
        <f>'Rates in Detail'!AD26</f>
        <v>-2.5000000000000001E-4</v>
      </c>
      <c r="AN22" s="113">
        <f>'Rates in Detail'!AE26</f>
        <v>0</v>
      </c>
      <c r="AO22" s="113">
        <f>'Rates in Detail'!AF26</f>
        <v>-2.4399999999999999E-3</v>
      </c>
      <c r="AP22" s="1802">
        <f t="shared" si="9"/>
        <v>3.5899999999999999E-3</v>
      </c>
      <c r="AQ22" s="130"/>
      <c r="AR22" s="1680">
        <v>0.31389</v>
      </c>
      <c r="AS22" s="1680"/>
      <c r="AT22" s="1680">
        <v>0</v>
      </c>
      <c r="AU22" s="1680">
        <v>0.46972000000000003</v>
      </c>
      <c r="AV22" s="1680">
        <v>0.12603</v>
      </c>
      <c r="AW22" s="343">
        <f t="shared" si="10"/>
        <v>0.90964</v>
      </c>
      <c r="AY22" s="1797">
        <f t="shared" si="18"/>
        <v>0.32017000000000001</v>
      </c>
      <c r="AZ22" s="113">
        <f t="shared" si="12"/>
        <v>0</v>
      </c>
      <c r="BA22" s="113">
        <f t="shared" si="13"/>
        <v>0</v>
      </c>
      <c r="BB22" s="113">
        <f t="shared" si="14"/>
        <v>0.46972000000000003</v>
      </c>
      <c r="BC22" s="113">
        <f t="shared" si="15"/>
        <v>0.12334000000000001</v>
      </c>
      <c r="BD22" s="113">
        <f>'Rates in summary'!V27</f>
        <v>0</v>
      </c>
      <c r="BE22" s="338">
        <f t="shared" si="16"/>
        <v>0.91322999999999999</v>
      </c>
      <c r="BF22" s="100"/>
      <c r="BG22" s="100">
        <f>BE22-'Rates in Detail'!AN26</f>
        <v>0</v>
      </c>
      <c r="BH22" s="100"/>
    </row>
    <row r="23" spans="2:60" x14ac:dyDescent="0.3">
      <c r="B23" s="109">
        <f t="shared" si="17"/>
        <v>15</v>
      </c>
      <c r="C23" s="884" t="str">
        <f>'WA Volumes &amp; Revenues'!B29</f>
        <v>41C Firm Transpt</v>
      </c>
      <c r="D23" s="884" t="s">
        <v>4</v>
      </c>
      <c r="E23" s="114">
        <v>2000</v>
      </c>
      <c r="F23" s="115">
        <f>'WA Volumes &amp; Revenues'!E29</f>
        <v>168721</v>
      </c>
      <c r="G23" s="115">
        <f>'WA Volumes &amp; Revenues'!H29</f>
        <v>7.916666666666667</v>
      </c>
      <c r="H23" s="890">
        <f>'WA Volumes &amp; Revenues'!O29</f>
        <v>500</v>
      </c>
      <c r="I23" s="891">
        <f>'WA Volumes &amp; Revenues'!N29</f>
        <v>500</v>
      </c>
      <c r="J23" s="620">
        <f>'Rates in Detail'!E27</f>
        <v>0.34791</v>
      </c>
      <c r="K23" s="622">
        <f>'Rates in Detail'!H27</f>
        <v>0</v>
      </c>
      <c r="L23" s="622">
        <f>'Rates in Detail'!F27</f>
        <v>0</v>
      </c>
      <c r="M23" s="622">
        <f>'Rates in Detail'!I27</f>
        <v>1.5499999999999999E-3</v>
      </c>
      <c r="N23" s="136">
        <f t="shared" si="0"/>
        <v>0.34945999999999999</v>
      </c>
      <c r="O23" s="620">
        <f>'Rates in Detail'!L27</f>
        <v>2.562E-2</v>
      </c>
      <c r="P23" s="622">
        <f>'Rates in Detail'!P27</f>
        <v>-4.3499999999999997E-3</v>
      </c>
      <c r="Q23" s="622">
        <f>'Rates in Detail'!Q27</f>
        <v>0</v>
      </c>
      <c r="R23" s="250">
        <f t="shared" si="1"/>
        <v>2.1270000000000001E-2</v>
      </c>
      <c r="S23" s="620">
        <f>'Rates in Detail'!S27</f>
        <v>0</v>
      </c>
      <c r="T23" s="622">
        <f>'Rates in Detail'!T27</f>
        <v>-3.9100000000000003E-3</v>
      </c>
      <c r="U23" s="622">
        <f>'Rates in Detail'!U27</f>
        <v>1.3799999999999999E-3</v>
      </c>
      <c r="V23" s="1318">
        <f t="shared" si="2"/>
        <v>1.874E-2</v>
      </c>
      <c r="W23" s="612"/>
      <c r="X23" s="1573">
        <f>'[25]Rates in detail'!AC23</f>
        <v>0.34791</v>
      </c>
      <c r="Y23" s="1527"/>
      <c r="Z23" s="116">
        <f>'[25]Rates in detail'!AD23</f>
        <v>0</v>
      </c>
      <c r="AA23" s="116">
        <f>'[25]Rates in detail'!AE23</f>
        <v>0</v>
      </c>
      <c r="AB23" s="116">
        <f>'[25]Rates in detail'!AF23</f>
        <v>4.3499999999999997E-3</v>
      </c>
      <c r="AC23" s="344">
        <f t="shared" si="3"/>
        <v>0.35226000000000002</v>
      </c>
      <c r="AD23" s="1594"/>
      <c r="AE23" s="1570">
        <f t="shared" si="4"/>
        <v>0.36917999999999995</v>
      </c>
      <c r="AF23" s="1573"/>
      <c r="AG23" s="1571">
        <f t="shared" si="5"/>
        <v>0</v>
      </c>
      <c r="AH23" s="1573">
        <f t="shared" si="6"/>
        <v>0</v>
      </c>
      <c r="AI23" s="1573">
        <f t="shared" si="7"/>
        <v>1.8199999999999994E-3</v>
      </c>
      <c r="AJ23" s="1605">
        <f t="shared" si="8"/>
        <v>0.37099999999999994</v>
      </c>
      <c r="AK23" s="1595"/>
      <c r="AL23" s="116">
        <f>'Rates in Detail'!AC27</f>
        <v>9.7099999999999999E-3</v>
      </c>
      <c r="AM23" s="116">
        <f>'Rates in Detail'!AD27</f>
        <v>-3.8000000000000002E-4</v>
      </c>
      <c r="AN23" s="116">
        <f>'Rates in Detail'!AE27</f>
        <v>0</v>
      </c>
      <c r="AO23" s="116">
        <f>'Rates in Detail'!AF27</f>
        <v>-3.7799999999999999E-3</v>
      </c>
      <c r="AP23" s="1803">
        <f t="shared" si="9"/>
        <v>5.5499999999999994E-3</v>
      </c>
      <c r="AQ23" s="130"/>
      <c r="AR23" s="1682">
        <v>0.36917999999999995</v>
      </c>
      <c r="AS23" s="1682"/>
      <c r="AT23" s="1682">
        <v>0</v>
      </c>
      <c r="AU23" s="1682">
        <v>0</v>
      </c>
      <c r="AV23" s="1682">
        <v>6.1000000000000004E-3</v>
      </c>
      <c r="AW23" s="344">
        <f t="shared" si="10"/>
        <v>0.37527999999999995</v>
      </c>
      <c r="AY23" s="1798">
        <f t="shared" si="18"/>
        <v>0.37888999999999995</v>
      </c>
      <c r="AZ23" s="116">
        <f t="shared" si="12"/>
        <v>0</v>
      </c>
      <c r="BA23" s="116">
        <f t="shared" si="13"/>
        <v>0</v>
      </c>
      <c r="BB23" s="116">
        <f t="shared" si="14"/>
        <v>0</v>
      </c>
      <c r="BC23" s="116">
        <f t="shared" si="15"/>
        <v>1.9400000000000008E-3</v>
      </c>
      <c r="BD23" s="116">
        <f>'Rates in summary'!V28</f>
        <v>0</v>
      </c>
      <c r="BE23" s="339">
        <f t="shared" si="16"/>
        <v>0.38082999999999995</v>
      </c>
      <c r="BF23" s="100"/>
      <c r="BG23" s="100">
        <f>BE23-'Rates in Detail'!AN27</f>
        <v>0</v>
      </c>
      <c r="BH23" s="100"/>
    </row>
    <row r="24" spans="2:60" x14ac:dyDescent="0.3">
      <c r="B24" s="109">
        <f t="shared" si="17"/>
        <v>16</v>
      </c>
      <c r="C24" s="882"/>
      <c r="D24" s="882" t="s">
        <v>5</v>
      </c>
      <c r="E24" s="111" t="s">
        <v>72</v>
      </c>
      <c r="F24" s="112">
        <f>'WA Volumes &amp; Revenues'!E30</f>
        <v>272866</v>
      </c>
      <c r="G24" s="112"/>
      <c r="H24" s="885"/>
      <c r="I24" s="887"/>
      <c r="J24" s="619">
        <f>'Rates in Detail'!E28</f>
        <v>0.30653000000000008</v>
      </c>
      <c r="K24" s="623">
        <f>'Rates in Detail'!H28</f>
        <v>0</v>
      </c>
      <c r="L24" s="623">
        <f>'Rates in Detail'!F28</f>
        <v>0</v>
      </c>
      <c r="M24" s="623">
        <f>'Rates in Detail'!I28</f>
        <v>1.3600000000000001E-3</v>
      </c>
      <c r="N24" s="134">
        <f t="shared" si="0"/>
        <v>0.30789000000000011</v>
      </c>
      <c r="O24" s="619">
        <f>'Rates in Detail'!L28</f>
        <v>2.257E-2</v>
      </c>
      <c r="P24" s="623">
        <f>'Rates in Detail'!P28</f>
        <v>-3.8300000000000001E-3</v>
      </c>
      <c r="Q24" s="623">
        <f>'Rates in Detail'!Q28</f>
        <v>0</v>
      </c>
      <c r="R24" s="249">
        <f t="shared" si="1"/>
        <v>1.874E-2</v>
      </c>
      <c r="S24" s="619">
        <f>'Rates in Detail'!S28</f>
        <v>0</v>
      </c>
      <c r="T24" s="623">
        <f>'Rates in Detail'!T28</f>
        <v>-3.4399999999999999E-3</v>
      </c>
      <c r="U24" s="623">
        <f>'Rates in Detail'!U28</f>
        <v>1.2099999999999999E-3</v>
      </c>
      <c r="V24" s="1317">
        <f t="shared" si="2"/>
        <v>1.651E-2</v>
      </c>
      <c r="W24" s="612"/>
      <c r="X24" s="113">
        <f>'[25]Rates in detail'!AC24</f>
        <v>0.30653000000000008</v>
      </c>
      <c r="Y24" s="1526"/>
      <c r="Z24" s="113">
        <f>'[25]Rates in detail'!AD24</f>
        <v>0</v>
      </c>
      <c r="AA24" s="113">
        <f>'[25]Rates in detail'!AE24</f>
        <v>0</v>
      </c>
      <c r="AB24" s="113">
        <f>'[25]Rates in detail'!AF24</f>
        <v>3.8400000000000001E-3</v>
      </c>
      <c r="AC24" s="343">
        <f t="shared" si="3"/>
        <v>0.31037000000000009</v>
      </c>
      <c r="AD24" s="1594"/>
      <c r="AE24" s="1305">
        <f t="shared" si="4"/>
        <v>0.32527000000000006</v>
      </c>
      <c r="AF24" s="113"/>
      <c r="AG24" s="1298">
        <f t="shared" si="5"/>
        <v>0</v>
      </c>
      <c r="AH24" s="113">
        <f t="shared" si="6"/>
        <v>0</v>
      </c>
      <c r="AI24" s="113">
        <f t="shared" si="7"/>
        <v>1.6100000000000001E-3</v>
      </c>
      <c r="AJ24" s="1606">
        <f t="shared" si="8"/>
        <v>0.32688000000000006</v>
      </c>
      <c r="AK24" s="1595"/>
      <c r="AL24" s="113">
        <f>'Rates in Detail'!AC28</f>
        <v>8.5500000000000003E-3</v>
      </c>
      <c r="AM24" s="113">
        <f>'Rates in Detail'!AD28</f>
        <v>-3.4000000000000002E-4</v>
      </c>
      <c r="AN24" s="113">
        <f>'Rates in Detail'!AE28</f>
        <v>0</v>
      </c>
      <c r="AO24" s="113">
        <f>'Rates in Detail'!AF28</f>
        <v>-3.3300000000000001E-3</v>
      </c>
      <c r="AP24" s="1802">
        <f t="shared" si="9"/>
        <v>4.8800000000000007E-3</v>
      </c>
      <c r="AQ24" s="130"/>
      <c r="AR24" s="1680">
        <v>0.32527000000000006</v>
      </c>
      <c r="AS24" s="1680"/>
      <c r="AT24" s="1680">
        <v>0</v>
      </c>
      <c r="AU24" s="1680">
        <v>0</v>
      </c>
      <c r="AV24" s="1680">
        <v>5.3699999999999998E-3</v>
      </c>
      <c r="AW24" s="343">
        <f t="shared" si="10"/>
        <v>0.33064000000000004</v>
      </c>
      <c r="AY24" s="1797">
        <f t="shared" si="18"/>
        <v>0.33382000000000006</v>
      </c>
      <c r="AZ24" s="113">
        <f t="shared" si="12"/>
        <v>0</v>
      </c>
      <c r="BA24" s="113">
        <f t="shared" si="13"/>
        <v>0</v>
      </c>
      <c r="BB24" s="113">
        <f t="shared" si="14"/>
        <v>0</v>
      </c>
      <c r="BC24" s="113">
        <f t="shared" si="15"/>
        <v>1.6999999999999997E-3</v>
      </c>
      <c r="BD24" s="113">
        <f>'Rates in summary'!V29</f>
        <v>0</v>
      </c>
      <c r="BE24" s="338">
        <f t="shared" si="16"/>
        <v>0.33552000000000004</v>
      </c>
      <c r="BF24" s="100"/>
      <c r="BG24" s="100">
        <f>BE24-'Rates in Detail'!AN28</f>
        <v>0</v>
      </c>
      <c r="BH24" s="100"/>
    </row>
    <row r="25" spans="2:60" x14ac:dyDescent="0.3">
      <c r="B25" s="109">
        <f t="shared" si="17"/>
        <v>17</v>
      </c>
      <c r="C25" s="884" t="str">
        <f>'WA Volumes &amp; Revenues'!B31</f>
        <v>41I Firm Transpt</v>
      </c>
      <c r="D25" s="884" t="s">
        <v>4</v>
      </c>
      <c r="E25" s="114">
        <v>2000</v>
      </c>
      <c r="F25" s="115">
        <f>'WA Volumes &amp; Revenues'!E31</f>
        <v>0</v>
      </c>
      <c r="G25" s="115">
        <f>'WA Volumes &amp; Revenues'!H31</f>
        <v>0</v>
      </c>
      <c r="H25" s="890">
        <f>'WA Volumes &amp; Revenues'!O31</f>
        <v>500</v>
      </c>
      <c r="I25" s="891">
        <f>'WA Volumes &amp; Revenues'!N31</f>
        <v>500</v>
      </c>
      <c r="J25" s="620">
        <f>'Rates in Detail'!E29</f>
        <v>0.34791</v>
      </c>
      <c r="K25" s="622">
        <f>'Rates in Detail'!H29</f>
        <v>0</v>
      </c>
      <c r="L25" s="622">
        <f>'Rates in Detail'!F29</f>
        <v>0</v>
      </c>
      <c r="M25" s="622">
        <f>'Rates in Detail'!I29</f>
        <v>1.5499999999999999E-3</v>
      </c>
      <c r="N25" s="136">
        <f t="shared" si="0"/>
        <v>0.34945999999999999</v>
      </c>
      <c r="O25" s="620">
        <f>'Rates in Detail'!L29</f>
        <v>1.5949999999999999E-2</v>
      </c>
      <c r="P25" s="622">
        <f>'Rates in Detail'!P29</f>
        <v>-3.2599999999999999E-3</v>
      </c>
      <c r="Q25" s="622">
        <f>'Rates in Detail'!Q29</f>
        <v>0</v>
      </c>
      <c r="R25" s="250">
        <f t="shared" si="1"/>
        <v>1.269E-2</v>
      </c>
      <c r="S25" s="620">
        <f>'Rates in Detail'!S29</f>
        <v>0</v>
      </c>
      <c r="T25" s="622">
        <f>'Rates in Detail'!T29</f>
        <v>-2.8999999999999998E-3</v>
      </c>
      <c r="U25" s="622">
        <f>'Rates in Detail'!U29</f>
        <v>1.32E-3</v>
      </c>
      <c r="V25" s="1318">
        <f t="shared" si="2"/>
        <v>1.111E-2</v>
      </c>
      <c r="W25" s="612"/>
      <c r="X25" s="116">
        <f>'[25]Rates in detail'!AC23</f>
        <v>0.34791</v>
      </c>
      <c r="Y25" s="116"/>
      <c r="Z25" s="116">
        <f>'[25]Rates in detail'!AD23</f>
        <v>0</v>
      </c>
      <c r="AA25" s="116">
        <f>'[25]Rates in detail'!AE23</f>
        <v>0</v>
      </c>
      <c r="AB25" s="116">
        <f>'[25]Rates in detail'!AF23</f>
        <v>4.3499999999999997E-3</v>
      </c>
      <c r="AC25" s="344">
        <f t="shared" si="3"/>
        <v>0.35226000000000002</v>
      </c>
      <c r="AD25" s="1594"/>
      <c r="AE25" s="1570">
        <f t="shared" si="4"/>
        <v>0.36060000000000003</v>
      </c>
      <c r="AF25" s="1573"/>
      <c r="AG25" s="1571">
        <f t="shared" si="5"/>
        <v>0</v>
      </c>
      <c r="AH25" s="1573">
        <f t="shared" si="6"/>
        <v>0</v>
      </c>
      <c r="AI25" s="1573">
        <f t="shared" si="7"/>
        <v>2.7699999999999999E-3</v>
      </c>
      <c r="AJ25" s="1605">
        <f t="shared" si="8"/>
        <v>0.36337000000000003</v>
      </c>
      <c r="AK25" s="1595"/>
      <c r="AL25" s="116">
        <f>'Rates in Detail'!AC29</f>
        <v>7.2100000000000003E-3</v>
      </c>
      <c r="AM25" s="116">
        <f>'Rates in Detail'!AD29</f>
        <v>-2.9E-4</v>
      </c>
      <c r="AN25" s="116">
        <f>'Rates in Detail'!AE29</f>
        <v>0</v>
      </c>
      <c r="AO25" s="116">
        <f>'Rates in Detail'!AF29</f>
        <v>-2.81E-3</v>
      </c>
      <c r="AP25" s="1803">
        <f t="shared" si="9"/>
        <v>4.1099999999999999E-3</v>
      </c>
      <c r="AQ25" s="130"/>
      <c r="AR25" s="1682">
        <v>0.36060000000000003</v>
      </c>
      <c r="AS25" s="1682"/>
      <c r="AT25" s="1682">
        <v>0</v>
      </c>
      <c r="AU25" s="1682">
        <v>0</v>
      </c>
      <c r="AV25" s="1682">
        <v>6.2700000000000004E-3</v>
      </c>
      <c r="AW25" s="344">
        <f t="shared" si="10"/>
        <v>0.36687000000000003</v>
      </c>
      <c r="AY25" s="1798">
        <f t="shared" si="18"/>
        <v>0.36781000000000003</v>
      </c>
      <c r="AZ25" s="116">
        <f t="shared" si="12"/>
        <v>0</v>
      </c>
      <c r="BA25" s="116">
        <f t="shared" si="13"/>
        <v>0</v>
      </c>
      <c r="BB25" s="116">
        <f t="shared" si="14"/>
        <v>0</v>
      </c>
      <c r="BC25" s="116">
        <f t="shared" si="15"/>
        <v>3.1700000000000005E-3</v>
      </c>
      <c r="BD25" s="116">
        <f>'Rates in summary'!V30</f>
        <v>0</v>
      </c>
      <c r="BE25" s="339">
        <f t="shared" si="16"/>
        <v>0.37098000000000003</v>
      </c>
      <c r="BF25" s="100"/>
      <c r="BG25" s="100">
        <f>BE25-'Rates in Detail'!AN29</f>
        <v>0</v>
      </c>
      <c r="BH25" s="100"/>
    </row>
    <row r="26" spans="2:60" x14ac:dyDescent="0.3">
      <c r="B26" s="109">
        <f t="shared" si="17"/>
        <v>18</v>
      </c>
      <c r="C26" s="882"/>
      <c r="D26" s="882" t="s">
        <v>5</v>
      </c>
      <c r="E26" s="111" t="s">
        <v>72</v>
      </c>
      <c r="F26" s="112">
        <f>'WA Volumes &amp; Revenues'!E32</f>
        <v>0</v>
      </c>
      <c r="G26" s="112"/>
      <c r="H26" s="885"/>
      <c r="I26" s="887"/>
      <c r="J26" s="619">
        <f>'Rates in Detail'!E30</f>
        <v>0.30653000000000008</v>
      </c>
      <c r="K26" s="623">
        <f>'Rates in Detail'!H30</f>
        <v>0</v>
      </c>
      <c r="L26" s="623">
        <f>'Rates in Detail'!F30</f>
        <v>0</v>
      </c>
      <c r="M26" s="623">
        <f>'Rates in Detail'!I30</f>
        <v>1.3600000000000001E-3</v>
      </c>
      <c r="N26" s="134">
        <f t="shared" si="0"/>
        <v>0.30789000000000011</v>
      </c>
      <c r="O26" s="619">
        <f>'Rates in Detail'!L30</f>
        <v>1.405E-2</v>
      </c>
      <c r="P26" s="623">
        <f>'Rates in Detail'!P30</f>
        <v>-2.8700000000000002E-3</v>
      </c>
      <c r="Q26" s="623">
        <f>'Rates in Detail'!Q30</f>
        <v>0</v>
      </c>
      <c r="R26" s="249">
        <f t="shared" si="1"/>
        <v>1.1179999999999999E-2</v>
      </c>
      <c r="S26" s="619">
        <f>'Rates in Detail'!S30</f>
        <v>0</v>
      </c>
      <c r="T26" s="623">
        <f>'Rates in Detail'!T30</f>
        <v>-2.5600000000000002E-3</v>
      </c>
      <c r="U26" s="623">
        <f>'Rates in Detail'!U30</f>
        <v>1.16E-3</v>
      </c>
      <c r="V26" s="1317">
        <f t="shared" si="2"/>
        <v>9.7799999999999988E-3</v>
      </c>
      <c r="W26" s="612"/>
      <c r="X26" s="113">
        <f>'[25]Rates in detail'!AC24</f>
        <v>0.30653000000000008</v>
      </c>
      <c r="Y26" s="113"/>
      <c r="Z26" s="113">
        <f>'[25]Rates in detail'!AD24</f>
        <v>0</v>
      </c>
      <c r="AA26" s="113">
        <f>'[25]Rates in detail'!AE24</f>
        <v>0</v>
      </c>
      <c r="AB26" s="113">
        <f>'[25]Rates in detail'!AF24</f>
        <v>3.8400000000000001E-3</v>
      </c>
      <c r="AC26" s="343">
        <f t="shared" si="3"/>
        <v>0.31037000000000009</v>
      </c>
      <c r="AD26" s="1594"/>
      <c r="AE26" s="1306">
        <f t="shared" si="4"/>
        <v>0.3177100000000001</v>
      </c>
      <c r="AF26" s="116"/>
      <c r="AG26" s="1307">
        <f t="shared" si="5"/>
        <v>0</v>
      </c>
      <c r="AH26" s="116">
        <f t="shared" si="6"/>
        <v>0</v>
      </c>
      <c r="AI26" s="116">
        <f t="shared" si="7"/>
        <v>2.4399999999999999E-3</v>
      </c>
      <c r="AJ26" s="1607">
        <f t="shared" si="8"/>
        <v>0.3201500000000001</v>
      </c>
      <c r="AK26" s="1595"/>
      <c r="AL26" s="113">
        <f>'Rates in Detail'!AC30</f>
        <v>6.3499999999999997E-3</v>
      </c>
      <c r="AM26" s="113">
        <f>'Rates in Detail'!AD30</f>
        <v>-2.5000000000000001E-4</v>
      </c>
      <c r="AN26" s="113">
        <f>'Rates in Detail'!AE30</f>
        <v>0</v>
      </c>
      <c r="AO26" s="113">
        <f>'Rates in Detail'!AF30</f>
        <v>-2.47E-3</v>
      </c>
      <c r="AP26" s="1802">
        <f t="shared" si="9"/>
        <v>3.6299999999999995E-3</v>
      </c>
      <c r="AQ26" s="130"/>
      <c r="AR26" s="1680">
        <v>0.3177100000000001</v>
      </c>
      <c r="AS26" s="1680"/>
      <c r="AT26" s="1680">
        <v>0</v>
      </c>
      <c r="AU26" s="1680">
        <v>0</v>
      </c>
      <c r="AV26" s="1680">
        <v>5.5300000000000002E-3</v>
      </c>
      <c r="AW26" s="343">
        <f t="shared" si="10"/>
        <v>0.32324000000000008</v>
      </c>
      <c r="AY26" s="1797">
        <f t="shared" si="18"/>
        <v>0.32406000000000013</v>
      </c>
      <c r="AZ26" s="113">
        <f t="shared" si="12"/>
        <v>0</v>
      </c>
      <c r="BA26" s="113">
        <f t="shared" si="13"/>
        <v>0</v>
      </c>
      <c r="BB26" s="113">
        <f t="shared" si="14"/>
        <v>0</v>
      </c>
      <c r="BC26" s="113">
        <f t="shared" si="15"/>
        <v>2.81E-3</v>
      </c>
      <c r="BD26" s="113">
        <f>'Rates in summary'!V31</f>
        <v>0</v>
      </c>
      <c r="BE26" s="338">
        <f t="shared" si="16"/>
        <v>0.3268700000000001</v>
      </c>
      <c r="BF26" s="100"/>
      <c r="BG26" s="100">
        <f>BE26-'Rates in Detail'!AN30</f>
        <v>0</v>
      </c>
      <c r="BH26" s="100"/>
    </row>
    <row r="27" spans="2:60" x14ac:dyDescent="0.3">
      <c r="B27" s="109">
        <f t="shared" si="17"/>
        <v>19</v>
      </c>
      <c r="C27" s="884" t="str">
        <f>'WA Volumes &amp; Revenues'!B33</f>
        <v>42C Firm Sales</v>
      </c>
      <c r="D27" s="884" t="s">
        <v>4</v>
      </c>
      <c r="E27" s="114">
        <v>10000</v>
      </c>
      <c r="F27" s="115">
        <f>'WA Volumes &amp; Revenues'!E33</f>
        <v>350769.66174469434</v>
      </c>
      <c r="G27" s="115">
        <f>'WA Volumes &amp; Revenues'!H33</f>
        <v>5</v>
      </c>
      <c r="H27" s="890">
        <f>'WA Volumes &amp; Revenues'!O33</f>
        <v>1300</v>
      </c>
      <c r="I27" s="891">
        <f>'WA Volumes &amp; Revenues'!N33</f>
        <v>1300</v>
      </c>
      <c r="J27" s="620">
        <f>'Rates in Detail'!E31</f>
        <v>0.15245999999999996</v>
      </c>
      <c r="K27" s="622">
        <f>'Rates in Detail'!H31</f>
        <v>0</v>
      </c>
      <c r="L27" s="622">
        <f>'Rates in Detail'!F31</f>
        <v>0.26333000000000001</v>
      </c>
      <c r="M27" s="622">
        <f>'Rates in Detail'!I31</f>
        <v>1.9560000000000001E-2</v>
      </c>
      <c r="N27" s="136">
        <f t="shared" si="0"/>
        <v>0.43535000000000001</v>
      </c>
      <c r="O27" s="620">
        <f>'Rates in Detail'!L31</f>
        <v>3.7769999999999998E-2</v>
      </c>
      <c r="P27" s="622">
        <f>'Rates in Detail'!P31</f>
        <v>-3.0899999999999999E-3</v>
      </c>
      <c r="Q27" s="622">
        <f>'Rates in Detail'!Q31</f>
        <v>0</v>
      </c>
      <c r="R27" s="250">
        <f t="shared" si="1"/>
        <v>3.4679999999999996E-2</v>
      </c>
      <c r="S27" s="620">
        <f>'Rates in Detail'!S31</f>
        <v>-5.5300000000000002E-3</v>
      </c>
      <c r="T27" s="622">
        <f>'Rates in Detail'!T31</f>
        <v>-2.9399999999999999E-3</v>
      </c>
      <c r="U27" s="622">
        <f>'Rates in Detail'!U31</f>
        <v>1.0399999999999999E-3</v>
      </c>
      <c r="V27" s="1318">
        <f t="shared" si="2"/>
        <v>2.7249999999999996E-2</v>
      </c>
      <c r="W27" s="612"/>
      <c r="X27" s="116">
        <f>'[25]Rates in detail'!AC29</f>
        <v>0.15245999999999993</v>
      </c>
      <c r="Y27" s="116"/>
      <c r="Z27" s="116">
        <f>'[25]Rates in detail'!AD29</f>
        <v>0</v>
      </c>
      <c r="AA27" s="116">
        <f>'[25]Rates in detail'!AE29</f>
        <v>0.34872999999999998</v>
      </c>
      <c r="AB27" s="116">
        <f>'[25]Rates in detail'!AF29</f>
        <v>3.4449999999999995E-2</v>
      </c>
      <c r="AC27" s="344">
        <f t="shared" si="3"/>
        <v>0.53563999999999989</v>
      </c>
      <c r="AD27" s="1594"/>
      <c r="AE27" s="1573">
        <f t="shared" si="4"/>
        <v>0.18713999999999992</v>
      </c>
      <c r="AF27" s="1573"/>
      <c r="AG27" s="1573">
        <f t="shared" si="5"/>
        <v>0</v>
      </c>
      <c r="AH27" s="1573">
        <f t="shared" si="6"/>
        <v>0.34872999999999998</v>
      </c>
      <c r="AI27" s="1573">
        <f t="shared" si="7"/>
        <v>2.7019999999999995E-2</v>
      </c>
      <c r="AJ27" s="1608">
        <f t="shared" si="8"/>
        <v>0.56288999999999989</v>
      </c>
      <c r="AK27" s="1595"/>
      <c r="AL27" s="116">
        <f>'Rates in Detail'!AC31</f>
        <v>2.095E-2</v>
      </c>
      <c r="AM27" s="116">
        <f>'Rates in Detail'!AD31</f>
        <v>-2.9999999999999997E-4</v>
      </c>
      <c r="AN27" s="116">
        <f>'Rates in Detail'!AE31</f>
        <v>-5.5300000000000002E-3</v>
      </c>
      <c r="AO27" s="116">
        <f>'Rates in Detail'!AF31</f>
        <v>-2.9399999999999999E-3</v>
      </c>
      <c r="AP27" s="1803">
        <f t="shared" si="9"/>
        <v>1.2179999999999998E-2</v>
      </c>
      <c r="AQ27" s="130"/>
      <c r="AR27" s="1682">
        <v>0.18713999999999981</v>
      </c>
      <c r="AS27" s="1682"/>
      <c r="AT27" s="1682">
        <v>0</v>
      </c>
      <c r="AU27" s="1682">
        <v>0.46972000000000003</v>
      </c>
      <c r="AV27" s="1682">
        <v>0.13845999999999997</v>
      </c>
      <c r="AW27" s="344">
        <f t="shared" si="10"/>
        <v>0.7953199999999998</v>
      </c>
      <c r="AY27" s="1798">
        <f t="shared" si="18"/>
        <v>0.2080899999999998</v>
      </c>
      <c r="AZ27" s="116">
        <f t="shared" si="12"/>
        <v>0</v>
      </c>
      <c r="BA27" s="116">
        <f t="shared" si="13"/>
        <v>0</v>
      </c>
      <c r="BB27" s="116">
        <f t="shared" si="14"/>
        <v>0.46972000000000003</v>
      </c>
      <c r="BC27" s="116">
        <f t="shared" si="15"/>
        <v>0.12968999999999997</v>
      </c>
      <c r="BD27" s="116">
        <f>'Rates in summary'!V32</f>
        <v>0</v>
      </c>
      <c r="BE27" s="339">
        <f t="shared" si="16"/>
        <v>0.80749999999999977</v>
      </c>
      <c r="BF27" s="100"/>
      <c r="BG27" s="100">
        <f>BE27-'Rates in Detail'!AN31</f>
        <v>0</v>
      </c>
      <c r="BH27" s="100"/>
    </row>
    <row r="28" spans="2:60" x14ac:dyDescent="0.3">
      <c r="B28" s="109">
        <f t="shared" si="17"/>
        <v>20</v>
      </c>
      <c r="C28" s="884"/>
      <c r="D28" s="884" t="s">
        <v>5</v>
      </c>
      <c r="E28" s="114">
        <v>20000</v>
      </c>
      <c r="F28" s="115">
        <f>'WA Volumes &amp; Revenues'!E34</f>
        <v>303088.75426472601</v>
      </c>
      <c r="G28" s="115"/>
      <c r="H28" s="890"/>
      <c r="I28" s="891"/>
      <c r="J28" s="620">
        <f>'Rates in Detail'!E32</f>
        <v>0.1364699999999997</v>
      </c>
      <c r="K28" s="622">
        <f>'Rates in Detail'!H32</f>
        <v>0</v>
      </c>
      <c r="L28" s="622">
        <f>'Rates in Detail'!F32</f>
        <v>0.26333000000000001</v>
      </c>
      <c r="M28" s="622">
        <f>'Rates in Detail'!I32</f>
        <v>1.6539999999999999E-2</v>
      </c>
      <c r="N28" s="136">
        <f t="shared" si="0"/>
        <v>0.41633999999999971</v>
      </c>
      <c r="O28" s="620">
        <f>'Rates in Detail'!L32</f>
        <v>3.381E-2</v>
      </c>
      <c r="P28" s="622">
        <f>'Rates in Detail'!P32</f>
        <v>-2.7699999999999999E-3</v>
      </c>
      <c r="Q28" s="622">
        <f>'Rates in Detail'!Q32</f>
        <v>0</v>
      </c>
      <c r="R28" s="250">
        <f t="shared" si="1"/>
        <v>3.1039999999999998E-2</v>
      </c>
      <c r="S28" s="620">
        <f>'Rates in Detail'!S32</f>
        <v>-4.9500000000000004E-3</v>
      </c>
      <c r="T28" s="622">
        <f>'Rates in Detail'!T32</f>
        <v>-2.63E-3</v>
      </c>
      <c r="U28" s="622">
        <f>'Rates in Detail'!U32</f>
        <v>9.3000000000000005E-4</v>
      </c>
      <c r="V28" s="1318">
        <f t="shared" si="2"/>
        <v>2.4389999999999998E-2</v>
      </c>
      <c r="W28" s="612"/>
      <c r="X28" s="116">
        <f>'[25]Rates in detail'!AC30</f>
        <v>0.13646999999999959</v>
      </c>
      <c r="Y28" s="116"/>
      <c r="Z28" s="116">
        <f>'[25]Rates in detail'!AD30</f>
        <v>0</v>
      </c>
      <c r="AA28" s="116">
        <f>'[25]Rates in detail'!AE30</f>
        <v>0.34872999999999998</v>
      </c>
      <c r="AB28" s="116">
        <f>'[25]Rates in detail'!AF30</f>
        <v>3.0869999999999995E-2</v>
      </c>
      <c r="AC28" s="344">
        <f t="shared" si="3"/>
        <v>0.51606999999999958</v>
      </c>
      <c r="AD28" s="1594"/>
      <c r="AE28" s="116">
        <f t="shared" si="4"/>
        <v>0.1675099999999996</v>
      </c>
      <c r="AF28" s="116"/>
      <c r="AG28" s="116">
        <f t="shared" si="5"/>
        <v>0</v>
      </c>
      <c r="AH28" s="116">
        <f t="shared" si="6"/>
        <v>0.34872999999999998</v>
      </c>
      <c r="AI28" s="116">
        <f t="shared" si="7"/>
        <v>2.4219999999999995E-2</v>
      </c>
      <c r="AJ28" s="1609">
        <f t="shared" si="8"/>
        <v>0.54045999999999961</v>
      </c>
      <c r="AK28" s="1595"/>
      <c r="AL28" s="116">
        <f>'Rates in Detail'!AC32</f>
        <v>1.8749999999999999E-2</v>
      </c>
      <c r="AM28" s="116">
        <f>'Rates in Detail'!AD32</f>
        <v>-2.7E-4</v>
      </c>
      <c r="AN28" s="116">
        <f>'Rates in Detail'!AE32</f>
        <v>-4.9500000000000004E-3</v>
      </c>
      <c r="AO28" s="116">
        <f>'Rates in Detail'!AF32</f>
        <v>-2.64E-3</v>
      </c>
      <c r="AP28" s="1803">
        <f t="shared" si="9"/>
        <v>1.089E-2</v>
      </c>
      <c r="AQ28" s="130"/>
      <c r="AR28" s="1682">
        <v>0.16750999999999963</v>
      </c>
      <c r="AS28" s="1682"/>
      <c r="AT28" s="1682">
        <v>0</v>
      </c>
      <c r="AU28" s="1682">
        <v>0.46972000000000003</v>
      </c>
      <c r="AV28" s="1682">
        <v>0.13621999999999998</v>
      </c>
      <c r="AW28" s="344">
        <f t="shared" si="10"/>
        <v>0.77344999999999964</v>
      </c>
      <c r="AY28" s="1798">
        <f t="shared" si="18"/>
        <v>0.18625999999999962</v>
      </c>
      <c r="AZ28" s="116">
        <f t="shared" si="12"/>
        <v>0</v>
      </c>
      <c r="BA28" s="116">
        <f t="shared" si="13"/>
        <v>0</v>
      </c>
      <c r="BB28" s="116">
        <f t="shared" si="14"/>
        <v>0.46972000000000003</v>
      </c>
      <c r="BC28" s="116">
        <f t="shared" si="15"/>
        <v>0.12835999999999997</v>
      </c>
      <c r="BD28" s="116">
        <f>'Rates in summary'!V33</f>
        <v>0</v>
      </c>
      <c r="BE28" s="339">
        <f t="shared" si="16"/>
        <v>0.78433999999999959</v>
      </c>
      <c r="BF28" s="100"/>
      <c r="BG28" s="100">
        <f>BE28-'Rates in Detail'!AN32</f>
        <v>0</v>
      </c>
      <c r="BH28" s="100"/>
    </row>
    <row r="29" spans="2:60" x14ac:dyDescent="0.3">
      <c r="B29" s="109">
        <f t="shared" si="17"/>
        <v>21</v>
      </c>
      <c r="C29" s="884"/>
      <c r="D29" s="884" t="s">
        <v>6</v>
      </c>
      <c r="E29" s="114">
        <v>20000</v>
      </c>
      <c r="F29" s="115">
        <f>'WA Volumes &amp; Revenues'!E35</f>
        <v>59441.942130257296</v>
      </c>
      <c r="G29" s="115"/>
      <c r="H29" s="890"/>
      <c r="I29" s="891"/>
      <c r="J29" s="620">
        <f>'Rates in Detail'!E33</f>
        <v>0.1046699999999999</v>
      </c>
      <c r="K29" s="622">
        <f>'Rates in Detail'!H33</f>
        <v>0</v>
      </c>
      <c r="L29" s="622">
        <f>'Rates in Detail'!F33</f>
        <v>0.26333000000000001</v>
      </c>
      <c r="M29" s="622">
        <f>'Rates in Detail'!I33</f>
        <v>1.052E-2</v>
      </c>
      <c r="N29" s="136">
        <f t="shared" si="0"/>
        <v>0.37851999999999986</v>
      </c>
      <c r="O29" s="620">
        <f>'Rates in Detail'!L33</f>
        <v>2.5930000000000002E-2</v>
      </c>
      <c r="P29" s="622">
        <f>'Rates in Detail'!P33</f>
        <v>-2.1199999999999999E-3</v>
      </c>
      <c r="Q29" s="622">
        <f>'Rates in Detail'!Q33</f>
        <v>0</v>
      </c>
      <c r="R29" s="250">
        <f t="shared" si="1"/>
        <v>2.3810000000000001E-2</v>
      </c>
      <c r="S29" s="620">
        <f>'Rates in Detail'!S33</f>
        <v>-3.8E-3</v>
      </c>
      <c r="T29" s="622">
        <f>'Rates in Detail'!T33</f>
        <v>-2.0200000000000001E-3</v>
      </c>
      <c r="U29" s="622">
        <f>'Rates in Detail'!U33</f>
        <v>7.1000000000000002E-4</v>
      </c>
      <c r="V29" s="1318">
        <f t="shared" si="2"/>
        <v>1.8699999999999998E-2</v>
      </c>
      <c r="W29" s="612"/>
      <c r="X29" s="116">
        <f>'[25]Rates in detail'!AC31</f>
        <v>0.10466999999999993</v>
      </c>
      <c r="Y29" s="116"/>
      <c r="Z29" s="116">
        <f>'[25]Rates in detail'!AD31</f>
        <v>0</v>
      </c>
      <c r="AA29" s="116">
        <f>'[25]Rates in detail'!AE31</f>
        <v>0.34872999999999998</v>
      </c>
      <c r="AB29" s="116">
        <f>'[25]Rates in detail'!AF31</f>
        <v>2.3759999999999996E-2</v>
      </c>
      <c r="AC29" s="344">
        <f t="shared" si="3"/>
        <v>0.47715999999999992</v>
      </c>
      <c r="AD29" s="1594"/>
      <c r="AE29" s="116">
        <f t="shared" si="4"/>
        <v>0.12847999999999993</v>
      </c>
      <c r="AF29" s="116"/>
      <c r="AG29" s="116">
        <f t="shared" si="5"/>
        <v>0</v>
      </c>
      <c r="AH29" s="116">
        <f t="shared" si="6"/>
        <v>0.34872999999999998</v>
      </c>
      <c r="AI29" s="116">
        <f t="shared" si="7"/>
        <v>1.8649999999999993E-2</v>
      </c>
      <c r="AJ29" s="1609">
        <f t="shared" si="8"/>
        <v>0.49585999999999991</v>
      </c>
      <c r="AK29" s="1595"/>
      <c r="AL29" s="116">
        <f>'Rates in Detail'!AC33</f>
        <v>1.438E-2</v>
      </c>
      <c r="AM29" s="116">
        <f>'Rates in Detail'!AD33</f>
        <v>-2.1000000000000001E-4</v>
      </c>
      <c r="AN29" s="116">
        <f>'Rates in Detail'!AE33</f>
        <v>-3.8E-3</v>
      </c>
      <c r="AO29" s="116">
        <f>'Rates in Detail'!AF33</f>
        <v>-2.0200000000000001E-3</v>
      </c>
      <c r="AP29" s="1803">
        <f t="shared" si="9"/>
        <v>8.3499999999999998E-3</v>
      </c>
      <c r="AQ29" s="130"/>
      <c r="AR29" s="1682">
        <v>0.12847999999999993</v>
      </c>
      <c r="AS29" s="1682"/>
      <c r="AT29" s="1682">
        <v>0</v>
      </c>
      <c r="AU29" s="1682">
        <v>0.46972000000000003</v>
      </c>
      <c r="AV29" s="1682">
        <v>0.13175999999999999</v>
      </c>
      <c r="AW29" s="344">
        <f t="shared" si="10"/>
        <v>0.72995999999999994</v>
      </c>
      <c r="AY29" s="1798">
        <f t="shared" si="18"/>
        <v>0.14285999999999993</v>
      </c>
      <c r="AZ29" s="116">
        <f t="shared" si="12"/>
        <v>0</v>
      </c>
      <c r="BA29" s="116">
        <f t="shared" si="13"/>
        <v>0</v>
      </c>
      <c r="BB29" s="116">
        <f t="shared" si="14"/>
        <v>0.46972000000000003</v>
      </c>
      <c r="BC29" s="116">
        <f t="shared" si="15"/>
        <v>0.12572999999999998</v>
      </c>
      <c r="BD29" s="116">
        <f>'Rates in summary'!V34</f>
        <v>0</v>
      </c>
      <c r="BE29" s="339">
        <f t="shared" si="16"/>
        <v>0.73830999999999991</v>
      </c>
      <c r="BF29" s="100"/>
      <c r="BG29" s="100">
        <f>BE29-'Rates in Detail'!AN33</f>
        <v>0</v>
      </c>
      <c r="BH29" s="100"/>
    </row>
    <row r="30" spans="2:60" x14ac:dyDescent="0.3">
      <c r="B30" s="109">
        <f t="shared" si="17"/>
        <v>22</v>
      </c>
      <c r="C30" s="884"/>
      <c r="D30" s="884" t="s">
        <v>7</v>
      </c>
      <c r="E30" s="114">
        <v>100000</v>
      </c>
      <c r="F30" s="115">
        <f>'WA Volumes &amp; Revenues'!E36</f>
        <v>3614.6071898605187</v>
      </c>
      <c r="G30" s="115"/>
      <c r="H30" s="890"/>
      <c r="I30" s="891"/>
      <c r="J30" s="620">
        <f>'Rates in Detail'!E34</f>
        <v>8.3729999999999999E-2</v>
      </c>
      <c r="K30" s="622">
        <f>'Rates in Detail'!H34</f>
        <v>0</v>
      </c>
      <c r="L30" s="622">
        <f>'Rates in Detail'!F34</f>
        <v>0.26333000000000001</v>
      </c>
      <c r="M30" s="622">
        <f>'Rates in Detail'!I34</f>
        <v>6.550000000000002E-3</v>
      </c>
      <c r="N30" s="136">
        <f t="shared" si="0"/>
        <v>0.35361000000000004</v>
      </c>
      <c r="O30" s="620">
        <f>'Rates in Detail'!L34</f>
        <v>2.0740000000000001E-2</v>
      </c>
      <c r="P30" s="622">
        <f>'Rates in Detail'!P34</f>
        <v>-1.6999999999999999E-3</v>
      </c>
      <c r="Q30" s="622">
        <f>'Rates in Detail'!Q34</f>
        <v>0</v>
      </c>
      <c r="R30" s="250">
        <f t="shared" si="1"/>
        <v>1.9040000000000001E-2</v>
      </c>
      <c r="S30" s="620">
        <f>'Rates in Detail'!S34</f>
        <v>-3.0400000000000002E-3</v>
      </c>
      <c r="T30" s="622">
        <f>'Rates in Detail'!T34</f>
        <v>-1.6100000000000001E-3</v>
      </c>
      <c r="U30" s="622">
        <f>'Rates in Detail'!U34</f>
        <v>5.6999999999999998E-4</v>
      </c>
      <c r="V30" s="1318">
        <f t="shared" si="2"/>
        <v>1.4959999999999999E-2</v>
      </c>
      <c r="W30" s="612"/>
      <c r="X30" s="116">
        <f>'[25]Rates in detail'!AC32</f>
        <v>8.3730000000000249E-2</v>
      </c>
      <c r="Y30" s="116"/>
      <c r="Z30" s="116">
        <f>'[25]Rates in detail'!AD32</f>
        <v>0</v>
      </c>
      <c r="AA30" s="116">
        <f>'[25]Rates in detail'!AE32</f>
        <v>0.34872999999999998</v>
      </c>
      <c r="AB30" s="116">
        <f>'[25]Rates in detail'!AF32</f>
        <v>1.9089999999999992E-2</v>
      </c>
      <c r="AC30" s="344">
        <f t="shared" si="3"/>
        <v>0.45155000000000023</v>
      </c>
      <c r="AD30" s="1594"/>
      <c r="AE30" s="116">
        <f t="shared" si="4"/>
        <v>0.10277000000000026</v>
      </c>
      <c r="AF30" s="116"/>
      <c r="AG30" s="116">
        <f t="shared" si="5"/>
        <v>0</v>
      </c>
      <c r="AH30" s="116">
        <f t="shared" si="6"/>
        <v>0.34872999999999998</v>
      </c>
      <c r="AI30" s="116">
        <f t="shared" si="7"/>
        <v>1.500999999999999E-2</v>
      </c>
      <c r="AJ30" s="1609">
        <f t="shared" si="8"/>
        <v>0.4665100000000002</v>
      </c>
      <c r="AK30" s="1595"/>
      <c r="AL30" s="116">
        <f>'Rates in Detail'!AC34</f>
        <v>1.1509999999999999E-2</v>
      </c>
      <c r="AM30" s="116">
        <f>'Rates in Detail'!AD34</f>
        <v>-1.6000000000000001E-4</v>
      </c>
      <c r="AN30" s="116">
        <f>'Rates in Detail'!AE34</f>
        <v>-3.0400000000000002E-3</v>
      </c>
      <c r="AO30" s="116">
        <f>'Rates in Detail'!AF34</f>
        <v>-1.6199999999999999E-3</v>
      </c>
      <c r="AP30" s="1803">
        <f t="shared" si="9"/>
        <v>6.689999999999998E-3</v>
      </c>
      <c r="AQ30" s="130"/>
      <c r="AR30" s="1682">
        <v>0.10277000000000025</v>
      </c>
      <c r="AS30" s="1682"/>
      <c r="AT30" s="1682">
        <v>0</v>
      </c>
      <c r="AU30" s="1682">
        <v>0.46972000000000003</v>
      </c>
      <c r="AV30" s="1682">
        <v>0.12883</v>
      </c>
      <c r="AW30" s="344">
        <f t="shared" si="10"/>
        <v>0.70132000000000028</v>
      </c>
      <c r="AY30" s="1798">
        <f t="shared" si="18"/>
        <v>0.11428000000000024</v>
      </c>
      <c r="AZ30" s="116">
        <f t="shared" si="12"/>
        <v>0</v>
      </c>
      <c r="BA30" s="116">
        <f t="shared" si="13"/>
        <v>0</v>
      </c>
      <c r="BB30" s="116">
        <f t="shared" si="14"/>
        <v>0.46972000000000003</v>
      </c>
      <c r="BC30" s="116">
        <f t="shared" si="15"/>
        <v>0.12401</v>
      </c>
      <c r="BD30" s="116">
        <f>'Rates in summary'!V35</f>
        <v>0</v>
      </c>
      <c r="BE30" s="339">
        <f t="shared" si="16"/>
        <v>0.70801000000000025</v>
      </c>
      <c r="BF30" s="100"/>
      <c r="BG30" s="100">
        <f>BE30-'Rates in Detail'!AN34</f>
        <v>0</v>
      </c>
      <c r="BH30" s="100"/>
    </row>
    <row r="31" spans="2:60" x14ac:dyDescent="0.3">
      <c r="B31" s="109">
        <f t="shared" si="17"/>
        <v>23</v>
      </c>
      <c r="C31" s="884"/>
      <c r="D31" s="884" t="s">
        <v>8</v>
      </c>
      <c r="E31" s="114">
        <v>600000</v>
      </c>
      <c r="F31" s="115">
        <f>'WA Volumes &amp; Revenues'!E37</f>
        <v>0</v>
      </c>
      <c r="G31" s="115"/>
      <c r="H31" s="890"/>
      <c r="I31" s="891"/>
      <c r="J31" s="620">
        <f>'Rates in Detail'!E35</f>
        <v>5.5809999999999992E-2</v>
      </c>
      <c r="K31" s="622">
        <f>'Rates in Detail'!H35</f>
        <v>0</v>
      </c>
      <c r="L31" s="622">
        <f>'Rates in Detail'!F35</f>
        <v>0.26333000000000001</v>
      </c>
      <c r="M31" s="622">
        <f>'Rates in Detail'!I35</f>
        <v>1.239999999999998E-3</v>
      </c>
      <c r="N31" s="136">
        <f t="shared" si="0"/>
        <v>0.32038</v>
      </c>
      <c r="O31" s="620">
        <f>'Rates in Detail'!L35</f>
        <v>1.383E-2</v>
      </c>
      <c r="P31" s="622">
        <f>'Rates in Detail'!P35</f>
        <v>-1.1299999999999999E-3</v>
      </c>
      <c r="Q31" s="622">
        <f>'Rates in Detail'!Q35</f>
        <v>0</v>
      </c>
      <c r="R31" s="250">
        <f t="shared" si="1"/>
        <v>1.2699999999999999E-2</v>
      </c>
      <c r="S31" s="620">
        <f>'Rates in Detail'!S35</f>
        <v>-2.0200000000000001E-3</v>
      </c>
      <c r="T31" s="622">
        <f>'Rates in Detail'!T35</f>
        <v>-1.08E-3</v>
      </c>
      <c r="U31" s="622">
        <f>'Rates in Detail'!U35</f>
        <v>3.8000000000000002E-4</v>
      </c>
      <c r="V31" s="1318">
        <f t="shared" si="2"/>
        <v>9.9799999999999993E-3</v>
      </c>
      <c r="W31" s="612"/>
      <c r="X31" s="116">
        <f>'[25]Rates in detail'!AC33</f>
        <v>5.5809999999999971E-2</v>
      </c>
      <c r="Y31" s="116"/>
      <c r="Z31" s="116">
        <f>'[25]Rates in detail'!AD33</f>
        <v>0</v>
      </c>
      <c r="AA31" s="116">
        <f>'[25]Rates in detail'!AE33</f>
        <v>0.34872999999999998</v>
      </c>
      <c r="AB31" s="116">
        <f>'[25]Rates in detail'!AF33</f>
        <v>1.2869999999999994E-2</v>
      </c>
      <c r="AC31" s="344">
        <f t="shared" si="3"/>
        <v>0.41740999999999995</v>
      </c>
      <c r="AD31" s="1594"/>
      <c r="AE31" s="116">
        <f t="shared" si="4"/>
        <v>6.850999999999996E-2</v>
      </c>
      <c r="AF31" s="116"/>
      <c r="AG31" s="116">
        <f t="shared" si="5"/>
        <v>0</v>
      </c>
      <c r="AH31" s="116">
        <f t="shared" si="6"/>
        <v>0.34872999999999998</v>
      </c>
      <c r="AI31" s="116">
        <f t="shared" si="7"/>
        <v>1.0149999999999996E-2</v>
      </c>
      <c r="AJ31" s="1609">
        <f t="shared" si="8"/>
        <v>0.42738999999999994</v>
      </c>
      <c r="AK31" s="1595"/>
      <c r="AL31" s="116">
        <f>'Rates in Detail'!AC35</f>
        <v>7.6699999999999997E-3</v>
      </c>
      <c r="AM31" s="116">
        <f>'Rates in Detail'!AD35</f>
        <v>-1.1E-4</v>
      </c>
      <c r="AN31" s="116">
        <f>'Rates in Detail'!AE35</f>
        <v>-2.0200000000000001E-3</v>
      </c>
      <c r="AO31" s="116">
        <f>'Rates in Detail'!AF35</f>
        <v>-1.08E-3</v>
      </c>
      <c r="AP31" s="1803">
        <f t="shared" si="9"/>
        <v>4.4599999999999996E-3</v>
      </c>
      <c r="AQ31" s="130"/>
      <c r="AR31" s="1682">
        <v>6.8510000000000001E-2</v>
      </c>
      <c r="AS31" s="1682"/>
      <c r="AT31" s="1682">
        <v>0</v>
      </c>
      <c r="AU31" s="1682">
        <v>0.46972000000000003</v>
      </c>
      <c r="AV31" s="1682">
        <v>0.12491999999999999</v>
      </c>
      <c r="AW31" s="344">
        <f t="shared" si="10"/>
        <v>0.66315000000000002</v>
      </c>
      <c r="AY31" s="1798">
        <f t="shared" si="18"/>
        <v>7.6179999999999998E-2</v>
      </c>
      <c r="AZ31" s="116">
        <f t="shared" si="12"/>
        <v>0</v>
      </c>
      <c r="BA31" s="116">
        <f t="shared" si="13"/>
        <v>0</v>
      </c>
      <c r="BB31" s="116">
        <f t="shared" si="14"/>
        <v>0.46972000000000003</v>
      </c>
      <c r="BC31" s="116">
        <f t="shared" si="15"/>
        <v>0.12170999999999998</v>
      </c>
      <c r="BD31" s="116">
        <f>'Rates in summary'!V36</f>
        <v>0</v>
      </c>
      <c r="BE31" s="339">
        <f t="shared" si="16"/>
        <v>0.66761000000000004</v>
      </c>
      <c r="BF31" s="100"/>
      <c r="BG31" s="100">
        <f>BE31-'Rates in Detail'!AN35</f>
        <v>0</v>
      </c>
      <c r="BH31" s="100"/>
    </row>
    <row r="32" spans="2:60" x14ac:dyDescent="0.3">
      <c r="B32" s="109">
        <f t="shared" si="17"/>
        <v>24</v>
      </c>
      <c r="C32" s="882"/>
      <c r="D32" s="882" t="s">
        <v>9</v>
      </c>
      <c r="E32" s="111" t="s">
        <v>72</v>
      </c>
      <c r="F32" s="112">
        <f>'WA Volumes &amp; Revenues'!E38</f>
        <v>0</v>
      </c>
      <c r="G32" s="112"/>
      <c r="H32" s="885"/>
      <c r="I32" s="887"/>
      <c r="J32" s="619">
        <f>'Rates in Detail'!E36</f>
        <v>2.0920000000000029E-2</v>
      </c>
      <c r="K32" s="623">
        <f>'Rates in Detail'!H36</f>
        <v>0</v>
      </c>
      <c r="L32" s="623">
        <f>'Rates in Detail'!F36</f>
        <v>0.26333000000000001</v>
      </c>
      <c r="M32" s="623">
        <f>'Rates in Detail'!I36</f>
        <v>-5.3500000000000006E-3</v>
      </c>
      <c r="N32" s="134">
        <f t="shared" si="0"/>
        <v>0.27890000000000004</v>
      </c>
      <c r="O32" s="619">
        <f>'Rates in Detail'!L36</f>
        <v>5.1799999999999997E-3</v>
      </c>
      <c r="P32" s="623">
        <f>'Rates in Detail'!P36</f>
        <v>-4.2000000000000002E-4</v>
      </c>
      <c r="Q32" s="623">
        <f>'Rates in Detail'!Q36</f>
        <v>0</v>
      </c>
      <c r="R32" s="249">
        <f t="shared" si="1"/>
        <v>4.7599999999999995E-3</v>
      </c>
      <c r="S32" s="619">
        <f>'Rates in Detail'!S36</f>
        <v>-7.6000000000000004E-4</v>
      </c>
      <c r="T32" s="623">
        <f>'Rates in Detail'!T36</f>
        <v>-4.0000000000000002E-4</v>
      </c>
      <c r="U32" s="623">
        <f>'Rates in Detail'!U36</f>
        <v>1.3999999999999999E-4</v>
      </c>
      <c r="V32" s="1317">
        <f t="shared" si="2"/>
        <v>3.739999999999999E-3</v>
      </c>
      <c r="W32" s="612"/>
      <c r="X32" s="113">
        <f>'[25]Rates in detail'!AC34</f>
        <v>2.0920000000000077E-2</v>
      </c>
      <c r="Y32" s="113"/>
      <c r="Z32" s="113">
        <f>'[25]Rates in detail'!AD34</f>
        <v>0</v>
      </c>
      <c r="AA32" s="113">
        <f>'[25]Rates in detail'!AE34</f>
        <v>0.34872999999999998</v>
      </c>
      <c r="AB32" s="113">
        <f>'[25]Rates in detail'!AF34</f>
        <v>5.0699999999999929E-3</v>
      </c>
      <c r="AC32" s="343">
        <f t="shared" si="3"/>
        <v>0.37472000000000005</v>
      </c>
      <c r="AD32" s="1594"/>
      <c r="AE32" s="113">
        <f t="shared" si="4"/>
        <v>2.5680000000000078E-2</v>
      </c>
      <c r="AF32" s="113"/>
      <c r="AG32" s="113">
        <f t="shared" si="5"/>
        <v>0</v>
      </c>
      <c r="AH32" s="113">
        <f t="shared" si="6"/>
        <v>0.34872999999999998</v>
      </c>
      <c r="AI32" s="113">
        <f t="shared" si="7"/>
        <v>4.0499999999999928E-3</v>
      </c>
      <c r="AJ32" s="1604">
        <f t="shared" si="8"/>
        <v>0.37846000000000007</v>
      </c>
      <c r="AK32" s="1595"/>
      <c r="AL32" s="113">
        <f>'Rates in Detail'!AC36</f>
        <v>2.8800000000000002E-3</v>
      </c>
      <c r="AM32" s="113">
        <f>'Rates in Detail'!AD36</f>
        <v>-4.0000000000000003E-5</v>
      </c>
      <c r="AN32" s="113">
        <f>'Rates in Detail'!AE36</f>
        <v>-7.6000000000000004E-4</v>
      </c>
      <c r="AO32" s="113">
        <f>'Rates in Detail'!AF36</f>
        <v>-4.0000000000000002E-4</v>
      </c>
      <c r="AP32" s="1802">
        <f t="shared" si="9"/>
        <v>1.6800000000000003E-3</v>
      </c>
      <c r="AQ32" s="130"/>
      <c r="AR32" s="1680">
        <v>2.5680000000000106E-2</v>
      </c>
      <c r="AS32" s="1680"/>
      <c r="AT32" s="1680">
        <v>0</v>
      </c>
      <c r="AU32" s="1680">
        <v>0.46972000000000003</v>
      </c>
      <c r="AV32" s="1680">
        <v>0.12000999999999999</v>
      </c>
      <c r="AW32" s="343">
        <f t="shared" si="10"/>
        <v>0.61541000000000012</v>
      </c>
      <c r="AY32" s="1797">
        <f t="shared" si="18"/>
        <v>2.8560000000000106E-2</v>
      </c>
      <c r="AZ32" s="113">
        <f t="shared" si="12"/>
        <v>0</v>
      </c>
      <c r="BA32" s="113">
        <f t="shared" si="13"/>
        <v>0</v>
      </c>
      <c r="BB32" s="113">
        <f t="shared" si="14"/>
        <v>0.46972000000000003</v>
      </c>
      <c r="BC32" s="113">
        <f t="shared" si="15"/>
        <v>0.11880999999999999</v>
      </c>
      <c r="BD32" s="113">
        <f>'Rates in summary'!V37</f>
        <v>0</v>
      </c>
      <c r="BE32" s="338">
        <f t="shared" si="16"/>
        <v>0.61709000000000014</v>
      </c>
      <c r="BF32" s="100"/>
      <c r="BG32" s="100">
        <f>BE32-'Rates in Detail'!AN36</f>
        <v>0</v>
      </c>
      <c r="BH32" s="100"/>
    </row>
    <row r="33" spans="2:60" x14ac:dyDescent="0.3">
      <c r="B33" s="109">
        <f t="shared" si="17"/>
        <v>25</v>
      </c>
      <c r="C33" s="884" t="str">
        <f>'WA Volumes &amp; Revenues'!B39</f>
        <v>42I Firm Sales</v>
      </c>
      <c r="D33" s="884" t="s">
        <v>4</v>
      </c>
      <c r="E33" s="114">
        <v>10000</v>
      </c>
      <c r="F33" s="115">
        <f>'WA Volumes &amp; Revenues'!E39</f>
        <v>1093724.2000000002</v>
      </c>
      <c r="G33" s="115">
        <f>'WA Volumes &amp; Revenues'!H39</f>
        <v>11.916666666666666</v>
      </c>
      <c r="H33" s="890">
        <f>'WA Volumes &amp; Revenues'!O39</f>
        <v>1300</v>
      </c>
      <c r="I33" s="891">
        <f>'WA Volumes &amp; Revenues'!N39</f>
        <v>1300</v>
      </c>
      <c r="J33" s="620">
        <f>'Rates in Detail'!E37</f>
        <v>0.14721000000000001</v>
      </c>
      <c r="K33" s="622">
        <f>'Rates in Detail'!H37</f>
        <v>0</v>
      </c>
      <c r="L33" s="622">
        <f>'Rates in Detail'!F37</f>
        <v>0.26333000000000001</v>
      </c>
      <c r="M33" s="622">
        <f>'Rates in Detail'!I37</f>
        <v>-4.6100000000000012E-3</v>
      </c>
      <c r="N33" s="136">
        <f t="shared" si="0"/>
        <v>0.40593000000000001</v>
      </c>
      <c r="O33" s="620">
        <f>'Rates in Detail'!L37</f>
        <v>1.6219999999999998E-2</v>
      </c>
      <c r="P33" s="622">
        <f>'Rates in Detail'!P37</f>
        <v>-2.7499999999999998E-3</v>
      </c>
      <c r="Q33" s="622">
        <f>'Rates in Detail'!Q37</f>
        <v>0</v>
      </c>
      <c r="R33" s="250">
        <f t="shared" si="1"/>
        <v>1.3469999999999999E-2</v>
      </c>
      <c r="S33" s="620">
        <f>'Rates in Detail'!S37</f>
        <v>0</v>
      </c>
      <c r="T33" s="622">
        <f>'Rates in Detail'!T37</f>
        <v>-2.47E-3</v>
      </c>
      <c r="U33" s="622">
        <f>'Rates in Detail'!U37</f>
        <v>8.7000000000000001E-4</v>
      </c>
      <c r="V33" s="1318">
        <f t="shared" si="2"/>
        <v>1.1869999999999999E-2</v>
      </c>
      <c r="W33" s="612"/>
      <c r="X33" s="116">
        <f>'[25]Rates in detail'!AC35</f>
        <v>0.14720999999999995</v>
      </c>
      <c r="Y33" s="116"/>
      <c r="Z33" s="116">
        <f>'[25]Rates in detail'!AD35</f>
        <v>0</v>
      </c>
      <c r="AA33" s="116">
        <f>'[25]Rates in detail'!AE35</f>
        <v>0.34872999999999998</v>
      </c>
      <c r="AB33" s="116">
        <f>'[25]Rates in detail'!AF35</f>
        <v>5.6599999999999932E-3</v>
      </c>
      <c r="AC33" s="344">
        <f t="shared" si="3"/>
        <v>0.50159999999999993</v>
      </c>
      <c r="AD33" s="1594"/>
      <c r="AE33" s="1573">
        <f t="shared" si="4"/>
        <v>0.16067999999999996</v>
      </c>
      <c r="AF33" s="1573"/>
      <c r="AG33" s="1573">
        <f t="shared" si="5"/>
        <v>0</v>
      </c>
      <c r="AH33" s="1573">
        <f t="shared" si="6"/>
        <v>0.34872999999999998</v>
      </c>
      <c r="AI33" s="1573">
        <f t="shared" si="7"/>
        <v>4.0599999999999933E-3</v>
      </c>
      <c r="AJ33" s="1608">
        <f t="shared" si="8"/>
        <v>0.51346999999999987</v>
      </c>
      <c r="AK33" s="1595"/>
      <c r="AL33" s="116">
        <f>'Rates in Detail'!AC37</f>
        <v>6.1399999999999996E-3</v>
      </c>
      <c r="AM33" s="116">
        <f>'Rates in Detail'!AD37</f>
        <v>-2.4000000000000001E-4</v>
      </c>
      <c r="AN33" s="116">
        <f>'Rates in Detail'!AE37</f>
        <v>0</v>
      </c>
      <c r="AO33" s="116">
        <f>'Rates in Detail'!AF37</f>
        <v>-2.3900000000000002E-3</v>
      </c>
      <c r="AP33" s="1803">
        <f t="shared" si="9"/>
        <v>3.5099999999999997E-3</v>
      </c>
      <c r="AQ33" s="130"/>
      <c r="AR33" s="1682">
        <v>0.16067999999999999</v>
      </c>
      <c r="AS33" s="1682"/>
      <c r="AT33" s="1682">
        <v>0</v>
      </c>
      <c r="AU33" s="1682">
        <v>0.46972000000000003</v>
      </c>
      <c r="AV33" s="1682">
        <v>0.12069999999999999</v>
      </c>
      <c r="AW33" s="344">
        <f t="shared" si="10"/>
        <v>0.7511000000000001</v>
      </c>
      <c r="AY33" s="1798">
        <f t="shared" si="18"/>
        <v>0.16682</v>
      </c>
      <c r="AZ33" s="116">
        <f t="shared" si="12"/>
        <v>0</v>
      </c>
      <c r="BA33" s="116">
        <f t="shared" si="13"/>
        <v>0</v>
      </c>
      <c r="BB33" s="116">
        <f t="shared" si="14"/>
        <v>0.46972000000000003</v>
      </c>
      <c r="BC33" s="116">
        <f t="shared" si="15"/>
        <v>0.11806999999999998</v>
      </c>
      <c r="BD33" s="116">
        <f>'Rates in summary'!V38</f>
        <v>0</v>
      </c>
      <c r="BE33" s="339">
        <f t="shared" si="16"/>
        <v>0.75461</v>
      </c>
      <c r="BF33" s="100"/>
      <c r="BG33" s="100">
        <f>BE33-'Rates in Detail'!AN37</f>
        <v>0</v>
      </c>
      <c r="BH33" s="100"/>
    </row>
    <row r="34" spans="2:60" x14ac:dyDescent="0.3">
      <c r="B34" s="109">
        <f t="shared" si="17"/>
        <v>26</v>
      </c>
      <c r="C34" s="884"/>
      <c r="D34" s="884" t="s">
        <v>5</v>
      </c>
      <c r="E34" s="114">
        <v>20000</v>
      </c>
      <c r="F34" s="115">
        <f>'WA Volumes &amp; Revenues'!E40</f>
        <v>655939.80000000005</v>
      </c>
      <c r="G34" s="115"/>
      <c r="H34" s="890"/>
      <c r="I34" s="891"/>
      <c r="J34" s="620">
        <f>'Rates in Detail'!E38</f>
        <v>0.13177</v>
      </c>
      <c r="K34" s="622">
        <f>'Rates in Detail'!H38</f>
        <v>0</v>
      </c>
      <c r="L34" s="622">
        <f>'Rates in Detail'!F38</f>
        <v>0.26333000000000001</v>
      </c>
      <c r="M34" s="622">
        <f>'Rates in Detail'!I38</f>
        <v>-5.1100000000000008E-3</v>
      </c>
      <c r="N34" s="136">
        <f t="shared" si="0"/>
        <v>0.38999</v>
      </c>
      <c r="O34" s="620">
        <f>'Rates in Detail'!L38</f>
        <v>1.452E-2</v>
      </c>
      <c r="P34" s="622">
        <f>'Rates in Detail'!P38</f>
        <v>-2.4599999999999999E-3</v>
      </c>
      <c r="Q34" s="622">
        <f>'Rates in Detail'!Q38</f>
        <v>0</v>
      </c>
      <c r="R34" s="250">
        <f t="shared" si="1"/>
        <v>1.206E-2</v>
      </c>
      <c r="S34" s="620">
        <f>'Rates in Detail'!S38</f>
        <v>0</v>
      </c>
      <c r="T34" s="622">
        <f>'Rates in Detail'!T38</f>
        <v>-2.2200000000000002E-3</v>
      </c>
      <c r="U34" s="622">
        <f>'Rates in Detail'!U38</f>
        <v>7.7999999999999999E-4</v>
      </c>
      <c r="V34" s="1318">
        <f t="shared" si="2"/>
        <v>1.0619999999999999E-2</v>
      </c>
      <c r="W34" s="612"/>
      <c r="X34" s="116">
        <f>'[25]Rates in detail'!AC36</f>
        <v>0.13177000000000003</v>
      </c>
      <c r="Y34" s="116"/>
      <c r="Z34" s="116">
        <f>'[25]Rates in detail'!AD36</f>
        <v>0</v>
      </c>
      <c r="AA34" s="116">
        <f>'[25]Rates in detail'!AE36</f>
        <v>0.34872999999999998</v>
      </c>
      <c r="AB34" s="116">
        <f>'[25]Rates in detail'!AF36</f>
        <v>5.1199999999999943E-3</v>
      </c>
      <c r="AC34" s="344">
        <f t="shared" si="3"/>
        <v>0.48562000000000005</v>
      </c>
      <c r="AD34" s="1594"/>
      <c r="AE34" s="116">
        <f t="shared" si="4"/>
        <v>0.14383000000000004</v>
      </c>
      <c r="AF34" s="116"/>
      <c r="AG34" s="116">
        <f t="shared" si="5"/>
        <v>0</v>
      </c>
      <c r="AH34" s="116">
        <f t="shared" si="6"/>
        <v>0.34872999999999998</v>
      </c>
      <c r="AI34" s="116">
        <f t="shared" si="7"/>
        <v>3.679999999999994E-3</v>
      </c>
      <c r="AJ34" s="1609">
        <f t="shared" si="8"/>
        <v>0.49624000000000001</v>
      </c>
      <c r="AK34" s="1595"/>
      <c r="AL34" s="116">
        <f>'Rates in Detail'!AC38</f>
        <v>5.4999999999999997E-3</v>
      </c>
      <c r="AM34" s="116">
        <f>'Rates in Detail'!AD38</f>
        <v>-2.2000000000000001E-4</v>
      </c>
      <c r="AN34" s="116">
        <f>'Rates in Detail'!AE38</f>
        <v>0</v>
      </c>
      <c r="AO34" s="116">
        <f>'Rates in Detail'!AF38</f>
        <v>-2.14E-3</v>
      </c>
      <c r="AP34" s="1803">
        <f t="shared" si="9"/>
        <v>3.14E-3</v>
      </c>
      <c r="AQ34" s="130"/>
      <c r="AR34" s="1682">
        <v>0.14383000000000007</v>
      </c>
      <c r="AS34" s="1682"/>
      <c r="AT34" s="1682">
        <v>0</v>
      </c>
      <c r="AU34" s="1682">
        <v>0.46972000000000003</v>
      </c>
      <c r="AV34" s="1682">
        <v>0.12030999999999999</v>
      </c>
      <c r="AW34" s="344">
        <f t="shared" si="10"/>
        <v>0.73386000000000007</v>
      </c>
      <c r="AY34" s="1798">
        <f t="shared" si="18"/>
        <v>0.14933000000000007</v>
      </c>
      <c r="AZ34" s="116">
        <f t="shared" si="12"/>
        <v>0</v>
      </c>
      <c r="BA34" s="116">
        <f t="shared" si="13"/>
        <v>0</v>
      </c>
      <c r="BB34" s="116">
        <f t="shared" si="14"/>
        <v>0.46972000000000003</v>
      </c>
      <c r="BC34" s="116">
        <f t="shared" si="15"/>
        <v>0.11794999999999999</v>
      </c>
      <c r="BD34" s="116">
        <f>'Rates in summary'!V39</f>
        <v>0</v>
      </c>
      <c r="BE34" s="339">
        <f t="shared" si="16"/>
        <v>0.7370000000000001</v>
      </c>
      <c r="BF34" s="100"/>
      <c r="BG34" s="100">
        <f>BE34-'Rates in Detail'!AN38</f>
        <v>0</v>
      </c>
      <c r="BH34" s="100"/>
    </row>
    <row r="35" spans="2:60" x14ac:dyDescent="0.3">
      <c r="B35" s="109">
        <f t="shared" si="17"/>
        <v>27</v>
      </c>
      <c r="C35" s="884"/>
      <c r="D35" s="884" t="s">
        <v>6</v>
      </c>
      <c r="E35" s="114">
        <v>20000</v>
      </c>
      <c r="F35" s="115">
        <f>'WA Volumes &amp; Revenues'!E41</f>
        <v>81241.3</v>
      </c>
      <c r="G35" s="115"/>
      <c r="H35" s="890"/>
      <c r="I35" s="891"/>
      <c r="J35" s="620">
        <f>'Rates in Detail'!E39</f>
        <v>0.10104999999999985</v>
      </c>
      <c r="K35" s="622">
        <f>'Rates in Detail'!H39</f>
        <v>0</v>
      </c>
      <c r="L35" s="622">
        <f>'Rates in Detail'!F39</f>
        <v>0.26333000000000001</v>
      </c>
      <c r="M35" s="622">
        <f>'Rates in Detail'!I39</f>
        <v>-6.0700000000000007E-3</v>
      </c>
      <c r="N35" s="136">
        <f t="shared" si="0"/>
        <v>0.35830999999999985</v>
      </c>
      <c r="O35" s="620">
        <f>'Rates in Detail'!L39</f>
        <v>1.1129999999999999E-2</v>
      </c>
      <c r="P35" s="622">
        <f>'Rates in Detail'!P39</f>
        <v>-1.89E-3</v>
      </c>
      <c r="Q35" s="622">
        <f>'Rates in Detail'!Q39</f>
        <v>0</v>
      </c>
      <c r="R35" s="250">
        <f t="shared" si="1"/>
        <v>9.2399999999999999E-3</v>
      </c>
      <c r="S35" s="620">
        <f>'Rates in Detail'!S39</f>
        <v>0</v>
      </c>
      <c r="T35" s="622">
        <f>'Rates in Detail'!T39</f>
        <v>-1.6999999999999999E-3</v>
      </c>
      <c r="U35" s="622">
        <f>'Rates in Detail'!U39</f>
        <v>5.9999999999999995E-4</v>
      </c>
      <c r="V35" s="1318">
        <f t="shared" si="2"/>
        <v>8.1399999999999997E-3</v>
      </c>
      <c r="W35" s="612"/>
      <c r="X35" s="116">
        <f>'[25]Rates in detail'!AC37</f>
        <v>0.10104999999999983</v>
      </c>
      <c r="Y35" s="116"/>
      <c r="Z35" s="116">
        <f>'[25]Rates in detail'!AD37</f>
        <v>0</v>
      </c>
      <c r="AA35" s="116">
        <f>'[25]Rates in detail'!AE37</f>
        <v>0.34872999999999998</v>
      </c>
      <c r="AB35" s="116">
        <f>'[25]Rates in detail'!AF37</f>
        <v>4.0199999999999932E-3</v>
      </c>
      <c r="AC35" s="344">
        <f t="shared" si="3"/>
        <v>0.45379999999999981</v>
      </c>
      <c r="AD35" s="1594"/>
      <c r="AE35" s="116">
        <f t="shared" si="4"/>
        <v>0.11028999999999983</v>
      </c>
      <c r="AF35" s="116"/>
      <c r="AG35" s="116">
        <f t="shared" si="5"/>
        <v>0</v>
      </c>
      <c r="AH35" s="116">
        <f t="shared" si="6"/>
        <v>0.34872999999999998</v>
      </c>
      <c r="AI35" s="116">
        <f t="shared" si="7"/>
        <v>2.9199999999999929E-3</v>
      </c>
      <c r="AJ35" s="1609">
        <f t="shared" si="8"/>
        <v>0.4619399999999998</v>
      </c>
      <c r="AK35" s="1595"/>
      <c r="AL35" s="116">
        <f>'Rates in Detail'!AC39</f>
        <v>4.2199999999999998E-3</v>
      </c>
      <c r="AM35" s="116">
        <f>'Rates in Detail'!AD39</f>
        <v>-1.7000000000000001E-4</v>
      </c>
      <c r="AN35" s="116">
        <f>'Rates in Detail'!AE39</f>
        <v>0</v>
      </c>
      <c r="AO35" s="116">
        <f>'Rates in Detail'!AF39</f>
        <v>-1.64E-3</v>
      </c>
      <c r="AP35" s="1803">
        <f t="shared" si="9"/>
        <v>2.4099999999999998E-3</v>
      </c>
      <c r="AQ35" s="130"/>
      <c r="AR35" s="1682">
        <v>0.11028999999999979</v>
      </c>
      <c r="AS35" s="1682"/>
      <c r="AT35" s="1682">
        <v>0</v>
      </c>
      <c r="AU35" s="1682">
        <v>0.46972000000000003</v>
      </c>
      <c r="AV35" s="1682">
        <v>0.11955999999999999</v>
      </c>
      <c r="AW35" s="344">
        <f t="shared" si="10"/>
        <v>0.6995699999999998</v>
      </c>
      <c r="AY35" s="1798">
        <f t="shared" si="18"/>
        <v>0.11450999999999979</v>
      </c>
      <c r="AZ35" s="116">
        <f t="shared" si="12"/>
        <v>0</v>
      </c>
      <c r="BA35" s="116">
        <f t="shared" si="13"/>
        <v>0</v>
      </c>
      <c r="BB35" s="116">
        <f t="shared" si="14"/>
        <v>0.46972000000000003</v>
      </c>
      <c r="BC35" s="116">
        <f t="shared" si="15"/>
        <v>0.11774999999999998</v>
      </c>
      <c r="BD35" s="116">
        <f>'Rates in summary'!V40</f>
        <v>0</v>
      </c>
      <c r="BE35" s="339">
        <f t="shared" si="16"/>
        <v>0.70197999999999983</v>
      </c>
      <c r="BF35" s="100"/>
      <c r="BG35" s="100">
        <f>BE35-'Rates in Detail'!AN39</f>
        <v>0</v>
      </c>
      <c r="BH35" s="100"/>
    </row>
    <row r="36" spans="2:60" x14ac:dyDescent="0.3">
      <c r="B36" s="109">
        <f t="shared" si="17"/>
        <v>28</v>
      </c>
      <c r="C36" s="884"/>
      <c r="D36" s="884" t="s">
        <v>7</v>
      </c>
      <c r="E36" s="114">
        <v>100000</v>
      </c>
      <c r="F36" s="115">
        <f>'WA Volumes &amp; Revenues'!E42</f>
        <v>9320.1</v>
      </c>
      <c r="G36" s="115"/>
      <c r="H36" s="890"/>
      <c r="I36" s="891"/>
      <c r="J36" s="620">
        <f>'Rates in Detail'!E40</f>
        <v>8.0839999999999995E-2</v>
      </c>
      <c r="K36" s="622">
        <f>'Rates in Detail'!H40</f>
        <v>0</v>
      </c>
      <c r="L36" s="622">
        <f>'Rates in Detail'!F40</f>
        <v>0.26333000000000001</v>
      </c>
      <c r="M36" s="622">
        <f>'Rates in Detail'!I40</f>
        <v>-6.7300000000000007E-3</v>
      </c>
      <c r="N36" s="136">
        <f t="shared" si="0"/>
        <v>0.33743999999999996</v>
      </c>
      <c r="O36" s="620">
        <f>'Rates in Detail'!L40</f>
        <v>8.9099999999999995E-3</v>
      </c>
      <c r="P36" s="622">
        <f>'Rates in Detail'!P40</f>
        <v>-1.5100000000000001E-3</v>
      </c>
      <c r="Q36" s="622">
        <f>'Rates in Detail'!Q40</f>
        <v>0</v>
      </c>
      <c r="R36" s="250">
        <f t="shared" si="1"/>
        <v>7.3999999999999995E-3</v>
      </c>
      <c r="S36" s="620">
        <f>'Rates in Detail'!S40</f>
        <v>0</v>
      </c>
      <c r="T36" s="622">
        <f>'Rates in Detail'!T40</f>
        <v>-1.3600000000000001E-3</v>
      </c>
      <c r="U36" s="622">
        <f>'Rates in Detail'!U40</f>
        <v>4.8000000000000001E-4</v>
      </c>
      <c r="V36" s="1318">
        <f t="shared" si="2"/>
        <v>6.5199999999999998E-3</v>
      </c>
      <c r="W36" s="612"/>
      <c r="X36" s="116">
        <f>'[25]Rates in detail'!AC38</f>
        <v>8.0840000000000162E-2</v>
      </c>
      <c r="Y36" s="116"/>
      <c r="Z36" s="116">
        <f>'[25]Rates in detail'!AD38</f>
        <v>0</v>
      </c>
      <c r="AA36" s="116">
        <f>'[25]Rates in detail'!AE38</f>
        <v>0.34872999999999998</v>
      </c>
      <c r="AB36" s="116">
        <f>'[25]Rates in detail'!AF38</f>
        <v>3.2899999999999935E-3</v>
      </c>
      <c r="AC36" s="344">
        <f t="shared" si="3"/>
        <v>0.43286000000000013</v>
      </c>
      <c r="AD36" s="1594"/>
      <c r="AE36" s="116">
        <f t="shared" si="4"/>
        <v>8.8240000000000166E-2</v>
      </c>
      <c r="AF36" s="116"/>
      <c r="AG36" s="116">
        <f t="shared" si="5"/>
        <v>0</v>
      </c>
      <c r="AH36" s="116">
        <f t="shared" si="6"/>
        <v>0.34872999999999998</v>
      </c>
      <c r="AI36" s="116">
        <f t="shared" si="7"/>
        <v>2.4099999999999933E-3</v>
      </c>
      <c r="AJ36" s="1609">
        <f t="shared" si="8"/>
        <v>0.4393800000000001</v>
      </c>
      <c r="AK36" s="1595"/>
      <c r="AL36" s="116">
        <f>'Rates in Detail'!AC40</f>
        <v>3.3700000000000002E-3</v>
      </c>
      <c r="AM36" s="116">
        <f>'Rates in Detail'!AD40</f>
        <v>-1.2999999999999999E-4</v>
      </c>
      <c r="AN36" s="116">
        <f>'Rates in Detail'!AE40</f>
        <v>0</v>
      </c>
      <c r="AO36" s="116">
        <f>'Rates in Detail'!AF40</f>
        <v>-1.31E-3</v>
      </c>
      <c r="AP36" s="1803">
        <f t="shared" si="9"/>
        <v>1.9300000000000003E-3</v>
      </c>
      <c r="AQ36" s="130"/>
      <c r="AR36" s="1682">
        <v>8.8240000000000055E-2</v>
      </c>
      <c r="AS36" s="1682"/>
      <c r="AT36" s="1682">
        <v>0</v>
      </c>
      <c r="AU36" s="1682">
        <v>0.46972000000000003</v>
      </c>
      <c r="AV36" s="1682">
        <v>0.11905999999999999</v>
      </c>
      <c r="AW36" s="344">
        <f t="shared" si="10"/>
        <v>0.67702000000000007</v>
      </c>
      <c r="AY36" s="1798">
        <f t="shared" si="18"/>
        <v>9.1610000000000053E-2</v>
      </c>
      <c r="AZ36" s="116">
        <f t="shared" si="12"/>
        <v>0</v>
      </c>
      <c r="BA36" s="116">
        <f t="shared" si="13"/>
        <v>0</v>
      </c>
      <c r="BB36" s="116">
        <f t="shared" si="14"/>
        <v>0.46972000000000003</v>
      </c>
      <c r="BC36" s="116">
        <f t="shared" si="15"/>
        <v>0.11761999999999999</v>
      </c>
      <c r="BD36" s="116">
        <f>'Rates in summary'!V41</f>
        <v>0</v>
      </c>
      <c r="BE36" s="339">
        <f t="shared" si="16"/>
        <v>0.67895000000000005</v>
      </c>
      <c r="BF36" s="100"/>
      <c r="BG36" s="100">
        <f>BE36-'Rates in Detail'!AN40</f>
        <v>0</v>
      </c>
      <c r="BH36" s="100"/>
    </row>
    <row r="37" spans="2:60" x14ac:dyDescent="0.3">
      <c r="B37" s="109">
        <f t="shared" si="17"/>
        <v>29</v>
      </c>
      <c r="C37" s="884"/>
      <c r="D37" s="884" t="s">
        <v>8</v>
      </c>
      <c r="E37" s="114">
        <v>600000</v>
      </c>
      <c r="F37" s="115">
        <f>'WA Volumes &amp; Revenues'!E43</f>
        <v>0</v>
      </c>
      <c r="G37" s="115"/>
      <c r="H37" s="890"/>
      <c r="I37" s="891"/>
      <c r="J37" s="620">
        <f>'Rates in Detail'!E41</f>
        <v>5.391E-2</v>
      </c>
      <c r="K37" s="622">
        <f>'Rates in Detail'!H41</f>
        <v>0</v>
      </c>
      <c r="L37" s="622">
        <f>'Rates in Detail'!F41</f>
        <v>0.26333000000000001</v>
      </c>
      <c r="M37" s="622">
        <f>'Rates in Detail'!I41</f>
        <v>-7.5900000000000004E-3</v>
      </c>
      <c r="N37" s="136">
        <f t="shared" si="0"/>
        <v>0.30965000000000004</v>
      </c>
      <c r="O37" s="620">
        <f>'Rates in Detail'!L41</f>
        <v>5.94E-3</v>
      </c>
      <c r="P37" s="622">
        <f>'Rates in Detail'!P41</f>
        <v>-1.01E-3</v>
      </c>
      <c r="Q37" s="622">
        <f>'Rates in Detail'!Q41</f>
        <v>0</v>
      </c>
      <c r="R37" s="250">
        <f t="shared" si="1"/>
        <v>4.9300000000000004E-3</v>
      </c>
      <c r="S37" s="620">
        <f>'Rates in Detail'!S41</f>
        <v>0</v>
      </c>
      <c r="T37" s="622">
        <f>'Rates in Detail'!T41</f>
        <v>-9.1E-4</v>
      </c>
      <c r="U37" s="622">
        <f>'Rates in Detail'!U41</f>
        <v>3.2000000000000003E-4</v>
      </c>
      <c r="V37" s="1318">
        <f t="shared" si="2"/>
        <v>4.3400000000000001E-3</v>
      </c>
      <c r="W37" s="612"/>
      <c r="X37" s="116">
        <f>'[25]Rates in detail'!AC39</f>
        <v>5.3910000000000194E-2</v>
      </c>
      <c r="Y37" s="116"/>
      <c r="Z37" s="116">
        <f>'[25]Rates in detail'!AD39</f>
        <v>0</v>
      </c>
      <c r="AA37" s="116">
        <f>'[25]Rates in detail'!AE39</f>
        <v>0.34872999999999998</v>
      </c>
      <c r="AB37" s="116">
        <f>'[25]Rates in detail'!AF39</f>
        <v>2.339999999999994E-3</v>
      </c>
      <c r="AC37" s="344">
        <f t="shared" si="3"/>
        <v>0.40498000000000017</v>
      </c>
      <c r="AD37" s="1594"/>
      <c r="AE37" s="116">
        <f t="shared" si="4"/>
        <v>5.8840000000000198E-2</v>
      </c>
      <c r="AF37" s="116"/>
      <c r="AG37" s="116">
        <f t="shared" si="5"/>
        <v>0</v>
      </c>
      <c r="AH37" s="116">
        <f t="shared" si="6"/>
        <v>0.34872999999999998</v>
      </c>
      <c r="AI37" s="116">
        <f t="shared" si="7"/>
        <v>1.749999999999994E-3</v>
      </c>
      <c r="AJ37" s="1609">
        <f t="shared" si="8"/>
        <v>0.40932000000000018</v>
      </c>
      <c r="AK37" s="1595"/>
      <c r="AL37" s="116">
        <f>'Rates in Detail'!AC41</f>
        <v>2.2499999999999998E-3</v>
      </c>
      <c r="AM37" s="116">
        <f>'Rates in Detail'!AD41</f>
        <v>-9.0000000000000006E-5</v>
      </c>
      <c r="AN37" s="116">
        <f>'Rates in Detail'!AE41</f>
        <v>0</v>
      </c>
      <c r="AO37" s="116">
        <f>'Rates in Detail'!AF41</f>
        <v>-8.8000000000000003E-4</v>
      </c>
      <c r="AP37" s="1803">
        <f t="shared" si="9"/>
        <v>1.2799999999999999E-3</v>
      </c>
      <c r="AQ37" s="130"/>
      <c r="AR37" s="1682">
        <v>5.8840000000000184E-2</v>
      </c>
      <c r="AS37" s="1682"/>
      <c r="AT37" s="1682">
        <v>0</v>
      </c>
      <c r="AU37" s="1682">
        <v>0.46972000000000003</v>
      </c>
      <c r="AV37" s="1682">
        <v>0.11839999999999999</v>
      </c>
      <c r="AW37" s="344">
        <f t="shared" si="10"/>
        <v>0.6469600000000002</v>
      </c>
      <c r="AY37" s="1798">
        <f t="shared" si="18"/>
        <v>6.1090000000000186E-2</v>
      </c>
      <c r="AZ37" s="116">
        <f t="shared" si="12"/>
        <v>0</v>
      </c>
      <c r="BA37" s="116">
        <f t="shared" si="13"/>
        <v>0</v>
      </c>
      <c r="BB37" s="116">
        <f t="shared" si="14"/>
        <v>0.46972000000000003</v>
      </c>
      <c r="BC37" s="116">
        <f t="shared" si="15"/>
        <v>0.11742999999999999</v>
      </c>
      <c r="BD37" s="116">
        <f>'Rates in summary'!V42</f>
        <v>0</v>
      </c>
      <c r="BE37" s="339">
        <f t="shared" si="16"/>
        <v>0.64824000000000026</v>
      </c>
      <c r="BF37" s="100"/>
      <c r="BG37" s="100">
        <f>BE37-'Rates in Detail'!AN41</f>
        <v>0</v>
      </c>
      <c r="BH37" s="100"/>
    </row>
    <row r="38" spans="2:60" x14ac:dyDescent="0.3">
      <c r="B38" s="109">
        <f t="shared" si="17"/>
        <v>30</v>
      </c>
      <c r="C38" s="882"/>
      <c r="D38" s="882" t="s">
        <v>9</v>
      </c>
      <c r="E38" s="111" t="s">
        <v>72</v>
      </c>
      <c r="F38" s="112">
        <f>'WA Volumes &amp; Revenues'!E44</f>
        <v>0</v>
      </c>
      <c r="G38" s="112"/>
      <c r="H38" s="885"/>
      <c r="I38" s="887"/>
      <c r="J38" s="619">
        <f>'Rates in Detail'!E42</f>
        <v>2.0199999999999999E-2</v>
      </c>
      <c r="K38" s="623">
        <f>'Rates in Detail'!H42</f>
        <v>0</v>
      </c>
      <c r="L38" s="623">
        <f>'Rates in Detail'!F42</f>
        <v>0.26333000000000001</v>
      </c>
      <c r="M38" s="623">
        <f>'Rates in Detail'!I42</f>
        <v>-8.6700000000000006E-3</v>
      </c>
      <c r="N38" s="134">
        <f t="shared" si="0"/>
        <v>0.27485999999999999</v>
      </c>
      <c r="O38" s="619">
        <f>'Rates in Detail'!L42</f>
        <v>2.2300000000000002E-3</v>
      </c>
      <c r="P38" s="623">
        <f>'Rates in Detail'!P42</f>
        <v>-3.8000000000000002E-4</v>
      </c>
      <c r="Q38" s="623">
        <f>'Rates in Detail'!Q42</f>
        <v>0</v>
      </c>
      <c r="R38" s="249">
        <f t="shared" si="1"/>
        <v>1.8500000000000001E-3</v>
      </c>
      <c r="S38" s="619">
        <f>'Rates in Detail'!S42</f>
        <v>0</v>
      </c>
      <c r="T38" s="623">
        <f>'Rates in Detail'!T42</f>
        <v>-3.4000000000000002E-4</v>
      </c>
      <c r="U38" s="623">
        <f>'Rates in Detail'!U42</f>
        <v>1.2E-4</v>
      </c>
      <c r="V38" s="1317">
        <f t="shared" si="2"/>
        <v>1.6300000000000002E-3</v>
      </c>
      <c r="W38" s="612"/>
      <c r="X38" s="113">
        <f>'[25]Rates in detail'!AC40</f>
        <v>2.0199999999999919E-2</v>
      </c>
      <c r="Y38" s="113"/>
      <c r="Z38" s="113">
        <f>'[25]Rates in detail'!AD40</f>
        <v>0</v>
      </c>
      <c r="AA38" s="113">
        <f>'[25]Rates in detail'!AE40</f>
        <v>0.34872999999999998</v>
      </c>
      <c r="AB38" s="113">
        <f>'[25]Rates in detail'!AF40</f>
        <v>1.1399999999999937E-3</v>
      </c>
      <c r="AC38" s="343">
        <f t="shared" si="3"/>
        <v>0.3700699999999999</v>
      </c>
      <c r="AD38" s="1594"/>
      <c r="AE38" s="113">
        <f t="shared" si="4"/>
        <v>2.204999999999992E-2</v>
      </c>
      <c r="AF38" s="113"/>
      <c r="AG38" s="113">
        <f t="shared" si="5"/>
        <v>0</v>
      </c>
      <c r="AH38" s="113">
        <f t="shared" si="6"/>
        <v>0.34872999999999998</v>
      </c>
      <c r="AI38" s="113">
        <f t="shared" si="7"/>
        <v>9.1999999999999363E-4</v>
      </c>
      <c r="AJ38" s="1604">
        <f t="shared" si="8"/>
        <v>0.37169999999999986</v>
      </c>
      <c r="AK38" s="1595"/>
      <c r="AL38" s="113">
        <f>'Rates in Detail'!AC42</f>
        <v>8.4000000000000003E-4</v>
      </c>
      <c r="AM38" s="113">
        <f>'Rates in Detail'!AD42</f>
        <v>-3.0000000000000001E-5</v>
      </c>
      <c r="AN38" s="113">
        <f>'Rates in Detail'!AE42</f>
        <v>0</v>
      </c>
      <c r="AO38" s="113">
        <f>'Rates in Detail'!AF42</f>
        <v>-3.3E-4</v>
      </c>
      <c r="AP38" s="1802">
        <f t="shared" si="9"/>
        <v>4.8000000000000007E-4</v>
      </c>
      <c r="AQ38" s="130"/>
      <c r="AR38" s="1680">
        <v>2.2049999999999861E-2</v>
      </c>
      <c r="AS38" s="1680"/>
      <c r="AT38" s="1680">
        <v>0</v>
      </c>
      <c r="AU38" s="1680">
        <v>0.46972000000000003</v>
      </c>
      <c r="AV38" s="1680">
        <v>0.11756999999999999</v>
      </c>
      <c r="AW38" s="343">
        <f t="shared" si="10"/>
        <v>0.60933999999999988</v>
      </c>
      <c r="AY38" s="1797">
        <f t="shared" si="18"/>
        <v>2.2889999999999862E-2</v>
      </c>
      <c r="AZ38" s="113">
        <f t="shared" si="12"/>
        <v>0</v>
      </c>
      <c r="BA38" s="113">
        <f t="shared" si="13"/>
        <v>0</v>
      </c>
      <c r="BB38" s="113">
        <f t="shared" si="14"/>
        <v>0.46972000000000003</v>
      </c>
      <c r="BC38" s="113">
        <f t="shared" si="15"/>
        <v>0.11720999999999999</v>
      </c>
      <c r="BD38" s="113">
        <f>'Rates in summary'!V43</f>
        <v>0</v>
      </c>
      <c r="BE38" s="338">
        <f t="shared" si="16"/>
        <v>0.60981999999999992</v>
      </c>
      <c r="BF38" s="100"/>
      <c r="BG38" s="100">
        <f>BE38-'Rates in Detail'!AN42</f>
        <v>0</v>
      </c>
      <c r="BH38" s="100"/>
    </row>
    <row r="39" spans="2:60" x14ac:dyDescent="0.3">
      <c r="B39" s="109">
        <f t="shared" si="17"/>
        <v>31</v>
      </c>
      <c r="C39" s="884" t="str">
        <f>'WA Volumes &amp; Revenues'!B45</f>
        <v>42C Firm Transpt</v>
      </c>
      <c r="D39" s="884" t="s">
        <v>4</v>
      </c>
      <c r="E39" s="114">
        <v>10000</v>
      </c>
      <c r="F39" s="115">
        <f>'WA Volumes &amp; Revenues'!E45</f>
        <v>480000</v>
      </c>
      <c r="G39" s="115">
        <f>'WA Volumes &amp; Revenues'!H45</f>
        <v>4</v>
      </c>
      <c r="H39" s="890">
        <f>'WA Volumes &amp; Revenues'!O45</f>
        <v>1550</v>
      </c>
      <c r="I39" s="891">
        <f>'WA Volumes &amp; Revenues'!N45</f>
        <v>1550</v>
      </c>
      <c r="J39" s="620">
        <f>'Rates in Detail'!E43</f>
        <v>0.13791999999999999</v>
      </c>
      <c r="K39" s="622">
        <f>'Rates in Detail'!H43</f>
        <v>0</v>
      </c>
      <c r="L39" s="622">
        <f>'Rates in Detail'!F43</f>
        <v>0</v>
      </c>
      <c r="M39" s="622">
        <f>'Rates in Detail'!I43</f>
        <v>5.9999999999999995E-4</v>
      </c>
      <c r="N39" s="136">
        <f t="shared" si="0"/>
        <v>0.13851999999999998</v>
      </c>
      <c r="O39" s="620">
        <f>'Rates in Detail'!L43</f>
        <v>1.295E-2</v>
      </c>
      <c r="P39" s="622">
        <f>'Rates in Detail'!P43</f>
        <v>-1.75E-3</v>
      </c>
      <c r="Q39" s="622">
        <f>'Rates in Detail'!Q43</f>
        <v>0</v>
      </c>
      <c r="R39" s="250">
        <f t="shared" si="1"/>
        <v>1.12E-2</v>
      </c>
      <c r="S39" s="620">
        <f>'Rates in Detail'!S43</f>
        <v>0</v>
      </c>
      <c r="T39" s="622">
        <f>'Rates in Detail'!T43</f>
        <v>-1.5900000000000001E-3</v>
      </c>
      <c r="U39" s="622">
        <f>'Rates in Detail'!U43</f>
        <v>5.5999999999999995E-4</v>
      </c>
      <c r="V39" s="1318">
        <f t="shared" si="2"/>
        <v>1.017E-2</v>
      </c>
      <c r="W39" s="612"/>
      <c r="X39" s="116">
        <f>'[25]Rates in detail'!AC41</f>
        <v>0.13791999999999999</v>
      </c>
      <c r="Y39" s="116"/>
      <c r="Z39" s="116">
        <f>'[25]Rates in detail'!AD41</f>
        <v>0</v>
      </c>
      <c r="AA39" s="116">
        <f>'[25]Rates in detail'!AE41</f>
        <v>0</v>
      </c>
      <c r="AB39" s="116">
        <f>'[25]Rates in detail'!AF41</f>
        <v>1.5200000000000001E-3</v>
      </c>
      <c r="AC39" s="344">
        <f t="shared" si="3"/>
        <v>0.13943999999999998</v>
      </c>
      <c r="AD39" s="1594"/>
      <c r="AE39" s="1573">
        <f t="shared" si="4"/>
        <v>0.14911999999999997</v>
      </c>
      <c r="AF39" s="1573"/>
      <c r="AG39" s="1573">
        <f t="shared" si="5"/>
        <v>0</v>
      </c>
      <c r="AH39" s="1573">
        <f t="shared" si="6"/>
        <v>0</v>
      </c>
      <c r="AI39" s="1573">
        <f t="shared" si="7"/>
        <v>4.8999999999999998E-4</v>
      </c>
      <c r="AJ39" s="1608">
        <f t="shared" si="8"/>
        <v>0.14960999999999997</v>
      </c>
      <c r="AK39" s="1595"/>
      <c r="AL39" s="116">
        <f>'Rates in Detail'!AC43</f>
        <v>5.94E-3</v>
      </c>
      <c r="AM39" s="116">
        <f>'Rates in Detail'!AD43</f>
        <v>-1.6000000000000001E-4</v>
      </c>
      <c r="AN39" s="116">
        <f>'Rates in Detail'!AE43</f>
        <v>0</v>
      </c>
      <c r="AO39" s="116">
        <f>'Rates in Detail'!AF43</f>
        <v>-1.56E-3</v>
      </c>
      <c r="AP39" s="1803">
        <f t="shared" si="9"/>
        <v>4.2199999999999998E-3</v>
      </c>
      <c r="AQ39" s="130"/>
      <c r="AR39" s="1682">
        <v>0.14911999999999997</v>
      </c>
      <c r="AS39" s="1682"/>
      <c r="AT39" s="1682">
        <v>0</v>
      </c>
      <c r="AU39" s="1682">
        <v>0</v>
      </c>
      <c r="AV39" s="1682">
        <v>4.2000000000000002E-4</v>
      </c>
      <c r="AW39" s="344">
        <f t="shared" si="10"/>
        <v>0.14953999999999998</v>
      </c>
      <c r="AY39" s="1798">
        <f t="shared" si="18"/>
        <v>0.15505999999999998</v>
      </c>
      <c r="AZ39" s="116">
        <f t="shared" si="12"/>
        <v>0</v>
      </c>
      <c r="BA39" s="116">
        <f t="shared" si="13"/>
        <v>0</v>
      </c>
      <c r="BB39" s="116">
        <f t="shared" si="14"/>
        <v>0</v>
      </c>
      <c r="BC39" s="116">
        <f t="shared" si="15"/>
        <v>-1.2999999999999999E-3</v>
      </c>
      <c r="BD39" s="116">
        <f>'Rates in summary'!V44</f>
        <v>0</v>
      </c>
      <c r="BE39" s="339">
        <f t="shared" si="16"/>
        <v>0.15375999999999998</v>
      </c>
      <c r="BF39" s="100"/>
      <c r="BG39" s="100">
        <f>BE39-'Rates in Detail'!AN43</f>
        <v>0</v>
      </c>
      <c r="BH39" s="100"/>
    </row>
    <row r="40" spans="2:60" x14ac:dyDescent="0.3">
      <c r="B40" s="109">
        <f t="shared" si="17"/>
        <v>32</v>
      </c>
      <c r="C40" s="884"/>
      <c r="D40" s="884" t="s">
        <v>5</v>
      </c>
      <c r="E40" s="114">
        <v>20000</v>
      </c>
      <c r="F40" s="115">
        <f>'WA Volumes &amp; Revenues'!E46</f>
        <v>807846</v>
      </c>
      <c r="G40" s="115"/>
      <c r="H40" s="890"/>
      <c r="I40" s="891"/>
      <c r="J40" s="620">
        <f>'Rates in Detail'!E44</f>
        <v>0.12346999999999998</v>
      </c>
      <c r="K40" s="622">
        <f>'Rates in Detail'!H44</f>
        <v>0</v>
      </c>
      <c r="L40" s="622">
        <f>'Rates in Detail'!F44</f>
        <v>0</v>
      </c>
      <c r="M40" s="622">
        <f>'Rates in Detail'!I44</f>
        <v>5.2999999999999998E-4</v>
      </c>
      <c r="N40" s="136">
        <f t="shared" si="0"/>
        <v>0.12399999999999999</v>
      </c>
      <c r="O40" s="620">
        <f>'Rates in Detail'!L44</f>
        <v>1.159E-2</v>
      </c>
      <c r="P40" s="622">
        <f>'Rates in Detail'!P44</f>
        <v>-1.57E-3</v>
      </c>
      <c r="Q40" s="622">
        <f>'Rates in Detail'!Q44</f>
        <v>0</v>
      </c>
      <c r="R40" s="250">
        <f t="shared" si="1"/>
        <v>1.0019999999999999E-2</v>
      </c>
      <c r="S40" s="620">
        <f>'Rates in Detail'!S44</f>
        <v>0</v>
      </c>
      <c r="T40" s="622">
        <f>'Rates in Detail'!T44</f>
        <v>-1.4300000000000001E-3</v>
      </c>
      <c r="U40" s="622">
        <f>'Rates in Detail'!U44</f>
        <v>5.0000000000000001E-4</v>
      </c>
      <c r="V40" s="1318">
        <f t="shared" si="2"/>
        <v>9.0899999999999991E-3</v>
      </c>
      <c r="W40" s="612"/>
      <c r="X40" s="116">
        <f>'[25]Rates in detail'!AC42</f>
        <v>0.12346999999999998</v>
      </c>
      <c r="Y40" s="116"/>
      <c r="Z40" s="116">
        <f>'[25]Rates in detail'!AD42</f>
        <v>0</v>
      </c>
      <c r="AA40" s="116">
        <f>'[25]Rates in detail'!AE42</f>
        <v>0</v>
      </c>
      <c r="AB40" s="116">
        <f>'[25]Rates in detail'!AF42</f>
        <v>1.3600000000000001E-3</v>
      </c>
      <c r="AC40" s="344">
        <f t="shared" si="3"/>
        <v>0.12482999999999998</v>
      </c>
      <c r="AD40" s="1594"/>
      <c r="AE40" s="116">
        <f t="shared" si="4"/>
        <v>0.13349</v>
      </c>
      <c r="AF40" s="116"/>
      <c r="AG40" s="116">
        <f t="shared" si="5"/>
        <v>0</v>
      </c>
      <c r="AH40" s="116">
        <f t="shared" si="6"/>
        <v>0</v>
      </c>
      <c r="AI40" s="116">
        <f t="shared" si="7"/>
        <v>4.3000000000000004E-4</v>
      </c>
      <c r="AJ40" s="1609">
        <f t="shared" si="8"/>
        <v>0.13392000000000001</v>
      </c>
      <c r="AK40" s="1595"/>
      <c r="AL40" s="116">
        <f>'Rates in Detail'!AC44</f>
        <v>5.3099999999999996E-3</v>
      </c>
      <c r="AM40" s="116">
        <f>'Rates in Detail'!AD44</f>
        <v>-1.3999999999999999E-4</v>
      </c>
      <c r="AN40" s="116">
        <f>'Rates in Detail'!AE44</f>
        <v>0</v>
      </c>
      <c r="AO40" s="116">
        <f>'Rates in Detail'!AF44</f>
        <v>-1.39E-3</v>
      </c>
      <c r="AP40" s="1803">
        <f t="shared" si="9"/>
        <v>3.7799999999999995E-3</v>
      </c>
      <c r="AQ40" s="130"/>
      <c r="AR40" s="1682">
        <v>0.13349</v>
      </c>
      <c r="AS40" s="1682"/>
      <c r="AT40" s="1682">
        <v>0</v>
      </c>
      <c r="AU40" s="1682">
        <v>0</v>
      </c>
      <c r="AV40" s="1682">
        <v>3.6999999999999999E-4</v>
      </c>
      <c r="AW40" s="344">
        <f t="shared" si="10"/>
        <v>0.13386000000000001</v>
      </c>
      <c r="AY40" s="1798">
        <f t="shared" si="18"/>
        <v>0.13880000000000001</v>
      </c>
      <c r="AZ40" s="116">
        <f t="shared" si="12"/>
        <v>0</v>
      </c>
      <c r="BA40" s="116">
        <f t="shared" si="13"/>
        <v>0</v>
      </c>
      <c r="BB40" s="116">
        <f t="shared" si="14"/>
        <v>0</v>
      </c>
      <c r="BC40" s="116">
        <f t="shared" si="15"/>
        <v>-1.16E-3</v>
      </c>
      <c r="BD40" s="116">
        <f>'Rates in summary'!V45</f>
        <v>0</v>
      </c>
      <c r="BE40" s="339">
        <f t="shared" si="16"/>
        <v>0.13764000000000001</v>
      </c>
      <c r="BF40" s="100"/>
      <c r="BG40" s="100">
        <f>BE40-'Rates in Detail'!AN44</f>
        <v>0</v>
      </c>
      <c r="BH40" s="100"/>
    </row>
    <row r="41" spans="2:60" x14ac:dyDescent="0.3">
      <c r="B41" s="109">
        <f t="shared" si="17"/>
        <v>33</v>
      </c>
      <c r="C41" s="884"/>
      <c r="D41" s="884" t="s">
        <v>6</v>
      </c>
      <c r="E41" s="114">
        <v>20000</v>
      </c>
      <c r="F41" s="115">
        <f>'WA Volumes &amp; Revenues'!E47</f>
        <v>583779</v>
      </c>
      <c r="G41" s="115"/>
      <c r="H41" s="890"/>
      <c r="I41" s="891"/>
      <c r="J41" s="620">
        <f>'Rates in Detail'!E45</f>
        <v>9.4670000000000004E-2</v>
      </c>
      <c r="K41" s="622">
        <f>'Rates in Detail'!H45</f>
        <v>0</v>
      </c>
      <c r="L41" s="622">
        <f>'Rates in Detail'!F45</f>
        <v>0</v>
      </c>
      <c r="M41" s="622">
        <f>'Rates in Detail'!I45</f>
        <v>4.1000000000000005E-4</v>
      </c>
      <c r="N41" s="136">
        <f t="shared" si="0"/>
        <v>9.5079999999999998E-2</v>
      </c>
      <c r="O41" s="620">
        <f>'Rates in Detail'!L45</f>
        <v>8.8900000000000003E-3</v>
      </c>
      <c r="P41" s="622">
        <f>'Rates in Detail'!P45</f>
        <v>-1.1999999999999999E-3</v>
      </c>
      <c r="Q41" s="622">
        <f>'Rates in Detail'!Q45</f>
        <v>0</v>
      </c>
      <c r="R41" s="250">
        <f t="shared" si="1"/>
        <v>7.6900000000000007E-3</v>
      </c>
      <c r="S41" s="620">
        <f>'Rates in Detail'!S45</f>
        <v>0</v>
      </c>
      <c r="T41" s="622">
        <f>'Rates in Detail'!T45</f>
        <v>-1.09E-3</v>
      </c>
      <c r="U41" s="622">
        <f>'Rates in Detail'!U45</f>
        <v>3.8999999999999999E-4</v>
      </c>
      <c r="V41" s="1318">
        <f t="shared" ref="V41:V72" si="19">SUM(R41:U41)</f>
        <v>6.9900000000000006E-3</v>
      </c>
      <c r="W41" s="612"/>
      <c r="X41" s="116">
        <f>'[25]Rates in detail'!AC43</f>
        <v>9.4670000000000004E-2</v>
      </c>
      <c r="Y41" s="116"/>
      <c r="Z41" s="116">
        <f>'[25]Rates in detail'!AD43</f>
        <v>0</v>
      </c>
      <c r="AA41" s="116">
        <f>'[25]Rates in detail'!AE43</f>
        <v>0</v>
      </c>
      <c r="AB41" s="116">
        <f>'[25]Rates in detail'!AF43</f>
        <v>1.0399999999999999E-3</v>
      </c>
      <c r="AC41" s="344">
        <f t="shared" si="3"/>
        <v>9.5710000000000003E-2</v>
      </c>
      <c r="AD41" s="1594"/>
      <c r="AE41" s="116">
        <f t="shared" si="4"/>
        <v>0.10235999999999999</v>
      </c>
      <c r="AF41" s="116"/>
      <c r="AG41" s="116">
        <f t="shared" si="5"/>
        <v>0</v>
      </c>
      <c r="AH41" s="116">
        <f t="shared" si="6"/>
        <v>0</v>
      </c>
      <c r="AI41" s="116">
        <f t="shared" si="7"/>
        <v>3.3999999999999986E-4</v>
      </c>
      <c r="AJ41" s="1609">
        <f t="shared" si="8"/>
        <v>0.10269999999999999</v>
      </c>
      <c r="AK41" s="1595"/>
      <c r="AL41" s="116">
        <f>'Rates in Detail'!AC45</f>
        <v>4.0699999999999998E-3</v>
      </c>
      <c r="AM41" s="116">
        <f>'Rates in Detail'!AD45</f>
        <v>-1.1E-4</v>
      </c>
      <c r="AN41" s="116">
        <f>'Rates in Detail'!AE45</f>
        <v>0</v>
      </c>
      <c r="AO41" s="116">
        <f>'Rates in Detail'!AF45</f>
        <v>-1.07E-3</v>
      </c>
      <c r="AP41" s="1803">
        <f t="shared" ref="AP41:AP72" si="20">SUM(AL41:AO41)</f>
        <v>2.8900000000000002E-3</v>
      </c>
      <c r="AQ41" s="130"/>
      <c r="AR41" s="1682">
        <v>0.10235999999999999</v>
      </c>
      <c r="AS41" s="1682"/>
      <c r="AT41" s="1682">
        <v>0</v>
      </c>
      <c r="AU41" s="1682">
        <v>0</v>
      </c>
      <c r="AV41" s="1682">
        <v>2.7999999999999998E-4</v>
      </c>
      <c r="AW41" s="344">
        <f t="shared" si="10"/>
        <v>0.10264</v>
      </c>
      <c r="AY41" s="1798">
        <f t="shared" si="18"/>
        <v>0.10643</v>
      </c>
      <c r="AZ41" s="116">
        <f t="shared" ref="AZ41:AZ77" si="21">AF41+AS41</f>
        <v>0</v>
      </c>
      <c r="BA41" s="116">
        <f t="shared" si="13"/>
        <v>0</v>
      </c>
      <c r="BB41" s="116">
        <f t="shared" si="14"/>
        <v>0</v>
      </c>
      <c r="BC41" s="116">
        <f t="shared" si="15"/>
        <v>-9.0000000000000008E-4</v>
      </c>
      <c r="BD41" s="116">
        <f>'Rates in summary'!V46</f>
        <v>0</v>
      </c>
      <c r="BE41" s="339">
        <f t="shared" si="16"/>
        <v>0.10553</v>
      </c>
      <c r="BF41" s="100"/>
      <c r="BG41" s="100">
        <f>BE41-'Rates in Detail'!AN45</f>
        <v>0</v>
      </c>
      <c r="BH41" s="100"/>
    </row>
    <row r="42" spans="2:60" x14ac:dyDescent="0.3">
      <c r="B42" s="109">
        <f t="shared" si="17"/>
        <v>34</v>
      </c>
      <c r="C42" s="884"/>
      <c r="D42" s="884" t="s">
        <v>7</v>
      </c>
      <c r="E42" s="114">
        <v>100000</v>
      </c>
      <c r="F42" s="115">
        <f>'WA Volumes &amp; Revenues'!E48</f>
        <v>598933</v>
      </c>
      <c r="G42" s="115"/>
      <c r="H42" s="890"/>
      <c r="I42" s="891"/>
      <c r="J42" s="620">
        <f>'Rates in Detail'!E46</f>
        <v>7.5750000000000012E-2</v>
      </c>
      <c r="K42" s="622">
        <f>'Rates in Detail'!H46</f>
        <v>0</v>
      </c>
      <c r="L42" s="622">
        <f>'Rates in Detail'!F46</f>
        <v>0</v>
      </c>
      <c r="M42" s="622">
        <f>'Rates in Detail'!I46</f>
        <v>3.1999999999999997E-4</v>
      </c>
      <c r="N42" s="136">
        <f t="shared" si="0"/>
        <v>7.6070000000000013E-2</v>
      </c>
      <c r="O42" s="620">
        <f>'Rates in Detail'!L46</f>
        <v>7.11E-3</v>
      </c>
      <c r="P42" s="622">
        <f>'Rates in Detail'!P46</f>
        <v>-9.6000000000000002E-4</v>
      </c>
      <c r="Q42" s="622">
        <f>'Rates in Detail'!Q46</f>
        <v>0</v>
      </c>
      <c r="R42" s="250">
        <f t="shared" si="1"/>
        <v>6.1500000000000001E-3</v>
      </c>
      <c r="S42" s="620">
        <f>'Rates in Detail'!S46</f>
        <v>0</v>
      </c>
      <c r="T42" s="622">
        <f>'Rates in Detail'!T46</f>
        <v>-8.8000000000000003E-4</v>
      </c>
      <c r="U42" s="622">
        <f>'Rates in Detail'!U46</f>
        <v>3.1E-4</v>
      </c>
      <c r="V42" s="1318">
        <f t="shared" si="19"/>
        <v>5.5800000000000008E-3</v>
      </c>
      <c r="W42" s="612"/>
      <c r="X42" s="116">
        <f>'[25]Rates in detail'!AC44</f>
        <v>7.5750000000000012E-2</v>
      </c>
      <c r="Y42" s="116"/>
      <c r="Z42" s="116">
        <f>'[25]Rates in detail'!AD44</f>
        <v>0</v>
      </c>
      <c r="AA42" s="116">
        <f>'[25]Rates in detail'!AE44</f>
        <v>0</v>
      </c>
      <c r="AB42" s="116">
        <f>'[25]Rates in detail'!AF44</f>
        <v>8.4000000000000003E-4</v>
      </c>
      <c r="AC42" s="344">
        <f t="shared" si="3"/>
        <v>7.6590000000000005E-2</v>
      </c>
      <c r="AD42" s="1594"/>
      <c r="AE42" s="116">
        <f t="shared" si="4"/>
        <v>8.1900000000000014E-2</v>
      </c>
      <c r="AF42" s="116"/>
      <c r="AG42" s="116">
        <f t="shared" si="5"/>
        <v>0</v>
      </c>
      <c r="AH42" s="116">
        <f t="shared" si="6"/>
        <v>0</v>
      </c>
      <c r="AI42" s="116">
        <f t="shared" si="7"/>
        <v>2.7E-4</v>
      </c>
      <c r="AJ42" s="1609">
        <f t="shared" si="8"/>
        <v>8.2170000000000021E-2</v>
      </c>
      <c r="AK42" s="1595"/>
      <c r="AL42" s="116">
        <f>'Rates in Detail'!AC46</f>
        <v>3.2599999999999999E-3</v>
      </c>
      <c r="AM42" s="116">
        <f>'Rates in Detail'!AD46</f>
        <v>-9.0000000000000006E-5</v>
      </c>
      <c r="AN42" s="116">
        <f>'Rates in Detail'!AE46</f>
        <v>0</v>
      </c>
      <c r="AO42" s="116">
        <f>'Rates in Detail'!AF46</f>
        <v>-8.4999999999999995E-4</v>
      </c>
      <c r="AP42" s="1803">
        <f t="shared" si="20"/>
        <v>2.32E-3</v>
      </c>
      <c r="AQ42" s="130"/>
      <c r="AR42" s="1682">
        <v>8.1900000000000014E-2</v>
      </c>
      <c r="AS42" s="1682"/>
      <c r="AT42" s="1682">
        <v>0</v>
      </c>
      <c r="AU42" s="1682">
        <v>0</v>
      </c>
      <c r="AV42" s="1682">
        <v>2.3000000000000001E-4</v>
      </c>
      <c r="AW42" s="344">
        <f t="shared" si="10"/>
        <v>8.2130000000000009E-2</v>
      </c>
      <c r="AY42" s="1798">
        <f t="shared" si="18"/>
        <v>8.5160000000000013E-2</v>
      </c>
      <c r="AZ42" s="116">
        <f t="shared" si="21"/>
        <v>0</v>
      </c>
      <c r="BA42" s="116">
        <f t="shared" si="13"/>
        <v>0</v>
      </c>
      <c r="BB42" s="116">
        <f t="shared" si="14"/>
        <v>0</v>
      </c>
      <c r="BC42" s="116">
        <f t="shared" si="15"/>
        <v>-7.0999999999999991E-4</v>
      </c>
      <c r="BD42" s="116">
        <f>'Rates in summary'!V47</f>
        <v>0</v>
      </c>
      <c r="BE42" s="339">
        <f t="shared" si="16"/>
        <v>8.4450000000000011E-2</v>
      </c>
      <c r="BF42" s="100"/>
      <c r="BG42" s="100">
        <f>BE42-'Rates in Detail'!AN46</f>
        <v>0</v>
      </c>
      <c r="BH42" s="100"/>
    </row>
    <row r="43" spans="2:60" x14ac:dyDescent="0.3">
      <c r="B43" s="109">
        <f t="shared" si="17"/>
        <v>35</v>
      </c>
      <c r="C43" s="884"/>
      <c r="D43" s="884" t="s">
        <v>8</v>
      </c>
      <c r="E43" s="114">
        <v>600000</v>
      </c>
      <c r="F43" s="115">
        <f>'WA Volumes &amp; Revenues'!E49</f>
        <v>0</v>
      </c>
      <c r="G43" s="115"/>
      <c r="H43" s="890"/>
      <c r="I43" s="891"/>
      <c r="J43" s="620">
        <f>'Rates in Detail'!E47</f>
        <v>5.0500000000000003E-2</v>
      </c>
      <c r="K43" s="622">
        <f>'Rates in Detail'!H47</f>
        <v>0</v>
      </c>
      <c r="L43" s="622">
        <f>'Rates in Detail'!F47</f>
        <v>0</v>
      </c>
      <c r="M43" s="622">
        <f>'Rates in Detail'!I47</f>
        <v>2.1000000000000001E-4</v>
      </c>
      <c r="N43" s="136">
        <f t="shared" si="0"/>
        <v>5.0710000000000005E-2</v>
      </c>
      <c r="O43" s="620">
        <f>'Rates in Detail'!L47</f>
        <v>4.7400000000000003E-3</v>
      </c>
      <c r="P43" s="622">
        <f>'Rates in Detail'!P47</f>
        <v>-6.4000000000000005E-4</v>
      </c>
      <c r="Q43" s="622">
        <f>'Rates in Detail'!Q47</f>
        <v>0</v>
      </c>
      <c r="R43" s="250">
        <f t="shared" si="1"/>
        <v>4.1000000000000003E-3</v>
      </c>
      <c r="S43" s="620">
        <f>'Rates in Detail'!S47</f>
        <v>0</v>
      </c>
      <c r="T43" s="622">
        <f>'Rates in Detail'!T47</f>
        <v>-5.8E-4</v>
      </c>
      <c r="U43" s="622">
        <f>'Rates in Detail'!U47</f>
        <v>2.1000000000000001E-4</v>
      </c>
      <c r="V43" s="1318">
        <f t="shared" si="19"/>
        <v>3.7300000000000007E-3</v>
      </c>
      <c r="W43" s="612"/>
      <c r="X43" s="116">
        <f>'[25]Rates in detail'!AC45</f>
        <v>5.0500000000000003E-2</v>
      </c>
      <c r="Y43" s="116"/>
      <c r="Z43" s="116">
        <f>'[25]Rates in detail'!AD45</f>
        <v>0</v>
      </c>
      <c r="AA43" s="116">
        <f>'[25]Rates in detail'!AE45</f>
        <v>0</v>
      </c>
      <c r="AB43" s="116">
        <f>'[25]Rates in detail'!AF45</f>
        <v>5.5999999999999995E-4</v>
      </c>
      <c r="AC43" s="344">
        <f t="shared" si="3"/>
        <v>5.1060000000000001E-2</v>
      </c>
      <c r="AD43" s="1594"/>
      <c r="AE43" s="116">
        <f t="shared" si="4"/>
        <v>5.4600000000000003E-2</v>
      </c>
      <c r="AF43" s="116"/>
      <c r="AG43" s="116">
        <f t="shared" si="5"/>
        <v>0</v>
      </c>
      <c r="AH43" s="116">
        <f t="shared" si="6"/>
        <v>0</v>
      </c>
      <c r="AI43" s="116">
        <f t="shared" si="7"/>
        <v>1.8999999999999996E-4</v>
      </c>
      <c r="AJ43" s="1609">
        <f t="shared" si="8"/>
        <v>5.4790000000000005E-2</v>
      </c>
      <c r="AK43" s="1595"/>
      <c r="AL43" s="116">
        <f>'Rates in Detail'!AC47</f>
        <v>2.1700000000000001E-3</v>
      </c>
      <c r="AM43" s="116">
        <f>'Rates in Detail'!AD47</f>
        <v>-6.0000000000000002E-5</v>
      </c>
      <c r="AN43" s="116">
        <f>'Rates in Detail'!AE47</f>
        <v>0</v>
      </c>
      <c r="AO43" s="116">
        <f>'Rates in Detail'!AF47</f>
        <v>-5.6999999999999998E-4</v>
      </c>
      <c r="AP43" s="1803">
        <f t="shared" si="20"/>
        <v>1.5399999999999999E-3</v>
      </c>
      <c r="AQ43" s="130"/>
      <c r="AR43" s="1682">
        <v>5.4600000000000003E-2</v>
      </c>
      <c r="AS43" s="1682"/>
      <c r="AT43" s="1682">
        <v>0</v>
      </c>
      <c r="AU43" s="1682">
        <v>0</v>
      </c>
      <c r="AV43" s="1682">
        <v>1.4999999999999999E-4</v>
      </c>
      <c r="AW43" s="344">
        <f t="shared" si="10"/>
        <v>5.475E-2</v>
      </c>
      <c r="AY43" s="1798">
        <f t="shared" si="18"/>
        <v>5.6770000000000001E-2</v>
      </c>
      <c r="AZ43" s="116">
        <f t="shared" si="21"/>
        <v>0</v>
      </c>
      <c r="BA43" s="116">
        <f t="shared" si="13"/>
        <v>0</v>
      </c>
      <c r="BB43" s="116">
        <f t="shared" si="14"/>
        <v>0</v>
      </c>
      <c r="BC43" s="116">
        <f t="shared" si="15"/>
        <v>-4.8000000000000007E-4</v>
      </c>
      <c r="BD43" s="116">
        <f>'Rates in summary'!V48</f>
        <v>0</v>
      </c>
      <c r="BE43" s="339">
        <f t="shared" si="16"/>
        <v>5.629E-2</v>
      </c>
      <c r="BF43" s="100"/>
      <c r="BG43" s="100">
        <f>BE43-'Rates in Detail'!AN47</f>
        <v>0</v>
      </c>
      <c r="BH43" s="100"/>
    </row>
    <row r="44" spans="2:60" x14ac:dyDescent="0.3">
      <c r="B44" s="109">
        <f t="shared" si="17"/>
        <v>36</v>
      </c>
      <c r="C44" s="882"/>
      <c r="D44" s="882" t="s">
        <v>9</v>
      </c>
      <c r="E44" s="111" t="s">
        <v>72</v>
      </c>
      <c r="F44" s="112">
        <f>'WA Volumes &amp; Revenues'!E50</f>
        <v>0</v>
      </c>
      <c r="G44" s="112"/>
      <c r="H44" s="885"/>
      <c r="I44" s="887"/>
      <c r="J44" s="619">
        <f>'Rates in Detail'!E48</f>
        <v>1.8929999999999999E-2</v>
      </c>
      <c r="K44" s="623">
        <f>'Rates in Detail'!H48</f>
        <v>0</v>
      </c>
      <c r="L44" s="623">
        <f>'Rates in Detail'!F48</f>
        <v>0</v>
      </c>
      <c r="M44" s="623">
        <f>'Rates in Detail'!I48</f>
        <v>7.9999999999999993E-5</v>
      </c>
      <c r="N44" s="134">
        <f t="shared" si="0"/>
        <v>1.9009999999999999E-2</v>
      </c>
      <c r="O44" s="619">
        <f>'Rates in Detail'!L48</f>
        <v>1.7799999999999999E-3</v>
      </c>
      <c r="P44" s="623">
        <f>'Rates in Detail'!P48</f>
        <v>-2.4000000000000001E-4</v>
      </c>
      <c r="Q44" s="623">
        <f>'Rates in Detail'!Q48</f>
        <v>0</v>
      </c>
      <c r="R44" s="249">
        <f t="shared" si="1"/>
        <v>1.5399999999999999E-3</v>
      </c>
      <c r="S44" s="619">
        <f>'Rates in Detail'!S48</f>
        <v>0</v>
      </c>
      <c r="T44" s="623">
        <f>'Rates in Detail'!T48</f>
        <v>-2.2000000000000001E-4</v>
      </c>
      <c r="U44" s="623">
        <f>'Rates in Detail'!U48</f>
        <v>8.0000000000000007E-5</v>
      </c>
      <c r="V44" s="1317">
        <f t="shared" si="19"/>
        <v>1.4E-3</v>
      </c>
      <c r="W44" s="612"/>
      <c r="X44" s="113">
        <f>'[25]Rates in detail'!AC46</f>
        <v>1.8929999999999999E-2</v>
      </c>
      <c r="Y44" s="113"/>
      <c r="Z44" s="113">
        <f>'[25]Rates in detail'!AD46</f>
        <v>0</v>
      </c>
      <c r="AA44" s="113">
        <f>'[25]Rates in detail'!AE46</f>
        <v>0</v>
      </c>
      <c r="AB44" s="113">
        <f>'[25]Rates in detail'!AF46</f>
        <v>2.1000000000000001E-4</v>
      </c>
      <c r="AC44" s="343">
        <f t="shared" si="3"/>
        <v>1.9139999999999997E-2</v>
      </c>
      <c r="AD44" s="1594"/>
      <c r="AE44" s="113">
        <f t="shared" si="4"/>
        <v>2.0469999999999999E-2</v>
      </c>
      <c r="AF44" s="113"/>
      <c r="AG44" s="113">
        <f t="shared" si="5"/>
        <v>0</v>
      </c>
      <c r="AH44" s="113">
        <f t="shared" si="6"/>
        <v>0</v>
      </c>
      <c r="AI44" s="113">
        <f t="shared" si="7"/>
        <v>7.0000000000000007E-5</v>
      </c>
      <c r="AJ44" s="1604">
        <f t="shared" si="8"/>
        <v>2.0539999999999999E-2</v>
      </c>
      <c r="AK44" s="1595"/>
      <c r="AL44" s="113">
        <f>'Rates in Detail'!AC48</f>
        <v>8.0999999999999996E-4</v>
      </c>
      <c r="AM44" s="113">
        <f>'Rates in Detail'!AD48</f>
        <v>-2.0000000000000002E-5</v>
      </c>
      <c r="AN44" s="113">
        <f>'Rates in Detail'!AE48</f>
        <v>0</v>
      </c>
      <c r="AO44" s="113">
        <f>'Rates in Detail'!AF48</f>
        <v>-2.1000000000000001E-4</v>
      </c>
      <c r="AP44" s="1802">
        <f t="shared" si="20"/>
        <v>5.7999999999999989E-4</v>
      </c>
      <c r="AQ44" s="130"/>
      <c r="AR44" s="1680">
        <v>2.0469999999999999E-2</v>
      </c>
      <c r="AS44" s="1680"/>
      <c r="AT44" s="1680">
        <v>0</v>
      </c>
      <c r="AU44" s="1680">
        <v>0</v>
      </c>
      <c r="AV44" s="1680">
        <v>6.0000000000000002E-5</v>
      </c>
      <c r="AW44" s="343">
        <f t="shared" si="10"/>
        <v>2.053E-2</v>
      </c>
      <c r="AY44" s="1797">
        <f t="shared" si="18"/>
        <v>2.128E-2</v>
      </c>
      <c r="AZ44" s="113">
        <f t="shared" si="21"/>
        <v>0</v>
      </c>
      <c r="BA44" s="113">
        <f t="shared" si="13"/>
        <v>0</v>
      </c>
      <c r="BB44" s="113">
        <f t="shared" si="14"/>
        <v>0</v>
      </c>
      <c r="BC44" s="113">
        <f t="shared" si="15"/>
        <v>-1.7000000000000001E-4</v>
      </c>
      <c r="BD44" s="113">
        <f>'Rates in summary'!V49</f>
        <v>0</v>
      </c>
      <c r="BE44" s="338">
        <f t="shared" si="16"/>
        <v>2.111E-2</v>
      </c>
      <c r="BF44" s="100"/>
      <c r="BG44" s="100">
        <f>BE44-'Rates in Detail'!AN48</f>
        <v>0</v>
      </c>
      <c r="BH44" s="100"/>
    </row>
    <row r="45" spans="2:60" x14ac:dyDescent="0.3">
      <c r="B45" s="109">
        <f t="shared" si="17"/>
        <v>37</v>
      </c>
      <c r="C45" s="884" t="str">
        <f>'WA Volumes &amp; Revenues'!B51</f>
        <v>42I Firm Transpt</v>
      </c>
      <c r="D45" s="884" t="s">
        <v>4</v>
      </c>
      <c r="E45" s="114">
        <v>10000</v>
      </c>
      <c r="F45" s="115">
        <f>'WA Volumes &amp; Revenues'!E51</f>
        <v>924395</v>
      </c>
      <c r="G45" s="115">
        <f>'WA Volumes &amp; Revenues'!H51</f>
        <v>8.9166666666666661</v>
      </c>
      <c r="H45" s="890">
        <f>'WA Volumes &amp; Revenues'!O51</f>
        <v>1550</v>
      </c>
      <c r="I45" s="891">
        <f>'WA Volumes &amp; Revenues'!N51</f>
        <v>1550</v>
      </c>
      <c r="J45" s="620">
        <f>'Rates in Detail'!E49</f>
        <v>0.13941000000000001</v>
      </c>
      <c r="K45" s="622">
        <f>'Rates in Detail'!H49</f>
        <v>0</v>
      </c>
      <c r="L45" s="622">
        <f>'Rates in Detail'!F49</f>
        <v>0</v>
      </c>
      <c r="M45" s="622">
        <f>'Rates in Detail'!I49</f>
        <v>5.8999999999999992E-4</v>
      </c>
      <c r="N45" s="136">
        <f t="shared" si="0"/>
        <v>0.14000000000000001</v>
      </c>
      <c r="O45" s="620">
        <f>'Rates in Detail'!L49</f>
        <v>1.044E-2</v>
      </c>
      <c r="P45" s="622">
        <f>'Rates in Detail'!P49</f>
        <v>-1.7700000000000001E-3</v>
      </c>
      <c r="Q45" s="622">
        <f>'Rates in Detail'!Q49</f>
        <v>0</v>
      </c>
      <c r="R45" s="250">
        <f t="shared" si="1"/>
        <v>8.6699999999999989E-3</v>
      </c>
      <c r="S45" s="620">
        <f>'Rates in Detail'!S49</f>
        <v>0</v>
      </c>
      <c r="T45" s="622">
        <f>'Rates in Detail'!T49</f>
        <v>-1.5900000000000001E-3</v>
      </c>
      <c r="U45" s="622">
        <f>'Rates in Detail'!U49</f>
        <v>5.5999999999999995E-4</v>
      </c>
      <c r="V45" s="1318">
        <f t="shared" si="19"/>
        <v>7.6399999999999984E-3</v>
      </c>
      <c r="W45" s="612"/>
      <c r="X45" s="116">
        <f>'[25]Rates in detail'!AC47</f>
        <v>0.13941000000000001</v>
      </c>
      <c r="Y45" s="116"/>
      <c r="Z45" s="116">
        <f>'[25]Rates in detail'!AD47</f>
        <v>0</v>
      </c>
      <c r="AA45" s="116">
        <f>'[25]Rates in detail'!AE47</f>
        <v>0</v>
      </c>
      <c r="AB45" s="116">
        <f>'[25]Rates in detail'!AF47</f>
        <v>1.6199999999999999E-3</v>
      </c>
      <c r="AC45" s="344">
        <f t="shared" si="3"/>
        <v>0.14103000000000002</v>
      </c>
      <c r="AD45" s="1594"/>
      <c r="AE45" s="1573">
        <f t="shared" si="4"/>
        <v>0.14808000000000002</v>
      </c>
      <c r="AF45" s="1573"/>
      <c r="AG45" s="1573">
        <f t="shared" si="5"/>
        <v>0</v>
      </c>
      <c r="AH45" s="1573">
        <f t="shared" si="6"/>
        <v>0</v>
      </c>
      <c r="AI45" s="1573">
        <f t="shared" si="7"/>
        <v>5.8999999999999981E-4</v>
      </c>
      <c r="AJ45" s="1608">
        <f t="shared" si="8"/>
        <v>0.14867000000000002</v>
      </c>
      <c r="AK45" s="1595"/>
      <c r="AL45" s="116">
        <f>'Rates in Detail'!AC49</f>
        <v>3.96E-3</v>
      </c>
      <c r="AM45" s="116">
        <f>'Rates in Detail'!AD49</f>
        <v>-1.6000000000000001E-4</v>
      </c>
      <c r="AN45" s="116">
        <f>'Rates in Detail'!AE49</f>
        <v>0</v>
      </c>
      <c r="AO45" s="116">
        <f>'Rates in Detail'!AF49</f>
        <v>-1.5399999999999999E-3</v>
      </c>
      <c r="AP45" s="1803">
        <f t="shared" si="20"/>
        <v>2.2599999999999999E-3</v>
      </c>
      <c r="AQ45" s="130"/>
      <c r="AR45" s="1682">
        <v>0.14808000000000002</v>
      </c>
      <c r="AS45" s="1682"/>
      <c r="AT45" s="1682">
        <v>0</v>
      </c>
      <c r="AU45" s="1682">
        <v>0</v>
      </c>
      <c r="AV45" s="1682">
        <v>5.1999999999999995E-4</v>
      </c>
      <c r="AW45" s="344">
        <f t="shared" si="10"/>
        <v>0.14860000000000001</v>
      </c>
      <c r="AY45" s="1798">
        <f t="shared" si="18"/>
        <v>0.15204000000000001</v>
      </c>
      <c r="AZ45" s="116">
        <f t="shared" si="21"/>
        <v>0</v>
      </c>
      <c r="BA45" s="116">
        <f t="shared" si="13"/>
        <v>0</v>
      </c>
      <c r="BB45" s="116">
        <f t="shared" si="14"/>
        <v>0</v>
      </c>
      <c r="BC45" s="116">
        <f t="shared" si="15"/>
        <v>-1.1800000000000001E-3</v>
      </c>
      <c r="BD45" s="116">
        <f>'Rates in summary'!V50</f>
        <v>0</v>
      </c>
      <c r="BE45" s="339">
        <f t="shared" si="16"/>
        <v>0.15086000000000002</v>
      </c>
      <c r="BF45" s="100"/>
      <c r="BG45" s="100">
        <f>BE45-'Rates in Detail'!AN49</f>
        <v>0</v>
      </c>
      <c r="BH45" s="100"/>
    </row>
    <row r="46" spans="2:60" x14ac:dyDescent="0.3">
      <c r="B46" s="109">
        <f t="shared" si="17"/>
        <v>38</v>
      </c>
      <c r="C46" s="884"/>
      <c r="D46" s="884" t="s">
        <v>5</v>
      </c>
      <c r="E46" s="114">
        <v>20000</v>
      </c>
      <c r="F46" s="115">
        <f>'WA Volumes &amp; Revenues'!E52</f>
        <v>1036796</v>
      </c>
      <c r="G46" s="115"/>
      <c r="H46" s="890"/>
      <c r="I46" s="891"/>
      <c r="J46" s="620">
        <f>'Rates in Detail'!E50</f>
        <v>0.12478999999999997</v>
      </c>
      <c r="K46" s="622">
        <f>'Rates in Detail'!H50</f>
        <v>0</v>
      </c>
      <c r="L46" s="622">
        <f>'Rates in Detail'!F50</f>
        <v>0</v>
      </c>
      <c r="M46" s="622">
        <f>'Rates in Detail'!I50</f>
        <v>5.2000000000000006E-4</v>
      </c>
      <c r="N46" s="136">
        <f t="shared" si="0"/>
        <v>0.12530999999999998</v>
      </c>
      <c r="O46" s="620">
        <f>'Rates in Detail'!L50</f>
        <v>9.3500000000000007E-3</v>
      </c>
      <c r="P46" s="622">
        <f>'Rates in Detail'!P50</f>
        <v>-1.5900000000000001E-3</v>
      </c>
      <c r="Q46" s="622">
        <f>'Rates in Detail'!Q50</f>
        <v>0</v>
      </c>
      <c r="R46" s="250">
        <f t="shared" si="1"/>
        <v>7.7600000000000004E-3</v>
      </c>
      <c r="S46" s="620">
        <f>'Rates in Detail'!S50</f>
        <v>0</v>
      </c>
      <c r="T46" s="622">
        <f>'Rates in Detail'!T50</f>
        <v>-1.4300000000000001E-3</v>
      </c>
      <c r="U46" s="622">
        <f>'Rates in Detail'!U50</f>
        <v>5.0000000000000001E-4</v>
      </c>
      <c r="V46" s="1318">
        <f t="shared" si="19"/>
        <v>6.830000000000001E-3</v>
      </c>
      <c r="W46" s="612"/>
      <c r="X46" s="116">
        <f>'[25]Rates in detail'!AC48</f>
        <v>0.12478999999999996</v>
      </c>
      <c r="Y46" s="116"/>
      <c r="Z46" s="116">
        <f>'[25]Rates in detail'!AD48</f>
        <v>0</v>
      </c>
      <c r="AA46" s="116">
        <f>'[25]Rates in detail'!AE48</f>
        <v>0</v>
      </c>
      <c r="AB46" s="116">
        <f>'[25]Rates in detail'!AF48</f>
        <v>1.4499999999999999E-3</v>
      </c>
      <c r="AC46" s="344">
        <f t="shared" si="3"/>
        <v>0.12623999999999996</v>
      </c>
      <c r="AD46" s="1594"/>
      <c r="AE46" s="116">
        <f t="shared" si="4"/>
        <v>0.13254999999999995</v>
      </c>
      <c r="AF46" s="116"/>
      <c r="AG46" s="116">
        <f t="shared" si="5"/>
        <v>0</v>
      </c>
      <c r="AH46" s="116">
        <f t="shared" si="6"/>
        <v>0</v>
      </c>
      <c r="AI46" s="116">
        <f t="shared" si="7"/>
        <v>5.1999999999999985E-4</v>
      </c>
      <c r="AJ46" s="1609">
        <f t="shared" si="8"/>
        <v>0.13306999999999994</v>
      </c>
      <c r="AK46" s="1595"/>
      <c r="AL46" s="116">
        <f>'Rates in Detail'!AC50</f>
        <v>3.5400000000000002E-3</v>
      </c>
      <c r="AM46" s="116">
        <f>'Rates in Detail'!AD50</f>
        <v>-1.3999999999999999E-4</v>
      </c>
      <c r="AN46" s="116">
        <f>'Rates in Detail'!AE50</f>
        <v>0</v>
      </c>
      <c r="AO46" s="116">
        <f>'Rates in Detail'!AF50</f>
        <v>-1.3799999999999999E-3</v>
      </c>
      <c r="AP46" s="1803">
        <f t="shared" si="20"/>
        <v>2.0200000000000001E-3</v>
      </c>
      <c r="AQ46" s="130"/>
      <c r="AR46" s="1682">
        <v>0.13254999999999995</v>
      </c>
      <c r="AS46" s="1682"/>
      <c r="AT46" s="1682">
        <v>0</v>
      </c>
      <c r="AU46" s="1682">
        <v>0</v>
      </c>
      <c r="AV46" s="1682">
        <v>4.6000000000000001E-4</v>
      </c>
      <c r="AW46" s="344">
        <f t="shared" si="10"/>
        <v>0.13300999999999993</v>
      </c>
      <c r="AY46" s="1798">
        <f t="shared" si="18"/>
        <v>0.13608999999999993</v>
      </c>
      <c r="AZ46" s="116">
        <f t="shared" si="21"/>
        <v>0</v>
      </c>
      <c r="BA46" s="116">
        <f t="shared" si="13"/>
        <v>0</v>
      </c>
      <c r="BB46" s="116">
        <f t="shared" si="14"/>
        <v>0</v>
      </c>
      <c r="BC46" s="116">
        <f t="shared" si="15"/>
        <v>-1.0599999999999997E-3</v>
      </c>
      <c r="BD46" s="116">
        <f>'Rates in summary'!V51</f>
        <v>0</v>
      </c>
      <c r="BE46" s="339">
        <f t="shared" si="16"/>
        <v>0.13502999999999993</v>
      </c>
      <c r="BF46" s="100"/>
      <c r="BG46" s="100">
        <f>BE46-'Rates in Detail'!AN50</f>
        <v>0</v>
      </c>
      <c r="BH46" s="100"/>
    </row>
    <row r="47" spans="2:60" x14ac:dyDescent="0.3">
      <c r="B47" s="109">
        <f t="shared" si="17"/>
        <v>39</v>
      </c>
      <c r="C47" s="884"/>
      <c r="D47" s="884" t="s">
        <v>6</v>
      </c>
      <c r="E47" s="114">
        <v>20000</v>
      </c>
      <c r="F47" s="115">
        <f>'WA Volumes &amp; Revenues'!E53</f>
        <v>937215</v>
      </c>
      <c r="G47" s="115"/>
      <c r="H47" s="890"/>
      <c r="I47" s="891"/>
      <c r="J47" s="620">
        <f>'Rates in Detail'!E51</f>
        <v>9.5690000000000011E-2</v>
      </c>
      <c r="K47" s="622">
        <f>'Rates in Detail'!H51</f>
        <v>0</v>
      </c>
      <c r="L47" s="622">
        <f>'Rates in Detail'!F51</f>
        <v>0</v>
      </c>
      <c r="M47" s="622">
        <f>'Rates in Detail'!I51</f>
        <v>4.1000000000000005E-4</v>
      </c>
      <c r="N47" s="136">
        <f t="shared" si="0"/>
        <v>9.6100000000000005E-2</v>
      </c>
      <c r="O47" s="620">
        <f>'Rates in Detail'!L51</f>
        <v>7.1700000000000002E-3</v>
      </c>
      <c r="P47" s="622">
        <f>'Rates in Detail'!P51</f>
        <v>-1.2199999999999999E-3</v>
      </c>
      <c r="Q47" s="622">
        <f>'Rates in Detail'!Q51</f>
        <v>0</v>
      </c>
      <c r="R47" s="250">
        <f t="shared" si="1"/>
        <v>5.9500000000000004E-3</v>
      </c>
      <c r="S47" s="620">
        <f>'Rates in Detail'!S51</f>
        <v>0</v>
      </c>
      <c r="T47" s="622">
        <f>'Rates in Detail'!T51</f>
        <v>-1.09E-3</v>
      </c>
      <c r="U47" s="622">
        <f>'Rates in Detail'!U51</f>
        <v>3.8999999999999999E-4</v>
      </c>
      <c r="V47" s="1318">
        <f t="shared" si="19"/>
        <v>5.2500000000000003E-3</v>
      </c>
      <c r="W47" s="612"/>
      <c r="X47" s="116">
        <f>'[25]Rates in detail'!AC49</f>
        <v>9.5690000000000011E-2</v>
      </c>
      <c r="Y47" s="116"/>
      <c r="Z47" s="116">
        <f>'[25]Rates in detail'!AD49</f>
        <v>0</v>
      </c>
      <c r="AA47" s="116">
        <f>'[25]Rates in detail'!AE49</f>
        <v>0</v>
      </c>
      <c r="AB47" s="116">
        <f>'[25]Rates in detail'!AF49</f>
        <v>1.1100000000000001E-3</v>
      </c>
      <c r="AC47" s="344">
        <f t="shared" si="3"/>
        <v>9.6800000000000011E-2</v>
      </c>
      <c r="AD47" s="1594"/>
      <c r="AE47" s="116">
        <f t="shared" si="4"/>
        <v>0.10164000000000001</v>
      </c>
      <c r="AF47" s="116"/>
      <c r="AG47" s="116">
        <f t="shared" si="5"/>
        <v>0</v>
      </c>
      <c r="AH47" s="116">
        <f t="shared" si="6"/>
        <v>0</v>
      </c>
      <c r="AI47" s="116">
        <f t="shared" si="7"/>
        <v>4.1000000000000005E-4</v>
      </c>
      <c r="AJ47" s="1609">
        <f t="shared" si="8"/>
        <v>0.10205</v>
      </c>
      <c r="AK47" s="1595"/>
      <c r="AL47" s="116">
        <f>'Rates in Detail'!AC51</f>
        <v>2.7200000000000002E-3</v>
      </c>
      <c r="AM47" s="116">
        <f>'Rates in Detail'!AD51</f>
        <v>-1.1E-4</v>
      </c>
      <c r="AN47" s="116">
        <f>'Rates in Detail'!AE51</f>
        <v>0</v>
      </c>
      <c r="AO47" s="116">
        <f>'Rates in Detail'!AF51</f>
        <v>-1.06E-3</v>
      </c>
      <c r="AP47" s="1803">
        <f t="shared" si="20"/>
        <v>1.5500000000000004E-3</v>
      </c>
      <c r="AQ47" s="130"/>
      <c r="AR47" s="1682">
        <v>0.10164000000000001</v>
      </c>
      <c r="AS47" s="1682"/>
      <c r="AT47" s="1682">
        <v>0</v>
      </c>
      <c r="AU47" s="1682">
        <v>0</v>
      </c>
      <c r="AV47" s="1682">
        <v>3.5E-4</v>
      </c>
      <c r="AW47" s="344">
        <f t="shared" si="10"/>
        <v>0.10199000000000001</v>
      </c>
      <c r="AY47" s="1798">
        <f t="shared" si="18"/>
        <v>0.10436000000000001</v>
      </c>
      <c r="AZ47" s="116">
        <f t="shared" si="21"/>
        <v>0</v>
      </c>
      <c r="BA47" s="116">
        <f t="shared" si="13"/>
        <v>0</v>
      </c>
      <c r="BB47" s="116">
        <f t="shared" si="14"/>
        <v>0</v>
      </c>
      <c r="BC47" s="116">
        <f t="shared" si="15"/>
        <v>-8.1999999999999998E-4</v>
      </c>
      <c r="BD47" s="116">
        <f>'Rates in summary'!V52</f>
        <v>0</v>
      </c>
      <c r="BE47" s="339">
        <f t="shared" si="16"/>
        <v>0.10354000000000001</v>
      </c>
      <c r="BF47" s="100"/>
      <c r="BG47" s="100">
        <f>BE47-'Rates in Detail'!AN51</f>
        <v>0</v>
      </c>
      <c r="BH47" s="100"/>
    </row>
    <row r="48" spans="2:60" x14ac:dyDescent="0.3">
      <c r="B48" s="109">
        <f t="shared" si="17"/>
        <v>40</v>
      </c>
      <c r="C48" s="884"/>
      <c r="D48" s="884" t="s">
        <v>7</v>
      </c>
      <c r="E48" s="114">
        <v>100000</v>
      </c>
      <c r="F48" s="115">
        <f>'WA Volumes &amp; Revenues'!E54</f>
        <v>2390318</v>
      </c>
      <c r="G48" s="115"/>
      <c r="H48" s="890"/>
      <c r="I48" s="891"/>
      <c r="J48" s="620">
        <f>'Rates in Detail'!E52</f>
        <v>7.6560000000000017E-2</v>
      </c>
      <c r="K48" s="622">
        <f>'Rates in Detail'!H52</f>
        <v>0</v>
      </c>
      <c r="L48" s="622">
        <f>'Rates in Detail'!F52</f>
        <v>0</v>
      </c>
      <c r="M48" s="622">
        <f>'Rates in Detail'!I52</f>
        <v>3.1999999999999997E-4</v>
      </c>
      <c r="N48" s="136">
        <f t="shared" si="0"/>
        <v>7.6880000000000018E-2</v>
      </c>
      <c r="O48" s="620">
        <f>'Rates in Detail'!L52</f>
        <v>5.7299999999999999E-3</v>
      </c>
      <c r="P48" s="622">
        <f>'Rates in Detail'!P52</f>
        <v>-9.7000000000000005E-4</v>
      </c>
      <c r="Q48" s="622">
        <f>'Rates in Detail'!Q52</f>
        <v>0</v>
      </c>
      <c r="R48" s="250">
        <f t="shared" si="1"/>
        <v>4.7599999999999995E-3</v>
      </c>
      <c r="S48" s="620">
        <f>'Rates in Detail'!S52</f>
        <v>0</v>
      </c>
      <c r="T48" s="622">
        <f>'Rates in Detail'!T52</f>
        <v>-8.7000000000000001E-4</v>
      </c>
      <c r="U48" s="622">
        <f>'Rates in Detail'!U52</f>
        <v>3.1E-4</v>
      </c>
      <c r="V48" s="1318">
        <f t="shared" si="19"/>
        <v>4.1999999999999997E-3</v>
      </c>
      <c r="W48" s="612"/>
      <c r="X48" s="116">
        <f>'[25]Rates in detail'!AC50</f>
        <v>7.6560000000000017E-2</v>
      </c>
      <c r="Y48" s="116"/>
      <c r="Z48" s="116">
        <f>'[25]Rates in detail'!AD50</f>
        <v>0</v>
      </c>
      <c r="AA48" s="116">
        <f>'[25]Rates in detail'!AE50</f>
        <v>0</v>
      </c>
      <c r="AB48" s="116">
        <f>'[25]Rates in detail'!AF50</f>
        <v>8.8999999999999995E-4</v>
      </c>
      <c r="AC48" s="344">
        <f t="shared" si="3"/>
        <v>7.7450000000000019E-2</v>
      </c>
      <c r="AD48" s="1594"/>
      <c r="AE48" s="116">
        <f t="shared" si="4"/>
        <v>8.1320000000000017E-2</v>
      </c>
      <c r="AF48" s="116"/>
      <c r="AG48" s="116">
        <f t="shared" si="5"/>
        <v>0</v>
      </c>
      <c r="AH48" s="116">
        <f t="shared" si="6"/>
        <v>0</v>
      </c>
      <c r="AI48" s="116">
        <f t="shared" si="7"/>
        <v>3.2999999999999994E-4</v>
      </c>
      <c r="AJ48" s="1609">
        <f t="shared" si="8"/>
        <v>8.1650000000000014E-2</v>
      </c>
      <c r="AK48" s="1595"/>
      <c r="AL48" s="116">
        <f>'Rates in Detail'!AC52</f>
        <v>2.1700000000000001E-3</v>
      </c>
      <c r="AM48" s="116">
        <f>'Rates in Detail'!AD52</f>
        <v>-9.0000000000000006E-5</v>
      </c>
      <c r="AN48" s="116">
        <f>'Rates in Detail'!AE52</f>
        <v>0</v>
      </c>
      <c r="AO48" s="116">
        <f>'Rates in Detail'!AF52</f>
        <v>-8.4999999999999995E-4</v>
      </c>
      <c r="AP48" s="1803">
        <f t="shared" si="20"/>
        <v>1.2300000000000002E-3</v>
      </c>
      <c r="AQ48" s="130"/>
      <c r="AR48" s="1682">
        <v>8.1320000000000017E-2</v>
      </c>
      <c r="AS48" s="1682"/>
      <c r="AT48" s="1682">
        <v>0</v>
      </c>
      <c r="AU48" s="1682">
        <v>0</v>
      </c>
      <c r="AV48" s="1682">
        <v>2.7999999999999998E-4</v>
      </c>
      <c r="AW48" s="344">
        <f t="shared" si="10"/>
        <v>8.160000000000002E-2</v>
      </c>
      <c r="AY48" s="1798">
        <f t="shared" si="18"/>
        <v>8.3490000000000023E-2</v>
      </c>
      <c r="AZ48" s="116">
        <f t="shared" si="21"/>
        <v>0</v>
      </c>
      <c r="BA48" s="116">
        <f t="shared" si="13"/>
        <v>0</v>
      </c>
      <c r="BB48" s="116">
        <f t="shared" si="14"/>
        <v>0</v>
      </c>
      <c r="BC48" s="116">
        <f t="shared" si="15"/>
        <v>-6.6E-4</v>
      </c>
      <c r="BD48" s="116">
        <f>'Rates in summary'!V53</f>
        <v>0</v>
      </c>
      <c r="BE48" s="339">
        <f t="shared" si="16"/>
        <v>8.2830000000000029E-2</v>
      </c>
      <c r="BF48" s="100"/>
      <c r="BG48" s="100">
        <f>BE48-'Rates in Detail'!AN52</f>
        <v>0</v>
      </c>
      <c r="BH48" s="100"/>
    </row>
    <row r="49" spans="2:60" x14ac:dyDescent="0.3">
      <c r="B49" s="109">
        <f t="shared" si="17"/>
        <v>41</v>
      </c>
      <c r="C49" s="884"/>
      <c r="D49" s="884" t="s">
        <v>8</v>
      </c>
      <c r="E49" s="114">
        <v>600000</v>
      </c>
      <c r="F49" s="115">
        <f>'WA Volumes &amp; Revenues'!E55</f>
        <v>1492257</v>
      </c>
      <c r="G49" s="115"/>
      <c r="H49" s="890"/>
      <c r="I49" s="891"/>
      <c r="J49" s="620">
        <f>'Rates in Detail'!E53</f>
        <v>5.1040000000000002E-2</v>
      </c>
      <c r="K49" s="622">
        <f>'Rates in Detail'!H53</f>
        <v>0</v>
      </c>
      <c r="L49" s="622">
        <f>'Rates in Detail'!F53</f>
        <v>0</v>
      </c>
      <c r="M49" s="622">
        <f>'Rates in Detail'!I53</f>
        <v>2.1000000000000001E-4</v>
      </c>
      <c r="N49" s="136">
        <f t="shared" si="0"/>
        <v>5.1250000000000004E-2</v>
      </c>
      <c r="O49" s="620">
        <f>'Rates in Detail'!L53</f>
        <v>3.82E-3</v>
      </c>
      <c r="P49" s="622">
        <f>'Rates in Detail'!P53</f>
        <v>-6.4999999999999997E-4</v>
      </c>
      <c r="Q49" s="622">
        <f>'Rates in Detail'!Q53</f>
        <v>0</v>
      </c>
      <c r="R49" s="250">
        <f t="shared" si="1"/>
        <v>3.1700000000000001E-3</v>
      </c>
      <c r="S49" s="620">
        <f>'Rates in Detail'!S53</f>
        <v>0</v>
      </c>
      <c r="T49" s="622">
        <f>'Rates in Detail'!T53</f>
        <v>-5.8E-4</v>
      </c>
      <c r="U49" s="622">
        <f>'Rates in Detail'!U53</f>
        <v>2.1000000000000001E-4</v>
      </c>
      <c r="V49" s="1318">
        <f t="shared" si="19"/>
        <v>2.8000000000000004E-3</v>
      </c>
      <c r="W49" s="612"/>
      <c r="X49" s="116">
        <f>'[25]Rates in detail'!AC51</f>
        <v>5.1040000000000002E-2</v>
      </c>
      <c r="Y49" s="116"/>
      <c r="Z49" s="116">
        <f>'[25]Rates in detail'!AD51</f>
        <v>0</v>
      </c>
      <c r="AA49" s="116">
        <f>'[25]Rates in detail'!AE51</f>
        <v>0</v>
      </c>
      <c r="AB49" s="116">
        <f>'[25]Rates in detail'!AF51</f>
        <v>5.9000000000000003E-4</v>
      </c>
      <c r="AC49" s="344">
        <f t="shared" si="3"/>
        <v>5.1630000000000002E-2</v>
      </c>
      <c r="AD49" s="1594"/>
      <c r="AE49" s="116">
        <f t="shared" si="4"/>
        <v>5.4210000000000001E-2</v>
      </c>
      <c r="AF49" s="116"/>
      <c r="AG49" s="116">
        <f t="shared" si="5"/>
        <v>0</v>
      </c>
      <c r="AH49" s="116">
        <f t="shared" si="6"/>
        <v>0</v>
      </c>
      <c r="AI49" s="116">
        <f t="shared" si="7"/>
        <v>2.2000000000000003E-4</v>
      </c>
      <c r="AJ49" s="1609">
        <f t="shared" si="8"/>
        <v>5.4429999999999999E-2</v>
      </c>
      <c r="AK49" s="1595"/>
      <c r="AL49" s="116">
        <f>'Rates in Detail'!AC53</f>
        <v>1.4499999999999999E-3</v>
      </c>
      <c r="AM49" s="116">
        <f>'Rates in Detail'!AD53</f>
        <v>-6.0000000000000002E-5</v>
      </c>
      <c r="AN49" s="116">
        <f>'Rates in Detail'!AE53</f>
        <v>0</v>
      </c>
      <c r="AO49" s="116">
        <f>'Rates in Detail'!AF53</f>
        <v>-5.5999999999999995E-4</v>
      </c>
      <c r="AP49" s="1803">
        <f t="shared" si="20"/>
        <v>8.3000000000000001E-4</v>
      </c>
      <c r="AQ49" s="130"/>
      <c r="AR49" s="1682">
        <v>5.4210000000000001E-2</v>
      </c>
      <c r="AS49" s="1682"/>
      <c r="AT49" s="1682">
        <v>0</v>
      </c>
      <c r="AU49" s="1682">
        <v>0</v>
      </c>
      <c r="AV49" s="1682">
        <v>1.9000000000000001E-4</v>
      </c>
      <c r="AW49" s="344">
        <f t="shared" si="10"/>
        <v>5.4400000000000004E-2</v>
      </c>
      <c r="AY49" s="1798">
        <f t="shared" si="18"/>
        <v>5.5660000000000001E-2</v>
      </c>
      <c r="AZ49" s="116">
        <f t="shared" si="21"/>
        <v>0</v>
      </c>
      <c r="BA49" s="116">
        <f t="shared" si="13"/>
        <v>0</v>
      </c>
      <c r="BB49" s="116">
        <f t="shared" si="14"/>
        <v>0</v>
      </c>
      <c r="BC49" s="116">
        <f t="shared" si="15"/>
        <v>-4.2999999999999999E-4</v>
      </c>
      <c r="BD49" s="116">
        <f>'Rates in summary'!V54</f>
        <v>0</v>
      </c>
      <c r="BE49" s="339">
        <f t="shared" si="16"/>
        <v>5.5230000000000001E-2</v>
      </c>
      <c r="BF49" s="100"/>
      <c r="BG49" s="100">
        <f>BE49-'Rates in Detail'!AN53</f>
        <v>0</v>
      </c>
      <c r="BH49" s="100"/>
    </row>
    <row r="50" spans="2:60" x14ac:dyDescent="0.3">
      <c r="B50" s="109">
        <f t="shared" si="17"/>
        <v>42</v>
      </c>
      <c r="C50" s="882"/>
      <c r="D50" s="882" t="s">
        <v>9</v>
      </c>
      <c r="E50" s="111" t="s">
        <v>72</v>
      </c>
      <c r="F50" s="112">
        <f>'WA Volumes &amp; Revenues'!E56</f>
        <v>0</v>
      </c>
      <c r="G50" s="112"/>
      <c r="H50" s="885"/>
      <c r="I50" s="887"/>
      <c r="J50" s="619">
        <f>'Rates in Detail'!E54</f>
        <v>1.9140000000000001E-2</v>
      </c>
      <c r="K50" s="623">
        <f>'Rates in Detail'!H54</f>
        <v>0</v>
      </c>
      <c r="L50" s="623">
        <f>'Rates in Detail'!F54</f>
        <v>0</v>
      </c>
      <c r="M50" s="623">
        <f>'Rates in Detail'!I54</f>
        <v>7.9999999999999993E-5</v>
      </c>
      <c r="N50" s="134">
        <f t="shared" si="0"/>
        <v>1.9220000000000001E-2</v>
      </c>
      <c r="O50" s="619">
        <f>'Rates in Detail'!L54</f>
        <v>1.4300000000000001E-3</v>
      </c>
      <c r="P50" s="623">
        <f>'Rates in Detail'!P54</f>
        <v>-2.4000000000000001E-4</v>
      </c>
      <c r="Q50" s="623">
        <f>'Rates in Detail'!Q54</f>
        <v>0</v>
      </c>
      <c r="R50" s="249">
        <f t="shared" si="1"/>
        <v>1.1900000000000001E-3</v>
      </c>
      <c r="S50" s="619">
        <f>'Rates in Detail'!S54</f>
        <v>0</v>
      </c>
      <c r="T50" s="623">
        <f>'Rates in Detail'!T54</f>
        <v>-2.2000000000000001E-4</v>
      </c>
      <c r="U50" s="623">
        <f>'Rates in Detail'!U54</f>
        <v>8.0000000000000007E-5</v>
      </c>
      <c r="V50" s="1317">
        <f t="shared" si="19"/>
        <v>1.0500000000000002E-3</v>
      </c>
      <c r="W50" s="612"/>
      <c r="X50" s="113">
        <f>'[25]Rates in detail'!AC52</f>
        <v>1.9140000000000001E-2</v>
      </c>
      <c r="Y50" s="113"/>
      <c r="Z50" s="113">
        <f>'[25]Rates in detail'!AD52</f>
        <v>0</v>
      </c>
      <c r="AA50" s="113">
        <f>'[25]Rates in detail'!AE52</f>
        <v>0</v>
      </c>
      <c r="AB50" s="113">
        <f>'[25]Rates in detail'!AF52</f>
        <v>2.2000000000000001E-4</v>
      </c>
      <c r="AC50" s="343">
        <f t="shared" si="3"/>
        <v>1.9360000000000002E-2</v>
      </c>
      <c r="AD50" s="1594"/>
      <c r="AE50" s="113">
        <f t="shared" si="4"/>
        <v>2.0330000000000001E-2</v>
      </c>
      <c r="AF50" s="113"/>
      <c r="AG50" s="113">
        <f t="shared" si="5"/>
        <v>0</v>
      </c>
      <c r="AH50" s="113">
        <f t="shared" si="6"/>
        <v>0</v>
      </c>
      <c r="AI50" s="113">
        <f t="shared" si="7"/>
        <v>8.0000000000000007E-5</v>
      </c>
      <c r="AJ50" s="1604">
        <f t="shared" si="8"/>
        <v>2.0410000000000001E-2</v>
      </c>
      <c r="AK50" s="1595"/>
      <c r="AL50" s="113">
        <f>'Rates in Detail'!AC54</f>
        <v>5.4000000000000001E-4</v>
      </c>
      <c r="AM50" s="113">
        <f>'Rates in Detail'!AD54</f>
        <v>-2.0000000000000002E-5</v>
      </c>
      <c r="AN50" s="113">
        <f>'Rates in Detail'!AE54</f>
        <v>0</v>
      </c>
      <c r="AO50" s="113">
        <f>'Rates in Detail'!AF54</f>
        <v>-2.1000000000000001E-4</v>
      </c>
      <c r="AP50" s="1802">
        <f t="shared" si="20"/>
        <v>3.0999999999999995E-4</v>
      </c>
      <c r="AQ50" s="130"/>
      <c r="AR50" s="1680">
        <v>2.0330000000000001E-2</v>
      </c>
      <c r="AS50" s="1680"/>
      <c r="AT50" s="1680">
        <v>0</v>
      </c>
      <c r="AU50" s="1680">
        <v>0</v>
      </c>
      <c r="AV50" s="1680">
        <v>6.9999999999999994E-5</v>
      </c>
      <c r="AW50" s="343">
        <f t="shared" si="10"/>
        <v>2.0400000000000001E-2</v>
      </c>
      <c r="AY50" s="1797">
        <f t="shared" si="18"/>
        <v>2.087E-2</v>
      </c>
      <c r="AZ50" s="113">
        <f t="shared" si="21"/>
        <v>0</v>
      </c>
      <c r="BA50" s="113">
        <f t="shared" si="13"/>
        <v>0</v>
      </c>
      <c r="BB50" s="113">
        <f t="shared" si="14"/>
        <v>0</v>
      </c>
      <c r="BC50" s="113">
        <f t="shared" si="15"/>
        <v>-1.6000000000000001E-4</v>
      </c>
      <c r="BD50" s="113">
        <f>'Rates in summary'!V55</f>
        <v>0</v>
      </c>
      <c r="BE50" s="338">
        <f t="shared" si="16"/>
        <v>2.0709999999999999E-2</v>
      </c>
      <c r="BF50" s="100"/>
      <c r="BG50" s="100">
        <f>BE50-'Rates in Detail'!AN54</f>
        <v>0</v>
      </c>
      <c r="BH50" s="100"/>
    </row>
    <row r="51" spans="2:60" x14ac:dyDescent="0.3">
      <c r="B51" s="109">
        <f t="shared" si="17"/>
        <v>43</v>
      </c>
      <c r="C51" s="884" t="str">
        <f>'WA Volumes &amp; Revenues'!B57</f>
        <v>42C Interr Sales</v>
      </c>
      <c r="D51" s="884" t="s">
        <v>4</v>
      </c>
      <c r="E51" s="114">
        <v>10000</v>
      </c>
      <c r="F51" s="115">
        <f>'WA Volumes &amp; Revenues'!E57</f>
        <v>240000</v>
      </c>
      <c r="G51" s="115">
        <f>'WA Volumes &amp; Revenues'!H57</f>
        <v>2</v>
      </c>
      <c r="H51" s="890">
        <f>'WA Volumes &amp; Revenues'!O57</f>
        <v>1300</v>
      </c>
      <c r="I51" s="891">
        <f>'WA Volumes &amp; Revenues'!N57</f>
        <v>1300</v>
      </c>
      <c r="J51" s="620">
        <f>'Rates in Detail'!E55</f>
        <v>0.13682000000000002</v>
      </c>
      <c r="K51" s="622">
        <f>'Rates in Detail'!H55</f>
        <v>0</v>
      </c>
      <c r="L51" s="622">
        <f>'Rates in Detail'!F55</f>
        <v>0.26333000000000001</v>
      </c>
      <c r="M51" s="622">
        <f>'Rates in Detail'!I55</f>
        <v>2.334E-2</v>
      </c>
      <c r="N51" s="136">
        <f t="shared" si="0"/>
        <v>0.42349000000000003</v>
      </c>
      <c r="O51" s="620">
        <f>'Rates in Detail'!L55</f>
        <v>2.2440000000000002E-2</v>
      </c>
      <c r="P51" s="622">
        <f>'Rates in Detail'!P55</f>
        <v>-1.8400000000000001E-3</v>
      </c>
      <c r="Q51" s="622">
        <f>'Rates in Detail'!Q55</f>
        <v>0</v>
      </c>
      <c r="R51" s="250">
        <f t="shared" si="1"/>
        <v>2.06E-2</v>
      </c>
      <c r="S51" s="620">
        <f>'Rates in Detail'!S55</f>
        <v>-3.2799999999999999E-3</v>
      </c>
      <c r="T51" s="622">
        <f>'Rates in Detail'!T55</f>
        <v>-1.75E-3</v>
      </c>
      <c r="U51" s="622">
        <f>'Rates in Detail'!U55</f>
        <v>6.2E-4</v>
      </c>
      <c r="V51" s="1318">
        <f t="shared" si="19"/>
        <v>1.6190000000000003E-2</v>
      </c>
      <c r="W51" s="612"/>
      <c r="X51" s="116">
        <f>'[25]Rates in detail'!AC53</f>
        <v>0.13682000000000011</v>
      </c>
      <c r="Y51" s="116"/>
      <c r="Z51" s="116">
        <f>'[25]Rates in detail'!AD53</f>
        <v>0</v>
      </c>
      <c r="AA51" s="116">
        <f>'[25]Rates in detail'!AE53</f>
        <v>0.34872999999999998</v>
      </c>
      <c r="AB51" s="116">
        <f>'[25]Rates in detail'!AF53</f>
        <v>6.1979999999999993E-2</v>
      </c>
      <c r="AC51" s="344">
        <f t="shared" si="3"/>
        <v>0.54753000000000007</v>
      </c>
      <c r="AD51" s="1594"/>
      <c r="AE51" s="1573">
        <f t="shared" si="4"/>
        <v>0.15742000000000012</v>
      </c>
      <c r="AF51" s="1573"/>
      <c r="AG51" s="1573">
        <f t="shared" si="5"/>
        <v>0</v>
      </c>
      <c r="AH51" s="1573">
        <f t="shared" si="6"/>
        <v>0.34872999999999998</v>
      </c>
      <c r="AI51" s="1573">
        <f t="shared" si="7"/>
        <v>5.7569999999999996E-2</v>
      </c>
      <c r="AJ51" s="1608">
        <f t="shared" si="8"/>
        <v>0.56372000000000011</v>
      </c>
      <c r="AK51" s="1595"/>
      <c r="AL51" s="116">
        <f>'Rates in Detail'!AC55</f>
        <v>1.2449999999999999E-2</v>
      </c>
      <c r="AM51" s="116">
        <f>'Rates in Detail'!AD55</f>
        <v>-1.8000000000000001E-4</v>
      </c>
      <c r="AN51" s="116">
        <f>'Rates in Detail'!AE55</f>
        <v>-3.2799999999999999E-3</v>
      </c>
      <c r="AO51" s="116">
        <f>'Rates in Detail'!AF55</f>
        <v>-1.75E-3</v>
      </c>
      <c r="AP51" s="1803">
        <f t="shared" si="20"/>
        <v>7.2399999999999999E-3</v>
      </c>
      <c r="AQ51" s="130"/>
      <c r="AR51" s="1682">
        <v>0.15742000000000009</v>
      </c>
      <c r="AS51" s="1682"/>
      <c r="AT51" s="1682">
        <v>0</v>
      </c>
      <c r="AU51" s="1682">
        <v>0.46972000000000003</v>
      </c>
      <c r="AV51" s="1682">
        <v>0.13400999999999999</v>
      </c>
      <c r="AW51" s="344">
        <f t="shared" si="10"/>
        <v>0.7611500000000001</v>
      </c>
      <c r="AY51" s="1798">
        <f t="shared" si="18"/>
        <v>0.16987000000000008</v>
      </c>
      <c r="AZ51" s="116">
        <f t="shared" si="21"/>
        <v>0</v>
      </c>
      <c r="BA51" s="116">
        <f t="shared" si="13"/>
        <v>0</v>
      </c>
      <c r="BB51" s="116">
        <f t="shared" si="14"/>
        <v>0.46972000000000003</v>
      </c>
      <c r="BC51" s="116">
        <f t="shared" si="15"/>
        <v>0.1288</v>
      </c>
      <c r="BD51" s="116">
        <f>'Rates in summary'!V56</f>
        <v>0</v>
      </c>
      <c r="BE51" s="339">
        <f t="shared" si="16"/>
        <v>0.76839000000000013</v>
      </c>
      <c r="BF51" s="100"/>
      <c r="BG51" s="100">
        <f>BE51-'Rates in Detail'!AN55</f>
        <v>0</v>
      </c>
      <c r="BH51" s="100"/>
    </row>
    <row r="52" spans="2:60" x14ac:dyDescent="0.3">
      <c r="B52" s="109">
        <f t="shared" si="17"/>
        <v>44</v>
      </c>
      <c r="C52" s="884"/>
      <c r="D52" s="884" t="s">
        <v>5</v>
      </c>
      <c r="E52" s="114">
        <v>20000</v>
      </c>
      <c r="F52" s="115">
        <f>'WA Volumes &amp; Revenues'!E58</f>
        <v>467511</v>
      </c>
      <c r="G52" s="115"/>
      <c r="H52" s="890"/>
      <c r="I52" s="891"/>
      <c r="J52" s="620">
        <f>'Rates in Detail'!E56</f>
        <v>0.12246999999999988</v>
      </c>
      <c r="K52" s="622">
        <f>'Rates in Detail'!H56</f>
        <v>0</v>
      </c>
      <c r="L52" s="622">
        <f>'Rates in Detail'!F56</f>
        <v>0.26333000000000001</v>
      </c>
      <c r="M52" s="622">
        <f>'Rates in Detail'!I56</f>
        <v>2.0999999999999998E-2</v>
      </c>
      <c r="N52" s="136">
        <f t="shared" si="0"/>
        <v>0.40679999999999994</v>
      </c>
      <c r="O52" s="620">
        <f>'Rates in Detail'!L56</f>
        <v>2.009E-2</v>
      </c>
      <c r="P52" s="622">
        <f>'Rates in Detail'!P56</f>
        <v>-1.64E-3</v>
      </c>
      <c r="Q52" s="622">
        <f>'Rates in Detail'!Q56</f>
        <v>0</v>
      </c>
      <c r="R52" s="250">
        <f t="shared" si="1"/>
        <v>1.8450000000000001E-2</v>
      </c>
      <c r="S52" s="620">
        <f>'Rates in Detail'!S56</f>
        <v>-2.9399999999999999E-3</v>
      </c>
      <c r="T52" s="622">
        <f>'Rates in Detail'!T56</f>
        <v>-1.56E-3</v>
      </c>
      <c r="U52" s="622">
        <f>'Rates in Detail'!U56</f>
        <v>5.5000000000000003E-4</v>
      </c>
      <c r="V52" s="1318">
        <f t="shared" si="19"/>
        <v>1.4500000000000001E-2</v>
      </c>
      <c r="W52" s="612"/>
      <c r="X52" s="116">
        <f>'[25]Rates in detail'!AC54</f>
        <v>0.12246999999999986</v>
      </c>
      <c r="Y52" s="116"/>
      <c r="Z52" s="116">
        <f>'[25]Rates in detail'!AD54</f>
        <v>0</v>
      </c>
      <c r="AA52" s="116">
        <f>'[25]Rates in detail'!AE54</f>
        <v>0.34872999999999998</v>
      </c>
      <c r="AB52" s="116">
        <f>'[25]Rates in detail'!AF54</f>
        <v>5.9329999999999994E-2</v>
      </c>
      <c r="AC52" s="344">
        <f t="shared" si="3"/>
        <v>0.53052999999999984</v>
      </c>
      <c r="AD52" s="1594"/>
      <c r="AE52" s="116">
        <f t="shared" si="4"/>
        <v>0.14091999999999985</v>
      </c>
      <c r="AF52" s="116"/>
      <c r="AG52" s="116">
        <f t="shared" si="5"/>
        <v>0</v>
      </c>
      <c r="AH52" s="116">
        <f t="shared" si="6"/>
        <v>0.34872999999999998</v>
      </c>
      <c r="AI52" s="116">
        <f t="shared" si="7"/>
        <v>5.5379999999999999E-2</v>
      </c>
      <c r="AJ52" s="1609">
        <f t="shared" si="8"/>
        <v>0.54502999999999979</v>
      </c>
      <c r="AK52" s="1595"/>
      <c r="AL52" s="116">
        <f>'Rates in Detail'!AC56</f>
        <v>1.1140000000000001E-2</v>
      </c>
      <c r="AM52" s="116">
        <f>'Rates in Detail'!AD56</f>
        <v>-1.6000000000000001E-4</v>
      </c>
      <c r="AN52" s="116">
        <f>'Rates in Detail'!AE56</f>
        <v>-2.9399999999999999E-3</v>
      </c>
      <c r="AO52" s="116">
        <f>'Rates in Detail'!AF56</f>
        <v>-1.57E-3</v>
      </c>
      <c r="AP52" s="1803">
        <f t="shared" si="20"/>
        <v>6.4700000000000001E-3</v>
      </c>
      <c r="AQ52" s="130"/>
      <c r="AR52" s="1682">
        <v>0.14091999999999985</v>
      </c>
      <c r="AS52" s="1682"/>
      <c r="AT52" s="1682">
        <v>0</v>
      </c>
      <c r="AU52" s="1682">
        <v>0.46972000000000003</v>
      </c>
      <c r="AV52" s="1682">
        <v>0.13216999999999998</v>
      </c>
      <c r="AW52" s="344">
        <f t="shared" si="10"/>
        <v>0.74280999999999986</v>
      </c>
      <c r="AY52" s="1798">
        <f t="shared" si="18"/>
        <v>0.15205999999999986</v>
      </c>
      <c r="AZ52" s="116">
        <f t="shared" si="21"/>
        <v>0</v>
      </c>
      <c r="BA52" s="116">
        <f t="shared" si="13"/>
        <v>0</v>
      </c>
      <c r="BB52" s="116">
        <f t="shared" si="14"/>
        <v>0.46972000000000003</v>
      </c>
      <c r="BC52" s="116">
        <f t="shared" si="15"/>
        <v>0.12749999999999997</v>
      </c>
      <c r="BD52" s="116">
        <f>'Rates in summary'!V57</f>
        <v>0</v>
      </c>
      <c r="BE52" s="339">
        <f t="shared" si="16"/>
        <v>0.74927999999999984</v>
      </c>
      <c r="BF52" s="100"/>
      <c r="BG52" s="100">
        <f>BE52-'Rates in Detail'!AN56</f>
        <v>0</v>
      </c>
      <c r="BH52" s="100"/>
    </row>
    <row r="53" spans="2:60" x14ac:dyDescent="0.3">
      <c r="B53" s="109">
        <f t="shared" si="17"/>
        <v>45</v>
      </c>
      <c r="C53" s="884"/>
      <c r="D53" s="884" t="s">
        <v>6</v>
      </c>
      <c r="E53" s="114">
        <v>20000</v>
      </c>
      <c r="F53" s="115">
        <f>'WA Volumes &amp; Revenues'!E59</f>
        <v>218004</v>
      </c>
      <c r="G53" s="115"/>
      <c r="H53" s="890"/>
      <c r="I53" s="891"/>
      <c r="J53" s="620">
        <f>'Rates in Detail'!E57</f>
        <v>9.3909999999999993E-2</v>
      </c>
      <c r="K53" s="622">
        <f>'Rates in Detail'!H57</f>
        <v>0</v>
      </c>
      <c r="L53" s="622">
        <f>'Rates in Detail'!F57</f>
        <v>0.26333000000000001</v>
      </c>
      <c r="M53" s="622">
        <f>'Rates in Detail'!I57</f>
        <v>1.6370000000000003E-2</v>
      </c>
      <c r="N53" s="136">
        <f t="shared" si="0"/>
        <v>0.37361</v>
      </c>
      <c r="O53" s="620">
        <f>'Rates in Detail'!L57</f>
        <v>1.54E-2</v>
      </c>
      <c r="P53" s="622">
        <f>'Rates in Detail'!P57</f>
        <v>-1.2600000000000001E-3</v>
      </c>
      <c r="Q53" s="622">
        <f>'Rates in Detail'!Q57</f>
        <v>0</v>
      </c>
      <c r="R53" s="250">
        <f t="shared" si="1"/>
        <v>1.414E-2</v>
      </c>
      <c r="S53" s="620">
        <f>'Rates in Detail'!S57</f>
        <v>-2.2499999999999998E-3</v>
      </c>
      <c r="T53" s="622">
        <f>'Rates in Detail'!T57</f>
        <v>-1.1999999999999999E-3</v>
      </c>
      <c r="U53" s="622">
        <f>'Rates in Detail'!U57</f>
        <v>4.2000000000000002E-4</v>
      </c>
      <c r="V53" s="1318">
        <f t="shared" si="19"/>
        <v>1.111E-2</v>
      </c>
      <c r="W53" s="612"/>
      <c r="X53" s="116">
        <f>'[25]Rates in detail'!AC55</f>
        <v>9.3910000000000105E-2</v>
      </c>
      <c r="Y53" s="116"/>
      <c r="Z53" s="116">
        <f>'[25]Rates in detail'!AD55</f>
        <v>0</v>
      </c>
      <c r="AA53" s="116">
        <f>'[25]Rates in detail'!AE55</f>
        <v>0.34872999999999998</v>
      </c>
      <c r="AB53" s="116">
        <f>'[25]Rates in detail'!AF55</f>
        <v>5.4059999999999997E-2</v>
      </c>
      <c r="AC53" s="344">
        <f t="shared" si="3"/>
        <v>0.49670000000000009</v>
      </c>
      <c r="AD53" s="1594"/>
      <c r="AE53" s="116">
        <f t="shared" si="4"/>
        <v>0.1080500000000001</v>
      </c>
      <c r="AF53" s="116"/>
      <c r="AG53" s="116">
        <f t="shared" si="5"/>
        <v>0</v>
      </c>
      <c r="AH53" s="116">
        <f t="shared" si="6"/>
        <v>0.34872999999999998</v>
      </c>
      <c r="AI53" s="116">
        <f t="shared" si="7"/>
        <v>5.1029999999999992E-2</v>
      </c>
      <c r="AJ53" s="1609">
        <f t="shared" si="8"/>
        <v>0.50781000000000009</v>
      </c>
      <c r="AK53" s="1595"/>
      <c r="AL53" s="116">
        <f>'Rates in Detail'!AC57</f>
        <v>8.5400000000000007E-3</v>
      </c>
      <c r="AM53" s="116">
        <f>'Rates in Detail'!AD57</f>
        <v>-1.2E-4</v>
      </c>
      <c r="AN53" s="116">
        <f>'Rates in Detail'!AE57</f>
        <v>-2.2499999999999998E-3</v>
      </c>
      <c r="AO53" s="116">
        <f>'Rates in Detail'!AF57</f>
        <v>-1.1999999999999999E-3</v>
      </c>
      <c r="AP53" s="1803">
        <f t="shared" si="20"/>
        <v>4.9700000000000005E-3</v>
      </c>
      <c r="AQ53" s="130"/>
      <c r="AR53" s="1682">
        <v>0.10805000000000012</v>
      </c>
      <c r="AS53" s="1682"/>
      <c r="AT53" s="1682">
        <v>0</v>
      </c>
      <c r="AU53" s="1682">
        <v>0.46972000000000003</v>
      </c>
      <c r="AV53" s="1682">
        <v>0.12850999999999999</v>
      </c>
      <c r="AW53" s="344">
        <f t="shared" si="10"/>
        <v>0.70628000000000013</v>
      </c>
      <c r="AY53" s="1798">
        <f t="shared" si="18"/>
        <v>0.11659000000000012</v>
      </c>
      <c r="AZ53" s="116">
        <f t="shared" si="21"/>
        <v>0</v>
      </c>
      <c r="BA53" s="116">
        <f t="shared" si="13"/>
        <v>0</v>
      </c>
      <c r="BB53" s="116">
        <f t="shared" si="14"/>
        <v>0.46972000000000003</v>
      </c>
      <c r="BC53" s="116">
        <f t="shared" si="15"/>
        <v>0.12493999999999998</v>
      </c>
      <c r="BD53" s="116">
        <f>'Rates in summary'!V58</f>
        <v>0</v>
      </c>
      <c r="BE53" s="339">
        <f t="shared" si="16"/>
        <v>0.71125000000000005</v>
      </c>
      <c r="BF53" s="100"/>
      <c r="BG53" s="100">
        <f>BE53-'Rates in Detail'!AN57</f>
        <v>0</v>
      </c>
      <c r="BH53" s="100"/>
    </row>
    <row r="54" spans="2:60" x14ac:dyDescent="0.3">
      <c r="B54" s="109">
        <f t="shared" si="17"/>
        <v>46</v>
      </c>
      <c r="C54" s="884"/>
      <c r="D54" s="884" t="s">
        <v>7</v>
      </c>
      <c r="E54" s="114">
        <v>100000</v>
      </c>
      <c r="F54" s="115">
        <f>'WA Volumes &amp; Revenues'!E60</f>
        <v>18208</v>
      </c>
      <c r="G54" s="115"/>
      <c r="H54" s="890"/>
      <c r="I54" s="891"/>
      <c r="J54" s="620">
        <f>'Rates in Detail'!E58</f>
        <v>7.5130000000000044E-2</v>
      </c>
      <c r="K54" s="622">
        <f>'Rates in Detail'!H58</f>
        <v>0</v>
      </c>
      <c r="L54" s="622">
        <f>'Rates in Detail'!F58</f>
        <v>0.26333000000000001</v>
      </c>
      <c r="M54" s="622">
        <f>'Rates in Detail'!I58</f>
        <v>1.3339999999999999E-2</v>
      </c>
      <c r="N54" s="136">
        <f t="shared" si="0"/>
        <v>0.35180000000000006</v>
      </c>
      <c r="O54" s="620">
        <f>'Rates in Detail'!L58</f>
        <v>1.2319999999999999E-2</v>
      </c>
      <c r="P54" s="622">
        <f>'Rates in Detail'!P58</f>
        <v>-1.01E-3</v>
      </c>
      <c r="Q54" s="622">
        <f>'Rates in Detail'!Q58</f>
        <v>0</v>
      </c>
      <c r="R54" s="250">
        <f t="shared" si="1"/>
        <v>1.1309999999999999E-2</v>
      </c>
      <c r="S54" s="620">
        <f>'Rates in Detail'!S58</f>
        <v>-1.8E-3</v>
      </c>
      <c r="T54" s="622">
        <f>'Rates in Detail'!T58</f>
        <v>-9.6000000000000002E-4</v>
      </c>
      <c r="U54" s="622">
        <f>'Rates in Detail'!U58</f>
        <v>3.4000000000000002E-4</v>
      </c>
      <c r="V54" s="1318">
        <f t="shared" si="19"/>
        <v>8.8899999999999986E-3</v>
      </c>
      <c r="W54" s="612"/>
      <c r="X54" s="116">
        <f>'[25]Rates in detail'!AC56</f>
        <v>7.5130000000000058E-2</v>
      </c>
      <c r="Y54" s="116"/>
      <c r="Z54" s="116">
        <f>'[25]Rates in detail'!AD56</f>
        <v>0</v>
      </c>
      <c r="AA54" s="116">
        <f>'[25]Rates in detail'!AE56</f>
        <v>0.34872999999999998</v>
      </c>
      <c r="AB54" s="116">
        <f>'[25]Rates in detail'!AF56</f>
        <v>5.0589999999999996E-2</v>
      </c>
      <c r="AC54" s="344">
        <f t="shared" si="3"/>
        <v>0.47445000000000004</v>
      </c>
      <c r="AD54" s="1594"/>
      <c r="AE54" s="116">
        <f t="shared" si="4"/>
        <v>8.6440000000000058E-2</v>
      </c>
      <c r="AF54" s="116"/>
      <c r="AG54" s="116">
        <f t="shared" si="5"/>
        <v>0</v>
      </c>
      <c r="AH54" s="116">
        <f t="shared" si="6"/>
        <v>0.34872999999999998</v>
      </c>
      <c r="AI54" s="116">
        <f t="shared" si="7"/>
        <v>4.8169999999999991E-2</v>
      </c>
      <c r="AJ54" s="1609">
        <f t="shared" si="8"/>
        <v>0.48334000000000005</v>
      </c>
      <c r="AK54" s="1595"/>
      <c r="AL54" s="116">
        <f>'Rates in Detail'!AC58</f>
        <v>6.8300000000000001E-3</v>
      </c>
      <c r="AM54" s="116">
        <f>'Rates in Detail'!AD58</f>
        <v>-1E-4</v>
      </c>
      <c r="AN54" s="116">
        <f>'Rates in Detail'!AE58</f>
        <v>-1.8E-3</v>
      </c>
      <c r="AO54" s="116">
        <f>'Rates in Detail'!AF58</f>
        <v>-9.6000000000000002E-4</v>
      </c>
      <c r="AP54" s="1803">
        <f t="shared" si="20"/>
        <v>3.9700000000000004E-3</v>
      </c>
      <c r="AQ54" s="130"/>
      <c r="AR54" s="1682">
        <v>8.6439999999999934E-2</v>
      </c>
      <c r="AS54" s="1682"/>
      <c r="AT54" s="1682">
        <v>0</v>
      </c>
      <c r="AU54" s="1682">
        <v>0.46972000000000003</v>
      </c>
      <c r="AV54" s="1682">
        <v>0.12608</v>
      </c>
      <c r="AW54" s="344">
        <f t="shared" si="10"/>
        <v>0.68223999999999996</v>
      </c>
      <c r="AY54" s="1798">
        <f t="shared" si="18"/>
        <v>9.3269999999999936E-2</v>
      </c>
      <c r="AZ54" s="116">
        <f t="shared" si="21"/>
        <v>0</v>
      </c>
      <c r="BA54" s="116">
        <f t="shared" si="13"/>
        <v>0</v>
      </c>
      <c r="BB54" s="116">
        <f t="shared" si="14"/>
        <v>0.46972000000000003</v>
      </c>
      <c r="BC54" s="116">
        <f t="shared" si="15"/>
        <v>0.12322</v>
      </c>
      <c r="BD54" s="116">
        <f>'Rates in summary'!V59</f>
        <v>0</v>
      </c>
      <c r="BE54" s="339">
        <f t="shared" si="16"/>
        <v>0.68620999999999999</v>
      </c>
      <c r="BF54" s="100"/>
      <c r="BG54" s="100">
        <f>BE54-'Rates in Detail'!AN58</f>
        <v>0</v>
      </c>
      <c r="BH54" s="100"/>
    </row>
    <row r="55" spans="2:60" x14ac:dyDescent="0.3">
      <c r="B55" s="109">
        <f t="shared" si="17"/>
        <v>47</v>
      </c>
      <c r="C55" s="884"/>
      <c r="D55" s="884" t="s">
        <v>8</v>
      </c>
      <c r="E55" s="114">
        <v>600000</v>
      </c>
      <c r="F55" s="115">
        <f>'WA Volumes &amp; Revenues'!E61</f>
        <v>0</v>
      </c>
      <c r="G55" s="115"/>
      <c r="H55" s="890"/>
      <c r="I55" s="891"/>
      <c r="J55" s="620">
        <f>'Rates in Detail'!E59</f>
        <v>5.0089999999999968E-2</v>
      </c>
      <c r="K55" s="622">
        <f>'Rates in Detail'!H59</f>
        <v>0</v>
      </c>
      <c r="L55" s="622">
        <f>'Rates in Detail'!F59</f>
        <v>0.26333000000000001</v>
      </c>
      <c r="M55" s="622">
        <f>'Rates in Detail'!I59</f>
        <v>9.2699999999999987E-3</v>
      </c>
      <c r="N55" s="136">
        <f t="shared" si="0"/>
        <v>0.32268999999999998</v>
      </c>
      <c r="O55" s="620">
        <f>'Rates in Detail'!L59</f>
        <v>8.2199999999999999E-3</v>
      </c>
      <c r="P55" s="622">
        <f>'Rates in Detail'!P59</f>
        <v>-6.7000000000000002E-4</v>
      </c>
      <c r="Q55" s="622">
        <f>'Rates in Detail'!Q59</f>
        <v>0</v>
      </c>
      <c r="R55" s="250">
        <f t="shared" si="1"/>
        <v>7.5499999999999994E-3</v>
      </c>
      <c r="S55" s="620">
        <f>'Rates in Detail'!S59</f>
        <v>-1.1999999999999999E-3</v>
      </c>
      <c r="T55" s="622">
        <f>'Rates in Detail'!T59</f>
        <v>-6.4000000000000005E-4</v>
      </c>
      <c r="U55" s="622">
        <f>'Rates in Detail'!U59</f>
        <v>2.3000000000000001E-4</v>
      </c>
      <c r="V55" s="1318">
        <f t="shared" si="19"/>
        <v>5.94E-3</v>
      </c>
      <c r="W55" s="612"/>
      <c r="X55" s="116">
        <f>'[25]Rates in detail'!AC57</f>
        <v>5.0089999999999982E-2</v>
      </c>
      <c r="Y55" s="116"/>
      <c r="Z55" s="116">
        <f>'[25]Rates in detail'!AD57</f>
        <v>0</v>
      </c>
      <c r="AA55" s="116">
        <f>'[25]Rates in detail'!AE57</f>
        <v>0.34872999999999998</v>
      </c>
      <c r="AB55" s="116">
        <f>'[25]Rates in detail'!AF57</f>
        <v>4.5969999999999997E-2</v>
      </c>
      <c r="AC55" s="344">
        <f t="shared" si="3"/>
        <v>0.44478999999999996</v>
      </c>
      <c r="AD55" s="1594"/>
      <c r="AE55" s="116">
        <f t="shared" si="4"/>
        <v>5.7639999999999983E-2</v>
      </c>
      <c r="AF55" s="116"/>
      <c r="AG55" s="116">
        <f t="shared" si="5"/>
        <v>0</v>
      </c>
      <c r="AH55" s="116">
        <f t="shared" si="6"/>
        <v>0.34872999999999998</v>
      </c>
      <c r="AI55" s="116">
        <f t="shared" si="7"/>
        <v>4.4359999999999997E-2</v>
      </c>
      <c r="AJ55" s="1609">
        <f t="shared" si="8"/>
        <v>0.45072999999999996</v>
      </c>
      <c r="AK55" s="1595"/>
      <c r="AL55" s="116">
        <f>'Rates in Detail'!AC59</f>
        <v>4.5599999999999998E-3</v>
      </c>
      <c r="AM55" s="116">
        <f>'Rates in Detail'!AD59</f>
        <v>-6.9999999999999994E-5</v>
      </c>
      <c r="AN55" s="116">
        <f>'Rates in Detail'!AE59</f>
        <v>-1.1999999999999999E-3</v>
      </c>
      <c r="AO55" s="116">
        <f>'Rates in Detail'!AF59</f>
        <v>-6.4000000000000005E-4</v>
      </c>
      <c r="AP55" s="1803">
        <f t="shared" si="20"/>
        <v>2.6500000000000004E-3</v>
      </c>
      <c r="AQ55" s="130"/>
      <c r="AR55" s="1682">
        <v>5.7640000000000066E-2</v>
      </c>
      <c r="AS55" s="1682"/>
      <c r="AT55" s="1682">
        <v>0</v>
      </c>
      <c r="AU55" s="1682">
        <v>0.46972000000000003</v>
      </c>
      <c r="AV55" s="1682">
        <v>0.12286999999999999</v>
      </c>
      <c r="AW55" s="344">
        <f t="shared" si="10"/>
        <v>0.65023000000000009</v>
      </c>
      <c r="AY55" s="1798">
        <f t="shared" si="18"/>
        <v>6.2200000000000068E-2</v>
      </c>
      <c r="AZ55" s="116">
        <f t="shared" si="21"/>
        <v>0</v>
      </c>
      <c r="BA55" s="116">
        <f t="shared" si="13"/>
        <v>0</v>
      </c>
      <c r="BB55" s="116">
        <f t="shared" si="14"/>
        <v>0.46972000000000003</v>
      </c>
      <c r="BC55" s="116">
        <f t="shared" si="15"/>
        <v>0.12096</v>
      </c>
      <c r="BD55" s="116">
        <f>'Rates in summary'!V60</f>
        <v>0</v>
      </c>
      <c r="BE55" s="339">
        <f t="shared" si="16"/>
        <v>0.65288000000000002</v>
      </c>
      <c r="BF55" s="100"/>
      <c r="BG55" s="100">
        <f>BE55-'Rates in Detail'!AN59</f>
        <v>0</v>
      </c>
      <c r="BH55" s="100"/>
    </row>
    <row r="56" spans="2:60" x14ac:dyDescent="0.3">
      <c r="B56" s="109">
        <f t="shared" si="17"/>
        <v>48</v>
      </c>
      <c r="C56" s="882"/>
      <c r="D56" s="882" t="s">
        <v>9</v>
      </c>
      <c r="E56" s="111" t="s">
        <v>72</v>
      </c>
      <c r="F56" s="112">
        <f>'WA Volumes &amp; Revenues'!E62</f>
        <v>0</v>
      </c>
      <c r="G56" s="112"/>
      <c r="H56" s="885"/>
      <c r="I56" s="887"/>
      <c r="J56" s="619">
        <f>'Rates in Detail'!E60</f>
        <v>1.8790000000000001E-2</v>
      </c>
      <c r="K56" s="623">
        <f>'Rates in Detail'!H60</f>
        <v>0</v>
      </c>
      <c r="L56" s="623">
        <f>'Rates in Detail'!F60</f>
        <v>0.26333000000000001</v>
      </c>
      <c r="M56" s="623">
        <f>'Rates in Detail'!I60</f>
        <v>4.1999999999999989E-3</v>
      </c>
      <c r="N56" s="134">
        <f t="shared" si="0"/>
        <v>0.28632000000000002</v>
      </c>
      <c r="O56" s="619">
        <f>'Rates in Detail'!L60</f>
        <v>3.0799999999999998E-3</v>
      </c>
      <c r="P56" s="623">
        <f>'Rates in Detail'!P60</f>
        <v>-2.5000000000000001E-4</v>
      </c>
      <c r="Q56" s="623">
        <f>'Rates in Detail'!Q60</f>
        <v>0</v>
      </c>
      <c r="R56" s="249">
        <f t="shared" si="1"/>
        <v>2.8300000000000001E-3</v>
      </c>
      <c r="S56" s="619">
        <f>'Rates in Detail'!S60</f>
        <v>-4.4999999999999999E-4</v>
      </c>
      <c r="T56" s="623">
        <f>'Rates in Detail'!T60</f>
        <v>-2.4000000000000001E-4</v>
      </c>
      <c r="U56" s="623">
        <f>'Rates in Detail'!U60</f>
        <v>8.0000000000000007E-5</v>
      </c>
      <c r="V56" s="1317">
        <f t="shared" si="19"/>
        <v>2.2200000000000002E-3</v>
      </c>
      <c r="W56" s="612"/>
      <c r="X56" s="113">
        <f>'[25]Rates in detail'!AC58</f>
        <v>1.8789999999999946E-2</v>
      </c>
      <c r="Y56" s="113"/>
      <c r="Z56" s="113">
        <f>'[25]Rates in detail'!AD58</f>
        <v>0</v>
      </c>
      <c r="AA56" s="113">
        <f>'[25]Rates in detail'!AE58</f>
        <v>0.34872999999999998</v>
      </c>
      <c r="AB56" s="113">
        <f>'[25]Rates in detail'!AF58</f>
        <v>4.0209999999999996E-2</v>
      </c>
      <c r="AC56" s="343">
        <f t="shared" si="3"/>
        <v>0.40772999999999993</v>
      </c>
      <c r="AD56" s="1594"/>
      <c r="AE56" s="113">
        <f t="shared" si="4"/>
        <v>2.1619999999999945E-2</v>
      </c>
      <c r="AF56" s="113"/>
      <c r="AG56" s="113">
        <f t="shared" si="5"/>
        <v>0</v>
      </c>
      <c r="AH56" s="113">
        <f t="shared" si="6"/>
        <v>0.34872999999999998</v>
      </c>
      <c r="AI56" s="113">
        <f t="shared" si="7"/>
        <v>3.9599999999999996E-2</v>
      </c>
      <c r="AJ56" s="1604">
        <f t="shared" si="8"/>
        <v>0.40994999999999993</v>
      </c>
      <c r="AK56" s="1595"/>
      <c r="AL56" s="113">
        <f>'Rates in Detail'!AC60</f>
        <v>1.7099999999999999E-3</v>
      </c>
      <c r="AM56" s="113">
        <f>'Rates in Detail'!AD60</f>
        <v>-2.0000000000000002E-5</v>
      </c>
      <c r="AN56" s="113">
        <f>'Rates in Detail'!AE60</f>
        <v>-4.4999999999999999E-4</v>
      </c>
      <c r="AO56" s="113">
        <f>'Rates in Detail'!AF60</f>
        <v>-2.4000000000000001E-4</v>
      </c>
      <c r="AP56" s="1802">
        <f t="shared" si="20"/>
        <v>9.999999999999998E-4</v>
      </c>
      <c r="AQ56" s="130"/>
      <c r="AR56" s="1680">
        <v>2.1619999999999931E-2</v>
      </c>
      <c r="AS56" s="1680"/>
      <c r="AT56" s="1680">
        <v>0</v>
      </c>
      <c r="AU56" s="1680">
        <v>0.46972000000000003</v>
      </c>
      <c r="AV56" s="1680">
        <v>0.11883999999999999</v>
      </c>
      <c r="AW56" s="343">
        <f t="shared" si="10"/>
        <v>0.61017999999999994</v>
      </c>
      <c r="AY56" s="1797">
        <f t="shared" si="18"/>
        <v>2.3329999999999931E-2</v>
      </c>
      <c r="AZ56" s="113">
        <f t="shared" si="21"/>
        <v>0</v>
      </c>
      <c r="BA56" s="113">
        <f t="shared" si="13"/>
        <v>0</v>
      </c>
      <c r="BB56" s="113">
        <f t="shared" si="14"/>
        <v>0.46972000000000003</v>
      </c>
      <c r="BC56" s="113">
        <f t="shared" si="15"/>
        <v>0.11812999999999999</v>
      </c>
      <c r="BD56" s="113">
        <f>'Rates in summary'!V61</f>
        <v>0</v>
      </c>
      <c r="BE56" s="338">
        <f t="shared" si="16"/>
        <v>0.61117999999999995</v>
      </c>
      <c r="BF56" s="100"/>
      <c r="BG56" s="100">
        <f>BE56-'Rates in Detail'!AN60</f>
        <v>0</v>
      </c>
      <c r="BH56" s="100"/>
    </row>
    <row r="57" spans="2:60" x14ac:dyDescent="0.3">
      <c r="B57" s="109">
        <f t="shared" si="17"/>
        <v>49</v>
      </c>
      <c r="C57" s="884" t="str">
        <f>'WA Volumes &amp; Revenues'!B63</f>
        <v>42I Interr Sales</v>
      </c>
      <c r="D57" s="884" t="s">
        <v>4</v>
      </c>
      <c r="E57" s="114">
        <v>10000</v>
      </c>
      <c r="F57" s="115">
        <f>'WA Volumes &amp; Revenues'!E63</f>
        <v>156740</v>
      </c>
      <c r="G57" s="115">
        <f>'WA Volumes &amp; Revenues'!H63</f>
        <v>1.9166666666666701</v>
      </c>
      <c r="H57" s="890">
        <f>'WA Volumes &amp; Revenues'!O63</f>
        <v>1300</v>
      </c>
      <c r="I57" s="891">
        <f>'WA Volumes &amp; Revenues'!N63</f>
        <v>1300</v>
      </c>
      <c r="J57" s="620">
        <f>'Rates in Detail'!E61</f>
        <v>0.14583999999999989</v>
      </c>
      <c r="K57" s="622">
        <f>'Rates in Detail'!H61</f>
        <v>0</v>
      </c>
      <c r="L57" s="622">
        <f>'Rates in Detail'!F61</f>
        <v>0.26333000000000001</v>
      </c>
      <c r="M57" s="622">
        <f>'Rates in Detail'!I61</f>
        <v>6.9699999999999996E-3</v>
      </c>
      <c r="N57" s="136">
        <f t="shared" si="0"/>
        <v>0.4161399999999999</v>
      </c>
      <c r="O57" s="620">
        <f>'Rates in Detail'!L61</f>
        <v>1.495E-2</v>
      </c>
      <c r="P57" s="622">
        <f>'Rates in Detail'!P61</f>
        <v>-2.5400000000000002E-3</v>
      </c>
      <c r="Q57" s="622">
        <f>'Rates in Detail'!Q61</f>
        <v>0</v>
      </c>
      <c r="R57" s="250">
        <f t="shared" si="1"/>
        <v>1.2409999999999999E-2</v>
      </c>
      <c r="S57" s="620">
        <f>'Rates in Detail'!S61</f>
        <v>0</v>
      </c>
      <c r="T57" s="622">
        <f>'Rates in Detail'!T61</f>
        <v>-2.2799999999999999E-3</v>
      </c>
      <c r="U57" s="622">
        <f>'Rates in Detail'!U61</f>
        <v>8.0000000000000004E-4</v>
      </c>
      <c r="V57" s="1318">
        <f t="shared" si="19"/>
        <v>1.093E-2</v>
      </c>
      <c r="W57" s="612"/>
      <c r="X57" s="116">
        <f>'[25]Rates in detail'!AC59</f>
        <v>0.14583999999999986</v>
      </c>
      <c r="Y57" s="116"/>
      <c r="Z57" s="116">
        <f>'[25]Rates in detail'!AD59</f>
        <v>0</v>
      </c>
      <c r="AA57" s="116">
        <f>'[25]Rates in detail'!AE59</f>
        <v>0.34872999999999998</v>
      </c>
      <c r="AB57" s="116">
        <f>'[25]Rates in detail'!AF59</f>
        <v>4.3349999999999993E-2</v>
      </c>
      <c r="AC57" s="344">
        <f t="shared" si="3"/>
        <v>0.53791999999999984</v>
      </c>
      <c r="AD57" s="1594"/>
      <c r="AE57" s="1573">
        <f t="shared" si="4"/>
        <v>0.15824999999999986</v>
      </c>
      <c r="AF57" s="1573"/>
      <c r="AG57" s="1573">
        <f t="shared" si="5"/>
        <v>0</v>
      </c>
      <c r="AH57" s="1573">
        <f t="shared" si="6"/>
        <v>0.34872999999999998</v>
      </c>
      <c r="AI57" s="1573">
        <f t="shared" si="7"/>
        <v>4.1869999999999997E-2</v>
      </c>
      <c r="AJ57" s="1608">
        <f t="shared" si="8"/>
        <v>0.54884999999999984</v>
      </c>
      <c r="AK57" s="1595"/>
      <c r="AL57" s="116">
        <f>'Rates in Detail'!AC61</f>
        <v>5.6600000000000001E-3</v>
      </c>
      <c r="AM57" s="116">
        <f>'Rates in Detail'!AD61</f>
        <v>-2.2000000000000001E-4</v>
      </c>
      <c r="AN57" s="116">
        <f>'Rates in Detail'!AE61</f>
        <v>0</v>
      </c>
      <c r="AO57" s="116">
        <f>'Rates in Detail'!AF61</f>
        <v>-2.2100000000000002E-3</v>
      </c>
      <c r="AP57" s="1803">
        <f t="shared" si="20"/>
        <v>3.2300000000000002E-3</v>
      </c>
      <c r="AQ57" s="130"/>
      <c r="AR57" s="1682">
        <v>0.15824999999999989</v>
      </c>
      <c r="AS57" s="1682"/>
      <c r="AT57" s="1682">
        <v>0</v>
      </c>
      <c r="AU57" s="1682">
        <v>0.46972000000000003</v>
      </c>
      <c r="AV57" s="1682">
        <v>0.11985</v>
      </c>
      <c r="AW57" s="344">
        <f t="shared" si="10"/>
        <v>0.74781999999999993</v>
      </c>
      <c r="AY57" s="1798">
        <f t="shared" si="18"/>
        <v>0.16390999999999989</v>
      </c>
      <c r="AZ57" s="116">
        <f t="shared" si="21"/>
        <v>0</v>
      </c>
      <c r="BA57" s="116">
        <f t="shared" si="13"/>
        <v>0</v>
      </c>
      <c r="BB57" s="116">
        <f t="shared" si="14"/>
        <v>0.46972000000000003</v>
      </c>
      <c r="BC57" s="116">
        <f t="shared" si="15"/>
        <v>0.11742</v>
      </c>
      <c r="BD57" s="116">
        <f>'Rates in summary'!V62</f>
        <v>0</v>
      </c>
      <c r="BE57" s="339">
        <f t="shared" si="16"/>
        <v>0.75104999999999988</v>
      </c>
      <c r="BF57" s="100"/>
      <c r="BG57" s="100">
        <f>BE57-'Rates in Detail'!AN61</f>
        <v>0</v>
      </c>
      <c r="BH57" s="100"/>
    </row>
    <row r="58" spans="2:60" x14ac:dyDescent="0.3">
      <c r="B58" s="109">
        <f t="shared" si="17"/>
        <v>50</v>
      </c>
      <c r="C58" s="884"/>
      <c r="D58" s="884" t="s">
        <v>5</v>
      </c>
      <c r="E58" s="114">
        <v>20000</v>
      </c>
      <c r="F58" s="115">
        <f>'WA Volumes &amp; Revenues'!E64</f>
        <v>159690</v>
      </c>
      <c r="G58" s="115"/>
      <c r="H58" s="890"/>
      <c r="I58" s="891"/>
      <c r="J58" s="620">
        <f>'Rates in Detail'!E62</f>
        <v>0.13054999999999992</v>
      </c>
      <c r="K58" s="622">
        <f>'Rates in Detail'!H62</f>
        <v>0</v>
      </c>
      <c r="L58" s="622">
        <f>'Rates in Detail'!F62</f>
        <v>0.26333000000000001</v>
      </c>
      <c r="M58" s="622">
        <f>'Rates in Detail'!I62</f>
        <v>6.3499999999999997E-3</v>
      </c>
      <c r="N58" s="136">
        <f t="shared" si="0"/>
        <v>0.40022999999999992</v>
      </c>
      <c r="O58" s="620">
        <f>'Rates in Detail'!L62</f>
        <v>1.338E-2</v>
      </c>
      <c r="P58" s="622">
        <f>'Rates in Detail'!P62</f>
        <v>-2.2699999999999999E-3</v>
      </c>
      <c r="Q58" s="622">
        <f>'Rates in Detail'!Q62</f>
        <v>0</v>
      </c>
      <c r="R58" s="250">
        <f t="shared" si="1"/>
        <v>1.111E-2</v>
      </c>
      <c r="S58" s="620">
        <f>'Rates in Detail'!S62</f>
        <v>0</v>
      </c>
      <c r="T58" s="622">
        <f>'Rates in Detail'!T62</f>
        <v>-2.0400000000000001E-3</v>
      </c>
      <c r="U58" s="622">
        <f>'Rates in Detail'!U62</f>
        <v>7.2000000000000005E-4</v>
      </c>
      <c r="V58" s="1318">
        <f t="shared" si="19"/>
        <v>9.7900000000000001E-3</v>
      </c>
      <c r="W58" s="612"/>
      <c r="X58" s="116">
        <f>'[25]Rates in detail'!AC60</f>
        <v>0.13054999999999992</v>
      </c>
      <c r="Y58" s="116"/>
      <c r="Z58" s="116">
        <f>'[25]Rates in detail'!AD60</f>
        <v>0</v>
      </c>
      <c r="AA58" s="116">
        <f>'[25]Rates in detail'!AE60</f>
        <v>0.34872999999999998</v>
      </c>
      <c r="AB58" s="116">
        <f>'[25]Rates in detail'!AF60</f>
        <v>4.2649999999999993E-2</v>
      </c>
      <c r="AC58" s="344">
        <f t="shared" si="3"/>
        <v>0.52192999999999989</v>
      </c>
      <c r="AD58" s="1594"/>
      <c r="AE58" s="116">
        <f t="shared" si="4"/>
        <v>0.14165999999999992</v>
      </c>
      <c r="AF58" s="116"/>
      <c r="AG58" s="116">
        <f t="shared" si="5"/>
        <v>0</v>
      </c>
      <c r="AH58" s="116">
        <f t="shared" si="6"/>
        <v>0.34872999999999998</v>
      </c>
      <c r="AI58" s="116">
        <f t="shared" si="7"/>
        <v>4.1329999999999992E-2</v>
      </c>
      <c r="AJ58" s="1609">
        <f t="shared" si="8"/>
        <v>0.53171999999999986</v>
      </c>
      <c r="AK58" s="1595"/>
      <c r="AL58" s="116">
        <f>'Rates in Detail'!AC62</f>
        <v>5.0699999999999999E-3</v>
      </c>
      <c r="AM58" s="116">
        <f>'Rates in Detail'!AD62</f>
        <v>-2.0000000000000001E-4</v>
      </c>
      <c r="AN58" s="116">
        <f>'Rates in Detail'!AE62</f>
        <v>0</v>
      </c>
      <c r="AO58" s="116">
        <f>'Rates in Detail'!AF62</f>
        <v>-1.97E-3</v>
      </c>
      <c r="AP58" s="1803">
        <f t="shared" si="20"/>
        <v>2.9000000000000002E-3</v>
      </c>
      <c r="AQ58" s="130"/>
      <c r="AR58" s="1682">
        <v>0.14165999999999995</v>
      </c>
      <c r="AS58" s="1682"/>
      <c r="AT58" s="1682">
        <v>0</v>
      </c>
      <c r="AU58" s="1682">
        <v>0.46972000000000003</v>
      </c>
      <c r="AV58" s="1682">
        <v>0.11947999999999999</v>
      </c>
      <c r="AW58" s="344">
        <f t="shared" si="10"/>
        <v>0.73086000000000007</v>
      </c>
      <c r="AY58" s="1798">
        <f t="shared" si="18"/>
        <v>0.14672999999999994</v>
      </c>
      <c r="AZ58" s="116">
        <f t="shared" si="21"/>
        <v>0</v>
      </c>
      <c r="BA58" s="116">
        <f t="shared" si="13"/>
        <v>0</v>
      </c>
      <c r="BB58" s="116">
        <f t="shared" si="14"/>
        <v>0.46972000000000003</v>
      </c>
      <c r="BC58" s="116">
        <f t="shared" si="15"/>
        <v>0.11730999999999998</v>
      </c>
      <c r="BD58" s="116">
        <f>'Rates in summary'!V63</f>
        <v>0</v>
      </c>
      <c r="BE58" s="339">
        <f t="shared" si="16"/>
        <v>0.73375999999999997</v>
      </c>
      <c r="BF58" s="100"/>
      <c r="BG58" s="100">
        <f>BE58-'Rates in Detail'!AN62</f>
        <v>0</v>
      </c>
      <c r="BH58" s="100"/>
    </row>
    <row r="59" spans="2:60" x14ac:dyDescent="0.3">
      <c r="B59" s="109">
        <f t="shared" si="17"/>
        <v>51</v>
      </c>
      <c r="C59" s="884"/>
      <c r="D59" s="884" t="s">
        <v>6</v>
      </c>
      <c r="E59" s="114">
        <v>20000</v>
      </c>
      <c r="F59" s="115">
        <f>'WA Volumes &amp; Revenues'!E65</f>
        <v>0</v>
      </c>
      <c r="G59" s="115"/>
      <c r="H59" s="890"/>
      <c r="I59" s="891"/>
      <c r="J59" s="620">
        <f>'Rates in Detail'!E63</f>
        <v>0.10011</v>
      </c>
      <c r="K59" s="622">
        <f>'Rates in Detail'!H63</f>
        <v>0</v>
      </c>
      <c r="L59" s="622">
        <f>'Rates in Detail'!F63</f>
        <v>0.26333000000000001</v>
      </c>
      <c r="M59" s="622">
        <f>'Rates in Detail'!I63</f>
        <v>5.1399999999999996E-3</v>
      </c>
      <c r="N59" s="136">
        <f t="shared" si="0"/>
        <v>0.36857999999999996</v>
      </c>
      <c r="O59" s="620">
        <f>'Rates in Detail'!L63</f>
        <v>1.026E-2</v>
      </c>
      <c r="P59" s="622">
        <f>'Rates in Detail'!P63</f>
        <v>-1.74E-3</v>
      </c>
      <c r="Q59" s="622">
        <f>'Rates in Detail'!Q63</f>
        <v>0</v>
      </c>
      <c r="R59" s="250">
        <f t="shared" si="1"/>
        <v>8.5199999999999998E-3</v>
      </c>
      <c r="S59" s="620">
        <f>'Rates in Detail'!S63</f>
        <v>0</v>
      </c>
      <c r="T59" s="622">
        <f>'Rates in Detail'!T63</f>
        <v>-1.56E-3</v>
      </c>
      <c r="U59" s="622">
        <f>'Rates in Detail'!U63</f>
        <v>5.5000000000000003E-4</v>
      </c>
      <c r="V59" s="1318">
        <f t="shared" si="19"/>
        <v>7.5100000000000002E-3</v>
      </c>
      <c r="W59" s="612"/>
      <c r="X59" s="116">
        <f>'[25]Rates in detail'!AC61</f>
        <v>0.10011</v>
      </c>
      <c r="Y59" s="116"/>
      <c r="Z59" s="116">
        <f>'[25]Rates in detail'!AD61</f>
        <v>0</v>
      </c>
      <c r="AA59" s="116">
        <f>'[25]Rates in detail'!AE61</f>
        <v>0.34872999999999998</v>
      </c>
      <c r="AB59" s="116">
        <f>'[25]Rates in detail'!AF61</f>
        <v>4.1269999999999994E-2</v>
      </c>
      <c r="AC59" s="344">
        <f t="shared" si="3"/>
        <v>0.49010999999999999</v>
      </c>
      <c r="AD59" s="1594"/>
      <c r="AE59" s="116">
        <f t="shared" si="4"/>
        <v>0.10863</v>
      </c>
      <c r="AF59" s="116"/>
      <c r="AG59" s="116">
        <f t="shared" si="5"/>
        <v>0</v>
      </c>
      <c r="AH59" s="116">
        <f t="shared" si="6"/>
        <v>0.34872999999999998</v>
      </c>
      <c r="AI59" s="116">
        <f t="shared" si="7"/>
        <v>4.0259999999999997E-2</v>
      </c>
      <c r="AJ59" s="1609">
        <f t="shared" si="8"/>
        <v>0.49762000000000001</v>
      </c>
      <c r="AK59" s="1595"/>
      <c r="AL59" s="116">
        <f>'Rates in Detail'!AC63</f>
        <v>3.8899999999999998E-3</v>
      </c>
      <c r="AM59" s="116">
        <f>'Rates in Detail'!AD63</f>
        <v>-1.4999999999999999E-4</v>
      </c>
      <c r="AN59" s="116">
        <f>'Rates in Detail'!AE63</f>
        <v>0</v>
      </c>
      <c r="AO59" s="116">
        <f>'Rates in Detail'!AF63</f>
        <v>-1.5100000000000001E-3</v>
      </c>
      <c r="AP59" s="1803">
        <f t="shared" si="20"/>
        <v>2.2299999999999998E-3</v>
      </c>
      <c r="AQ59" s="130"/>
      <c r="AR59" s="1682">
        <v>0.10863000000000012</v>
      </c>
      <c r="AS59" s="1682"/>
      <c r="AT59" s="1682">
        <v>0</v>
      </c>
      <c r="AU59" s="1682">
        <v>0.46972000000000003</v>
      </c>
      <c r="AV59" s="1682">
        <v>0.11878</v>
      </c>
      <c r="AW59" s="344">
        <f t="shared" si="10"/>
        <v>0.69713000000000014</v>
      </c>
      <c r="AY59" s="1798">
        <f t="shared" si="18"/>
        <v>0.11252000000000012</v>
      </c>
      <c r="AZ59" s="116">
        <f t="shared" si="21"/>
        <v>0</v>
      </c>
      <c r="BA59" s="116">
        <f t="shared" si="13"/>
        <v>0</v>
      </c>
      <c r="BB59" s="116">
        <f t="shared" si="14"/>
        <v>0.46972000000000003</v>
      </c>
      <c r="BC59" s="116">
        <f t="shared" si="15"/>
        <v>0.11712</v>
      </c>
      <c r="BD59" s="116">
        <f>'Rates in summary'!V64</f>
        <v>0</v>
      </c>
      <c r="BE59" s="339">
        <f t="shared" si="16"/>
        <v>0.69936000000000009</v>
      </c>
      <c r="BF59" s="100"/>
      <c r="BG59" s="100">
        <f>BE59-'Rates in Detail'!AN63</f>
        <v>0</v>
      </c>
      <c r="BH59" s="100"/>
    </row>
    <row r="60" spans="2:60" x14ac:dyDescent="0.3">
      <c r="B60" s="109">
        <f t="shared" si="17"/>
        <v>52</v>
      </c>
      <c r="C60" s="884"/>
      <c r="D60" s="884" t="s">
        <v>7</v>
      </c>
      <c r="E60" s="114">
        <v>100000</v>
      </c>
      <c r="F60" s="115">
        <f>'WA Volumes &amp; Revenues'!E66</f>
        <v>0</v>
      </c>
      <c r="G60" s="115"/>
      <c r="H60" s="890"/>
      <c r="I60" s="891"/>
      <c r="J60" s="620">
        <f>'Rates in Detail'!E64</f>
        <v>8.0089999999999995E-2</v>
      </c>
      <c r="K60" s="622">
        <f>'Rates in Detail'!H64</f>
        <v>0</v>
      </c>
      <c r="L60" s="622">
        <f>'Rates in Detail'!F64</f>
        <v>0.26333000000000001</v>
      </c>
      <c r="M60" s="622">
        <f>'Rates in Detail'!I64</f>
        <v>4.3499999999999997E-3</v>
      </c>
      <c r="N60" s="136">
        <f t="shared" si="0"/>
        <v>0.34777000000000002</v>
      </c>
      <c r="O60" s="620">
        <f>'Rates in Detail'!L64</f>
        <v>8.2100000000000003E-3</v>
      </c>
      <c r="P60" s="622">
        <f>'Rates in Detail'!P64</f>
        <v>-1.39E-3</v>
      </c>
      <c r="Q60" s="622">
        <f>'Rates in Detail'!Q64</f>
        <v>0</v>
      </c>
      <c r="R60" s="250">
        <f t="shared" si="1"/>
        <v>6.8200000000000005E-3</v>
      </c>
      <c r="S60" s="620">
        <f>'Rates in Detail'!S64</f>
        <v>0</v>
      </c>
      <c r="T60" s="622">
        <f>'Rates in Detail'!T64</f>
        <v>-1.25E-3</v>
      </c>
      <c r="U60" s="622">
        <f>'Rates in Detail'!U64</f>
        <v>4.4000000000000002E-4</v>
      </c>
      <c r="V60" s="1318">
        <f t="shared" si="19"/>
        <v>6.0100000000000006E-3</v>
      </c>
      <c r="W60" s="612"/>
      <c r="X60" s="116">
        <f>'[25]Rates in detail'!AC62</f>
        <v>8.00899999999998E-2</v>
      </c>
      <c r="Y60" s="116"/>
      <c r="Z60" s="116">
        <f>'[25]Rates in detail'!AD62</f>
        <v>0</v>
      </c>
      <c r="AA60" s="116">
        <f>'[25]Rates in detail'!AE62</f>
        <v>0.34872999999999998</v>
      </c>
      <c r="AB60" s="116">
        <f>'[25]Rates in detail'!AF62</f>
        <v>4.0369999999999996E-2</v>
      </c>
      <c r="AC60" s="344">
        <f t="shared" si="3"/>
        <v>0.46918999999999977</v>
      </c>
      <c r="AD60" s="1594"/>
      <c r="AE60" s="116">
        <f t="shared" si="4"/>
        <v>8.6909999999999793E-2</v>
      </c>
      <c r="AF60" s="116"/>
      <c r="AG60" s="116">
        <f t="shared" si="5"/>
        <v>0</v>
      </c>
      <c r="AH60" s="116">
        <f t="shared" si="6"/>
        <v>0.34872999999999998</v>
      </c>
      <c r="AI60" s="116">
        <f t="shared" si="7"/>
        <v>3.9559999999999998E-2</v>
      </c>
      <c r="AJ60" s="1609">
        <f t="shared" si="8"/>
        <v>0.47519999999999979</v>
      </c>
      <c r="AK60" s="1595"/>
      <c r="AL60" s="116">
        <f>'Rates in Detail'!AC64</f>
        <v>3.1099999999999999E-3</v>
      </c>
      <c r="AM60" s="116">
        <f>'Rates in Detail'!AD64</f>
        <v>-1.2E-4</v>
      </c>
      <c r="AN60" s="116">
        <f>'Rates in Detail'!AE64</f>
        <v>0</v>
      </c>
      <c r="AO60" s="116">
        <f>'Rates in Detail'!AF64</f>
        <v>-1.2099999999999999E-3</v>
      </c>
      <c r="AP60" s="1803">
        <f t="shared" si="20"/>
        <v>1.7800000000000001E-3</v>
      </c>
      <c r="AQ60" s="130"/>
      <c r="AR60" s="1682">
        <v>8.6909999999999682E-2</v>
      </c>
      <c r="AS60" s="1682"/>
      <c r="AT60" s="1682">
        <v>0</v>
      </c>
      <c r="AU60" s="1682">
        <v>0.46972000000000003</v>
      </c>
      <c r="AV60" s="1682">
        <v>0.11829999999999999</v>
      </c>
      <c r="AW60" s="344">
        <f t="shared" si="10"/>
        <v>0.6749299999999997</v>
      </c>
      <c r="AY60" s="1798">
        <f t="shared" si="18"/>
        <v>9.0019999999999684E-2</v>
      </c>
      <c r="AZ60" s="116">
        <f t="shared" si="21"/>
        <v>0</v>
      </c>
      <c r="BA60" s="116">
        <f t="shared" si="13"/>
        <v>0</v>
      </c>
      <c r="BB60" s="116">
        <f t="shared" si="14"/>
        <v>0.46972000000000003</v>
      </c>
      <c r="BC60" s="116">
        <f t="shared" si="15"/>
        <v>0.11696999999999999</v>
      </c>
      <c r="BD60" s="116">
        <f>'Rates in summary'!V65</f>
        <v>0</v>
      </c>
      <c r="BE60" s="339">
        <f t="shared" si="16"/>
        <v>0.6767099999999997</v>
      </c>
      <c r="BF60" s="100"/>
      <c r="BG60" s="100">
        <f>BE60-'Rates in Detail'!AN64</f>
        <v>0</v>
      </c>
      <c r="BH60" s="100"/>
    </row>
    <row r="61" spans="2:60" x14ac:dyDescent="0.3">
      <c r="B61" s="109">
        <f t="shared" si="17"/>
        <v>53</v>
      </c>
      <c r="C61" s="884"/>
      <c r="D61" s="884" t="s">
        <v>8</v>
      </c>
      <c r="E61" s="114">
        <v>600000</v>
      </c>
      <c r="F61" s="115">
        <f>'WA Volumes &amp; Revenues'!E67</f>
        <v>0</v>
      </c>
      <c r="G61" s="115"/>
      <c r="H61" s="890"/>
      <c r="I61" s="891"/>
      <c r="J61" s="620">
        <f>'Rates in Detail'!E65</f>
        <v>5.339E-2</v>
      </c>
      <c r="K61" s="622">
        <f>'Rates in Detail'!H65</f>
        <v>0</v>
      </c>
      <c r="L61" s="622">
        <f>'Rates in Detail'!F65</f>
        <v>0.26333000000000001</v>
      </c>
      <c r="M61" s="622">
        <f>'Rates in Detail'!I65</f>
        <v>3.2999999999999995E-3</v>
      </c>
      <c r="N61" s="136">
        <f t="shared" si="0"/>
        <v>0.32002000000000003</v>
      </c>
      <c r="O61" s="620">
        <f>'Rates in Detail'!L65</f>
        <v>5.47E-3</v>
      </c>
      <c r="P61" s="622">
        <f>'Rates in Detail'!P65</f>
        <v>-9.3000000000000005E-4</v>
      </c>
      <c r="Q61" s="622">
        <f>'Rates in Detail'!Q65</f>
        <v>0</v>
      </c>
      <c r="R61" s="250">
        <f t="shared" si="1"/>
        <v>4.5399999999999998E-3</v>
      </c>
      <c r="S61" s="620">
        <f>'Rates in Detail'!S65</f>
        <v>0</v>
      </c>
      <c r="T61" s="622">
        <f>'Rates in Detail'!T65</f>
        <v>-8.3000000000000001E-4</v>
      </c>
      <c r="U61" s="622">
        <f>'Rates in Detail'!U65</f>
        <v>2.9E-4</v>
      </c>
      <c r="V61" s="1318">
        <f t="shared" si="19"/>
        <v>4.0000000000000001E-3</v>
      </c>
      <c r="W61" s="612"/>
      <c r="X61" s="116">
        <f>'[25]Rates in detail'!AC63</f>
        <v>5.3390000000000028E-2</v>
      </c>
      <c r="Y61" s="116"/>
      <c r="Z61" s="116">
        <f>'[25]Rates in detail'!AD63</f>
        <v>0</v>
      </c>
      <c r="AA61" s="116">
        <f>'[25]Rates in detail'!AE63</f>
        <v>0.34872999999999998</v>
      </c>
      <c r="AB61" s="116">
        <f>'[25]Rates in detail'!AF63</f>
        <v>3.9159999999999993E-2</v>
      </c>
      <c r="AC61" s="344">
        <f t="shared" si="3"/>
        <v>0.44128000000000001</v>
      </c>
      <c r="AD61" s="1594"/>
      <c r="AE61" s="116">
        <f t="shared" si="4"/>
        <v>5.793000000000003E-2</v>
      </c>
      <c r="AF61" s="116"/>
      <c r="AG61" s="116">
        <f t="shared" si="5"/>
        <v>0</v>
      </c>
      <c r="AH61" s="116">
        <f t="shared" si="6"/>
        <v>0.34872999999999998</v>
      </c>
      <c r="AI61" s="116">
        <f t="shared" si="7"/>
        <v>3.8619999999999995E-2</v>
      </c>
      <c r="AJ61" s="1609">
        <f t="shared" si="8"/>
        <v>0.44528000000000001</v>
      </c>
      <c r="AK61" s="1595"/>
      <c r="AL61" s="116">
        <f>'Rates in Detail'!AC65</f>
        <v>2.0699999999999998E-3</v>
      </c>
      <c r="AM61" s="116">
        <f>'Rates in Detail'!AD65</f>
        <v>-8.0000000000000007E-5</v>
      </c>
      <c r="AN61" s="116">
        <f>'Rates in Detail'!AE65</f>
        <v>0</v>
      </c>
      <c r="AO61" s="116">
        <f>'Rates in Detail'!AF65</f>
        <v>-8.0999999999999996E-4</v>
      </c>
      <c r="AP61" s="1803">
        <f t="shared" si="20"/>
        <v>1.1799999999999996E-3</v>
      </c>
      <c r="AQ61" s="130"/>
      <c r="AR61" s="1682">
        <v>5.7930000000000009E-2</v>
      </c>
      <c r="AS61" s="1682"/>
      <c r="AT61" s="1682">
        <v>0</v>
      </c>
      <c r="AU61" s="1682">
        <v>0.46972000000000003</v>
      </c>
      <c r="AV61" s="1682">
        <v>0.11768999999999999</v>
      </c>
      <c r="AW61" s="344">
        <f t="shared" si="10"/>
        <v>0.64534000000000002</v>
      </c>
      <c r="AY61" s="1798">
        <f t="shared" si="18"/>
        <v>6.0000000000000012E-2</v>
      </c>
      <c r="AZ61" s="116">
        <f t="shared" si="21"/>
        <v>0</v>
      </c>
      <c r="BA61" s="116">
        <f t="shared" si="13"/>
        <v>0</v>
      </c>
      <c r="BB61" s="116">
        <f t="shared" si="14"/>
        <v>0.46972000000000003</v>
      </c>
      <c r="BC61" s="116">
        <f t="shared" si="15"/>
        <v>0.11679999999999999</v>
      </c>
      <c r="BD61" s="116">
        <f>'Rates in summary'!V66</f>
        <v>0</v>
      </c>
      <c r="BE61" s="339">
        <f t="shared" si="16"/>
        <v>0.64652000000000009</v>
      </c>
      <c r="BF61" s="100"/>
      <c r="BG61" s="100">
        <f>BE61-'Rates in Detail'!AN65</f>
        <v>0</v>
      </c>
      <c r="BH61" s="100"/>
    </row>
    <row r="62" spans="2:60" x14ac:dyDescent="0.3">
      <c r="B62" s="109">
        <f t="shared" si="17"/>
        <v>54</v>
      </c>
      <c r="C62" s="882"/>
      <c r="D62" s="882" t="s">
        <v>9</v>
      </c>
      <c r="E62" s="111" t="s">
        <v>72</v>
      </c>
      <c r="F62" s="112">
        <f>'WA Volumes &amp; Revenues'!E68</f>
        <v>0</v>
      </c>
      <c r="G62" s="112"/>
      <c r="H62" s="885"/>
      <c r="I62" s="887"/>
      <c r="J62" s="619">
        <f>'Rates in Detail'!E66</f>
        <v>2.002E-2</v>
      </c>
      <c r="K62" s="623">
        <f>'Rates in Detail'!H66</f>
        <v>0</v>
      </c>
      <c r="L62" s="623">
        <f>'Rates in Detail'!F66</f>
        <v>0.26333000000000001</v>
      </c>
      <c r="M62" s="623">
        <f>'Rates in Detail'!I66</f>
        <v>1.9499999999999995E-3</v>
      </c>
      <c r="N62" s="134">
        <f t="shared" si="0"/>
        <v>0.2853</v>
      </c>
      <c r="O62" s="619">
        <f>'Rates in Detail'!L66</f>
        <v>2.0500000000000002E-3</v>
      </c>
      <c r="P62" s="623">
        <f>'Rates in Detail'!P66</f>
        <v>-3.5E-4</v>
      </c>
      <c r="Q62" s="623">
        <f>'Rates in Detail'!Q66</f>
        <v>0</v>
      </c>
      <c r="R62" s="249">
        <f t="shared" si="1"/>
        <v>1.7000000000000001E-3</v>
      </c>
      <c r="S62" s="619">
        <f>'Rates in Detail'!S66</f>
        <v>0</v>
      </c>
      <c r="T62" s="623">
        <f>'Rates in Detail'!T66</f>
        <v>-3.1E-4</v>
      </c>
      <c r="U62" s="623">
        <f>'Rates in Detail'!U66</f>
        <v>1.1E-4</v>
      </c>
      <c r="V62" s="1317">
        <f t="shared" si="19"/>
        <v>1.5000000000000002E-3</v>
      </c>
      <c r="W62" s="612"/>
      <c r="X62" s="113">
        <f>'[25]Rates in detail'!AC64</f>
        <v>2.0019999999999948E-2</v>
      </c>
      <c r="Y62" s="113"/>
      <c r="Z62" s="113">
        <f>'[25]Rates in detail'!AD64</f>
        <v>0</v>
      </c>
      <c r="AA62" s="113">
        <f>'[25]Rates in detail'!AE64</f>
        <v>0.34872999999999998</v>
      </c>
      <c r="AB62" s="113">
        <f>'[25]Rates in detail'!AF64</f>
        <v>3.7649999999999996E-2</v>
      </c>
      <c r="AC62" s="343">
        <f t="shared" si="3"/>
        <v>0.40639999999999993</v>
      </c>
      <c r="AD62" s="1594"/>
      <c r="AE62" s="113">
        <f t="shared" si="4"/>
        <v>2.1719999999999948E-2</v>
      </c>
      <c r="AF62" s="113"/>
      <c r="AG62" s="113">
        <f t="shared" si="5"/>
        <v>0</v>
      </c>
      <c r="AH62" s="113">
        <f t="shared" si="6"/>
        <v>0.34872999999999998</v>
      </c>
      <c r="AI62" s="113">
        <f t="shared" si="7"/>
        <v>3.7449999999999997E-2</v>
      </c>
      <c r="AJ62" s="1604">
        <f t="shared" si="8"/>
        <v>0.40789999999999993</v>
      </c>
      <c r="AK62" s="1595"/>
      <c r="AL62" s="113">
        <f>'Rates in Detail'!AC66</f>
        <v>7.7999999999999999E-4</v>
      </c>
      <c r="AM62" s="113">
        <f>'Rates in Detail'!AD66</f>
        <v>-3.0000000000000001E-5</v>
      </c>
      <c r="AN62" s="113">
        <f>'Rates in Detail'!AE66</f>
        <v>0</v>
      </c>
      <c r="AO62" s="113">
        <f>'Rates in Detail'!AF66</f>
        <v>-2.9999999999999997E-4</v>
      </c>
      <c r="AP62" s="1802">
        <f t="shared" si="20"/>
        <v>4.5000000000000004E-4</v>
      </c>
      <c r="AQ62" s="130"/>
      <c r="AR62" s="1680">
        <v>2.1719999999999975E-2</v>
      </c>
      <c r="AS62" s="1680"/>
      <c r="AT62" s="1680">
        <v>0</v>
      </c>
      <c r="AU62" s="1680">
        <v>0.46972000000000003</v>
      </c>
      <c r="AV62" s="1680">
        <v>0.11689999999999999</v>
      </c>
      <c r="AW62" s="343">
        <f t="shared" si="10"/>
        <v>0.60833999999999999</v>
      </c>
      <c r="AY62" s="1797">
        <f t="shared" si="18"/>
        <v>2.2499999999999975E-2</v>
      </c>
      <c r="AZ62" s="113">
        <f t="shared" si="21"/>
        <v>0</v>
      </c>
      <c r="BA62" s="113">
        <f t="shared" si="13"/>
        <v>0</v>
      </c>
      <c r="BB62" s="113">
        <f t="shared" si="14"/>
        <v>0.46972000000000003</v>
      </c>
      <c r="BC62" s="113">
        <f t="shared" si="15"/>
        <v>0.11656999999999999</v>
      </c>
      <c r="BD62" s="113">
        <f>'Rates in summary'!V67</f>
        <v>0</v>
      </c>
      <c r="BE62" s="338">
        <f t="shared" si="16"/>
        <v>0.60878999999999994</v>
      </c>
      <c r="BF62" s="100"/>
      <c r="BG62" s="100">
        <f>BE62-'Rates in Detail'!AN66</f>
        <v>0</v>
      </c>
      <c r="BH62" s="100"/>
    </row>
    <row r="63" spans="2:60" x14ac:dyDescent="0.3">
      <c r="B63" s="109">
        <f t="shared" si="17"/>
        <v>55</v>
      </c>
      <c r="C63" s="884" t="str">
        <f>'WA Volumes &amp; Revenues'!B69</f>
        <v>42C Inter Transpt</v>
      </c>
      <c r="D63" s="884" t="s">
        <v>4</v>
      </c>
      <c r="E63" s="114">
        <v>10000</v>
      </c>
      <c r="F63" s="115">
        <f>'WA Volumes &amp; Revenues'!E69</f>
        <v>0</v>
      </c>
      <c r="G63" s="115">
        <f>'WA Volumes &amp; Revenues'!H69</f>
        <v>0</v>
      </c>
      <c r="H63" s="890">
        <f>'WA Volumes &amp; Revenues'!O69</f>
        <v>1550</v>
      </c>
      <c r="I63" s="891">
        <f>'WA Volumes &amp; Revenues'!N69</f>
        <v>1550</v>
      </c>
      <c r="J63" s="620">
        <f>'Rates in Detail'!E67</f>
        <v>0.13402999999999998</v>
      </c>
      <c r="K63" s="622">
        <f>'Rates in Detail'!H67</f>
        <v>0</v>
      </c>
      <c r="L63" s="622">
        <f>'Rates in Detail'!F67</f>
        <v>0</v>
      </c>
      <c r="M63" s="622">
        <f>'Rates in Detail'!I67</f>
        <v>5.6999999999999998E-4</v>
      </c>
      <c r="N63" s="136">
        <f t="shared" si="0"/>
        <v>0.13459999999999997</v>
      </c>
      <c r="O63" s="620">
        <f>'Rates in Detail'!L67</f>
        <v>6.1399999999999996E-3</v>
      </c>
      <c r="P63" s="622">
        <f>'Rates in Detail'!P67</f>
        <v>-1.2600000000000001E-3</v>
      </c>
      <c r="Q63" s="622">
        <f>'Rates in Detail'!Q67</f>
        <v>0</v>
      </c>
      <c r="R63" s="250">
        <f t="shared" si="1"/>
        <v>4.8799999999999998E-3</v>
      </c>
      <c r="S63" s="620">
        <f>'Rates in Detail'!S67</f>
        <v>0</v>
      </c>
      <c r="T63" s="622">
        <f>'Rates in Detail'!T67</f>
        <v>-1.1199999999999999E-3</v>
      </c>
      <c r="U63" s="622">
        <f>'Rates in Detail'!U67</f>
        <v>5.1000000000000004E-4</v>
      </c>
      <c r="V63" s="1318">
        <f t="shared" si="19"/>
        <v>4.2699999999999995E-3</v>
      </c>
      <c r="W63" s="612"/>
      <c r="X63" s="116">
        <f>'[25]Rates in detail'!AC65</f>
        <v>0.13402999999999998</v>
      </c>
      <c r="Y63" s="116"/>
      <c r="Z63" s="116">
        <f>'[25]Rates in detail'!AD65</f>
        <v>0</v>
      </c>
      <c r="AA63" s="116">
        <f>'[25]Rates in detail'!AE65</f>
        <v>0</v>
      </c>
      <c r="AB63" s="116">
        <f>'[25]Rates in detail'!AF65</f>
        <v>1.6000000000000001E-3</v>
      </c>
      <c r="AC63" s="344">
        <f t="shared" si="3"/>
        <v>0.13562999999999997</v>
      </c>
      <c r="AD63" s="1594"/>
      <c r="AE63" s="1573">
        <f t="shared" si="4"/>
        <v>0.13890999999999998</v>
      </c>
      <c r="AF63" s="1573"/>
      <c r="AG63" s="1573">
        <f t="shared" si="5"/>
        <v>0</v>
      </c>
      <c r="AH63" s="1573">
        <f t="shared" si="6"/>
        <v>0</v>
      </c>
      <c r="AI63" s="1573">
        <f t="shared" si="7"/>
        <v>9.9000000000000021E-4</v>
      </c>
      <c r="AJ63" s="1608">
        <f t="shared" si="8"/>
        <v>0.13989999999999997</v>
      </c>
      <c r="AK63" s="1595"/>
      <c r="AL63" s="116">
        <f>'Rates in Detail'!AC67</f>
        <v>2.7799999999999999E-3</v>
      </c>
      <c r="AM63" s="116">
        <f>'Rates in Detail'!AD67</f>
        <v>-1.1E-4</v>
      </c>
      <c r="AN63" s="116">
        <f>'Rates in Detail'!AE67</f>
        <v>0</v>
      </c>
      <c r="AO63" s="116">
        <f>'Rates in Detail'!AF67</f>
        <v>-1.08E-3</v>
      </c>
      <c r="AP63" s="1803">
        <f t="shared" si="20"/>
        <v>1.5900000000000001E-3</v>
      </c>
      <c r="AQ63" s="130"/>
      <c r="AR63" s="1682">
        <v>0.13890999999999998</v>
      </c>
      <c r="AS63" s="1682"/>
      <c r="AT63" s="1682">
        <v>0</v>
      </c>
      <c r="AU63" s="1682">
        <v>0</v>
      </c>
      <c r="AV63" s="1682">
        <v>2.4499999999999999E-3</v>
      </c>
      <c r="AW63" s="344">
        <f t="shared" si="10"/>
        <v>0.14135999999999999</v>
      </c>
      <c r="AY63" s="1798">
        <f t="shared" si="18"/>
        <v>0.14168999999999998</v>
      </c>
      <c r="AZ63" s="116">
        <f t="shared" si="21"/>
        <v>0</v>
      </c>
      <c r="BA63" s="116">
        <f t="shared" si="13"/>
        <v>0</v>
      </c>
      <c r="BB63" s="116">
        <f t="shared" si="14"/>
        <v>0</v>
      </c>
      <c r="BC63" s="116">
        <f t="shared" si="15"/>
        <v>1.2599999999999998E-3</v>
      </c>
      <c r="BD63" s="116">
        <f>'Rates in summary'!V68</f>
        <v>0</v>
      </c>
      <c r="BE63" s="339">
        <f t="shared" si="16"/>
        <v>0.14294999999999999</v>
      </c>
      <c r="BF63" s="100"/>
      <c r="BG63" s="100">
        <f>BE63-'Rates in Detail'!AN67</f>
        <v>0</v>
      </c>
      <c r="BH63" s="100"/>
    </row>
    <row r="64" spans="2:60" x14ac:dyDescent="0.3">
      <c r="B64" s="109">
        <f t="shared" si="17"/>
        <v>56</v>
      </c>
      <c r="C64" s="884"/>
      <c r="D64" s="884" t="s">
        <v>5</v>
      </c>
      <c r="E64" s="114">
        <v>20000</v>
      </c>
      <c r="F64" s="115">
        <f>'WA Volumes &amp; Revenues'!E70</f>
        <v>0</v>
      </c>
      <c r="G64" s="115"/>
      <c r="H64" s="890"/>
      <c r="I64" s="891"/>
      <c r="J64" s="620">
        <f>'Rates in Detail'!E68</f>
        <v>0.11997999999999999</v>
      </c>
      <c r="K64" s="622">
        <f>'Rates in Detail'!H68</f>
        <v>0</v>
      </c>
      <c r="L64" s="622">
        <f>'Rates in Detail'!F68</f>
        <v>0</v>
      </c>
      <c r="M64" s="622">
        <f>'Rates in Detail'!I68</f>
        <v>5.1000000000000004E-4</v>
      </c>
      <c r="N64" s="136">
        <f t="shared" si="0"/>
        <v>0.12048999999999999</v>
      </c>
      <c r="O64" s="620">
        <f>'Rates in Detail'!L68</f>
        <v>5.4999999999999997E-3</v>
      </c>
      <c r="P64" s="622">
        <f>'Rates in Detail'!P68</f>
        <v>-1.1199999999999999E-3</v>
      </c>
      <c r="Q64" s="622">
        <f>'Rates in Detail'!Q68</f>
        <v>0</v>
      </c>
      <c r="R64" s="250">
        <f t="shared" si="1"/>
        <v>4.3800000000000002E-3</v>
      </c>
      <c r="S64" s="620">
        <f>'Rates in Detail'!S68</f>
        <v>0</v>
      </c>
      <c r="T64" s="622">
        <f>'Rates in Detail'!T68</f>
        <v>-1E-3</v>
      </c>
      <c r="U64" s="622">
        <f>'Rates in Detail'!U68</f>
        <v>4.4999999999999999E-4</v>
      </c>
      <c r="V64" s="1318">
        <f t="shared" si="19"/>
        <v>3.8300000000000001E-3</v>
      </c>
      <c r="W64" s="612"/>
      <c r="X64" s="116">
        <f>'[25]Rates in detail'!AC66</f>
        <v>0.11997999999999999</v>
      </c>
      <c r="Y64" s="116"/>
      <c r="Z64" s="116">
        <f>'[25]Rates in detail'!AD66</f>
        <v>0</v>
      </c>
      <c r="AA64" s="116">
        <f>'[25]Rates in detail'!AE66</f>
        <v>0</v>
      </c>
      <c r="AB64" s="116">
        <f>'[25]Rates in detail'!AF66</f>
        <v>1.4300000000000001E-3</v>
      </c>
      <c r="AC64" s="344">
        <f t="shared" si="3"/>
        <v>0.12140999999999999</v>
      </c>
      <c r="AD64" s="1594"/>
      <c r="AE64" s="116">
        <f t="shared" si="4"/>
        <v>0.12435999999999998</v>
      </c>
      <c r="AF64" s="116"/>
      <c r="AG64" s="116">
        <f t="shared" si="5"/>
        <v>0</v>
      </c>
      <c r="AH64" s="116">
        <f t="shared" si="6"/>
        <v>0</v>
      </c>
      <c r="AI64" s="116">
        <f t="shared" si="7"/>
        <v>8.8000000000000003E-4</v>
      </c>
      <c r="AJ64" s="1609">
        <f t="shared" si="8"/>
        <v>0.12523999999999999</v>
      </c>
      <c r="AK64" s="1595"/>
      <c r="AL64" s="116">
        <f>'Rates in Detail'!AC68</f>
        <v>2.49E-3</v>
      </c>
      <c r="AM64" s="116">
        <f>'Rates in Detail'!AD68</f>
        <v>-1E-4</v>
      </c>
      <c r="AN64" s="116">
        <f>'Rates in Detail'!AE68</f>
        <v>0</v>
      </c>
      <c r="AO64" s="116">
        <f>'Rates in Detail'!AF68</f>
        <v>-9.7000000000000005E-4</v>
      </c>
      <c r="AP64" s="1803">
        <f t="shared" si="20"/>
        <v>1.4200000000000003E-3</v>
      </c>
      <c r="AQ64" s="130"/>
      <c r="AR64" s="1682">
        <v>0.12436</v>
      </c>
      <c r="AS64" s="1682"/>
      <c r="AT64" s="1682">
        <v>0</v>
      </c>
      <c r="AU64" s="1682">
        <v>0</v>
      </c>
      <c r="AV64" s="1682">
        <v>2.1900000000000001E-3</v>
      </c>
      <c r="AW64" s="344">
        <f t="shared" si="10"/>
        <v>0.12655</v>
      </c>
      <c r="AY64" s="1798">
        <f t="shared" si="18"/>
        <v>0.12684999999999999</v>
      </c>
      <c r="AZ64" s="116">
        <f t="shared" si="21"/>
        <v>0</v>
      </c>
      <c r="BA64" s="116">
        <f t="shared" si="13"/>
        <v>0</v>
      </c>
      <c r="BB64" s="116">
        <f t="shared" si="14"/>
        <v>0</v>
      </c>
      <c r="BC64" s="116">
        <f t="shared" si="15"/>
        <v>1.1200000000000001E-3</v>
      </c>
      <c r="BD64" s="116">
        <f>'Rates in summary'!V69</f>
        <v>0</v>
      </c>
      <c r="BE64" s="339">
        <f t="shared" si="16"/>
        <v>0.12797</v>
      </c>
      <c r="BF64" s="100"/>
      <c r="BG64" s="100">
        <f>BE64-'Rates in Detail'!AN68</f>
        <v>0</v>
      </c>
      <c r="BH64" s="100"/>
    </row>
    <row r="65" spans="2:60" x14ac:dyDescent="0.3">
      <c r="B65" s="109">
        <f t="shared" si="17"/>
        <v>57</v>
      </c>
      <c r="C65" s="884"/>
      <c r="D65" s="884" t="s">
        <v>6</v>
      </c>
      <c r="E65" s="114">
        <v>20000</v>
      </c>
      <c r="F65" s="115">
        <f>'WA Volumes &amp; Revenues'!E71</f>
        <v>0</v>
      </c>
      <c r="G65" s="115"/>
      <c r="H65" s="890"/>
      <c r="I65" s="891"/>
      <c r="J65" s="620">
        <f>'Rates in Detail'!E69</f>
        <v>9.1999999999999998E-2</v>
      </c>
      <c r="K65" s="622">
        <f>'Rates in Detail'!H69</f>
        <v>0</v>
      </c>
      <c r="L65" s="622">
        <f>'Rates in Detail'!F69</f>
        <v>0</v>
      </c>
      <c r="M65" s="622">
        <f>'Rates in Detail'!I69</f>
        <v>3.7999999999999997E-4</v>
      </c>
      <c r="N65" s="136">
        <f t="shared" si="0"/>
        <v>9.2380000000000004E-2</v>
      </c>
      <c r="O65" s="620">
        <f>'Rates in Detail'!L69</f>
        <v>4.2199999999999998E-3</v>
      </c>
      <c r="P65" s="622">
        <f>'Rates in Detail'!P69</f>
        <v>-8.5999999999999998E-4</v>
      </c>
      <c r="Q65" s="622">
        <f>'Rates in Detail'!Q69</f>
        <v>0</v>
      </c>
      <c r="R65" s="250">
        <f t="shared" si="1"/>
        <v>3.3599999999999997E-3</v>
      </c>
      <c r="S65" s="620">
        <f>'Rates in Detail'!S69</f>
        <v>0</v>
      </c>
      <c r="T65" s="622">
        <f>'Rates in Detail'!T69</f>
        <v>-7.6999999999999996E-4</v>
      </c>
      <c r="U65" s="622">
        <f>'Rates in Detail'!U69</f>
        <v>3.5E-4</v>
      </c>
      <c r="V65" s="1318">
        <f t="shared" si="19"/>
        <v>2.9399999999999999E-3</v>
      </c>
      <c r="W65" s="612"/>
      <c r="X65" s="116">
        <f>'[25]Rates in detail'!AC67</f>
        <v>9.1999999999999998E-2</v>
      </c>
      <c r="Y65" s="116"/>
      <c r="Z65" s="116">
        <f>'[25]Rates in detail'!AD67</f>
        <v>0</v>
      </c>
      <c r="AA65" s="116">
        <f>'[25]Rates in detail'!AE67</f>
        <v>0</v>
      </c>
      <c r="AB65" s="116">
        <f>'[25]Rates in detail'!AF67</f>
        <v>1.1000000000000001E-3</v>
      </c>
      <c r="AC65" s="344">
        <f t="shared" si="3"/>
        <v>9.3100000000000002E-2</v>
      </c>
      <c r="AD65" s="1594"/>
      <c r="AE65" s="116">
        <f t="shared" si="4"/>
        <v>9.536E-2</v>
      </c>
      <c r="AF65" s="116"/>
      <c r="AG65" s="116">
        <f t="shared" si="5"/>
        <v>0</v>
      </c>
      <c r="AH65" s="116">
        <f t="shared" si="6"/>
        <v>0</v>
      </c>
      <c r="AI65" s="116">
        <f t="shared" si="7"/>
        <v>6.8000000000000005E-4</v>
      </c>
      <c r="AJ65" s="1609">
        <f t="shared" si="8"/>
        <v>9.604E-2</v>
      </c>
      <c r="AK65" s="1595"/>
      <c r="AL65" s="116">
        <f>'Rates in Detail'!AC69</f>
        <v>1.91E-3</v>
      </c>
      <c r="AM65" s="116">
        <f>'Rates in Detail'!AD69</f>
        <v>-8.0000000000000007E-5</v>
      </c>
      <c r="AN65" s="116">
        <f>'Rates in Detail'!AE69</f>
        <v>0</v>
      </c>
      <c r="AO65" s="116">
        <f>'Rates in Detail'!AF69</f>
        <v>-7.3999999999999999E-4</v>
      </c>
      <c r="AP65" s="1803">
        <f t="shared" si="20"/>
        <v>1.09E-3</v>
      </c>
      <c r="AQ65" s="130"/>
      <c r="AR65" s="1682">
        <v>9.536E-2</v>
      </c>
      <c r="AS65" s="1682"/>
      <c r="AT65" s="1682">
        <v>0</v>
      </c>
      <c r="AU65" s="1682">
        <v>0</v>
      </c>
      <c r="AV65" s="1682">
        <v>1.6800000000000001E-3</v>
      </c>
      <c r="AW65" s="344">
        <f t="shared" si="10"/>
        <v>9.7040000000000001E-2</v>
      </c>
      <c r="AY65" s="1798">
        <f t="shared" si="18"/>
        <v>9.7269999999999995E-2</v>
      </c>
      <c r="AZ65" s="116">
        <f t="shared" si="21"/>
        <v>0</v>
      </c>
      <c r="BA65" s="116">
        <f t="shared" si="13"/>
        <v>0</v>
      </c>
      <c r="BB65" s="116">
        <f t="shared" si="14"/>
        <v>0</v>
      </c>
      <c r="BC65" s="116">
        <f t="shared" si="15"/>
        <v>8.6000000000000009E-4</v>
      </c>
      <c r="BD65" s="116">
        <f>'Rates in summary'!V70</f>
        <v>0</v>
      </c>
      <c r="BE65" s="339">
        <f t="shared" si="16"/>
        <v>9.8129999999999995E-2</v>
      </c>
      <c r="BF65" s="100"/>
      <c r="BG65" s="100">
        <f>BE65-'Rates in Detail'!AN69</f>
        <v>0</v>
      </c>
      <c r="BH65" s="100"/>
    </row>
    <row r="66" spans="2:60" x14ac:dyDescent="0.3">
      <c r="B66" s="109">
        <f t="shared" si="17"/>
        <v>58</v>
      </c>
      <c r="C66" s="884"/>
      <c r="D66" s="884" t="s">
        <v>7</v>
      </c>
      <c r="E66" s="114">
        <v>100000</v>
      </c>
      <c r="F66" s="115">
        <f>'WA Volumes &amp; Revenues'!E72</f>
        <v>0</v>
      </c>
      <c r="G66" s="115"/>
      <c r="H66" s="890"/>
      <c r="I66" s="891"/>
      <c r="J66" s="620">
        <f>'Rates in Detail'!E70</f>
        <v>7.3609999999999995E-2</v>
      </c>
      <c r="K66" s="622">
        <f>'Rates in Detail'!H70</f>
        <v>0</v>
      </c>
      <c r="L66" s="622">
        <f>'Rates in Detail'!F70</f>
        <v>0</v>
      </c>
      <c r="M66" s="622">
        <f>'Rates in Detail'!I70</f>
        <v>3.0999999999999995E-4</v>
      </c>
      <c r="N66" s="136">
        <f t="shared" si="0"/>
        <v>7.392E-2</v>
      </c>
      <c r="O66" s="620">
        <f>'Rates in Detail'!L70</f>
        <v>3.3700000000000002E-3</v>
      </c>
      <c r="P66" s="622">
        <f>'Rates in Detail'!P70</f>
        <v>-6.8999999999999997E-4</v>
      </c>
      <c r="Q66" s="622">
        <f>'Rates in Detail'!Q70</f>
        <v>0</v>
      </c>
      <c r="R66" s="250">
        <f t="shared" si="1"/>
        <v>2.6800000000000001E-3</v>
      </c>
      <c r="S66" s="620">
        <f>'Rates in Detail'!S70</f>
        <v>0</v>
      </c>
      <c r="T66" s="622">
        <f>'Rates in Detail'!T70</f>
        <v>-6.0999999999999997E-4</v>
      </c>
      <c r="U66" s="622">
        <f>'Rates in Detail'!U70</f>
        <v>2.7999999999999998E-4</v>
      </c>
      <c r="V66" s="1318">
        <f t="shared" si="19"/>
        <v>2.3500000000000001E-3</v>
      </c>
      <c r="W66" s="612"/>
      <c r="X66" s="116">
        <f>'[25]Rates in detail'!AC68</f>
        <v>7.3609999999999995E-2</v>
      </c>
      <c r="Y66" s="116"/>
      <c r="Z66" s="116">
        <f>'[25]Rates in detail'!AD68</f>
        <v>0</v>
      </c>
      <c r="AA66" s="116">
        <f>'[25]Rates in detail'!AE68</f>
        <v>0</v>
      </c>
      <c r="AB66" s="116">
        <f>'[25]Rates in detail'!AF68</f>
        <v>8.8000000000000003E-4</v>
      </c>
      <c r="AC66" s="344">
        <f t="shared" si="3"/>
        <v>7.4490000000000001E-2</v>
      </c>
      <c r="AD66" s="1594"/>
      <c r="AE66" s="116">
        <f t="shared" si="4"/>
        <v>7.6289999999999997E-2</v>
      </c>
      <c r="AF66" s="116"/>
      <c r="AG66" s="116">
        <f t="shared" si="5"/>
        <v>0</v>
      </c>
      <c r="AH66" s="116">
        <f t="shared" si="6"/>
        <v>0</v>
      </c>
      <c r="AI66" s="116">
        <f t="shared" si="7"/>
        <v>5.5000000000000003E-4</v>
      </c>
      <c r="AJ66" s="1609">
        <f t="shared" si="8"/>
        <v>7.6839999999999992E-2</v>
      </c>
      <c r="AK66" s="1595"/>
      <c r="AL66" s="116">
        <f>'Rates in Detail'!AC70</f>
        <v>1.5299999999999999E-3</v>
      </c>
      <c r="AM66" s="116">
        <f>'Rates in Detail'!AD70</f>
        <v>-6.0000000000000002E-5</v>
      </c>
      <c r="AN66" s="116">
        <f>'Rates in Detail'!AE70</f>
        <v>0</v>
      </c>
      <c r="AO66" s="116">
        <f>'Rates in Detail'!AF70</f>
        <v>-5.9000000000000003E-4</v>
      </c>
      <c r="AP66" s="1803">
        <f t="shared" si="20"/>
        <v>8.7999999999999992E-4</v>
      </c>
      <c r="AQ66" s="130"/>
      <c r="AR66" s="1682">
        <v>7.6289999999999997E-2</v>
      </c>
      <c r="AS66" s="1682"/>
      <c r="AT66" s="1682">
        <v>0</v>
      </c>
      <c r="AU66" s="1682">
        <v>0</v>
      </c>
      <c r="AV66" s="1682">
        <v>1.34E-3</v>
      </c>
      <c r="AW66" s="344">
        <f t="shared" si="10"/>
        <v>7.7629999999999991E-2</v>
      </c>
      <c r="AY66" s="1798">
        <f t="shared" si="18"/>
        <v>7.782E-2</v>
      </c>
      <c r="AZ66" s="116">
        <f t="shared" si="21"/>
        <v>0</v>
      </c>
      <c r="BA66" s="116">
        <f t="shared" si="13"/>
        <v>0</v>
      </c>
      <c r="BB66" s="116">
        <f t="shared" si="14"/>
        <v>0</v>
      </c>
      <c r="BC66" s="116">
        <f t="shared" si="15"/>
        <v>6.8999999999999997E-4</v>
      </c>
      <c r="BD66" s="116">
        <f>'Rates in summary'!V71</f>
        <v>0</v>
      </c>
      <c r="BE66" s="339">
        <f t="shared" si="16"/>
        <v>7.8509999999999996E-2</v>
      </c>
      <c r="BF66" s="100"/>
      <c r="BG66" s="100">
        <f>BE66-'Rates in Detail'!AN70</f>
        <v>0</v>
      </c>
      <c r="BH66" s="100"/>
    </row>
    <row r="67" spans="2:60" x14ac:dyDescent="0.3">
      <c r="B67" s="109">
        <f t="shared" si="17"/>
        <v>59</v>
      </c>
      <c r="C67" s="884"/>
      <c r="D67" s="884" t="s">
        <v>8</v>
      </c>
      <c r="E67" s="114">
        <v>600000</v>
      </c>
      <c r="F67" s="115">
        <f>'WA Volumes &amp; Revenues'!E73</f>
        <v>0</v>
      </c>
      <c r="G67" s="115"/>
      <c r="H67" s="890"/>
      <c r="I67" s="891"/>
      <c r="J67" s="620">
        <f>'Rates in Detail'!E71</f>
        <v>4.9079999999999999E-2</v>
      </c>
      <c r="K67" s="622">
        <f>'Rates in Detail'!H71</f>
        <v>0</v>
      </c>
      <c r="L67" s="622">
        <f>'Rates in Detail'!F71</f>
        <v>0</v>
      </c>
      <c r="M67" s="622">
        <f>'Rates in Detail'!I71</f>
        <v>2.0999999999999998E-4</v>
      </c>
      <c r="N67" s="136">
        <f t="shared" si="0"/>
        <v>4.929E-2</v>
      </c>
      <c r="O67" s="620">
        <f>'Rates in Detail'!L71</f>
        <v>2.2499999999999998E-3</v>
      </c>
      <c r="P67" s="622">
        <f>'Rates in Detail'!P71</f>
        <v>-4.6000000000000001E-4</v>
      </c>
      <c r="Q67" s="622">
        <f>'Rates in Detail'!Q71</f>
        <v>0</v>
      </c>
      <c r="R67" s="250">
        <f t="shared" si="1"/>
        <v>1.7899999999999999E-3</v>
      </c>
      <c r="S67" s="620">
        <f>'Rates in Detail'!S71</f>
        <v>0</v>
      </c>
      <c r="T67" s="622">
        <f>'Rates in Detail'!T71</f>
        <v>-4.0999999999999999E-4</v>
      </c>
      <c r="U67" s="622">
        <f>'Rates in Detail'!U71</f>
        <v>1.9000000000000001E-4</v>
      </c>
      <c r="V67" s="1318">
        <f t="shared" si="19"/>
        <v>1.57E-3</v>
      </c>
      <c r="W67" s="612"/>
      <c r="X67" s="116">
        <f>'[25]Rates in detail'!AC69</f>
        <v>4.9079999999999999E-2</v>
      </c>
      <c r="Y67" s="116"/>
      <c r="Z67" s="116">
        <f>'[25]Rates in detail'!AD69</f>
        <v>0</v>
      </c>
      <c r="AA67" s="116">
        <f>'[25]Rates in detail'!AE69</f>
        <v>0</v>
      </c>
      <c r="AB67" s="116">
        <f>'[25]Rates in detail'!AF69</f>
        <v>5.9000000000000003E-4</v>
      </c>
      <c r="AC67" s="344">
        <f t="shared" si="3"/>
        <v>4.9669999999999999E-2</v>
      </c>
      <c r="AD67" s="1594"/>
      <c r="AE67" s="116">
        <f t="shared" si="4"/>
        <v>5.0869999999999999E-2</v>
      </c>
      <c r="AF67" s="116"/>
      <c r="AG67" s="116">
        <f t="shared" si="5"/>
        <v>0</v>
      </c>
      <c r="AH67" s="116">
        <f t="shared" si="6"/>
        <v>0</v>
      </c>
      <c r="AI67" s="116">
        <f t="shared" si="7"/>
        <v>3.7000000000000005E-4</v>
      </c>
      <c r="AJ67" s="1609">
        <f t="shared" si="8"/>
        <v>5.1240000000000001E-2</v>
      </c>
      <c r="AK67" s="1595"/>
      <c r="AL67" s="116">
        <f>'Rates in Detail'!AC71</f>
        <v>1.0200000000000001E-3</v>
      </c>
      <c r="AM67" s="116">
        <f>'Rates in Detail'!AD71</f>
        <v>-4.0000000000000003E-5</v>
      </c>
      <c r="AN67" s="116">
        <f>'Rates in Detail'!AE71</f>
        <v>0</v>
      </c>
      <c r="AO67" s="116">
        <f>'Rates in Detail'!AF71</f>
        <v>-4.0000000000000002E-4</v>
      </c>
      <c r="AP67" s="1803">
        <f t="shared" si="20"/>
        <v>5.8E-4</v>
      </c>
      <c r="AQ67" s="130"/>
      <c r="AR67" s="1682">
        <v>5.0869999999999999E-2</v>
      </c>
      <c r="AS67" s="1682"/>
      <c r="AT67" s="1682">
        <v>0</v>
      </c>
      <c r="AU67" s="1682">
        <v>0</v>
      </c>
      <c r="AV67" s="1682">
        <v>8.9999999999999998E-4</v>
      </c>
      <c r="AW67" s="344">
        <f t="shared" si="10"/>
        <v>5.1769999999999997E-2</v>
      </c>
      <c r="AY67" s="1798">
        <f t="shared" si="18"/>
        <v>5.1889999999999999E-2</v>
      </c>
      <c r="AZ67" s="116">
        <f t="shared" si="21"/>
        <v>0</v>
      </c>
      <c r="BA67" s="116">
        <f t="shared" si="13"/>
        <v>0</v>
      </c>
      <c r="BB67" s="116">
        <f t="shared" si="14"/>
        <v>0</v>
      </c>
      <c r="BC67" s="116">
        <f t="shared" si="15"/>
        <v>4.5999999999999996E-4</v>
      </c>
      <c r="BD67" s="116">
        <f>'Rates in summary'!V72</f>
        <v>0</v>
      </c>
      <c r="BE67" s="339">
        <f t="shared" si="16"/>
        <v>5.2350000000000001E-2</v>
      </c>
      <c r="BF67" s="100"/>
      <c r="BG67" s="100">
        <f>BE67-'Rates in Detail'!AN71</f>
        <v>0</v>
      </c>
      <c r="BH67" s="100"/>
    </row>
    <row r="68" spans="2:60" x14ac:dyDescent="0.3">
      <c r="B68" s="109">
        <f t="shared" si="17"/>
        <v>60</v>
      </c>
      <c r="C68" s="882"/>
      <c r="D68" s="882" t="s">
        <v>9</v>
      </c>
      <c r="E68" s="111" t="s">
        <v>72</v>
      </c>
      <c r="F68" s="112">
        <f>'WA Volumes &amp; Revenues'!E74</f>
        <v>0</v>
      </c>
      <c r="G68" s="112"/>
      <c r="H68" s="885"/>
      <c r="I68" s="887"/>
      <c r="J68" s="619">
        <f>'Rates in Detail'!E72</f>
        <v>1.839E-2</v>
      </c>
      <c r="K68" s="623">
        <f>'Rates in Detail'!H72</f>
        <v>0</v>
      </c>
      <c r="L68" s="623">
        <f>'Rates in Detail'!F72</f>
        <v>0</v>
      </c>
      <c r="M68" s="623">
        <f>'Rates in Detail'!I72</f>
        <v>6.9999999999999994E-5</v>
      </c>
      <c r="N68" s="134">
        <f t="shared" si="0"/>
        <v>1.8460000000000001E-2</v>
      </c>
      <c r="O68" s="619">
        <f>'Rates in Detail'!L72</f>
        <v>8.4000000000000003E-4</v>
      </c>
      <c r="P68" s="623">
        <f>'Rates in Detail'!P72</f>
        <v>-1.7000000000000001E-4</v>
      </c>
      <c r="Q68" s="623">
        <f>'Rates in Detail'!Q72</f>
        <v>0</v>
      </c>
      <c r="R68" s="249">
        <f t="shared" si="1"/>
        <v>6.7000000000000002E-4</v>
      </c>
      <c r="S68" s="619">
        <f>'Rates in Detail'!S72</f>
        <v>0</v>
      </c>
      <c r="T68" s="623">
        <f>'Rates in Detail'!T72</f>
        <v>-1.4999999999999999E-4</v>
      </c>
      <c r="U68" s="623">
        <f>'Rates in Detail'!U72</f>
        <v>6.9999999999999994E-5</v>
      </c>
      <c r="V68" s="1317">
        <f t="shared" si="19"/>
        <v>5.9000000000000003E-4</v>
      </c>
      <c r="W68" s="612"/>
      <c r="X68" s="113">
        <f>'[25]Rates in detail'!AC70</f>
        <v>1.839E-2</v>
      </c>
      <c r="Y68" s="113"/>
      <c r="Z68" s="113">
        <f>'[25]Rates in detail'!AD70</f>
        <v>0</v>
      </c>
      <c r="AA68" s="113">
        <f>'[25]Rates in detail'!AE70</f>
        <v>0</v>
      </c>
      <c r="AB68" s="113">
        <f>'[25]Rates in detail'!AF70</f>
        <v>2.2000000000000001E-4</v>
      </c>
      <c r="AC68" s="343">
        <f t="shared" si="3"/>
        <v>1.8610000000000002E-2</v>
      </c>
      <c r="AD68" s="1594"/>
      <c r="AE68" s="113">
        <f t="shared" si="4"/>
        <v>1.9060000000000001E-2</v>
      </c>
      <c r="AF68" s="113"/>
      <c r="AG68" s="113">
        <f t="shared" si="5"/>
        <v>0</v>
      </c>
      <c r="AH68" s="113">
        <f t="shared" si="6"/>
        <v>0</v>
      </c>
      <c r="AI68" s="113">
        <f t="shared" si="7"/>
        <v>1.4000000000000001E-4</v>
      </c>
      <c r="AJ68" s="1604">
        <f t="shared" si="8"/>
        <v>1.9200000000000002E-2</v>
      </c>
      <c r="AK68" s="1595"/>
      <c r="AL68" s="113">
        <f>'Rates in Detail'!AC72</f>
        <v>3.8000000000000002E-4</v>
      </c>
      <c r="AM68" s="113">
        <f>'Rates in Detail'!AD72</f>
        <v>-2.0000000000000002E-5</v>
      </c>
      <c r="AN68" s="113">
        <f>'Rates in Detail'!AE72</f>
        <v>0</v>
      </c>
      <c r="AO68" s="113">
        <f>'Rates in Detail'!AF72</f>
        <v>-1.4999999999999999E-4</v>
      </c>
      <c r="AP68" s="1802">
        <f t="shared" si="20"/>
        <v>2.1000000000000004E-4</v>
      </c>
      <c r="AQ68" s="130"/>
      <c r="AR68" s="1680">
        <v>1.9060000000000001E-2</v>
      </c>
      <c r="AS68" s="1680"/>
      <c r="AT68" s="1680">
        <v>0</v>
      </c>
      <c r="AU68" s="1680">
        <v>0</v>
      </c>
      <c r="AV68" s="1680">
        <v>3.4000000000000002E-4</v>
      </c>
      <c r="AW68" s="343">
        <f t="shared" si="10"/>
        <v>1.9400000000000001E-2</v>
      </c>
      <c r="AY68" s="1797">
        <f t="shared" si="18"/>
        <v>1.9439999999999999E-2</v>
      </c>
      <c r="AZ68" s="113">
        <f t="shared" si="21"/>
        <v>0</v>
      </c>
      <c r="BA68" s="113">
        <f t="shared" si="13"/>
        <v>0</v>
      </c>
      <c r="BB68" s="113">
        <f t="shared" si="14"/>
        <v>0</v>
      </c>
      <c r="BC68" s="113">
        <f t="shared" si="15"/>
        <v>1.7000000000000004E-4</v>
      </c>
      <c r="BD68" s="113">
        <f>'Rates in summary'!V73</f>
        <v>0</v>
      </c>
      <c r="BE68" s="338">
        <f t="shared" si="16"/>
        <v>1.9609999999999999E-2</v>
      </c>
      <c r="BF68" s="100"/>
      <c r="BG68" s="100">
        <f>BE68-'Rates in Detail'!AN72</f>
        <v>0</v>
      </c>
      <c r="BH68" s="100"/>
    </row>
    <row r="69" spans="2:60" x14ac:dyDescent="0.3">
      <c r="B69" s="109">
        <f t="shared" si="17"/>
        <v>61</v>
      </c>
      <c r="C69" s="884" t="str">
        <f>'WA Volumes &amp; Revenues'!B75</f>
        <v>42I Inter Transpt</v>
      </c>
      <c r="D69" s="884" t="s">
        <v>4</v>
      </c>
      <c r="E69" s="114">
        <v>10000</v>
      </c>
      <c r="F69" s="115">
        <f>'WA Volumes &amp; Revenues'!E75</f>
        <v>844078</v>
      </c>
      <c r="G69" s="115">
        <f>'WA Volumes &amp; Revenues'!H75</f>
        <v>7</v>
      </c>
      <c r="H69" s="890">
        <f>'WA Volumes &amp; Revenues'!O75</f>
        <v>1550</v>
      </c>
      <c r="I69" s="891">
        <f>'WA Volumes &amp; Revenues'!N75</f>
        <v>1550</v>
      </c>
      <c r="J69" s="620">
        <f>'Rates in Detail'!E73</f>
        <v>0.13402999999999998</v>
      </c>
      <c r="K69" s="622">
        <f>'Rates in Detail'!H73</f>
        <v>0</v>
      </c>
      <c r="L69" s="622">
        <f>'Rates in Detail'!F73</f>
        <v>0</v>
      </c>
      <c r="M69" s="622">
        <f>'Rates in Detail'!I73</f>
        <v>5.6999999999999998E-4</v>
      </c>
      <c r="N69" s="136">
        <f t="shared" si="0"/>
        <v>0.13459999999999997</v>
      </c>
      <c r="O69" s="620">
        <f>'Rates in Detail'!L73</f>
        <v>8.7899999999999992E-3</v>
      </c>
      <c r="P69" s="622">
        <f>'Rates in Detail'!P73</f>
        <v>-1.49E-3</v>
      </c>
      <c r="Q69" s="622">
        <f>'Rates in Detail'!Q73</f>
        <v>0</v>
      </c>
      <c r="R69" s="250">
        <f t="shared" si="1"/>
        <v>7.2999999999999992E-3</v>
      </c>
      <c r="S69" s="620">
        <f>'Rates in Detail'!S73</f>
        <v>0</v>
      </c>
      <c r="T69" s="622">
        <f>'Rates in Detail'!T73</f>
        <v>-1.34E-3</v>
      </c>
      <c r="U69" s="622">
        <f>'Rates in Detail'!U73</f>
        <v>4.6999999999999999E-4</v>
      </c>
      <c r="V69" s="1318">
        <f t="shared" si="19"/>
        <v>6.4299999999999991E-3</v>
      </c>
      <c r="W69" s="612"/>
      <c r="X69" s="116">
        <f>'[25]Rates in detail'!AC65</f>
        <v>0.13402999999999998</v>
      </c>
      <c r="Y69" s="116"/>
      <c r="Z69" s="116">
        <f>'[25]Rates in detail'!AD65</f>
        <v>0</v>
      </c>
      <c r="AA69" s="116">
        <f>'[25]Rates in detail'!AE65</f>
        <v>0</v>
      </c>
      <c r="AB69" s="116">
        <f>'[25]Rates in detail'!AF65</f>
        <v>1.6000000000000001E-3</v>
      </c>
      <c r="AC69" s="344">
        <f t="shared" si="3"/>
        <v>0.13562999999999997</v>
      </c>
      <c r="AD69" s="1594"/>
      <c r="AE69" s="1573">
        <f t="shared" si="4"/>
        <v>0.14132999999999998</v>
      </c>
      <c r="AF69" s="1573"/>
      <c r="AG69" s="1573">
        <f t="shared" si="5"/>
        <v>0</v>
      </c>
      <c r="AH69" s="1573">
        <f t="shared" si="6"/>
        <v>0</v>
      </c>
      <c r="AI69" s="1573">
        <f t="shared" si="7"/>
        <v>7.2999999999999996E-4</v>
      </c>
      <c r="AJ69" s="1608">
        <f t="shared" si="8"/>
        <v>0.14205999999999999</v>
      </c>
      <c r="AK69" s="1595"/>
      <c r="AL69" s="116">
        <f>'Rates in Detail'!AC73</f>
        <v>3.3300000000000001E-3</v>
      </c>
      <c r="AM69" s="116">
        <f>'Rates in Detail'!AD73</f>
        <v>-1.2999999999999999E-4</v>
      </c>
      <c r="AN69" s="116">
        <f>'Rates in Detail'!AE73</f>
        <v>0</v>
      </c>
      <c r="AO69" s="116">
        <f>'Rates in Detail'!AF73</f>
        <v>-1.2999999999999999E-3</v>
      </c>
      <c r="AP69" s="1803">
        <f t="shared" si="20"/>
        <v>1.9000000000000002E-3</v>
      </c>
      <c r="AQ69" s="130"/>
      <c r="AR69" s="1682">
        <v>0.14132999999999998</v>
      </c>
      <c r="AS69" s="1682"/>
      <c r="AT69" s="1682">
        <v>0</v>
      </c>
      <c r="AU69" s="1682">
        <v>0</v>
      </c>
      <c r="AV69" s="1682">
        <v>4.8999999999999998E-4</v>
      </c>
      <c r="AW69" s="344">
        <f t="shared" si="10"/>
        <v>0.14181999999999997</v>
      </c>
      <c r="AY69" s="1798">
        <f t="shared" si="18"/>
        <v>0.14465999999999998</v>
      </c>
      <c r="AZ69" s="116">
        <f t="shared" si="21"/>
        <v>0</v>
      </c>
      <c r="BA69" s="116">
        <f t="shared" si="13"/>
        <v>0</v>
      </c>
      <c r="BB69" s="116">
        <f t="shared" si="14"/>
        <v>0</v>
      </c>
      <c r="BC69" s="116">
        <f t="shared" si="15"/>
        <v>-9.3999999999999986E-4</v>
      </c>
      <c r="BD69" s="116">
        <f>'Rates in summary'!V74</f>
        <v>0</v>
      </c>
      <c r="BE69" s="339">
        <f t="shared" si="16"/>
        <v>0.14371999999999999</v>
      </c>
      <c r="BF69" s="100"/>
      <c r="BG69" s="100">
        <f>BE69-'Rates in Detail'!AN73</f>
        <v>0</v>
      </c>
      <c r="BH69" s="100"/>
    </row>
    <row r="70" spans="2:60" x14ac:dyDescent="0.3">
      <c r="B70" s="109">
        <f t="shared" si="17"/>
        <v>62</v>
      </c>
      <c r="C70" s="884"/>
      <c r="D70" s="884" t="s">
        <v>5</v>
      </c>
      <c r="E70" s="114">
        <v>20000</v>
      </c>
      <c r="F70" s="115">
        <f>'WA Volumes &amp; Revenues'!E76</f>
        <v>1445175</v>
      </c>
      <c r="G70" s="115"/>
      <c r="H70" s="890"/>
      <c r="I70" s="891"/>
      <c r="J70" s="620">
        <f>'Rates in Detail'!E74</f>
        <v>0.11997999999999999</v>
      </c>
      <c r="K70" s="622">
        <f>'Rates in Detail'!H74</f>
        <v>0</v>
      </c>
      <c r="L70" s="622">
        <f>'Rates in Detail'!F74</f>
        <v>0</v>
      </c>
      <c r="M70" s="622">
        <f>'Rates in Detail'!I74</f>
        <v>5.1000000000000004E-4</v>
      </c>
      <c r="N70" s="136">
        <f t="shared" si="0"/>
        <v>0.12048999999999999</v>
      </c>
      <c r="O70" s="620">
        <f>'Rates in Detail'!L74</f>
        <v>7.8600000000000007E-3</v>
      </c>
      <c r="P70" s="622">
        <f>'Rates in Detail'!P74</f>
        <v>-1.33E-3</v>
      </c>
      <c r="Q70" s="622">
        <f>'Rates in Detail'!Q74</f>
        <v>0</v>
      </c>
      <c r="R70" s="250">
        <f t="shared" si="1"/>
        <v>6.5300000000000011E-3</v>
      </c>
      <c r="S70" s="620">
        <f>'Rates in Detail'!S74</f>
        <v>0</v>
      </c>
      <c r="T70" s="622">
        <f>'Rates in Detail'!T74</f>
        <v>-1.1999999999999999E-3</v>
      </c>
      <c r="U70" s="622">
        <f>'Rates in Detail'!U74</f>
        <v>4.2000000000000002E-4</v>
      </c>
      <c r="V70" s="1318">
        <f t="shared" si="19"/>
        <v>5.7500000000000016E-3</v>
      </c>
      <c r="W70" s="612"/>
      <c r="X70" s="116">
        <f>'[25]Rates in detail'!AC66</f>
        <v>0.11997999999999999</v>
      </c>
      <c r="Y70" s="116"/>
      <c r="Z70" s="116">
        <f>'[25]Rates in detail'!AD66</f>
        <v>0</v>
      </c>
      <c r="AA70" s="116">
        <f>'[25]Rates in detail'!AE66</f>
        <v>0</v>
      </c>
      <c r="AB70" s="116">
        <f>'[25]Rates in detail'!AF66</f>
        <v>1.4300000000000001E-3</v>
      </c>
      <c r="AC70" s="344">
        <f t="shared" si="3"/>
        <v>0.12140999999999999</v>
      </c>
      <c r="AD70" s="1594"/>
      <c r="AE70" s="116">
        <f t="shared" si="4"/>
        <v>0.12650999999999998</v>
      </c>
      <c r="AF70" s="116"/>
      <c r="AG70" s="116">
        <f t="shared" si="5"/>
        <v>0</v>
      </c>
      <c r="AH70" s="116">
        <f t="shared" si="6"/>
        <v>0</v>
      </c>
      <c r="AI70" s="116">
        <f t="shared" si="7"/>
        <v>6.5000000000000019E-4</v>
      </c>
      <c r="AJ70" s="1609">
        <f t="shared" si="8"/>
        <v>0.12716</v>
      </c>
      <c r="AK70" s="1595"/>
      <c r="AL70" s="116">
        <f>'Rates in Detail'!AC74</f>
        <v>2.98E-3</v>
      </c>
      <c r="AM70" s="116">
        <f>'Rates in Detail'!AD74</f>
        <v>-1.2E-4</v>
      </c>
      <c r="AN70" s="116">
        <f>'Rates in Detail'!AE74</f>
        <v>0</v>
      </c>
      <c r="AO70" s="116">
        <f>'Rates in Detail'!AF74</f>
        <v>-1.16E-3</v>
      </c>
      <c r="AP70" s="1803">
        <f t="shared" si="20"/>
        <v>1.7000000000000001E-3</v>
      </c>
      <c r="AQ70" s="130"/>
      <c r="AR70" s="1682">
        <v>0.12650999999999998</v>
      </c>
      <c r="AS70" s="1682"/>
      <c r="AT70" s="1682">
        <v>0</v>
      </c>
      <c r="AU70" s="1682">
        <v>0</v>
      </c>
      <c r="AV70" s="1682">
        <v>4.4000000000000002E-4</v>
      </c>
      <c r="AW70" s="344">
        <f t="shared" si="10"/>
        <v>0.12694999999999998</v>
      </c>
      <c r="AY70" s="1798">
        <f t="shared" si="18"/>
        <v>0.12948999999999999</v>
      </c>
      <c r="AZ70" s="116">
        <f t="shared" si="21"/>
        <v>0</v>
      </c>
      <c r="BA70" s="116">
        <f t="shared" si="13"/>
        <v>0</v>
      </c>
      <c r="BB70" s="116">
        <f t="shared" si="14"/>
        <v>0</v>
      </c>
      <c r="BC70" s="116">
        <f t="shared" si="15"/>
        <v>-8.4000000000000003E-4</v>
      </c>
      <c r="BD70" s="116">
        <f>'Rates in summary'!V75</f>
        <v>0</v>
      </c>
      <c r="BE70" s="339">
        <f t="shared" si="16"/>
        <v>0.12864999999999999</v>
      </c>
      <c r="BF70" s="100"/>
      <c r="BG70" s="100">
        <f>BE70-'Rates in Detail'!AN74</f>
        <v>0</v>
      </c>
      <c r="BH70" s="100"/>
    </row>
    <row r="71" spans="2:60" x14ac:dyDescent="0.3">
      <c r="B71" s="109">
        <f t="shared" si="17"/>
        <v>63</v>
      </c>
      <c r="C71" s="884"/>
      <c r="D71" s="884" t="s">
        <v>6</v>
      </c>
      <c r="E71" s="114">
        <v>20000</v>
      </c>
      <c r="F71" s="115">
        <f>'WA Volumes &amp; Revenues'!E77</f>
        <v>1034978</v>
      </c>
      <c r="G71" s="115"/>
      <c r="H71" s="890"/>
      <c r="I71" s="891"/>
      <c r="J71" s="620">
        <f>'Rates in Detail'!E75</f>
        <v>9.1999999999999998E-2</v>
      </c>
      <c r="K71" s="622">
        <f>'Rates in Detail'!H75</f>
        <v>0</v>
      </c>
      <c r="L71" s="622">
        <f>'Rates in Detail'!F75</f>
        <v>0</v>
      </c>
      <c r="M71" s="622">
        <f>'Rates in Detail'!I75</f>
        <v>3.7999999999999997E-4</v>
      </c>
      <c r="N71" s="136">
        <f t="shared" si="0"/>
        <v>9.2380000000000004E-2</v>
      </c>
      <c r="O71" s="620">
        <f>'Rates in Detail'!L75</f>
        <v>6.0299999999999998E-3</v>
      </c>
      <c r="P71" s="622">
        <f>'Rates in Detail'!P75</f>
        <v>-1.0200000000000001E-3</v>
      </c>
      <c r="Q71" s="622">
        <f>'Rates in Detail'!Q75</f>
        <v>0</v>
      </c>
      <c r="R71" s="250">
        <f t="shared" si="1"/>
        <v>5.0099999999999997E-3</v>
      </c>
      <c r="S71" s="620">
        <f>'Rates in Detail'!S75</f>
        <v>0</v>
      </c>
      <c r="T71" s="622">
        <f>'Rates in Detail'!T75</f>
        <v>-9.2000000000000003E-4</v>
      </c>
      <c r="U71" s="622">
        <f>'Rates in Detail'!U75</f>
        <v>3.2000000000000003E-4</v>
      </c>
      <c r="V71" s="1318">
        <f t="shared" si="19"/>
        <v>4.4099999999999999E-3</v>
      </c>
      <c r="W71" s="612"/>
      <c r="X71" s="116">
        <f>'[25]Rates in detail'!AC67</f>
        <v>9.1999999999999998E-2</v>
      </c>
      <c r="Y71" s="116"/>
      <c r="Z71" s="116">
        <f>'[25]Rates in detail'!AD67</f>
        <v>0</v>
      </c>
      <c r="AA71" s="116">
        <f>'[25]Rates in detail'!AE67</f>
        <v>0</v>
      </c>
      <c r="AB71" s="116">
        <f>'[25]Rates in detail'!AF67</f>
        <v>1.1000000000000001E-3</v>
      </c>
      <c r="AC71" s="344">
        <f t="shared" si="3"/>
        <v>9.3100000000000002E-2</v>
      </c>
      <c r="AD71" s="1594"/>
      <c r="AE71" s="116">
        <f t="shared" si="4"/>
        <v>9.7009999999999985E-2</v>
      </c>
      <c r="AF71" s="116"/>
      <c r="AG71" s="116">
        <f t="shared" si="5"/>
        <v>0</v>
      </c>
      <c r="AH71" s="116">
        <f t="shared" si="6"/>
        <v>0</v>
      </c>
      <c r="AI71" s="116">
        <f t="shared" si="7"/>
        <v>5.0000000000000001E-4</v>
      </c>
      <c r="AJ71" s="1609">
        <f t="shared" si="8"/>
        <v>9.7509999999999986E-2</v>
      </c>
      <c r="AK71" s="1595"/>
      <c r="AL71" s="116">
        <f>'Rates in Detail'!AC75</f>
        <v>2.2799999999999999E-3</v>
      </c>
      <c r="AM71" s="116">
        <f>'Rates in Detail'!AD75</f>
        <v>-9.0000000000000006E-5</v>
      </c>
      <c r="AN71" s="116">
        <f>'Rates in Detail'!AE75</f>
        <v>0</v>
      </c>
      <c r="AO71" s="116">
        <f>'Rates in Detail'!AF75</f>
        <v>-8.8999999999999995E-4</v>
      </c>
      <c r="AP71" s="1803">
        <f t="shared" si="20"/>
        <v>1.3000000000000002E-3</v>
      </c>
      <c r="AQ71" s="130"/>
      <c r="AR71" s="1682">
        <v>9.7009999999999985E-2</v>
      </c>
      <c r="AS71" s="1682"/>
      <c r="AT71" s="1682">
        <v>0</v>
      </c>
      <c r="AU71" s="1682">
        <v>0</v>
      </c>
      <c r="AV71" s="1682">
        <v>3.4000000000000002E-4</v>
      </c>
      <c r="AW71" s="344">
        <f t="shared" si="10"/>
        <v>9.7349999999999992E-2</v>
      </c>
      <c r="AY71" s="1798">
        <f t="shared" si="18"/>
        <v>9.9289999999999989E-2</v>
      </c>
      <c r="AZ71" s="116">
        <f t="shared" si="21"/>
        <v>0</v>
      </c>
      <c r="BA71" s="116">
        <f t="shared" si="13"/>
        <v>0</v>
      </c>
      <c r="BB71" s="116">
        <f t="shared" si="14"/>
        <v>0</v>
      </c>
      <c r="BC71" s="116">
        <f t="shared" si="15"/>
        <v>-6.3999999999999994E-4</v>
      </c>
      <c r="BD71" s="116">
        <f>'Rates in summary'!V76</f>
        <v>0</v>
      </c>
      <c r="BE71" s="339">
        <f t="shared" si="16"/>
        <v>9.8649999999999988E-2</v>
      </c>
      <c r="BF71" s="100"/>
      <c r="BG71" s="100">
        <f>BE71-'Rates in Detail'!AN75</f>
        <v>0</v>
      </c>
      <c r="BH71" s="100"/>
    </row>
    <row r="72" spans="2:60" x14ac:dyDescent="0.3">
      <c r="B72" s="109">
        <f t="shared" si="17"/>
        <v>64</v>
      </c>
      <c r="C72" s="884"/>
      <c r="D72" s="884" t="s">
        <v>7</v>
      </c>
      <c r="E72" s="114">
        <v>100000</v>
      </c>
      <c r="F72" s="115">
        <f>'WA Volumes &amp; Revenues'!E78</f>
        <v>3359916</v>
      </c>
      <c r="G72" s="115"/>
      <c r="H72" s="890"/>
      <c r="I72" s="891"/>
      <c r="J72" s="620">
        <f>'Rates in Detail'!E76</f>
        <v>7.3609999999999995E-2</v>
      </c>
      <c r="K72" s="622">
        <f>'Rates in Detail'!H76</f>
        <v>0</v>
      </c>
      <c r="L72" s="622">
        <f>'Rates in Detail'!F76</f>
        <v>0</v>
      </c>
      <c r="M72" s="622">
        <f>'Rates in Detail'!I76</f>
        <v>3.0999999999999995E-4</v>
      </c>
      <c r="N72" s="136">
        <f t="shared" si="0"/>
        <v>7.392E-2</v>
      </c>
      <c r="O72" s="620">
        <f>'Rates in Detail'!L76</f>
        <v>4.8300000000000001E-3</v>
      </c>
      <c r="P72" s="622">
        <f>'Rates in Detail'!P76</f>
        <v>-8.1999999999999998E-4</v>
      </c>
      <c r="Q72" s="622">
        <f>'Rates in Detail'!Q76</f>
        <v>0</v>
      </c>
      <c r="R72" s="250">
        <f t="shared" si="1"/>
        <v>4.0099999999999997E-3</v>
      </c>
      <c r="S72" s="620">
        <f>'Rates in Detail'!S76</f>
        <v>0</v>
      </c>
      <c r="T72" s="622">
        <f>'Rates in Detail'!T76</f>
        <v>-7.3999999999999999E-4</v>
      </c>
      <c r="U72" s="622">
        <f>'Rates in Detail'!U76</f>
        <v>2.5999999999999998E-4</v>
      </c>
      <c r="V72" s="1318">
        <f t="shared" si="19"/>
        <v>3.5299999999999993E-3</v>
      </c>
      <c r="W72" s="612"/>
      <c r="X72" s="116">
        <f>'[25]Rates in detail'!AC68</f>
        <v>7.3609999999999995E-2</v>
      </c>
      <c r="Y72" s="116"/>
      <c r="Z72" s="116">
        <f>'[25]Rates in detail'!AD68</f>
        <v>0</v>
      </c>
      <c r="AA72" s="116">
        <f>'[25]Rates in detail'!AE68</f>
        <v>0</v>
      </c>
      <c r="AB72" s="116">
        <f>'[25]Rates in detail'!AF68</f>
        <v>8.8000000000000003E-4</v>
      </c>
      <c r="AC72" s="344">
        <f t="shared" si="3"/>
        <v>7.4490000000000001E-2</v>
      </c>
      <c r="AD72" s="1594"/>
      <c r="AE72" s="116">
        <f t="shared" si="4"/>
        <v>7.7619999999999995E-2</v>
      </c>
      <c r="AF72" s="116"/>
      <c r="AG72" s="116">
        <f t="shared" si="5"/>
        <v>0</v>
      </c>
      <c r="AH72" s="116">
        <f t="shared" si="6"/>
        <v>0</v>
      </c>
      <c r="AI72" s="116">
        <f t="shared" si="7"/>
        <v>4.0000000000000002E-4</v>
      </c>
      <c r="AJ72" s="1609">
        <f t="shared" si="8"/>
        <v>7.8019999999999992E-2</v>
      </c>
      <c r="AK72" s="1595"/>
      <c r="AL72" s="116">
        <f>'Rates in Detail'!AC76</f>
        <v>1.83E-3</v>
      </c>
      <c r="AM72" s="116">
        <f>'Rates in Detail'!AD76</f>
        <v>-6.9999999999999994E-5</v>
      </c>
      <c r="AN72" s="116">
        <f>'Rates in Detail'!AE76</f>
        <v>0</v>
      </c>
      <c r="AO72" s="116">
        <f>'Rates in Detail'!AF76</f>
        <v>-7.1000000000000002E-4</v>
      </c>
      <c r="AP72" s="1803">
        <f t="shared" si="20"/>
        <v>1.0500000000000002E-3</v>
      </c>
      <c r="AQ72" s="130"/>
      <c r="AR72" s="1682">
        <v>7.7619999999999995E-2</v>
      </c>
      <c r="AS72" s="1682"/>
      <c r="AT72" s="1682">
        <v>0</v>
      </c>
      <c r="AU72" s="1682">
        <v>0</v>
      </c>
      <c r="AV72" s="1682">
        <v>2.7E-4</v>
      </c>
      <c r="AW72" s="344">
        <f t="shared" si="10"/>
        <v>7.7890000000000001E-2</v>
      </c>
      <c r="AY72" s="1798">
        <f t="shared" si="18"/>
        <v>7.9449999999999993E-2</v>
      </c>
      <c r="AZ72" s="116">
        <f t="shared" si="21"/>
        <v>0</v>
      </c>
      <c r="BA72" s="116">
        <f t="shared" si="13"/>
        <v>0</v>
      </c>
      <c r="BB72" s="116">
        <f t="shared" si="14"/>
        <v>0</v>
      </c>
      <c r="BC72" s="116">
        <f t="shared" si="15"/>
        <v>-5.1000000000000004E-4</v>
      </c>
      <c r="BD72" s="116">
        <f>'Rates in summary'!V77</f>
        <v>0</v>
      </c>
      <c r="BE72" s="339">
        <f t="shared" si="16"/>
        <v>7.8939999999999996E-2</v>
      </c>
      <c r="BF72" s="100"/>
      <c r="BG72" s="100">
        <f>BE72-'Rates in Detail'!AN76</f>
        <v>0</v>
      </c>
      <c r="BH72" s="100"/>
    </row>
    <row r="73" spans="2:60" x14ac:dyDescent="0.3">
      <c r="B73" s="109">
        <f t="shared" si="17"/>
        <v>65</v>
      </c>
      <c r="C73" s="884"/>
      <c r="D73" s="884" t="s">
        <v>8</v>
      </c>
      <c r="E73" s="114">
        <v>600000</v>
      </c>
      <c r="F73" s="115">
        <f>'WA Volumes &amp; Revenues'!E79</f>
        <v>1349120</v>
      </c>
      <c r="G73" s="115"/>
      <c r="H73" s="890"/>
      <c r="I73" s="891"/>
      <c r="J73" s="620">
        <f>'Rates in Detail'!E77</f>
        <v>4.9079999999999999E-2</v>
      </c>
      <c r="K73" s="622">
        <f>'Rates in Detail'!H77</f>
        <v>0</v>
      </c>
      <c r="L73" s="622">
        <f>'Rates in Detail'!F77</f>
        <v>0</v>
      </c>
      <c r="M73" s="622">
        <f>'Rates in Detail'!I77</f>
        <v>2.0999999999999998E-4</v>
      </c>
      <c r="N73" s="136">
        <f t="shared" si="0"/>
        <v>4.929E-2</v>
      </c>
      <c r="O73" s="620">
        <f>'Rates in Detail'!L77</f>
        <v>3.2200000000000002E-3</v>
      </c>
      <c r="P73" s="622">
        <f>'Rates in Detail'!P77</f>
        <v>-5.5000000000000003E-4</v>
      </c>
      <c r="Q73" s="622">
        <f>'Rates in Detail'!Q77</f>
        <v>0</v>
      </c>
      <c r="R73" s="250">
        <f t="shared" si="1"/>
        <v>2.6700000000000001E-3</v>
      </c>
      <c r="S73" s="620">
        <f>'Rates in Detail'!S77</f>
        <v>0</v>
      </c>
      <c r="T73" s="622">
        <f>'Rates in Detail'!T77</f>
        <v>-4.8999999999999998E-4</v>
      </c>
      <c r="U73" s="622">
        <f>'Rates in Detail'!U77</f>
        <v>1.7000000000000001E-4</v>
      </c>
      <c r="V73" s="1318">
        <f t="shared" ref="V73:V77" si="22">SUM(R73:U73)</f>
        <v>2.3500000000000001E-3</v>
      </c>
      <c r="W73" s="612"/>
      <c r="X73" s="116">
        <f>'[25]Rates in detail'!AC69</f>
        <v>4.9079999999999999E-2</v>
      </c>
      <c r="Y73" s="116"/>
      <c r="Z73" s="116">
        <f>'[25]Rates in detail'!AD69</f>
        <v>0</v>
      </c>
      <c r="AA73" s="116">
        <f>'[25]Rates in detail'!AE69</f>
        <v>0</v>
      </c>
      <c r="AB73" s="116">
        <f>'[25]Rates in detail'!AF69</f>
        <v>5.9000000000000003E-4</v>
      </c>
      <c r="AC73" s="344">
        <f t="shared" si="3"/>
        <v>4.9669999999999999E-2</v>
      </c>
      <c r="AD73" s="1594"/>
      <c r="AE73" s="116">
        <f t="shared" si="4"/>
        <v>5.1749999999999997E-2</v>
      </c>
      <c r="AF73" s="116"/>
      <c r="AG73" s="116">
        <f t="shared" si="5"/>
        <v>0</v>
      </c>
      <c r="AH73" s="116">
        <f t="shared" si="6"/>
        <v>0</v>
      </c>
      <c r="AI73" s="116">
        <f t="shared" si="7"/>
        <v>2.7000000000000006E-4</v>
      </c>
      <c r="AJ73" s="1609">
        <f t="shared" si="8"/>
        <v>5.2019999999999997E-2</v>
      </c>
      <c r="AK73" s="1595"/>
      <c r="AL73" s="116">
        <f>'Rates in Detail'!AC77</f>
        <v>1.2199999999999999E-3</v>
      </c>
      <c r="AM73" s="116">
        <f>'Rates in Detail'!AD77</f>
        <v>-5.0000000000000002E-5</v>
      </c>
      <c r="AN73" s="116">
        <f>'Rates in Detail'!AE77</f>
        <v>0</v>
      </c>
      <c r="AO73" s="116">
        <f>'Rates in Detail'!AF77</f>
        <v>-4.6999999999999999E-4</v>
      </c>
      <c r="AP73" s="1803">
        <f t="shared" ref="AP73:AP77" si="23">SUM(AL73:AO73)</f>
        <v>7.000000000000001E-4</v>
      </c>
      <c r="AQ73" s="130"/>
      <c r="AR73" s="1682">
        <v>5.1749999999999997E-2</v>
      </c>
      <c r="AS73" s="1682"/>
      <c r="AT73" s="1682">
        <v>0</v>
      </c>
      <c r="AU73" s="1682">
        <v>0</v>
      </c>
      <c r="AV73" s="1682">
        <v>1.8000000000000001E-4</v>
      </c>
      <c r="AW73" s="344">
        <f t="shared" si="10"/>
        <v>5.1929999999999997E-2</v>
      </c>
      <c r="AY73" s="1798">
        <f t="shared" si="18"/>
        <v>5.2969999999999996E-2</v>
      </c>
      <c r="AZ73" s="116">
        <f t="shared" si="21"/>
        <v>0</v>
      </c>
      <c r="BA73" s="116">
        <f t="shared" si="13"/>
        <v>0</v>
      </c>
      <c r="BB73" s="116">
        <f t="shared" si="14"/>
        <v>0</v>
      </c>
      <c r="BC73" s="116">
        <f t="shared" si="15"/>
        <v>-3.3999999999999992E-4</v>
      </c>
      <c r="BD73" s="116">
        <f>'Rates in summary'!V78</f>
        <v>0</v>
      </c>
      <c r="BE73" s="339">
        <f t="shared" si="16"/>
        <v>5.2629999999999996E-2</v>
      </c>
      <c r="BF73" s="100"/>
      <c r="BG73" s="100">
        <f>BE73-'Rates in Detail'!AN77</f>
        <v>0</v>
      </c>
      <c r="BH73" s="100"/>
    </row>
    <row r="74" spans="2:60" x14ac:dyDescent="0.3">
      <c r="B74" s="109">
        <f t="shared" si="17"/>
        <v>66</v>
      </c>
      <c r="C74" s="882"/>
      <c r="D74" s="882" t="s">
        <v>9</v>
      </c>
      <c r="E74" s="111" t="s">
        <v>72</v>
      </c>
      <c r="F74" s="112">
        <f>'WA Volumes &amp; Revenues'!E80</f>
        <v>0</v>
      </c>
      <c r="G74" s="112"/>
      <c r="H74" s="885"/>
      <c r="I74" s="887"/>
      <c r="J74" s="620">
        <f>'Rates in Detail'!E78</f>
        <v>1.839E-2</v>
      </c>
      <c r="K74" s="622">
        <f>'Rates in Detail'!H78</f>
        <v>0</v>
      </c>
      <c r="L74" s="622">
        <f>'Rates in Detail'!F78</f>
        <v>0</v>
      </c>
      <c r="M74" s="622">
        <f>'Rates in Detail'!I78</f>
        <v>6.9999999999999994E-5</v>
      </c>
      <c r="N74" s="621">
        <f t="shared" ref="N74:N77" si="24">SUM(J74:M74)</f>
        <v>1.8460000000000001E-2</v>
      </c>
      <c r="O74" s="620">
        <f>'Rates in Detail'!L78</f>
        <v>1.2099999999999999E-3</v>
      </c>
      <c r="P74" s="622">
        <f>'Rates in Detail'!P78</f>
        <v>-2.0000000000000001E-4</v>
      </c>
      <c r="Q74" s="622">
        <f>'Rates in Detail'!Q78</f>
        <v>0</v>
      </c>
      <c r="R74" s="250">
        <f t="shared" ref="R74:R77" si="25">SUM(O74:Q74)</f>
        <v>1.0099999999999998E-3</v>
      </c>
      <c r="S74" s="620">
        <f>'Rates in Detail'!S78</f>
        <v>0</v>
      </c>
      <c r="T74" s="622">
        <f>'Rates in Detail'!T78</f>
        <v>-1.8000000000000001E-4</v>
      </c>
      <c r="U74" s="622">
        <f>'Rates in Detail'!U78</f>
        <v>6.0000000000000002E-5</v>
      </c>
      <c r="V74" s="1318">
        <f t="shared" si="22"/>
        <v>8.8999999999999984E-4</v>
      </c>
      <c r="W74" s="612"/>
      <c r="X74" s="116">
        <f>'[25]Rates in detail'!AC70</f>
        <v>1.839E-2</v>
      </c>
      <c r="Y74" s="116"/>
      <c r="Z74" s="116">
        <f>'[25]Rates in detail'!AD70</f>
        <v>0</v>
      </c>
      <c r="AA74" s="116">
        <f>'[25]Rates in detail'!AE70</f>
        <v>0</v>
      </c>
      <c r="AB74" s="116">
        <f>'[25]Rates in detail'!AF70</f>
        <v>2.2000000000000001E-4</v>
      </c>
      <c r="AC74" s="344">
        <f t="shared" ref="AC74:AC77" si="26">SUM(X74:AB74)</f>
        <v>1.8610000000000002E-2</v>
      </c>
      <c r="AD74" s="1594"/>
      <c r="AE74" s="113">
        <f t="shared" ref="AE74:AE77" si="27">X74+O74+P74+Q74</f>
        <v>1.9400000000000001E-2</v>
      </c>
      <c r="AF74" s="113"/>
      <c r="AG74" s="113">
        <f t="shared" ref="AG74:AG77" si="28">Z74</f>
        <v>0</v>
      </c>
      <c r="AH74" s="113">
        <f t="shared" ref="AH74:AH77" si="29">AA74</f>
        <v>0</v>
      </c>
      <c r="AI74" s="113">
        <f t="shared" ref="AI74:AI77" si="30">AB74+S74+T74+U74</f>
        <v>9.9999999999999991E-5</v>
      </c>
      <c r="AJ74" s="1604">
        <f t="shared" ref="AJ74:AJ77" si="31">SUM(AE74:AI74)</f>
        <v>1.95E-2</v>
      </c>
      <c r="AK74" s="1595"/>
      <c r="AL74" s="116">
        <f>'Rates in Detail'!AC78</f>
        <v>4.6000000000000001E-4</v>
      </c>
      <c r="AM74" s="116">
        <f>'Rates in Detail'!AD78</f>
        <v>-2.0000000000000002E-5</v>
      </c>
      <c r="AN74" s="116">
        <f>'Rates in Detail'!AE78</f>
        <v>0</v>
      </c>
      <c r="AO74" s="116">
        <f>'Rates in Detail'!AF78</f>
        <v>-1.8000000000000001E-4</v>
      </c>
      <c r="AP74" s="1803">
        <f t="shared" si="23"/>
        <v>2.6000000000000003E-4</v>
      </c>
      <c r="AQ74" s="130"/>
      <c r="AR74" s="1682">
        <v>1.9400000000000001E-2</v>
      </c>
      <c r="AS74" s="1682"/>
      <c r="AT74" s="1682">
        <v>0</v>
      </c>
      <c r="AU74" s="1682">
        <v>0</v>
      </c>
      <c r="AV74" s="1682">
        <v>6.9999999999999994E-5</v>
      </c>
      <c r="AW74" s="344">
        <f t="shared" ref="AW74:AW77" si="32">SUM(AR74:AV74)</f>
        <v>1.9470000000000001E-2</v>
      </c>
      <c r="AY74" s="1798">
        <f t="shared" si="18"/>
        <v>1.9859999999999999E-2</v>
      </c>
      <c r="AZ74" s="116">
        <f t="shared" si="21"/>
        <v>0</v>
      </c>
      <c r="BA74" s="116">
        <f t="shared" ref="BA74:BA77" si="33">AT74</f>
        <v>0</v>
      </c>
      <c r="BB74" s="116">
        <f t="shared" ref="BB74:BB77" si="34">AU74</f>
        <v>0</v>
      </c>
      <c r="BC74" s="116">
        <f t="shared" ref="BC74:BC77" si="35">SUM(AM74:AO74)+AV74</f>
        <v>-1.3000000000000002E-4</v>
      </c>
      <c r="BD74" s="116">
        <f>'Rates in summary'!V79</f>
        <v>0</v>
      </c>
      <c r="BE74" s="339">
        <f t="shared" ref="BE74:BE77" si="36">SUM(AY74:BD74)</f>
        <v>1.9729999999999998E-2</v>
      </c>
      <c r="BF74" s="100"/>
      <c r="BG74" s="100">
        <f>BE74-'Rates in Detail'!AN78</f>
        <v>0</v>
      </c>
      <c r="BH74" s="100"/>
    </row>
    <row r="75" spans="2:60" x14ac:dyDescent="0.3">
      <c r="B75" s="109">
        <f t="shared" ref="B75:B77" si="37">B74+1</f>
        <v>67</v>
      </c>
      <c r="C75" s="883" t="str">
        <f>'WA Volumes &amp; Revenues'!B81</f>
        <v>43 Firm Transpt</v>
      </c>
      <c r="D75" s="882" t="s">
        <v>270</v>
      </c>
      <c r="E75" s="110" t="s">
        <v>270</v>
      </c>
      <c r="F75" s="112">
        <f>'WA Volumes &amp; Revenues'!E81</f>
        <v>0</v>
      </c>
      <c r="G75" s="112">
        <f>'WA Volumes &amp; Revenues'!H81</f>
        <v>0</v>
      </c>
      <c r="H75" s="885">
        <f>'WA Volumes &amp; Revenues'!O81</f>
        <v>38000</v>
      </c>
      <c r="I75" s="887">
        <f>'WA Volumes &amp; Revenues'!N81</f>
        <v>38000</v>
      </c>
      <c r="J75" s="617">
        <f>'Rates in Detail'!E79</f>
        <v>4.9099999999999994E-3</v>
      </c>
      <c r="K75" s="618">
        <f>'Rates in Detail'!H79</f>
        <v>0</v>
      </c>
      <c r="L75" s="618">
        <f>'Rates in Detail'!F79</f>
        <v>0</v>
      </c>
      <c r="M75" s="618">
        <f>'Rates in Detail'!I79</f>
        <v>1.0000000000000001E-5</v>
      </c>
      <c r="N75" s="134">
        <f t="shared" si="24"/>
        <v>4.919999999999999E-3</v>
      </c>
      <c r="O75" s="617">
        <f>'Rates in Detail'!L79</f>
        <v>0</v>
      </c>
      <c r="P75" s="618">
        <f>'Rates in Detail'!P79</f>
        <v>0</v>
      </c>
      <c r="Q75" s="618">
        <f>'Rates in Detail'!Q79</f>
        <v>0</v>
      </c>
      <c r="R75" s="892">
        <f t="shared" si="25"/>
        <v>0</v>
      </c>
      <c r="S75" s="617">
        <f>'Rates in Detail'!S79</f>
        <v>0</v>
      </c>
      <c r="T75" s="618">
        <f>'Rates in Detail'!T79</f>
        <v>-4.0000000000000003E-5</v>
      </c>
      <c r="U75" s="618">
        <f>'Rates in Detail'!U79</f>
        <v>2.0000000000000002E-5</v>
      </c>
      <c r="V75" s="1319">
        <f t="shared" si="22"/>
        <v>-2.0000000000000002E-5</v>
      </c>
      <c r="W75" s="612"/>
      <c r="X75" s="118">
        <f>'[25]Rates in detail'!$AC$71</f>
        <v>4.9099999999999994E-3</v>
      </c>
      <c r="Y75" s="118"/>
      <c r="Z75" s="118">
        <f>'[25]Rates in detail'!AD71</f>
        <v>0</v>
      </c>
      <c r="AA75" s="118">
        <f>'[25]Rates in detail'!AE71</f>
        <v>0</v>
      </c>
      <c r="AB75" s="118">
        <f>'[25]Rates in detail'!AF71</f>
        <v>6.0000000000000002E-5</v>
      </c>
      <c r="AC75" s="345">
        <f>SUM(X75:AB75)</f>
        <v>4.9699999999999996E-3</v>
      </c>
      <c r="AD75" s="1594"/>
      <c r="AE75" s="1597">
        <f t="shared" si="27"/>
        <v>4.9099999999999994E-3</v>
      </c>
      <c r="AF75" s="113"/>
      <c r="AG75" s="113">
        <f t="shared" si="28"/>
        <v>0</v>
      </c>
      <c r="AH75" s="113">
        <f t="shared" si="29"/>
        <v>0</v>
      </c>
      <c r="AI75" s="1597">
        <f>AB75+S75+T75+U75</f>
        <v>3.9999999999999996E-5</v>
      </c>
      <c r="AJ75" s="1604">
        <f>SUM(AE75:AI75)</f>
        <v>4.9499999999999995E-3</v>
      </c>
      <c r="AK75" s="1595"/>
      <c r="AL75" s="118">
        <f>'Rates in Detail'!AC79</f>
        <v>0</v>
      </c>
      <c r="AM75" s="118">
        <f>'Rates in Detail'!AD79</f>
        <v>0</v>
      </c>
      <c r="AN75" s="118">
        <f>'Rates in Detail'!AE79</f>
        <v>0</v>
      </c>
      <c r="AO75" s="118">
        <f>'Rates in Detail'!AF79</f>
        <v>-4.0000000000000003E-5</v>
      </c>
      <c r="AP75" s="1809">
        <f t="shared" si="23"/>
        <v>-4.0000000000000003E-5</v>
      </c>
      <c r="AQ75" s="130"/>
      <c r="AR75" s="1683">
        <v>4.9099999999999994E-3</v>
      </c>
      <c r="AS75" s="1683"/>
      <c r="AT75" s="1683">
        <v>0</v>
      </c>
      <c r="AU75" s="1683">
        <v>0</v>
      </c>
      <c r="AV75" s="1683">
        <v>9.1E-4</v>
      </c>
      <c r="AW75" s="345">
        <f t="shared" si="32"/>
        <v>5.8199999999999997E-3</v>
      </c>
      <c r="AY75" s="1799">
        <f t="shared" si="18"/>
        <v>4.9099999999999994E-3</v>
      </c>
      <c r="AZ75" s="118">
        <f t="shared" si="21"/>
        <v>0</v>
      </c>
      <c r="BA75" s="118">
        <f t="shared" si="33"/>
        <v>0</v>
      </c>
      <c r="BB75" s="118">
        <f t="shared" si="34"/>
        <v>0</v>
      </c>
      <c r="BC75" s="118">
        <f t="shared" si="35"/>
        <v>8.7000000000000001E-4</v>
      </c>
      <c r="BD75" s="118">
        <f>'Rates in summary'!V80</f>
        <v>0</v>
      </c>
      <c r="BE75" s="340">
        <f t="shared" si="36"/>
        <v>5.7799999999999995E-3</v>
      </c>
      <c r="BF75" s="100"/>
      <c r="BG75" s="100">
        <f>BE75-'Rates in Detail'!AN79</f>
        <v>0</v>
      </c>
      <c r="BH75" s="100"/>
    </row>
    <row r="76" spans="2:60" x14ac:dyDescent="0.3">
      <c r="B76" s="109">
        <f t="shared" si="37"/>
        <v>68</v>
      </c>
      <c r="C76" s="883" t="str">
        <f>'WA Volumes &amp; Revenues'!B82</f>
        <v>43 Interr Transpt</v>
      </c>
      <c r="D76" s="882" t="s">
        <v>270</v>
      </c>
      <c r="E76" s="110" t="s">
        <v>270</v>
      </c>
      <c r="F76" s="112">
        <f>'WA Volumes &amp; Revenues'!E82</f>
        <v>0</v>
      </c>
      <c r="G76" s="112">
        <f>'WA Volumes &amp; Revenues'!H82</f>
        <v>0</v>
      </c>
      <c r="H76" s="885">
        <f>'WA Volumes &amp; Revenues'!O82</f>
        <v>38000</v>
      </c>
      <c r="I76" s="887">
        <f>'WA Volumes &amp; Revenues'!N82</f>
        <v>38000</v>
      </c>
      <c r="J76" s="617">
        <f>'Rates in Detail'!E80</f>
        <v>4.9099999999999994E-3</v>
      </c>
      <c r="K76" s="618">
        <f>'Rates in Detail'!H80</f>
        <v>0</v>
      </c>
      <c r="L76" s="618">
        <f>'Rates in Detail'!F80</f>
        <v>0</v>
      </c>
      <c r="M76" s="618">
        <f>'Rates in Detail'!I80</f>
        <v>1.0000000000000001E-5</v>
      </c>
      <c r="N76" s="134">
        <f t="shared" si="24"/>
        <v>4.919999999999999E-3</v>
      </c>
      <c r="O76" s="617">
        <f>'Rates in Detail'!L80</f>
        <v>0</v>
      </c>
      <c r="P76" s="618">
        <f>'Rates in Detail'!P80</f>
        <v>0</v>
      </c>
      <c r="Q76" s="618">
        <f>'Rates in Detail'!Q80</f>
        <v>0</v>
      </c>
      <c r="R76" s="892">
        <f t="shared" si="25"/>
        <v>0</v>
      </c>
      <c r="S76" s="617">
        <f>'Rates in Detail'!S80</f>
        <v>0</v>
      </c>
      <c r="T76" s="618">
        <f>'Rates in Detail'!T80</f>
        <v>-4.0000000000000003E-5</v>
      </c>
      <c r="U76" s="618">
        <f>'Rates in Detail'!U80</f>
        <v>2.0000000000000002E-5</v>
      </c>
      <c r="V76" s="1319">
        <f t="shared" si="22"/>
        <v>-2.0000000000000002E-5</v>
      </c>
      <c r="W76" s="612"/>
      <c r="X76" s="118">
        <f>'[25]Rates in detail'!$AC$72</f>
        <v>4.9099999999999994E-3</v>
      </c>
      <c r="Y76" s="118"/>
      <c r="Z76" s="118">
        <f>'[25]Rates in detail'!AD72</f>
        <v>0</v>
      </c>
      <c r="AA76" s="118">
        <f>'[25]Rates in detail'!AE72</f>
        <v>0</v>
      </c>
      <c r="AB76" s="118">
        <f>'[25]Rates in detail'!AF72</f>
        <v>6.0000000000000002E-5</v>
      </c>
      <c r="AC76" s="345">
        <f t="shared" si="26"/>
        <v>4.9699999999999996E-3</v>
      </c>
      <c r="AD76" s="1594"/>
      <c r="AE76" s="1597">
        <f t="shared" si="27"/>
        <v>4.9099999999999994E-3</v>
      </c>
      <c r="AF76" s="113"/>
      <c r="AG76" s="113">
        <f t="shared" si="28"/>
        <v>0</v>
      </c>
      <c r="AH76" s="113">
        <f t="shared" si="29"/>
        <v>0</v>
      </c>
      <c r="AI76" s="1597">
        <f t="shared" si="30"/>
        <v>3.9999999999999996E-5</v>
      </c>
      <c r="AJ76" s="1604">
        <f t="shared" si="31"/>
        <v>4.9499999999999995E-3</v>
      </c>
      <c r="AK76" s="1595"/>
      <c r="AL76" s="118">
        <f>'Rates in Detail'!AC80</f>
        <v>0</v>
      </c>
      <c r="AM76" s="118">
        <f>'Rates in Detail'!AD80</f>
        <v>0</v>
      </c>
      <c r="AN76" s="118">
        <f>'Rates in Detail'!AE80</f>
        <v>0</v>
      </c>
      <c r="AO76" s="118">
        <f>'Rates in Detail'!AF80</f>
        <v>-4.0000000000000003E-5</v>
      </c>
      <c r="AP76" s="1809">
        <f t="shared" si="23"/>
        <v>-4.0000000000000003E-5</v>
      </c>
      <c r="AQ76" s="130"/>
      <c r="AR76" s="1683">
        <v>4.9099999999999994E-3</v>
      </c>
      <c r="AS76" s="1683"/>
      <c r="AT76" s="1683">
        <v>0</v>
      </c>
      <c r="AU76" s="1683">
        <v>0</v>
      </c>
      <c r="AV76" s="1683">
        <v>3.4000000000000002E-4</v>
      </c>
      <c r="AW76" s="345">
        <f t="shared" si="32"/>
        <v>5.2499999999999995E-3</v>
      </c>
      <c r="AY76" s="1799">
        <f t="shared" ref="AY76:AY77" si="38">AR76+AL76</f>
        <v>4.9099999999999994E-3</v>
      </c>
      <c r="AZ76" s="118">
        <f t="shared" si="21"/>
        <v>0</v>
      </c>
      <c r="BA76" s="118">
        <f t="shared" si="33"/>
        <v>0</v>
      </c>
      <c r="BB76" s="118">
        <f t="shared" si="34"/>
        <v>0</v>
      </c>
      <c r="BC76" s="118">
        <f t="shared" si="35"/>
        <v>3.0000000000000003E-4</v>
      </c>
      <c r="BD76" s="118">
        <f>'Rates in summary'!V81</f>
        <v>0</v>
      </c>
      <c r="BE76" s="340">
        <f t="shared" si="36"/>
        <v>5.2099999999999994E-3</v>
      </c>
      <c r="BF76" s="100"/>
      <c r="BG76" s="100">
        <f>BE76-'Rates in Detail'!AN80</f>
        <v>0</v>
      </c>
      <c r="BH76" s="100"/>
    </row>
    <row r="77" spans="2:60" ht="13.5" thickBot="1" x14ac:dyDescent="0.35">
      <c r="B77" s="109">
        <f t="shared" si="37"/>
        <v>69</v>
      </c>
      <c r="C77" s="883" t="str">
        <f>'WA Volumes &amp; Revenues'!B83</f>
        <v>Special Contract</v>
      </c>
      <c r="D77" s="882" t="s">
        <v>270</v>
      </c>
      <c r="E77" s="110" t="s">
        <v>270</v>
      </c>
      <c r="F77" s="112">
        <f>'WA Volumes &amp; Revenues'!E83</f>
        <v>2895114</v>
      </c>
      <c r="G77" s="112">
        <f>'WA Volumes &amp; Revenues'!H83</f>
        <v>1</v>
      </c>
      <c r="H77" s="885">
        <f>'WA Volumes &amp; Revenues'!O83</f>
        <v>0</v>
      </c>
      <c r="I77" s="887">
        <f>'WA Volumes &amp; Revenues'!N83</f>
        <v>0</v>
      </c>
      <c r="J77" s="617">
        <f>'Rates in Detail'!E81</f>
        <v>0</v>
      </c>
      <c r="K77" s="618">
        <f>'Rates in Detail'!H81</f>
        <v>0</v>
      </c>
      <c r="L77" s="618">
        <f>'Rates in Detail'!F81</f>
        <v>0</v>
      </c>
      <c r="M77" s="618">
        <f>'Rates in Detail'!I81</f>
        <v>0</v>
      </c>
      <c r="N77" s="134">
        <f t="shared" si="24"/>
        <v>0</v>
      </c>
      <c r="O77" s="117">
        <f>'Rates in Detail'!L81</f>
        <v>0</v>
      </c>
      <c r="P77" s="618">
        <f>'Rates in Detail'!P81</f>
        <v>0</v>
      </c>
      <c r="Q77" s="618">
        <f>'Rates in Detail'!Q81</f>
        <v>0</v>
      </c>
      <c r="R77" s="251">
        <f t="shared" si="25"/>
        <v>0</v>
      </c>
      <c r="S77" s="117">
        <f>'Rates in Detail'!S81</f>
        <v>0</v>
      </c>
      <c r="T77" s="618">
        <f>'Rates in Detail'!T81</f>
        <v>0</v>
      </c>
      <c r="U77" s="618">
        <f>'Rates in Detail'!U81</f>
        <v>0</v>
      </c>
      <c r="V77" s="1320">
        <f t="shared" si="22"/>
        <v>0</v>
      </c>
      <c r="W77" s="612"/>
      <c r="X77" s="118"/>
      <c r="Y77" s="118"/>
      <c r="Z77" s="118"/>
      <c r="AA77" s="118"/>
      <c r="AB77" s="118"/>
      <c r="AC77" s="345">
        <f t="shared" si="26"/>
        <v>0</v>
      </c>
      <c r="AD77" s="1594"/>
      <c r="AE77" s="113">
        <f t="shared" si="27"/>
        <v>0</v>
      </c>
      <c r="AF77" s="113"/>
      <c r="AG77" s="113">
        <f t="shared" si="28"/>
        <v>0</v>
      </c>
      <c r="AH77" s="113">
        <f t="shared" si="29"/>
        <v>0</v>
      </c>
      <c r="AI77" s="113">
        <f t="shared" si="30"/>
        <v>0</v>
      </c>
      <c r="AJ77" s="1604">
        <f t="shared" si="31"/>
        <v>0</v>
      </c>
      <c r="AK77" s="1595"/>
      <c r="AL77" s="118">
        <f>'Rates in Detail'!AC81</f>
        <v>0</v>
      </c>
      <c r="AM77" s="118">
        <f>'Rates in Detail'!AD81</f>
        <v>0</v>
      </c>
      <c r="AN77" s="118">
        <f>'Rates in Detail'!AE81</f>
        <v>0</v>
      </c>
      <c r="AO77" s="118">
        <f>'Rates in Detail'!AF81</f>
        <v>0</v>
      </c>
      <c r="AP77" s="1809">
        <f t="shared" si="23"/>
        <v>0</v>
      </c>
      <c r="AQ77" s="130"/>
      <c r="AR77" s="1683">
        <v>0</v>
      </c>
      <c r="AS77" s="1683"/>
      <c r="AT77" s="1683">
        <v>0</v>
      </c>
      <c r="AU77" s="1683">
        <v>0</v>
      </c>
      <c r="AV77" s="1683">
        <v>0</v>
      </c>
      <c r="AW77" s="345">
        <f t="shared" si="32"/>
        <v>0</v>
      </c>
      <c r="AY77" s="118">
        <f t="shared" si="38"/>
        <v>0</v>
      </c>
      <c r="AZ77" s="118">
        <f t="shared" si="21"/>
        <v>0</v>
      </c>
      <c r="BA77" s="118">
        <f t="shared" si="33"/>
        <v>0</v>
      </c>
      <c r="BB77" s="118">
        <f t="shared" si="34"/>
        <v>0</v>
      </c>
      <c r="BC77" s="118">
        <f t="shared" si="35"/>
        <v>0</v>
      </c>
      <c r="BD77" s="118">
        <f>'Rates in summary'!V82</f>
        <v>0</v>
      </c>
      <c r="BE77" s="340">
        <f t="shared" si="36"/>
        <v>0</v>
      </c>
      <c r="BF77" s="100"/>
      <c r="BG77" s="100">
        <f>BE77-'Rates in Detail'!AN81</f>
        <v>0</v>
      </c>
      <c r="BH77" s="100"/>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8">
    <mergeCell ref="J6:N6"/>
    <mergeCell ref="AR6:AW6"/>
    <mergeCell ref="O2:V2"/>
    <mergeCell ref="AL2:AP2"/>
    <mergeCell ref="AY6:BE6"/>
    <mergeCell ref="AL3:AP3"/>
    <mergeCell ref="X6:AC6"/>
    <mergeCell ref="AE6:AJ6"/>
  </mergeCells>
  <printOptions verticalCentered="1"/>
  <pageMargins left="0.5" right="0.5" top="0.5" bottom="0.5" header="0.25" footer="0.25"/>
  <pageSetup scale="27" orientation="landscape" r:id="rId3"/>
  <headerFooter alignWithMargins="0">
    <oddHeader>&amp;RUG-200994 et al. / NWN WUTC Advice 22-09
WP1 / &amp;A</oddHeader>
    <oddFooter xml:space="preserve">&amp;C&amp;F &amp;D &amp;T
&amp;A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T71"/>
  <sheetViews>
    <sheetView view="pageLayout" topLeftCell="G1" zoomScaleNormal="100" workbookViewId="0"/>
  </sheetViews>
  <sheetFormatPr defaultColWidth="9.296875" defaultRowHeight="13" outlineLevelCol="1" x14ac:dyDescent="0.3"/>
  <cols>
    <col min="1" max="1" width="3.19921875" style="51"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0" width="14.796875" style="51" customWidth="1"/>
    <col min="11" max="11" width="12.19921875" style="51" customWidth="1"/>
    <col min="12" max="12" width="15.296875" style="51" customWidth="1"/>
    <col min="13" max="13" width="12.19921875" style="51" customWidth="1"/>
    <col min="14" max="14" width="15.296875" style="51" customWidth="1"/>
    <col min="15" max="15" width="12.19921875" style="51" customWidth="1"/>
    <col min="16" max="16" width="17.296875" style="51" customWidth="1"/>
    <col min="17" max="17" width="12.19921875" style="51" customWidth="1"/>
    <col min="18" max="18" width="15.796875" style="51" customWidth="1"/>
    <col min="19" max="19" width="12.19921875" style="51" customWidth="1"/>
    <col min="20" max="21" width="16.296875" style="51" hidden="1" customWidth="1" outlineLevel="1"/>
    <col min="22" max="22" width="17.5" style="51" customWidth="1" collapsed="1"/>
    <col min="23" max="23" width="20.5" style="51" customWidth="1"/>
    <col min="24" max="24" width="17.5" style="51" bestFit="1" customWidth="1"/>
    <col min="25" max="25" width="12.69921875" style="51" customWidth="1"/>
    <col min="26" max="26" width="11.19921875" style="51" customWidth="1"/>
    <col min="27" max="27" width="2.796875" style="51" customWidth="1"/>
    <col min="28" max="28" width="17.19921875" style="51" customWidth="1"/>
    <col min="29" max="29" width="16.296875" style="51" customWidth="1"/>
    <col min="30" max="30" width="17.296875" style="51" customWidth="1"/>
    <col min="31" max="31" width="18.5" style="51" customWidth="1"/>
    <col min="32" max="32" width="14.19921875" style="51" customWidth="1"/>
    <col min="33" max="33" width="16.296875" style="51" bestFit="1" customWidth="1"/>
    <col min="34" max="34" width="18.296875" style="51" customWidth="1" outlineLevel="1"/>
    <col min="35" max="37" width="13.296875" style="51" customWidth="1" outlineLevel="1"/>
    <col min="38" max="39" width="13.19921875" style="51" customWidth="1"/>
    <col min="40" max="41" width="13.19921875" style="51" hidden="1" customWidth="1" outlineLevel="1"/>
    <col min="42" max="42" width="17.19921875" style="51" customWidth="1" collapsed="1"/>
    <col min="43" max="43" width="17.19921875" style="51" customWidth="1"/>
    <col min="44" max="44" width="12.69921875" style="51" customWidth="1"/>
    <col min="45" max="46" width="11" style="51" customWidth="1"/>
    <col min="47" max="16384" width="9.296875" style="51"/>
  </cols>
  <sheetData>
    <row r="1" spans="2:46" x14ac:dyDescent="0.3">
      <c r="B1" s="873" t="s">
        <v>0</v>
      </c>
      <c r="AB1" s="873" t="s">
        <v>0</v>
      </c>
    </row>
    <row r="2" spans="2:46" x14ac:dyDescent="0.3">
      <c r="B2" s="873" t="s">
        <v>265</v>
      </c>
      <c r="C2" s="62"/>
      <c r="D2" s="62"/>
      <c r="E2" s="62"/>
      <c r="F2" s="62"/>
      <c r="G2" s="62"/>
      <c r="H2" s="62"/>
      <c r="I2" s="62"/>
      <c r="J2" s="62"/>
      <c r="K2" s="62"/>
      <c r="L2" s="62"/>
      <c r="M2" s="62"/>
      <c r="N2" s="62"/>
      <c r="O2" s="62"/>
      <c r="P2" s="62"/>
      <c r="Q2" s="62"/>
      <c r="R2" s="62"/>
      <c r="S2" s="62"/>
      <c r="T2" s="62"/>
      <c r="U2" s="62"/>
      <c r="V2" s="62"/>
      <c r="W2" s="1938" t="s">
        <v>408</v>
      </c>
      <c r="X2" s="1938"/>
      <c r="Y2" s="1938"/>
      <c r="AB2" s="873" t="s">
        <v>265</v>
      </c>
      <c r="AP2" s="62"/>
      <c r="AQ2" s="1938" t="s">
        <v>474</v>
      </c>
      <c r="AR2" s="1938"/>
      <c r="AS2" s="1938"/>
    </row>
    <row r="3" spans="2:46" x14ac:dyDescent="0.3">
      <c r="B3" s="873" t="s">
        <v>266</v>
      </c>
      <c r="C3" s="62"/>
      <c r="D3" s="62"/>
      <c r="E3" s="62"/>
      <c r="F3" s="62"/>
      <c r="G3" s="62"/>
      <c r="H3" s="62"/>
      <c r="I3" s="62"/>
      <c r="J3" s="62"/>
      <c r="K3" s="62"/>
      <c r="L3" s="62"/>
      <c r="M3" s="62"/>
      <c r="N3" s="62"/>
      <c r="O3" s="62"/>
      <c r="P3" s="62"/>
      <c r="Q3" s="62"/>
      <c r="R3" s="62"/>
      <c r="S3" s="62"/>
      <c r="T3" s="62"/>
      <c r="U3" s="62"/>
      <c r="V3" s="427"/>
      <c r="W3" s="1939" t="s">
        <v>255</v>
      </c>
      <c r="X3" s="1939" t="s">
        <v>471</v>
      </c>
      <c r="Y3" s="1939" t="s">
        <v>472</v>
      </c>
      <c r="Z3" s="55"/>
      <c r="AB3" s="873" t="s">
        <v>266</v>
      </c>
      <c r="AP3" s="427"/>
      <c r="AQ3" s="1939" t="s">
        <v>255</v>
      </c>
      <c r="AR3" s="1939" t="s">
        <v>471</v>
      </c>
      <c r="AS3" s="1939" t="s">
        <v>472</v>
      </c>
    </row>
    <row r="4" spans="2:46" ht="15" customHeight="1" x14ac:dyDescent="0.3">
      <c r="B4" s="873" t="s">
        <v>610</v>
      </c>
      <c r="C4" s="62"/>
      <c r="D4" s="62"/>
      <c r="E4" s="62"/>
      <c r="F4" s="62"/>
      <c r="G4" s="62"/>
      <c r="H4" s="62"/>
      <c r="I4" s="62"/>
      <c r="J4" s="62"/>
      <c r="K4" s="62"/>
      <c r="L4" s="62"/>
      <c r="M4" s="62"/>
      <c r="N4" s="62"/>
      <c r="O4" s="62"/>
      <c r="P4" s="62"/>
      <c r="Q4" s="62"/>
      <c r="R4" s="62"/>
      <c r="S4" s="62"/>
      <c r="T4" s="62"/>
      <c r="U4" s="62"/>
      <c r="V4" s="55"/>
      <c r="W4" s="1940"/>
      <c r="X4" s="1940"/>
      <c r="Y4" s="1940"/>
      <c r="Z4" s="55"/>
      <c r="AB4" s="873" t="s">
        <v>610</v>
      </c>
      <c r="AP4" s="55"/>
      <c r="AQ4" s="1940"/>
      <c r="AR4" s="1940"/>
      <c r="AS4" s="1940"/>
    </row>
    <row r="5" spans="2:46" x14ac:dyDescent="0.3">
      <c r="B5" s="873" t="s">
        <v>612</v>
      </c>
      <c r="C5" s="62"/>
      <c r="D5" s="62"/>
      <c r="E5" s="62"/>
      <c r="F5" s="62"/>
      <c r="G5" s="62"/>
      <c r="H5" s="62"/>
      <c r="I5" s="62"/>
      <c r="J5" s="62"/>
      <c r="K5" s="62"/>
      <c r="L5" s="62"/>
      <c r="M5" s="62"/>
      <c r="N5" s="62"/>
      <c r="O5" s="62"/>
      <c r="P5" s="62"/>
      <c r="Q5" s="62"/>
      <c r="R5" s="62"/>
      <c r="S5" s="62"/>
      <c r="T5" s="62"/>
      <c r="U5" s="62"/>
      <c r="V5" s="55" t="s">
        <v>253</v>
      </c>
      <c r="W5" s="1191">
        <f>SUM(W16,W18)/1000-SUM(E16,E18)/1000</f>
        <v>2805.5542267021883</v>
      </c>
      <c r="X5" s="1184">
        <f>W5/(E16+E18)*1000</f>
        <v>5.2645051507692928E-2</v>
      </c>
      <c r="Y5" s="1191">
        <f>W5*1000/'WA Volumes &amp; Revenues'!Y15/12</f>
        <v>2.8501302640316428</v>
      </c>
      <c r="Z5" s="55"/>
      <c r="AB5" s="873" t="s">
        <v>612</v>
      </c>
      <c r="AP5" s="55" t="s">
        <v>253</v>
      </c>
      <c r="AQ5" s="1185">
        <f>SUM(AQ16,AQ18)/1000-SUM(AC16,AC18)/1000</f>
        <v>2018.7412936915862</v>
      </c>
      <c r="AR5" s="1184">
        <f>AQ5/(AC16+AC18)*1000</f>
        <v>3.5502033222704045E-2</v>
      </c>
      <c r="AS5" s="1185">
        <f>AQ5*1000/'WA Volumes &amp; Revenues'!Y15/12</f>
        <v>2.0508160568202549</v>
      </c>
    </row>
    <row r="6" spans="2:46" x14ac:dyDescent="0.3">
      <c r="C6" s="62"/>
      <c r="D6" s="62"/>
      <c r="E6" s="62"/>
      <c r="F6" s="62"/>
      <c r="G6" s="62"/>
      <c r="H6" s="62"/>
      <c r="I6" s="62"/>
      <c r="J6" s="62"/>
      <c r="K6" s="62"/>
      <c r="L6" s="62"/>
      <c r="M6" s="62"/>
      <c r="N6" s="62"/>
      <c r="O6" s="62"/>
      <c r="P6" s="62"/>
      <c r="Q6" s="62"/>
      <c r="R6" s="62"/>
      <c r="S6" s="62"/>
      <c r="T6" s="62"/>
      <c r="U6" s="62"/>
      <c r="V6" s="55" t="s">
        <v>26</v>
      </c>
      <c r="W6" s="1191">
        <f>SUM(W17,W19,W21,W22,W24,W26,W28,W30,W32,W34)/1000-SUM(E17,E19,E21,E22,E24,E26,E28,E30,E32,E34)/1000</f>
        <v>1019.914066625417</v>
      </c>
      <c r="X6" s="1184">
        <f>(W6)/SUM(E17,E19,E21,E22,E24,E26,E28,E30,E32,E34)*1000</f>
        <v>4.8953190087743514E-2</v>
      </c>
      <c r="Y6" s="1191">
        <f>W6*1000/'WA Volumes &amp; Revenues'!Y16/12</f>
        <v>11.742721393419112</v>
      </c>
      <c r="Z6" s="55"/>
      <c r="AP6" s="55" t="s">
        <v>26</v>
      </c>
      <c r="AQ6" s="1185">
        <f>SUM(AQ17,AQ19,AQ21,AQ22,AQ24,AQ26,AQ28,AQ30,AQ32,AQ34)/1000-SUM(AC17,AC19,AC21,AC22,AC24,AC26,AC28,AC30,AC32,AC34)/1000</f>
        <v>727.48386452371778</v>
      </c>
      <c r="AR6" s="1184">
        <f>(AQ6)/SUM(AC17,AC19,AC21,AC22,AC24,AC26,AC28,AC30,AC32,AC34)*1000</f>
        <v>3.2876206299718096E-2</v>
      </c>
      <c r="AS6" s="1185">
        <f>AQ6*1000/'WA Volumes &amp; Revenues'!Y16/12</f>
        <v>8.3758432390042916</v>
      </c>
    </row>
    <row r="7" spans="2:46" x14ac:dyDescent="0.3">
      <c r="B7" s="167" t="s">
        <v>509</v>
      </c>
      <c r="C7" s="62"/>
      <c r="D7" s="62"/>
      <c r="F7" s="62"/>
      <c r="G7" s="62"/>
      <c r="H7" s="62"/>
      <c r="I7" s="62"/>
      <c r="J7" s="62"/>
      <c r="K7" s="62"/>
      <c r="L7" s="62"/>
      <c r="M7" s="62"/>
      <c r="N7" s="62"/>
      <c r="O7" s="62"/>
      <c r="P7" s="62"/>
      <c r="Q7" s="62"/>
      <c r="R7" s="62"/>
      <c r="S7" s="62"/>
      <c r="T7" s="62"/>
      <c r="U7" s="62"/>
      <c r="V7" s="55" t="s">
        <v>140</v>
      </c>
      <c r="W7" s="1191">
        <f>SUM(W20,W23,W25,W27,W29,W31,W33,W35,W36,W37,W38)/1000-SUM(E20,E23,E25,E27,E29,E31,E33,E35,E36,E37,E38)/1000</f>
        <v>120.49347379400024</v>
      </c>
      <c r="X7" s="1184">
        <f>(W7)/SUM(E20,E23,E25,E27,E29,E31,E33,E35,E36,E37,E38)*1000</f>
        <v>2.8640575085244979E-2</v>
      </c>
      <c r="Y7" s="1191">
        <f>W7*1000/'WA Volumes &amp; Revenues'!Y17/12</f>
        <v>137.86438649199113</v>
      </c>
      <c r="Z7" s="55"/>
      <c r="AB7" s="167" t="s">
        <v>510</v>
      </c>
      <c r="AP7" s="55" t="s">
        <v>140</v>
      </c>
      <c r="AQ7" s="1185">
        <f>SUM(AQ20,AQ23,AQ25,AQ27,AQ29,AQ31,AQ33,AQ35,AQ36,AQ37,AQ38)/1000-SUM(AC20,AC23,AC25,AC27,AC29,AC31,AC33,AC35,AC36,AC37,AC38)/1000</f>
        <v>54.261523602000125</v>
      </c>
      <c r="AR7" s="1184">
        <f>(AQ7)/SUM(AC20,AC23,AC25,AC27,AC29,AC31,AC33,AC35,AC36,AC37,AC38)*1000</f>
        <v>1.2494678795692507E-2</v>
      </c>
      <c r="AS7" s="1185">
        <f>AQ7*1000/'WA Volumes &amp; Revenues'!Y17/12</f>
        <v>62.084123114416627</v>
      </c>
    </row>
    <row r="8" spans="2:46" ht="12.75" customHeight="1" x14ac:dyDescent="0.3">
      <c r="B8" s="593" t="s">
        <v>665</v>
      </c>
      <c r="C8" s="62"/>
      <c r="D8" s="1370"/>
      <c r="F8" s="1370"/>
      <c r="G8" s="1370"/>
      <c r="H8" s="1370"/>
      <c r="I8" s="1370"/>
      <c r="J8" s="1370"/>
      <c r="K8" s="1370"/>
      <c r="L8" s="1370"/>
      <c r="M8" s="1370"/>
      <c r="N8" s="1370"/>
      <c r="O8" s="1370"/>
      <c r="P8" s="1370"/>
      <c r="Q8" s="1370"/>
      <c r="R8" s="1370"/>
      <c r="S8" s="62"/>
      <c r="T8" s="62"/>
      <c r="U8" s="62"/>
      <c r="V8" s="1161" t="s">
        <v>254</v>
      </c>
      <c r="W8" s="1192">
        <f>SUM(W5:W7)</f>
        <v>3945.9617671216056</v>
      </c>
      <c r="X8" s="1187">
        <f>(W40-E40)/E40</f>
        <v>5.0373901982760934E-2</v>
      </c>
      <c r="Y8" s="1192">
        <f>W8*1000/'WA Volumes &amp; Revenues'!Y18/12</f>
        <v>3.680628909653588</v>
      </c>
      <c r="Z8" s="55"/>
      <c r="AB8" s="593" t="s">
        <v>633</v>
      </c>
      <c r="AC8" s="1370"/>
      <c r="AD8" s="1370"/>
      <c r="AE8" s="1370"/>
      <c r="AF8" s="1370"/>
      <c r="AG8" s="1370"/>
      <c r="AH8" s="1370"/>
      <c r="AI8" s="1370"/>
      <c r="AJ8" s="1370"/>
      <c r="AK8" s="1370"/>
      <c r="AL8" s="1370"/>
      <c r="AM8" s="1370"/>
      <c r="AN8" s="1370"/>
      <c r="AP8" s="1161" t="s">
        <v>254</v>
      </c>
      <c r="AQ8" s="1186">
        <f>SUM(AQ5:AQ7)</f>
        <v>2800.4866818173041</v>
      </c>
      <c r="AR8" s="1187">
        <f>(AQ40-AC40)/AC40</f>
        <v>3.3605796933419481E-2</v>
      </c>
      <c r="AS8" s="1188">
        <f>AQ8*1000/'WA Volumes &amp; Revenues'!Y18/12</f>
        <v>2.6121774235322852</v>
      </c>
    </row>
    <row r="9" spans="2:46" ht="13.5" thickBot="1" x14ac:dyDescent="0.35">
      <c r="B9" s="593" t="s">
        <v>663</v>
      </c>
      <c r="C9" s="62"/>
      <c r="D9" s="1371"/>
      <c r="F9" s="1371"/>
      <c r="G9" s="1371"/>
      <c r="H9" s="1371"/>
      <c r="I9" s="1371"/>
      <c r="J9" s="1371"/>
      <c r="K9" s="1371"/>
      <c r="L9" s="1371"/>
      <c r="M9" s="1371"/>
      <c r="N9" s="1371"/>
      <c r="O9" s="1371"/>
      <c r="P9" s="1371"/>
      <c r="Q9" s="1371"/>
      <c r="R9" s="1371"/>
      <c r="S9" s="62"/>
      <c r="T9" s="62"/>
      <c r="U9" s="62"/>
      <c r="V9" s="62"/>
      <c r="W9" s="62"/>
      <c r="X9" s="64"/>
      <c r="AB9" s="593" t="s">
        <v>630</v>
      </c>
      <c r="AC9" s="1371"/>
      <c r="AD9" s="1371"/>
      <c r="AE9" s="1371"/>
      <c r="AF9" s="1371"/>
      <c r="AG9" s="1371"/>
      <c r="AH9" s="1371"/>
      <c r="AI9" s="1371"/>
      <c r="AJ9" s="1371"/>
      <c r="AK9" s="1371"/>
      <c r="AL9" s="1371"/>
      <c r="AM9" s="1371"/>
      <c r="AN9" s="1371"/>
    </row>
    <row r="10" spans="2:46" ht="13.5" thickBot="1" x14ac:dyDescent="0.35">
      <c r="B10" s="63"/>
      <c r="C10" s="62"/>
      <c r="D10" s="1945" t="s">
        <v>511</v>
      </c>
      <c r="E10" s="1946"/>
      <c r="F10" s="1946"/>
      <c r="G10" s="1946"/>
      <c r="H10" s="1946"/>
      <c r="I10" s="1946"/>
      <c r="J10" s="1946"/>
      <c r="K10" s="1946"/>
      <c r="L10" s="1946"/>
      <c r="M10" s="1946"/>
      <c r="N10" s="1946"/>
      <c r="O10" s="1946"/>
      <c r="P10" s="1946"/>
      <c r="Q10" s="1946"/>
      <c r="R10" s="1946"/>
      <c r="S10" s="1946"/>
      <c r="T10" s="1946"/>
      <c r="U10" s="1946"/>
      <c r="V10" s="1946"/>
      <c r="W10" s="1946"/>
      <c r="X10" s="1946"/>
      <c r="Y10" s="1946"/>
      <c r="Z10" s="1947"/>
      <c r="AA10" s="1020"/>
      <c r="AB10" s="1922" t="s">
        <v>512</v>
      </c>
      <c r="AC10" s="1923"/>
      <c r="AD10" s="1923"/>
      <c r="AE10" s="1923"/>
      <c r="AF10" s="1923"/>
      <c r="AG10" s="1923"/>
      <c r="AH10" s="1923"/>
      <c r="AI10" s="1923"/>
      <c r="AJ10" s="1923"/>
      <c r="AK10" s="1923"/>
      <c r="AL10" s="1923"/>
      <c r="AM10" s="1923"/>
      <c r="AN10" s="1923"/>
      <c r="AO10" s="1923"/>
      <c r="AP10" s="1923"/>
      <c r="AQ10" s="1923"/>
      <c r="AR10" s="1923"/>
      <c r="AS10" s="1923"/>
      <c r="AT10" s="1924"/>
    </row>
    <row r="11" spans="2:46" ht="13.5" thickBot="1" x14ac:dyDescent="0.35">
      <c r="D11" s="1035"/>
      <c r="E11" s="1036"/>
      <c r="F11" s="1943" t="s">
        <v>209</v>
      </c>
      <c r="G11" s="1944"/>
      <c r="H11" s="1932" t="s">
        <v>385</v>
      </c>
      <c r="I11" s="1948"/>
      <c r="J11" s="1932" t="s">
        <v>381</v>
      </c>
      <c r="K11" s="1948"/>
      <c r="L11" s="1932" t="s">
        <v>392</v>
      </c>
      <c r="M11" s="1948"/>
      <c r="N11" s="1932" t="s">
        <v>664</v>
      </c>
      <c r="O11" s="1948"/>
      <c r="P11" s="1930" t="s">
        <v>599</v>
      </c>
      <c r="Q11" s="1941"/>
      <c r="R11" s="1941"/>
      <c r="S11" s="1931"/>
      <c r="T11" s="1949" t="s">
        <v>221</v>
      </c>
      <c r="U11" s="1950"/>
      <c r="V11" s="1037"/>
      <c r="W11" s="1037"/>
      <c r="X11" s="1942" t="s">
        <v>192</v>
      </c>
      <c r="Y11" s="1943"/>
      <c r="Z11" s="1944"/>
      <c r="AA11" s="1020"/>
      <c r="AB11" s="52"/>
      <c r="AC11" s="53"/>
      <c r="AD11" s="1936" t="s">
        <v>209</v>
      </c>
      <c r="AE11" s="1937"/>
      <c r="AF11" s="1932" t="s">
        <v>446</v>
      </c>
      <c r="AG11" s="1933"/>
      <c r="AH11" s="1934" t="str">
        <f>J11</f>
        <v>Historical EE</v>
      </c>
      <c r="AI11" s="1935"/>
      <c r="AJ11" s="1951" t="str">
        <f>L11</f>
        <v>Truck Lot Sale</v>
      </c>
      <c r="AK11" s="1952"/>
      <c r="AL11" s="1930" t="s">
        <v>599</v>
      </c>
      <c r="AM11" s="1931"/>
      <c r="AN11" s="1925" t="s">
        <v>221</v>
      </c>
      <c r="AO11" s="1926"/>
      <c r="AP11" s="53"/>
      <c r="AQ11" s="53"/>
      <c r="AR11" s="1927" t="s">
        <v>192</v>
      </c>
      <c r="AS11" s="1928"/>
      <c r="AT11" s="1929"/>
    </row>
    <row r="12" spans="2:46" ht="52" x14ac:dyDescent="0.3">
      <c r="B12" s="1028" t="s">
        <v>167</v>
      </c>
      <c r="C12" s="1029" t="s">
        <v>153</v>
      </c>
      <c r="D12" s="68" t="s">
        <v>200</v>
      </c>
      <c r="E12" s="68" t="s">
        <v>201</v>
      </c>
      <c r="F12" s="67" t="s">
        <v>194</v>
      </c>
      <c r="G12" s="69" t="s">
        <v>193</v>
      </c>
      <c r="H12" s="67" t="s">
        <v>405</v>
      </c>
      <c r="I12" s="68" t="s">
        <v>406</v>
      </c>
      <c r="J12" s="67" t="s">
        <v>463</v>
      </c>
      <c r="K12" s="69" t="s">
        <v>464</v>
      </c>
      <c r="L12" s="67" t="s">
        <v>463</v>
      </c>
      <c r="M12" s="68" t="s">
        <v>464</v>
      </c>
      <c r="N12" s="67" t="s">
        <v>470</v>
      </c>
      <c r="O12" s="68" t="s">
        <v>666</v>
      </c>
      <c r="P12" s="1145" t="s">
        <v>407</v>
      </c>
      <c r="Q12" s="944" t="s">
        <v>407</v>
      </c>
      <c r="R12" s="944" t="s">
        <v>470</v>
      </c>
      <c r="S12" s="1146" t="s">
        <v>470</v>
      </c>
      <c r="T12" s="574" t="s">
        <v>222</v>
      </c>
      <c r="U12" s="575" t="s">
        <v>223</v>
      </c>
      <c r="V12" s="68" t="s">
        <v>667</v>
      </c>
      <c r="W12" s="68" t="s">
        <v>668</v>
      </c>
      <c r="X12" s="67" t="s">
        <v>197</v>
      </c>
      <c r="Y12" s="68" t="s">
        <v>198</v>
      </c>
      <c r="Z12" s="69" t="s">
        <v>199</v>
      </c>
      <c r="AA12" s="1020"/>
      <c r="AB12" s="981" t="s">
        <v>667</v>
      </c>
      <c r="AC12" s="68" t="s">
        <v>669</v>
      </c>
      <c r="AD12" s="67" t="s">
        <v>194</v>
      </c>
      <c r="AE12" s="69" t="s">
        <v>193</v>
      </c>
      <c r="AF12" s="67" t="s">
        <v>465</v>
      </c>
      <c r="AG12" s="69" t="s">
        <v>464</v>
      </c>
      <c r="AH12" s="67" t="s">
        <v>463</v>
      </c>
      <c r="AI12" s="69" t="s">
        <v>464</v>
      </c>
      <c r="AJ12" s="67" t="s">
        <v>463</v>
      </c>
      <c r="AK12" s="68" t="s">
        <v>464</v>
      </c>
      <c r="AL12" s="1145" t="s">
        <v>470</v>
      </c>
      <c r="AM12" s="1146" t="s">
        <v>485</v>
      </c>
      <c r="AN12" s="574" t="s">
        <v>222</v>
      </c>
      <c r="AO12" s="575" t="s">
        <v>223</v>
      </c>
      <c r="AP12" s="68" t="s">
        <v>670</v>
      </c>
      <c r="AQ12" s="68" t="s">
        <v>671</v>
      </c>
      <c r="AR12" s="67" t="s">
        <v>197</v>
      </c>
      <c r="AS12" s="68" t="s">
        <v>198</v>
      </c>
      <c r="AT12" s="69" t="s">
        <v>199</v>
      </c>
    </row>
    <row r="13" spans="2:46" x14ac:dyDescent="0.3">
      <c r="B13" s="1030"/>
      <c r="C13" s="1022"/>
      <c r="D13" s="71"/>
      <c r="E13" s="71"/>
      <c r="F13" s="1379" t="s">
        <v>190</v>
      </c>
      <c r="G13" s="73"/>
      <c r="H13" s="1379" t="s">
        <v>191</v>
      </c>
      <c r="I13" s="71"/>
      <c r="J13" s="1379" t="s">
        <v>452</v>
      </c>
      <c r="K13" s="92"/>
      <c r="L13" s="1379" t="s">
        <v>461</v>
      </c>
      <c r="M13" s="1151"/>
      <c r="N13" s="1379" t="s">
        <v>525</v>
      </c>
      <c r="O13" s="1151"/>
      <c r="P13" s="1177" t="s">
        <v>672</v>
      </c>
      <c r="Q13" s="1175"/>
      <c r="R13" s="1175" t="s">
        <v>673</v>
      </c>
      <c r="S13" s="1178"/>
      <c r="T13" s="576"/>
      <c r="U13" s="577"/>
      <c r="V13" s="586" t="s">
        <v>674</v>
      </c>
      <c r="W13" s="586" t="s">
        <v>675</v>
      </c>
      <c r="X13" s="587"/>
      <c r="Y13" s="586"/>
      <c r="Z13" s="73"/>
      <c r="AA13" s="1020"/>
      <c r="AB13" s="72"/>
      <c r="AC13" s="71"/>
      <c r="AD13" s="1379" t="s">
        <v>190</v>
      </c>
      <c r="AE13" s="73"/>
      <c r="AF13" s="1379" t="s">
        <v>191</v>
      </c>
      <c r="AG13" s="73"/>
      <c r="AH13" s="1379" t="s">
        <v>452</v>
      </c>
      <c r="AI13" s="92"/>
      <c r="AJ13" s="1379" t="s">
        <v>461</v>
      </c>
      <c r="AK13" s="1151"/>
      <c r="AL13" s="1212"/>
      <c r="AM13" s="1213"/>
      <c r="AN13" s="576"/>
      <c r="AO13" s="577"/>
      <c r="AP13" s="586" t="s">
        <v>637</v>
      </c>
      <c r="AQ13" s="586" t="s">
        <v>638</v>
      </c>
      <c r="AR13" s="587"/>
      <c r="AS13" s="586"/>
      <c r="AT13" s="73"/>
    </row>
    <row r="14" spans="2:46" ht="13.5" thickBot="1" x14ac:dyDescent="0.35">
      <c r="B14" s="1031"/>
      <c r="C14" s="1023"/>
      <c r="D14" s="108" t="s">
        <v>35</v>
      </c>
      <c r="E14" s="108" t="s">
        <v>36</v>
      </c>
      <c r="F14" s="124" t="s">
        <v>13</v>
      </c>
      <c r="G14" s="125" t="s">
        <v>37</v>
      </c>
      <c r="H14" s="124" t="s">
        <v>38</v>
      </c>
      <c r="I14" s="108" t="s">
        <v>39</v>
      </c>
      <c r="J14" s="126" t="s">
        <v>40</v>
      </c>
      <c r="K14" s="127" t="s">
        <v>41</v>
      </c>
      <c r="L14" s="126" t="s">
        <v>42</v>
      </c>
      <c r="M14" s="1152" t="s">
        <v>124</v>
      </c>
      <c r="N14" s="126" t="s">
        <v>125</v>
      </c>
      <c r="O14" s="1152" t="s">
        <v>43</v>
      </c>
      <c r="P14" s="126" t="s">
        <v>126</v>
      </c>
      <c r="Q14" s="1152" t="s">
        <v>127</v>
      </c>
      <c r="R14" s="1152" t="s">
        <v>128</v>
      </c>
      <c r="S14" s="1183" t="s">
        <v>129</v>
      </c>
      <c r="T14" s="578" t="s">
        <v>128</v>
      </c>
      <c r="U14" s="579" t="s">
        <v>129</v>
      </c>
      <c r="V14" s="108" t="s">
        <v>130</v>
      </c>
      <c r="W14" s="108" t="s">
        <v>86</v>
      </c>
      <c r="X14" s="124" t="s">
        <v>89</v>
      </c>
      <c r="Y14" s="108" t="s">
        <v>90</v>
      </c>
      <c r="Z14" s="125" t="s">
        <v>91</v>
      </c>
      <c r="AA14" s="1020"/>
      <c r="AB14" s="124" t="s">
        <v>35</v>
      </c>
      <c r="AC14" s="108" t="s">
        <v>36</v>
      </c>
      <c r="AD14" s="124" t="s">
        <v>13</v>
      </c>
      <c r="AE14" s="125" t="s">
        <v>37</v>
      </c>
      <c r="AF14" s="124" t="s">
        <v>38</v>
      </c>
      <c r="AG14" s="125" t="s">
        <v>39</v>
      </c>
      <c r="AH14" s="1152" t="s">
        <v>40</v>
      </c>
      <c r="AI14" s="127" t="s">
        <v>41</v>
      </c>
      <c r="AJ14" s="108" t="s">
        <v>42</v>
      </c>
      <c r="AK14" s="108" t="s">
        <v>124</v>
      </c>
      <c r="AL14" s="1214" t="s">
        <v>125</v>
      </c>
      <c r="AM14" s="1215" t="s">
        <v>43</v>
      </c>
      <c r="AN14" s="578" t="s">
        <v>125</v>
      </c>
      <c r="AO14" s="579" t="s">
        <v>43</v>
      </c>
      <c r="AP14" s="108" t="s">
        <v>126</v>
      </c>
      <c r="AQ14" s="108" t="s">
        <v>127</v>
      </c>
      <c r="AR14" s="124" t="s">
        <v>128</v>
      </c>
      <c r="AS14" s="108" t="s">
        <v>129</v>
      </c>
      <c r="AT14" s="125" t="s">
        <v>130</v>
      </c>
    </row>
    <row r="15" spans="2:46" ht="18" customHeight="1" thickTop="1" x14ac:dyDescent="0.3">
      <c r="B15" s="1032"/>
      <c r="C15" s="1024"/>
      <c r="D15" s="77"/>
      <c r="E15" s="77"/>
      <c r="F15" s="93"/>
      <c r="G15" s="69"/>
      <c r="H15" s="52"/>
      <c r="I15" s="68"/>
      <c r="J15" s="52"/>
      <c r="K15" s="86"/>
      <c r="L15" s="52"/>
      <c r="M15" s="53"/>
      <c r="N15" s="52"/>
      <c r="O15" s="53"/>
      <c r="P15" s="1147"/>
      <c r="Q15" s="945"/>
      <c r="R15" s="945"/>
      <c r="S15" s="1148"/>
      <c r="T15" s="580"/>
      <c r="U15" s="640"/>
      <c r="V15" s="77"/>
      <c r="W15" s="77"/>
      <c r="X15" s="67"/>
      <c r="Y15" s="68"/>
      <c r="Z15" s="69"/>
      <c r="AA15" s="1020"/>
      <c r="AB15" s="93"/>
      <c r="AC15" s="77"/>
      <c r="AD15" s="93"/>
      <c r="AE15" s="69"/>
      <c r="AF15" s="52"/>
      <c r="AG15" s="69"/>
      <c r="AH15" s="53"/>
      <c r="AI15" s="86"/>
      <c r="AJ15" s="53"/>
      <c r="AK15" s="53"/>
      <c r="AL15" s="1147"/>
      <c r="AM15" s="1148"/>
      <c r="AN15" s="580"/>
      <c r="AO15" s="640"/>
      <c r="AP15" s="77"/>
      <c r="AQ15" s="77"/>
      <c r="AR15" s="67"/>
      <c r="AS15" s="68"/>
      <c r="AT15" s="69"/>
    </row>
    <row r="16" spans="2:46" x14ac:dyDescent="0.3">
      <c r="B16" s="1032">
        <v>1</v>
      </c>
      <c r="C16" s="1025" t="s">
        <v>268</v>
      </c>
      <c r="D16" s="79">
        <f>'Rate Impacts - Rev Req ONLY'!D17</f>
        <v>208635.1321174161</v>
      </c>
      <c r="E16" s="80">
        <f>'Rate Impacts - Rev Req ONLY'!E17</f>
        <v>283691.13211741613</v>
      </c>
      <c r="F16" s="94">
        <f>SUM('Rev Req Proof Yr1'!AF14:AH14)</f>
        <v>23862.224861498253</v>
      </c>
      <c r="G16" s="84">
        <f>IFERROR((F16/D16),0)</f>
        <v>0.11437299470766515</v>
      </c>
      <c r="H16" s="94">
        <f>SUM('Rev Req Proof Yr1'!AM14:AO14)</f>
        <v>-1953.8082260179419</v>
      </c>
      <c r="I16" s="83">
        <f>IFERROR((H16/D16),0)</f>
        <v>-9.3647134410630994E-3</v>
      </c>
      <c r="J16" s="95">
        <f>SUM('Temps Proof'!W14:Y14)</f>
        <v>-3493.237344759551</v>
      </c>
      <c r="K16" s="84">
        <f>IFERROR((J16/E16),0)</f>
        <v>-1.2313523227485816E-2</v>
      </c>
      <c r="L16" s="95">
        <f>SUM('Temps Proof'!AA14:AC14)</f>
        <v>-1857.1913357203514</v>
      </c>
      <c r="M16" s="83">
        <f>IFERROR((L16/E16),0)</f>
        <v>-6.5465258707899394E-3</v>
      </c>
      <c r="N16" s="95">
        <f>SUM('Temps Proof'!AE14:AG14)</f>
        <v>654.84781201700252</v>
      </c>
      <c r="O16" s="83">
        <f>IFERROR((N16/E16),0)</f>
        <v>2.3083125902785338E-3</v>
      </c>
      <c r="P16" s="1149">
        <f>SUM(F16,H16)</f>
        <v>21908.416635480309</v>
      </c>
      <c r="Q16" s="946">
        <f>IFERROR((P16/D16),0)</f>
        <v>0.10500828126660205</v>
      </c>
      <c r="R16" s="1176">
        <f>SUM(F16,H16,J16,L16,N16)</f>
        <v>17212.835767017408</v>
      </c>
      <c r="S16" s="1150">
        <f>IFERROR((R16/E16),0)</f>
        <v>6.0674564053321327E-2</v>
      </c>
      <c r="T16" s="641"/>
      <c r="U16" s="585"/>
      <c r="V16" s="80">
        <f>D16+P16+T16</f>
        <v>230543.5487528964</v>
      </c>
      <c r="W16" s="80">
        <f>E16+R16+T16</f>
        <v>300903.96788443351</v>
      </c>
      <c r="X16" s="82">
        <f>IFERROR((V16-D16)/D16,0)</f>
        <v>0.10500828126660201</v>
      </c>
      <c r="Y16" s="83">
        <f>IFERROR((W16-E16)/E16,0)</f>
        <v>6.067456405332125E-2</v>
      </c>
      <c r="Z16" s="84">
        <f>'Avg Bill by RS'!AK14</f>
        <v>0.13600000000000001</v>
      </c>
      <c r="AA16" s="1020"/>
      <c r="AB16" s="1049">
        <f>'Rate Impacts - Rev Req ONLY'!N17</f>
        <v>230543.5487528964</v>
      </c>
      <c r="AC16" s="80">
        <f>'Rate Impacts - Rev Req ONLY'!O17</f>
        <v>305599.54875289643</v>
      </c>
      <c r="AD16" s="94">
        <f>SUM('Rev Req Proof Yr2'!AF14:AH14)</f>
        <v>13236.513970769913</v>
      </c>
      <c r="AE16" s="84">
        <f>IFERROR((AD16/AB16),0)</f>
        <v>5.7414375905860682E-2</v>
      </c>
      <c r="AF16" s="94">
        <f>SUM('Temps Proof'!AQ14:AS14)</f>
        <v>-188.93969658195482</v>
      </c>
      <c r="AG16" s="84">
        <f>IFERROR((AF16/AC16),0)</f>
        <v>-6.1825908236117476E-4</v>
      </c>
      <c r="AH16" s="1153">
        <f>'Exh. RJW-3 Combined'!AJ17</f>
        <v>-3493.237344759551</v>
      </c>
      <c r="AI16" s="84">
        <f>IFERROR((AH16/AC16),0)</f>
        <v>-1.1430767352291264E-2</v>
      </c>
      <c r="AJ16" s="1442">
        <f>'Exh. RJW-3 Combined'!AM17</f>
        <v>-1861.4854197335778</v>
      </c>
      <c r="AK16" s="84">
        <f>IFERROR((AJ16/AC16),0)</f>
        <v>-6.0912570955356654E-3</v>
      </c>
      <c r="AL16" s="1149">
        <f>AD16+AF16+AH16+AJ16-(J16+L16+N16)</f>
        <v>12388.43237815773</v>
      </c>
      <c r="AM16" s="1150">
        <f>IFERROR((AL16/AC16),0)</f>
        <v>4.0538123922999783E-2</v>
      </c>
      <c r="AN16" s="641"/>
      <c r="AO16" s="585"/>
      <c r="AP16" s="80">
        <f>AB16+AD16+AN16</f>
        <v>243780.06272366631</v>
      </c>
      <c r="AQ16" s="80">
        <f>AC16+AL16+AN16</f>
        <v>317987.98113105417</v>
      </c>
      <c r="AR16" s="82">
        <f>IFERROR((AP16-AB16)/AB16,0)</f>
        <v>5.7414375905860682E-2</v>
      </c>
      <c r="AS16" s="83">
        <f>IFERROR((AQ16-AC16)/AC16,0)</f>
        <v>4.0538123922999818E-2</v>
      </c>
      <c r="AT16" s="84">
        <f>'Avg Bill by RS'!CE14</f>
        <v>0.15</v>
      </c>
    </row>
    <row r="17" spans="2:46" x14ac:dyDescent="0.3">
      <c r="B17" s="1032">
        <v>2</v>
      </c>
      <c r="C17" s="1026" t="s">
        <v>269</v>
      </c>
      <c r="D17" s="79">
        <f>'Rate Impacts - Rev Req ONLY'!D18</f>
        <v>37604.380821902283</v>
      </c>
      <c r="E17" s="80">
        <f>'Rate Impacts - Rev Req ONLY'!E18</f>
        <v>53871.380821902283</v>
      </c>
      <c r="F17" s="94">
        <f>SUM('Rev Req Proof Yr1'!AF15:AH15)</f>
        <v>4300.6742707131125</v>
      </c>
      <c r="G17" s="84">
        <f>IFERROR((F17/D17),0)</f>
        <v>0.11436630990100571</v>
      </c>
      <c r="H17" s="94">
        <f>SUM('Rev Req Proof Yr1'!AM15:AO15)</f>
        <v>-351.83527201159131</v>
      </c>
      <c r="I17" s="83">
        <f t="shared" ref="I17:I38" si="0">IFERROR((H17/D17),0)</f>
        <v>-9.3562309582469836E-3</v>
      </c>
      <c r="J17" s="95">
        <f>SUM('Temps Proof'!W15:Y15)</f>
        <v>-630.13883373504575</v>
      </c>
      <c r="K17" s="84">
        <f t="shared" ref="K17:K38" si="1">IFERROR((J17/E17),0)</f>
        <v>-1.1697098238826887E-2</v>
      </c>
      <c r="L17" s="95">
        <f>SUM('Temps Proof'!AA15:AC15)</f>
        <v>-335.08121143961074</v>
      </c>
      <c r="M17" s="83">
        <f t="shared" ref="M17:M38" si="2">IFERROR((L17/E17),0)</f>
        <v>-6.2200226971605311E-3</v>
      </c>
      <c r="N17" s="95">
        <f>SUM('Temps Proof'!AE15:AG15)</f>
        <v>118.20920514675159</v>
      </c>
      <c r="O17" s="83">
        <f t="shared" ref="O17:O38" si="3">IFERROR((N17/E17),0)</f>
        <v>2.1942857848316322E-3</v>
      </c>
      <c r="P17" s="1149">
        <f t="shared" ref="P17:P37" si="4">SUM(F17,H17)</f>
        <v>3948.8389987015212</v>
      </c>
      <c r="Q17" s="946">
        <f t="shared" ref="Q17:Q38" si="5">IFERROR((P17/D17),0)</f>
        <v>0.10501007894275873</v>
      </c>
      <c r="R17" s="1176">
        <f t="shared" ref="R17:R38" si="6">SUM(F17,H17,J17,L17,N17)</f>
        <v>3101.8281586736161</v>
      </c>
      <c r="S17" s="1150">
        <f t="shared" ref="S17:S38" si="7">IFERROR((R17/E17),0)</f>
        <v>5.7578404550798476E-2</v>
      </c>
      <c r="T17" s="641"/>
      <c r="U17" s="585"/>
      <c r="V17" s="80">
        <f t="shared" ref="V17:V38" si="8">D17+P17+T17</f>
        <v>41553.219820603801</v>
      </c>
      <c r="W17" s="80">
        <f t="shared" ref="W17:W38" si="9">E17+R17+T17</f>
        <v>56973.208980575902</v>
      </c>
      <c r="X17" s="82">
        <f t="shared" ref="X17:X31" si="10">IFERROR((V17-D17)/D17,0)</f>
        <v>0.10501007894275864</v>
      </c>
      <c r="Y17" s="83">
        <f t="shared" ref="Y17:Y31" si="11">IFERROR((W17-E17)/E17,0)</f>
        <v>5.7578404550798531E-2</v>
      </c>
      <c r="Z17" s="84">
        <f>'Avg Bill by RS'!AK15</f>
        <v>0.14299999999999999</v>
      </c>
      <c r="AA17" s="1020"/>
      <c r="AB17" s="1049">
        <f>'Rate Impacts - Rev Req ONLY'!N18</f>
        <v>41553.219820603801</v>
      </c>
      <c r="AC17" s="80">
        <f>'Rate Impacts - Rev Req ONLY'!O18</f>
        <v>57820.219820603801</v>
      </c>
      <c r="AD17" s="94">
        <f>SUM('Rev Req Proof Yr2'!AF15:AH15)</f>
        <v>2385.5920692214495</v>
      </c>
      <c r="AE17" s="84">
        <f>IFERROR((AD17/AB17),0)</f>
        <v>5.7410522686826171E-2</v>
      </c>
      <c r="AF17" s="94">
        <f>SUM('Temps Proof'!AQ15:AS15)</f>
        <v>-33.973511715404975</v>
      </c>
      <c r="AG17" s="84">
        <f t="shared" ref="AG17:AG38" si="12">IFERROR((AF17/AC17),0)</f>
        <v>-5.8757147276183083E-4</v>
      </c>
      <c r="AH17" s="1153">
        <f>'Exh. RJW-3 Combined'!AJ18</f>
        <v>-630.13883373504575</v>
      </c>
      <c r="AI17" s="84">
        <f t="shared" ref="AI17:AI38" si="13">IFERROR((AH17/AC17),0)</f>
        <v>-1.0898243481089301E-2</v>
      </c>
      <c r="AJ17" s="1442">
        <f>'Exh. RJW-3 Combined'!AM18</f>
        <v>-335.08121143961074</v>
      </c>
      <c r="AK17" s="84">
        <f t="shared" ref="AK17:AK38" si="14">IFERROR((AJ17/AC17),0)</f>
        <v>-5.7952254847742218E-3</v>
      </c>
      <c r="AL17" s="1149">
        <f t="shared" ref="AL17:AL38" si="15">AD17+AF17+AH17+AJ17-(J17+L17+N17)</f>
        <v>2233.4093523592928</v>
      </c>
      <c r="AM17" s="1150">
        <f t="shared" ref="AM17:AM38" si="16">IFERROR((AL17/AC17),0)</f>
        <v>3.8626787640877042E-2</v>
      </c>
      <c r="AN17" s="641"/>
      <c r="AO17" s="585"/>
      <c r="AP17" s="80">
        <f t="shared" ref="AP17:AP38" si="17">AB17+AD17+AN17</f>
        <v>43938.811889825251</v>
      </c>
      <c r="AQ17" s="80">
        <f t="shared" ref="AQ17:AQ38" si="18">AC17+AL17+AN17</f>
        <v>60053.62917296309</v>
      </c>
      <c r="AR17" s="82">
        <f t="shared" ref="AR17:AR38" si="19">IFERROR((AP17-AB17)/AB17,0)</f>
        <v>5.7410522686826171E-2</v>
      </c>
      <c r="AS17" s="83">
        <f t="shared" ref="AS17:AS38" si="20">IFERROR((AQ17-AC17)/AC17,0)</f>
        <v>3.8626787640876979E-2</v>
      </c>
      <c r="AT17" s="84">
        <f>'Avg Bill by RS'!CE15</f>
        <v>0.16600000000000001</v>
      </c>
    </row>
    <row r="18" spans="2:46" x14ac:dyDescent="0.3">
      <c r="B18" s="1032">
        <v>3</v>
      </c>
      <c r="C18" s="1026" t="s">
        <v>12</v>
      </c>
      <c r="D18" s="79">
        <f>'Rate Impacts - Rev Req ONLY'!D19</f>
        <v>33798099.589697547</v>
      </c>
      <c r="E18" s="80">
        <f>'Rate Impacts - Rev Req ONLY'!E19</f>
        <v>53008197.589697547</v>
      </c>
      <c r="F18" s="94">
        <f>SUM('Rev Req Proof Yr1'!AF16:AH16)</f>
        <v>3865430.3003228158</v>
      </c>
      <c r="G18" s="84">
        <f t="shared" ref="G18:G21" si="21">IFERROR((F18/D18),0)</f>
        <v>0.11436827357894079</v>
      </c>
      <c r="H18" s="94">
        <f>SUM('Rev Req Proof Yr1'!AM16:AO16)</f>
        <v>-316532.25092208461</v>
      </c>
      <c r="I18" s="83">
        <f t="shared" si="0"/>
        <v>-9.3653860650369548E-3</v>
      </c>
      <c r="J18" s="95">
        <f>SUM('Temps Proof'!W16:Y16)</f>
        <v>-566021.21258636657</v>
      </c>
      <c r="K18" s="84">
        <f t="shared" si="1"/>
        <v>-1.0677993939118127E-2</v>
      </c>
      <c r="L18" s="95">
        <f>SUM('Temps Proof'!AA16:AC16)</f>
        <v>-300595.73134441016</v>
      </c>
      <c r="M18" s="83">
        <f t="shared" si="2"/>
        <v>-5.670740470580209E-3</v>
      </c>
      <c r="N18" s="95">
        <f>SUM('Temps Proof'!AE16:AG16)</f>
        <v>106060.28546521238</v>
      </c>
      <c r="O18" s="83">
        <f t="shared" si="3"/>
        <v>2.0008279905337854E-3</v>
      </c>
      <c r="P18" s="1149">
        <f t="shared" si="4"/>
        <v>3548898.049400731</v>
      </c>
      <c r="Q18" s="946">
        <f t="shared" si="5"/>
        <v>0.10500288751390384</v>
      </c>
      <c r="R18" s="1176">
        <f t="shared" si="6"/>
        <v>2788341.3909351667</v>
      </c>
      <c r="S18" s="1150">
        <f t="shared" si="7"/>
        <v>5.2602078880665377E-2</v>
      </c>
      <c r="T18" s="641"/>
      <c r="U18" s="585"/>
      <c r="V18" s="80">
        <f t="shared" si="8"/>
        <v>37346997.639098279</v>
      </c>
      <c r="W18" s="80">
        <f t="shared" si="9"/>
        <v>55796538.980632715</v>
      </c>
      <c r="X18" s="82">
        <f t="shared" si="10"/>
        <v>0.10500288751390387</v>
      </c>
      <c r="Y18" s="83">
        <f t="shared" si="11"/>
        <v>5.2602078880665398E-2</v>
      </c>
      <c r="Z18" s="84">
        <f>'Avg Bill by RS'!AK16</f>
        <v>0.157</v>
      </c>
      <c r="AA18" s="1020"/>
      <c r="AB18" s="1049">
        <f>'Rate Impacts - Rev Req ONLY'!N19</f>
        <v>37346997.639098279</v>
      </c>
      <c r="AC18" s="80">
        <f>'Rate Impacts - Rev Req ONLY'!O19</f>
        <v>56557095.639098279</v>
      </c>
      <c r="AD18" s="94">
        <f>SUM('Rev Req Proof Yr2'!AF16:AH16)</f>
        <v>2144286.1859339848</v>
      </c>
      <c r="AE18" s="84">
        <f t="shared" ref="AE18:AE23" si="22">IFERROR((AD18/AB18),0)</f>
        <v>5.7415222681492031E-2</v>
      </c>
      <c r="AF18" s="94">
        <f>SUM('Temps Proof'!AQ16:AS16)</f>
        <v>-30773.96883964711</v>
      </c>
      <c r="AG18" s="84">
        <f t="shared" si="12"/>
        <v>-5.4412215641378998E-4</v>
      </c>
      <c r="AH18" s="1153">
        <f>'Exh. RJW-3 Combined'!AJ19</f>
        <v>-566021.21258636657</v>
      </c>
      <c r="AI18" s="84">
        <f t="shared" si="13"/>
        <v>-1.0007961091182209E-2</v>
      </c>
      <c r="AJ18" s="1442">
        <f>'Exh. RJW-3 Combined'!AM19</f>
        <v>-301694.80166011187</v>
      </c>
      <c r="AK18" s="84">
        <f t="shared" si="14"/>
        <v>-5.3343404262709056E-3</v>
      </c>
      <c r="AL18" s="1149">
        <f>AD18+AF18+AH18+AJ18-(J18+L18+N18)</f>
        <v>2006352.8613134236</v>
      </c>
      <c r="AM18" s="1150">
        <f t="shared" si="16"/>
        <v>3.5474821304763378E-2</v>
      </c>
      <c r="AN18" s="641"/>
      <c r="AO18" s="585"/>
      <c r="AP18" s="80">
        <f t="shared" si="17"/>
        <v>39491283.825032264</v>
      </c>
      <c r="AQ18" s="80">
        <f t="shared" si="18"/>
        <v>58563448.500411704</v>
      </c>
      <c r="AR18" s="82">
        <f t="shared" si="19"/>
        <v>5.7415222681492031E-2</v>
      </c>
      <c r="AS18" s="83">
        <f t="shared" si="20"/>
        <v>3.5474821304763406E-2</v>
      </c>
      <c r="AT18" s="84">
        <f>'Avg Bill by RS'!CE16</f>
        <v>0.13800000000000001</v>
      </c>
    </row>
    <row r="19" spans="2:46" x14ac:dyDescent="0.3">
      <c r="B19" s="1032">
        <v>4</v>
      </c>
      <c r="C19" s="1026" t="s">
        <v>10</v>
      </c>
      <c r="D19" s="79">
        <f>'Rate Impacts - Rev Req ONLY'!D20</f>
        <v>9866168.0688334089</v>
      </c>
      <c r="E19" s="80">
        <f>'Rate Impacts - Rev Req ONLY'!E20</f>
        <v>16112007.068833409</v>
      </c>
      <c r="F19" s="94">
        <f>SUM('Rev Req Proof Yr1'!AF17:AH17)</f>
        <v>1128493.0219091931</v>
      </c>
      <c r="G19" s="84">
        <f t="shared" si="21"/>
        <v>0.11438007279381648</v>
      </c>
      <c r="H19" s="94">
        <f>SUM('Rev Req Proof Yr1'!AM17:AO17)</f>
        <v>-92373.478835822199</v>
      </c>
      <c r="I19" s="83">
        <f t="shared" si="0"/>
        <v>-9.3626500371125927E-3</v>
      </c>
      <c r="J19" s="95">
        <f>SUM('Temps Proof'!W17:Y17)</f>
        <v>-165093.02600444818</v>
      </c>
      <c r="K19" s="84">
        <f t="shared" si="1"/>
        <v>-1.024658351371998E-2</v>
      </c>
      <c r="L19" s="95">
        <f>SUM('Temps Proof'!AA17:AC17)</f>
        <v>-87728.004078121274</v>
      </c>
      <c r="M19" s="83">
        <f t="shared" si="2"/>
        <v>-5.4448836636758766E-3</v>
      </c>
      <c r="N19" s="95">
        <f>SUM('Temps Proof'!AE17:AG17)</f>
        <v>30910.274349317679</v>
      </c>
      <c r="O19" s="83">
        <f t="shared" si="3"/>
        <v>1.9184620647982214E-3</v>
      </c>
      <c r="P19" s="1149">
        <f t="shared" si="4"/>
        <v>1036119.5430733709</v>
      </c>
      <c r="Q19" s="946">
        <f t="shared" si="5"/>
        <v>0.10501742275670389</v>
      </c>
      <c r="R19" s="1176">
        <f t="shared" si="6"/>
        <v>814208.78734011913</v>
      </c>
      <c r="S19" s="1150">
        <f t="shared" si="7"/>
        <v>5.0534286874482609E-2</v>
      </c>
      <c r="T19" s="641"/>
      <c r="U19" s="585"/>
      <c r="V19" s="80">
        <f t="shared" si="8"/>
        <v>10902287.61190678</v>
      </c>
      <c r="W19" s="80">
        <f t="shared" si="9"/>
        <v>16926215.856173526</v>
      </c>
      <c r="X19" s="82">
        <f t="shared" si="10"/>
        <v>0.10501742275670391</v>
      </c>
      <c r="Y19" s="83">
        <f t="shared" si="11"/>
        <v>5.0534286874482512E-2</v>
      </c>
      <c r="Z19" s="84">
        <f>'Avg Bill by RS'!AK17</f>
        <v>0.16200000000000001</v>
      </c>
      <c r="AA19" s="1020"/>
      <c r="AB19" s="1049">
        <f>'Rate Impacts - Rev Req ONLY'!N20</f>
        <v>10902287.61190678</v>
      </c>
      <c r="AC19" s="80">
        <f>'Rate Impacts - Rev Req ONLY'!O20</f>
        <v>17148126.611906782</v>
      </c>
      <c r="AD19" s="94">
        <f>SUM('Rev Req Proof Yr2'!AF17:AH17)</f>
        <v>625888.38754716702</v>
      </c>
      <c r="AE19" s="84">
        <f t="shared" si="22"/>
        <v>5.7408904426958229E-2</v>
      </c>
      <c r="AF19" s="94">
        <f>SUM('Temps Proof'!AQ17:AS17)</f>
        <v>-8933.6053032710042</v>
      </c>
      <c r="AG19" s="84">
        <f t="shared" si="12"/>
        <v>-5.2096683827071617E-4</v>
      </c>
      <c r="AH19" s="1153">
        <f>'Exh. RJW-3 Combined'!AJ20</f>
        <v>-165093.02600444818</v>
      </c>
      <c r="AI19" s="84">
        <f t="shared" si="13"/>
        <v>-9.6274671712428365E-3</v>
      </c>
      <c r="AJ19" s="1442">
        <f>'Exh. RJW-3 Combined'!AM20</f>
        <v>-88085.348290252121</v>
      </c>
      <c r="AK19" s="84">
        <f t="shared" si="14"/>
        <v>-5.1367330253492627E-3</v>
      </c>
      <c r="AL19" s="1149">
        <f t="shared" si="15"/>
        <v>585687.16368244751</v>
      </c>
      <c r="AM19" s="1150">
        <f t="shared" si="16"/>
        <v>3.4154585917028177E-2</v>
      </c>
      <c r="AN19" s="641"/>
      <c r="AO19" s="585"/>
      <c r="AP19" s="80">
        <f t="shared" si="17"/>
        <v>11528175.999453947</v>
      </c>
      <c r="AQ19" s="80">
        <f t="shared" si="18"/>
        <v>17733813.775589228</v>
      </c>
      <c r="AR19" s="82">
        <f t="shared" si="19"/>
        <v>5.7408904426958229E-2</v>
      </c>
      <c r="AS19" s="83">
        <f t="shared" si="20"/>
        <v>3.4154585917028087E-2</v>
      </c>
      <c r="AT19" s="84">
        <f>'Avg Bill by RS'!CE17</f>
        <v>0.20399999999999999</v>
      </c>
    </row>
    <row r="20" spans="2:46" x14ac:dyDescent="0.3">
      <c r="B20" s="1032">
        <v>5</v>
      </c>
      <c r="C20" s="1026" t="s">
        <v>11</v>
      </c>
      <c r="D20" s="79">
        <f>'Rate Impacts - Rev Req ONLY'!D21</f>
        <v>141888.72505190157</v>
      </c>
      <c r="E20" s="80">
        <f>'Rate Impacts - Rev Req ONLY'!E21</f>
        <v>241043.72505190157</v>
      </c>
      <c r="F20" s="94">
        <f>SUM('Rev Req Proof Yr1'!AF18:AH18)</f>
        <v>16227.730920000002</v>
      </c>
      <c r="G20" s="84">
        <f t="shared" si="21"/>
        <v>0.11436941810608313</v>
      </c>
      <c r="H20" s="94">
        <f>SUM('Rev Req Proof Yr1'!AM18:AO18)</f>
        <v>-1330.3278799999996</v>
      </c>
      <c r="I20" s="83">
        <f t="shared" si="0"/>
        <v>-9.3758533633548271E-3</v>
      </c>
      <c r="J20" s="95">
        <f>SUM('Temps Proof'!W18:Y18)</f>
        <v>0</v>
      </c>
      <c r="K20" s="84">
        <f t="shared" si="1"/>
        <v>0</v>
      </c>
      <c r="L20" s="95">
        <f>SUM('Temps Proof'!AA18:AC18)</f>
        <v>-1262.2513999999996</v>
      </c>
      <c r="M20" s="83">
        <f t="shared" si="2"/>
        <v>-5.2366075894662327E-3</v>
      </c>
      <c r="N20" s="95">
        <f>SUM('Temps Proof'!AE18:AG18)</f>
        <v>445.33363999999989</v>
      </c>
      <c r="O20" s="83">
        <f t="shared" si="3"/>
        <v>1.8475222281937047E-3</v>
      </c>
      <c r="P20" s="1149">
        <f t="shared" si="4"/>
        <v>14897.403040000003</v>
      </c>
      <c r="Q20" s="946">
        <f t="shared" si="5"/>
        <v>0.10499356474272831</v>
      </c>
      <c r="R20" s="1176">
        <f t="shared" si="6"/>
        <v>14080.485280000004</v>
      </c>
      <c r="S20" s="1150">
        <f t="shared" si="7"/>
        <v>5.8414651851933473E-2</v>
      </c>
      <c r="T20" s="641"/>
      <c r="U20" s="585"/>
      <c r="V20" s="80">
        <f t="shared" si="8"/>
        <v>156786.12809190157</v>
      </c>
      <c r="W20" s="80">
        <f t="shared" si="9"/>
        <v>255124.21033190156</v>
      </c>
      <c r="X20" s="82">
        <f t="shared" si="10"/>
        <v>0.10499356474272832</v>
      </c>
      <c r="Y20" s="83">
        <f t="shared" si="11"/>
        <v>5.8414651851933425E-2</v>
      </c>
      <c r="Z20" s="84">
        <f>'Avg Bill by RS'!AK18</f>
        <v>0.17799999999999999</v>
      </c>
      <c r="AA20" s="1020"/>
      <c r="AB20" s="1049">
        <f>'Rate Impacts - Rev Req ONLY'!N21</f>
        <v>156786.12809190157</v>
      </c>
      <c r="AC20" s="80">
        <f>'Rate Impacts - Rev Req ONLY'!O21</f>
        <v>255941.12809190157</v>
      </c>
      <c r="AD20" s="94">
        <f>SUM('Rev Req Proof Yr2'!AF18:AH18)</f>
        <v>9000.2779600000067</v>
      </c>
      <c r="AE20" s="84">
        <f t="shared" si="22"/>
        <v>5.7404810422542064E-2</v>
      </c>
      <c r="AF20" s="94">
        <f>SUM('Temps Proof'!AQ18:AS18)</f>
        <v>-127.64339999999997</v>
      </c>
      <c r="AG20" s="84">
        <f t="shared" si="12"/>
        <v>-4.9872172148185054E-4</v>
      </c>
      <c r="AH20" s="1153">
        <f>'Exh. RJW-3 Combined'!AJ21</f>
        <v>0</v>
      </c>
      <c r="AI20" s="84">
        <f t="shared" si="13"/>
        <v>0</v>
      </c>
      <c r="AJ20" s="1442">
        <f>'Exh. RJW-3 Combined'!AM21</f>
        <v>-1265.0879199999999</v>
      </c>
      <c r="AK20" s="84">
        <f t="shared" si="14"/>
        <v>-4.9428863951312312E-3</v>
      </c>
      <c r="AL20" s="1149">
        <f t="shared" si="15"/>
        <v>8424.4644000000062</v>
      </c>
      <c r="AM20" s="1150">
        <f t="shared" si="16"/>
        <v>3.291563361780217E-2</v>
      </c>
      <c r="AN20" s="641"/>
      <c r="AO20" s="585"/>
      <c r="AP20" s="80">
        <f t="shared" si="17"/>
        <v>165786.40605190158</v>
      </c>
      <c r="AQ20" s="80">
        <f t="shared" si="18"/>
        <v>264365.5924919016</v>
      </c>
      <c r="AR20" s="82">
        <f t="shared" si="19"/>
        <v>5.7404810422542064E-2</v>
      </c>
      <c r="AS20" s="83">
        <f t="shared" si="20"/>
        <v>3.2915633617802247E-2</v>
      </c>
      <c r="AT20" s="84">
        <f>'Avg Bill by RS'!CE18</f>
        <v>0.25</v>
      </c>
    </row>
    <row r="21" spans="2:46" x14ac:dyDescent="0.3">
      <c r="B21" s="1033">
        <v>6</v>
      </c>
      <c r="C21" s="1026">
        <v>27</v>
      </c>
      <c r="D21" s="79">
        <f>'Rate Impacts - Rev Req ONLY'!D22</f>
        <v>201938.20437801833</v>
      </c>
      <c r="E21" s="80">
        <f>'Rate Impacts - Rev Req ONLY'!E22</f>
        <v>363218.20437801839</v>
      </c>
      <c r="F21" s="94">
        <f>SUM('Rev Req Proof Yr1'!AF19:AH19)</f>
        <v>23096.270772728705</v>
      </c>
      <c r="G21" s="84">
        <f t="shared" si="21"/>
        <v>0.1143729629758103</v>
      </c>
      <c r="H21" s="94">
        <f>SUM('Rev Req Proof Yr1'!AM19:AO19)</f>
        <v>-1891.6242542586419</v>
      </c>
      <c r="I21" s="83">
        <f t="shared" si="0"/>
        <v>-9.3673421534323197E-3</v>
      </c>
      <c r="J21" s="95">
        <f>SUM('Temps Proof'!W19:Y19)</f>
        <v>-3381.8550691989863</v>
      </c>
      <c r="K21" s="84">
        <f t="shared" si="1"/>
        <v>-9.3108082921948745E-3</v>
      </c>
      <c r="L21" s="95">
        <f>SUM('Temps Proof'!AA19:AC19)</f>
        <v>-1794.7361826990527</v>
      </c>
      <c r="M21" s="83">
        <f t="shared" si="2"/>
        <v>-4.9412065834431185E-3</v>
      </c>
      <c r="N21" s="95">
        <f>SUM('Temps Proof'!AE19:AG19)</f>
        <v>632.0793239839852</v>
      </c>
      <c r="O21" s="83">
        <f t="shared" si="3"/>
        <v>1.7402192851714842E-3</v>
      </c>
      <c r="P21" s="1149">
        <f t="shared" si="4"/>
        <v>21204.646518470065</v>
      </c>
      <c r="Q21" s="946">
        <f t="shared" si="5"/>
        <v>0.10500562082237799</v>
      </c>
      <c r="R21" s="1176">
        <f t="shared" si="6"/>
        <v>16660.134590556008</v>
      </c>
      <c r="S21" s="1150">
        <f t="shared" si="7"/>
        <v>4.5868115611344788E-2</v>
      </c>
      <c r="T21" s="641"/>
      <c r="U21" s="585"/>
      <c r="V21" s="80">
        <f t="shared" si="8"/>
        <v>223142.85089648841</v>
      </c>
      <c r="W21" s="80">
        <f t="shared" si="9"/>
        <v>379878.33896857442</v>
      </c>
      <c r="X21" s="82">
        <f t="shared" si="10"/>
        <v>0.10500562082237806</v>
      </c>
      <c r="Y21" s="83">
        <f t="shared" si="11"/>
        <v>4.5868115611344851E-2</v>
      </c>
      <c r="Z21" s="84">
        <f>'Avg Bill by RS'!AK19</f>
        <v>0.17599999999999999</v>
      </c>
      <c r="AA21" s="1020"/>
      <c r="AB21" s="1049">
        <f>'Rate Impacts - Rev Req ONLY'!N22</f>
        <v>223142.85089648841</v>
      </c>
      <c r="AC21" s="80">
        <f>'Rate Impacts - Rev Req ONLY'!O22</f>
        <v>384422.85089648847</v>
      </c>
      <c r="AD21" s="94">
        <f>SUM('Rev Req Proof Yr2'!AF19:AH19)</f>
        <v>12812.294034332299</v>
      </c>
      <c r="AE21" s="84">
        <f t="shared" si="22"/>
        <v>5.7417452465352209E-2</v>
      </c>
      <c r="AF21" s="94">
        <f>SUM('Temps Proof'!AQ19:AS19)</f>
        <v>-184.54870773255044</v>
      </c>
      <c r="AG21" s="84">
        <f t="shared" si="12"/>
        <v>-4.8006695570301284E-4</v>
      </c>
      <c r="AH21" s="1153">
        <f>'Exh. RJW-3 Combined'!AJ22</f>
        <v>-3381.8550691989863</v>
      </c>
      <c r="AI21" s="84">
        <f t="shared" si="13"/>
        <v>-8.7972269632577097E-3</v>
      </c>
      <c r="AJ21" s="1442">
        <f>'Exh. RJW-3 Combined'!AM22</f>
        <v>-1799.3499003923666</v>
      </c>
      <c r="AK21" s="84">
        <f t="shared" si="14"/>
        <v>-4.6806528181043746E-3</v>
      </c>
      <c r="AL21" s="1149">
        <f t="shared" si="15"/>
        <v>11991.052284922451</v>
      </c>
      <c r="AM21" s="1150">
        <f t="shared" si="16"/>
        <v>3.1192350446803224E-2</v>
      </c>
      <c r="AN21" s="641"/>
      <c r="AO21" s="585"/>
      <c r="AP21" s="80">
        <f t="shared" si="17"/>
        <v>235955.14493082071</v>
      </c>
      <c r="AQ21" s="80">
        <f t="shared" si="18"/>
        <v>396413.90318141092</v>
      </c>
      <c r="AR21" s="82">
        <f t="shared" si="19"/>
        <v>5.7417452465352209E-2</v>
      </c>
      <c r="AS21" s="83">
        <f t="shared" si="20"/>
        <v>3.1192350446803224E-2</v>
      </c>
      <c r="AT21" s="84">
        <f>'Avg Bill by RS'!CE19</f>
        <v>0.23799999999999999</v>
      </c>
    </row>
    <row r="22" spans="2:46" x14ac:dyDescent="0.3">
      <c r="B22" s="1032">
        <v>7</v>
      </c>
      <c r="C22" s="1026" t="s">
        <v>339</v>
      </c>
      <c r="D22" s="79">
        <f>'Rate Impacts - Rev Req ONLY'!D23</f>
        <v>1542348.175315036</v>
      </c>
      <c r="E22" s="80">
        <f>'Rate Impacts - Rev Req ONLY'!E23</f>
        <v>2853836.1753150364</v>
      </c>
      <c r="F22" s="94">
        <f>SUM('Rev Req Proof Yr1'!AF22:AH22)</f>
        <v>176417.40376421309</v>
      </c>
      <c r="G22" s="84">
        <f t="shared" ref="G22:G33" si="23">IFERROR((F22/D22),0)</f>
        <v>0.11438234672801978</v>
      </c>
      <c r="H22" s="94">
        <f>SUM('Rev Req Proof Yr1'!AM22:AO22)</f>
        <v>-14451.994176944718</v>
      </c>
      <c r="I22" s="83">
        <f t="shared" si="0"/>
        <v>-9.37012433913814E-3</v>
      </c>
      <c r="J22" s="95">
        <f>SUM('Temps Proof'!W22:Y22)</f>
        <v>-25819.685542313746</v>
      </c>
      <c r="K22" s="84">
        <f t="shared" si="1"/>
        <v>-9.0473608000513541E-3</v>
      </c>
      <c r="L22" s="95">
        <f>SUM('Temps Proof'!AA22:AC22)</f>
        <v>-13723.372331383642</v>
      </c>
      <c r="M22" s="83">
        <f t="shared" si="2"/>
        <v>-4.8087456631489061E-3</v>
      </c>
      <c r="N22" s="95">
        <f>SUM('Temps Proof'!AE22:AG22)</f>
        <v>4841.6842320445639</v>
      </c>
      <c r="O22" s="83">
        <f t="shared" si="3"/>
        <v>1.6965529675192683E-3</v>
      </c>
      <c r="P22" s="1149">
        <f t="shared" si="4"/>
        <v>161965.40958726837</v>
      </c>
      <c r="Q22" s="946">
        <f t="shared" si="5"/>
        <v>0.10501222238888164</v>
      </c>
      <c r="R22" s="1176">
        <f t="shared" si="6"/>
        <v>127264.03594561556</v>
      </c>
      <c r="S22" s="1150">
        <f t="shared" si="7"/>
        <v>4.4594022966846308E-2</v>
      </c>
      <c r="T22" s="641"/>
      <c r="U22" s="585"/>
      <c r="V22" s="80">
        <f t="shared" si="8"/>
        <v>1704313.5849023042</v>
      </c>
      <c r="W22" s="80">
        <f t="shared" si="9"/>
        <v>2981100.2112606522</v>
      </c>
      <c r="X22" s="82">
        <f t="shared" si="10"/>
        <v>0.10501222238888157</v>
      </c>
      <c r="Y22" s="83">
        <f t="shared" si="11"/>
        <v>4.4594022966846371E-2</v>
      </c>
      <c r="Z22" s="84">
        <f>'Avg Bill by RS'!AK22</f>
        <v>0.19400000000000001</v>
      </c>
      <c r="AA22" s="1020"/>
      <c r="AB22" s="1049">
        <f>'Rate Impacts - Rev Req ONLY'!N23</f>
        <v>1704313.5849023042</v>
      </c>
      <c r="AC22" s="80">
        <f>'Rate Impacts - Rev Req ONLY'!O23</f>
        <v>3015801.5849023047</v>
      </c>
      <c r="AD22" s="94">
        <f>SUM('Rev Req Proof Yr2'!AF22:AH22)</f>
        <v>97836.782478516921</v>
      </c>
      <c r="AE22" s="84">
        <f t="shared" si="22"/>
        <v>5.7405387919926242E-2</v>
      </c>
      <c r="AF22" s="94">
        <f>SUM('Temps Proof'!AQ22:AS22)</f>
        <v>-1401.9558234434951</v>
      </c>
      <c r="AG22" s="84">
        <f t="shared" si="12"/>
        <v>-4.6487004664430228E-4</v>
      </c>
      <c r="AH22" s="1153">
        <f>'Exh. RJW-3 Combined'!AJ23</f>
        <v>-25819.685542313746</v>
      </c>
      <c r="AI22" s="84">
        <f t="shared" si="13"/>
        <v>-8.5614669319003488E-3</v>
      </c>
      <c r="AJ22" s="1442">
        <f>'Exh. RJW-3 Combined'!AM23</f>
        <v>-13760.889547551982</v>
      </c>
      <c r="AK22" s="84">
        <f t="shared" si="14"/>
        <v>-4.5629293440396408E-3</v>
      </c>
      <c r="AL22" s="1149">
        <f t="shared" si="15"/>
        <v>91555.62520686051</v>
      </c>
      <c r="AM22" s="1150">
        <f t="shared" si="16"/>
        <v>3.0358636876247416E-2</v>
      </c>
      <c r="AN22" s="641"/>
      <c r="AO22" s="585"/>
      <c r="AP22" s="80">
        <f t="shared" si="17"/>
        <v>1802150.3673808211</v>
      </c>
      <c r="AQ22" s="80">
        <f t="shared" si="18"/>
        <v>3107357.2101091654</v>
      </c>
      <c r="AR22" s="82">
        <f t="shared" si="19"/>
        <v>5.7405387919926242E-2</v>
      </c>
      <c r="AS22" s="83">
        <f t="shared" si="20"/>
        <v>3.0358636876247482E-2</v>
      </c>
      <c r="AT22" s="84">
        <f>'Avg Bill by RS'!CE20</f>
        <v>0.29199999999999998</v>
      </c>
    </row>
    <row r="23" spans="2:46" x14ac:dyDescent="0.3">
      <c r="B23" s="1032">
        <v>8</v>
      </c>
      <c r="C23" s="1026" t="s">
        <v>340</v>
      </c>
      <c r="D23" s="79">
        <f>'Rate Impacts - Rev Req ONLY'!D24</f>
        <v>392614.2804678994</v>
      </c>
      <c r="E23" s="80">
        <f>'Rate Impacts - Rev Req ONLY'!E24</f>
        <v>747266.28046789952</v>
      </c>
      <c r="F23" s="94">
        <f>SUM('Rev Req Proof Yr1'!AF25:AH25)</f>
        <v>21671.68520800001</v>
      </c>
      <c r="G23" s="84">
        <f t="shared" si="23"/>
        <v>5.5198413012824459E-2</v>
      </c>
      <c r="H23" s="94">
        <f>SUM('Rev Req Proof Yr1'!AM25:AO25)</f>
        <v>-3674.6766820000012</v>
      </c>
      <c r="I23" s="83">
        <f t="shared" si="0"/>
        <v>-9.359508466224643E-3</v>
      </c>
      <c r="J23" s="95">
        <f>SUM('Temps Proof'!W25:Y25)</f>
        <v>0</v>
      </c>
      <c r="K23" s="84">
        <f t="shared" si="1"/>
        <v>0</v>
      </c>
      <c r="L23" s="95">
        <f>SUM('Temps Proof'!AA25:AC25)</f>
        <v>-3310.0885040000003</v>
      </c>
      <c r="M23" s="83">
        <f t="shared" si="2"/>
        <v>-4.429597039929855E-3</v>
      </c>
      <c r="N23" s="95">
        <f>SUM('Temps Proof'!AE25:AG25)</f>
        <v>1164.7823480000002</v>
      </c>
      <c r="O23" s="83">
        <f t="shared" si="3"/>
        <v>1.5587246185799709E-3</v>
      </c>
      <c r="P23" s="1149">
        <f t="shared" si="4"/>
        <v>17997.008526000009</v>
      </c>
      <c r="Q23" s="946">
        <f t="shared" si="5"/>
        <v>4.5838904546599814E-2</v>
      </c>
      <c r="R23" s="1176">
        <f t="shared" si="6"/>
        <v>15851.70237000001</v>
      </c>
      <c r="S23" s="1150">
        <f t="shared" si="7"/>
        <v>2.1212923404056842E-2</v>
      </c>
      <c r="T23" s="641"/>
      <c r="U23" s="585"/>
      <c r="V23" s="80">
        <f t="shared" si="8"/>
        <v>410611.28899389942</v>
      </c>
      <c r="W23" s="80">
        <f t="shared" si="9"/>
        <v>763117.98283789947</v>
      </c>
      <c r="X23" s="82">
        <f t="shared" si="10"/>
        <v>4.5838904546599842E-2</v>
      </c>
      <c r="Y23" s="83">
        <f t="shared" si="11"/>
        <v>2.1212923404056769E-2</v>
      </c>
      <c r="Z23" s="84">
        <f>'Avg Bill by RS'!AK25</f>
        <v>0.17599999999999999</v>
      </c>
      <c r="AA23" s="1020"/>
      <c r="AB23" s="1049">
        <f>'Rate Impacts - Rev Req ONLY'!N24</f>
        <v>410611.28899389942</v>
      </c>
      <c r="AC23" s="80">
        <f>'Rate Impacts - Rev Req ONLY'!O24</f>
        <v>765263.28899389948</v>
      </c>
      <c r="AD23" s="94">
        <f>SUM('Rev Req Proof Yr2'!AF25:AH25)</f>
        <v>8210.41994599998</v>
      </c>
      <c r="AE23" s="84">
        <f t="shared" si="22"/>
        <v>1.9995602084193952E-2</v>
      </c>
      <c r="AF23" s="94">
        <f>SUM('Temps Proof'!AQ25:AS25)</f>
        <v>-324.00657000000001</v>
      </c>
      <c r="AG23" s="84">
        <f t="shared" si="12"/>
        <v>-4.233922816629231E-4</v>
      </c>
      <c r="AH23" s="1153">
        <f>'Exh. RJW-3 Combined'!AJ24</f>
        <v>0</v>
      </c>
      <c r="AI23" s="84">
        <f t="shared" si="13"/>
        <v>0</v>
      </c>
      <c r="AJ23" s="1442">
        <f>'Exh. RJW-3 Combined'!AM24</f>
        <v>-3194.5601800000004</v>
      </c>
      <c r="AK23" s="84">
        <f t="shared" si="14"/>
        <v>-4.1744589423594663E-3</v>
      </c>
      <c r="AL23" s="1149">
        <f t="shared" si="15"/>
        <v>6837.1593519999806</v>
      </c>
      <c r="AM23" s="1150">
        <f t="shared" si="16"/>
        <v>8.9343882691522714E-3</v>
      </c>
      <c r="AN23" s="641"/>
      <c r="AO23" s="585"/>
      <c r="AP23" s="80">
        <f t="shared" si="17"/>
        <v>418821.7089398994</v>
      </c>
      <c r="AQ23" s="80">
        <f t="shared" si="18"/>
        <v>772100.44834589947</v>
      </c>
      <c r="AR23" s="82">
        <f t="shared" si="19"/>
        <v>1.9995602084193952E-2</v>
      </c>
      <c r="AS23" s="83">
        <f t="shared" si="20"/>
        <v>8.9343882691522818E-3</v>
      </c>
      <c r="AT23" s="84">
        <f>'Avg Bill by RS'!CE21</f>
        <v>0.33100000000000002</v>
      </c>
    </row>
    <row r="24" spans="2:46" x14ac:dyDescent="0.3">
      <c r="B24" s="1032">
        <v>9</v>
      </c>
      <c r="C24" s="1026" t="s">
        <v>342</v>
      </c>
      <c r="D24" s="79">
        <f>'Rate Impacts - Rev Req ONLY'!D25</f>
        <v>0</v>
      </c>
      <c r="E24" s="80">
        <f>'Rate Impacts - Rev Req ONLY'!E25</f>
        <v>0</v>
      </c>
      <c r="F24" s="94">
        <f>SUM('Rev Req Proof Yr1'!AF28:AH28)</f>
        <v>0</v>
      </c>
      <c r="G24" s="84">
        <f>IFERROR((F24/D24),0)</f>
        <v>0</v>
      </c>
      <c r="H24" s="94">
        <f>SUM('Rev Req Proof Yr1'!AM28:AO28)</f>
        <v>0</v>
      </c>
      <c r="I24" s="83">
        <f t="shared" si="0"/>
        <v>0</v>
      </c>
      <c r="J24" s="95">
        <f>SUM('Temps Proof'!W28:Y28)</f>
        <v>0</v>
      </c>
      <c r="K24" s="84">
        <f t="shared" si="1"/>
        <v>0</v>
      </c>
      <c r="L24" s="95">
        <f>SUM('Temps Proof'!AA28:AC28)</f>
        <v>0</v>
      </c>
      <c r="M24" s="83">
        <f t="shared" si="2"/>
        <v>0</v>
      </c>
      <c r="N24" s="95">
        <f>SUM('Temps Proof'!AE28:AG28)</f>
        <v>0</v>
      </c>
      <c r="O24" s="83">
        <f t="shared" si="3"/>
        <v>0</v>
      </c>
      <c r="P24" s="1149">
        <f t="shared" si="4"/>
        <v>0</v>
      </c>
      <c r="Q24" s="946">
        <f t="shared" si="5"/>
        <v>0</v>
      </c>
      <c r="R24" s="1176">
        <f t="shared" si="6"/>
        <v>0</v>
      </c>
      <c r="S24" s="1150">
        <f t="shared" si="7"/>
        <v>0</v>
      </c>
      <c r="T24" s="641"/>
      <c r="U24" s="585"/>
      <c r="V24" s="80">
        <f t="shared" si="8"/>
        <v>0</v>
      </c>
      <c r="W24" s="80">
        <f t="shared" si="9"/>
        <v>0</v>
      </c>
      <c r="X24" s="82">
        <f t="shared" si="10"/>
        <v>0</v>
      </c>
      <c r="Y24" s="83">
        <f t="shared" si="11"/>
        <v>0</v>
      </c>
      <c r="Z24" s="84">
        <f>'Avg Bill by RS'!AK28</f>
        <v>0</v>
      </c>
      <c r="AA24" s="1020"/>
      <c r="AB24" s="1049">
        <f>'Rate Impacts - Rev Req ONLY'!N25</f>
        <v>0</v>
      </c>
      <c r="AC24" s="80">
        <f>'Rate Impacts - Rev Req ONLY'!O25</f>
        <v>0</v>
      </c>
      <c r="AD24" s="94">
        <f>SUM('Rev Req Proof Yr2'!AF28:AH28)</f>
        <v>0</v>
      </c>
      <c r="AE24" s="84">
        <f>IFERROR((AD24/AB24),0)</f>
        <v>0</v>
      </c>
      <c r="AF24" s="94">
        <f>SUM('Temps Proof'!AQ28:AS28)</f>
        <v>0</v>
      </c>
      <c r="AG24" s="84">
        <f t="shared" si="12"/>
        <v>0</v>
      </c>
      <c r="AH24" s="1153">
        <f>'Exh. RJW-3 Combined'!AJ25</f>
        <v>0</v>
      </c>
      <c r="AI24" s="84">
        <f t="shared" si="13"/>
        <v>0</v>
      </c>
      <c r="AJ24" s="1442">
        <f>'Exh. RJW-3 Combined'!AM25</f>
        <v>0</v>
      </c>
      <c r="AK24" s="84">
        <f t="shared" si="14"/>
        <v>0</v>
      </c>
      <c r="AL24" s="1149">
        <f t="shared" si="15"/>
        <v>0</v>
      </c>
      <c r="AM24" s="1150">
        <f t="shared" si="16"/>
        <v>0</v>
      </c>
      <c r="AN24" s="641"/>
      <c r="AO24" s="585"/>
      <c r="AP24" s="80">
        <f t="shared" si="17"/>
        <v>0</v>
      </c>
      <c r="AQ24" s="80">
        <f t="shared" si="18"/>
        <v>0</v>
      </c>
      <c r="AR24" s="82">
        <f t="shared" si="19"/>
        <v>0</v>
      </c>
      <c r="AS24" s="83">
        <f t="shared" si="20"/>
        <v>0</v>
      </c>
      <c r="AT24" s="84">
        <f>'Avg Bill by RS'!CE22</f>
        <v>0</v>
      </c>
    </row>
    <row r="25" spans="2:46" x14ac:dyDescent="0.3">
      <c r="B25" s="1032">
        <v>10</v>
      </c>
      <c r="C25" s="1026" t="s">
        <v>343</v>
      </c>
      <c r="D25" s="79">
        <f>'Rate Impacts - Rev Req ONLY'!D26</f>
        <v>0</v>
      </c>
      <c r="E25" s="80">
        <f>'Rate Impacts - Rev Req ONLY'!E26</f>
        <v>0</v>
      </c>
      <c r="F25" s="94">
        <f>SUM('Rev Req Proof Yr1'!AF31:AH31)</f>
        <v>0</v>
      </c>
      <c r="G25" s="84">
        <f t="shared" si="23"/>
        <v>0</v>
      </c>
      <c r="H25" s="94">
        <f>SUM('Rev Req Proof Yr1'!AM31:AO31)</f>
        <v>0</v>
      </c>
      <c r="I25" s="83">
        <f t="shared" si="0"/>
        <v>0</v>
      </c>
      <c r="J25" s="95">
        <f>SUM('Temps Proof'!W31:Y31)</f>
        <v>0</v>
      </c>
      <c r="K25" s="84">
        <f t="shared" si="1"/>
        <v>0</v>
      </c>
      <c r="L25" s="95">
        <f>SUM('Temps Proof'!AA31:AC31)</f>
        <v>0</v>
      </c>
      <c r="M25" s="83">
        <f t="shared" si="2"/>
        <v>0</v>
      </c>
      <c r="N25" s="95">
        <f>SUM('Temps Proof'!AE31:AG31)</f>
        <v>0</v>
      </c>
      <c r="O25" s="83">
        <f t="shared" si="3"/>
        <v>0</v>
      </c>
      <c r="P25" s="1149">
        <f t="shared" si="4"/>
        <v>0</v>
      </c>
      <c r="Q25" s="946">
        <f t="shared" si="5"/>
        <v>0</v>
      </c>
      <c r="R25" s="1176">
        <f t="shared" si="6"/>
        <v>0</v>
      </c>
      <c r="S25" s="1150">
        <f t="shared" si="7"/>
        <v>0</v>
      </c>
      <c r="T25" s="641"/>
      <c r="U25" s="585"/>
      <c r="V25" s="80">
        <f t="shared" si="8"/>
        <v>0</v>
      </c>
      <c r="W25" s="80">
        <f t="shared" si="9"/>
        <v>0</v>
      </c>
      <c r="X25" s="82">
        <f t="shared" si="10"/>
        <v>0</v>
      </c>
      <c r="Y25" s="83">
        <f t="shared" si="11"/>
        <v>0</v>
      </c>
      <c r="Z25" s="84">
        <f>'Avg Bill by RS'!AK31</f>
        <v>0</v>
      </c>
      <c r="AA25" s="1020"/>
      <c r="AB25" s="1049">
        <f>'Rate Impacts - Rev Req ONLY'!N26</f>
        <v>0</v>
      </c>
      <c r="AC25" s="80">
        <f>'Rate Impacts - Rev Req ONLY'!O26</f>
        <v>0</v>
      </c>
      <c r="AD25" s="94">
        <f>SUM('Rev Req Proof Yr2'!AF31:AH31)</f>
        <v>0</v>
      </c>
      <c r="AE25" s="84">
        <f t="shared" ref="AE25" si="24">IFERROR((AD25/AB25),0)</f>
        <v>0</v>
      </c>
      <c r="AF25" s="94">
        <f>SUM('Temps Proof'!AQ31:AS31)</f>
        <v>0</v>
      </c>
      <c r="AG25" s="84">
        <f t="shared" si="12"/>
        <v>0</v>
      </c>
      <c r="AH25" s="1153">
        <f>'Exh. RJW-3 Combined'!AJ26</f>
        <v>0</v>
      </c>
      <c r="AI25" s="84">
        <f t="shared" si="13"/>
        <v>0</v>
      </c>
      <c r="AJ25" s="1442">
        <f>'Exh. RJW-3 Combined'!AM26</f>
        <v>0</v>
      </c>
      <c r="AK25" s="84">
        <f t="shared" si="14"/>
        <v>0</v>
      </c>
      <c r="AL25" s="1149">
        <f t="shared" si="15"/>
        <v>0</v>
      </c>
      <c r="AM25" s="1150">
        <f t="shared" si="16"/>
        <v>0</v>
      </c>
      <c r="AN25" s="641"/>
      <c r="AO25" s="585"/>
      <c r="AP25" s="80">
        <f t="shared" si="17"/>
        <v>0</v>
      </c>
      <c r="AQ25" s="80">
        <f t="shared" si="18"/>
        <v>0</v>
      </c>
      <c r="AR25" s="82">
        <f t="shared" si="19"/>
        <v>0</v>
      </c>
      <c r="AS25" s="83">
        <f t="shared" si="20"/>
        <v>0</v>
      </c>
      <c r="AT25" s="84">
        <f>'Avg Bill by RS'!CE23</f>
        <v>0</v>
      </c>
    </row>
    <row r="26" spans="2:46" x14ac:dyDescent="0.3">
      <c r="B26" s="1032">
        <v>11</v>
      </c>
      <c r="C26" s="1026" t="s">
        <v>344</v>
      </c>
      <c r="D26" s="79">
        <f>'Rate Impacts - Rev Req ONLY'!D27</f>
        <v>189841.33809000003</v>
      </c>
      <c r="E26" s="80">
        <f>'Rate Impacts - Rev Req ONLY'!E27</f>
        <v>189841.33809000003</v>
      </c>
      <c r="F26" s="94">
        <f>SUM('Rev Req Proof Yr1'!AF34:AH34)</f>
        <v>10481.217639999981</v>
      </c>
      <c r="G26" s="84">
        <f>IFERROR((F26/D26),0)</f>
        <v>5.5210407519520548E-2</v>
      </c>
      <c r="H26" s="94">
        <f>SUM('Rev Req Proof Yr1'!AM34:AO34)</f>
        <v>-1779.01313</v>
      </c>
      <c r="I26" s="83">
        <f t="shared" si="0"/>
        <v>-9.371052416184536E-3</v>
      </c>
      <c r="J26" s="95">
        <f>SUM('Temps Proof'!W34:Y34)</f>
        <v>0</v>
      </c>
      <c r="K26" s="84">
        <f t="shared" si="1"/>
        <v>0</v>
      </c>
      <c r="L26" s="95">
        <f>SUM('Temps Proof'!AA34:AC34)</f>
        <v>-1598.35815</v>
      </c>
      <c r="M26" s="83">
        <f t="shared" si="2"/>
        <v>-8.4194420776904227E-3</v>
      </c>
      <c r="N26" s="95">
        <f>SUM('Temps Proof'!AE34:AG34)</f>
        <v>563.00283999999999</v>
      </c>
      <c r="O26" s="83">
        <f t="shared" si="3"/>
        <v>2.965649345207899E-3</v>
      </c>
      <c r="P26" s="1149">
        <f t="shared" si="4"/>
        <v>8702.2045099999814</v>
      </c>
      <c r="Q26" s="946">
        <f t="shared" si="5"/>
        <v>4.5839355103336019E-2</v>
      </c>
      <c r="R26" s="1176">
        <f t="shared" si="6"/>
        <v>7666.8491999999815</v>
      </c>
      <c r="S26" s="1150">
        <f t="shared" si="7"/>
        <v>4.0385562370853494E-2</v>
      </c>
      <c r="T26" s="641"/>
      <c r="U26" s="585"/>
      <c r="V26" s="80">
        <f t="shared" si="8"/>
        <v>198543.54260000002</v>
      </c>
      <c r="W26" s="80">
        <f t="shared" si="9"/>
        <v>197508.18729</v>
      </c>
      <c r="X26" s="82">
        <f t="shared" si="10"/>
        <v>4.5839355103336019E-2</v>
      </c>
      <c r="Y26" s="83">
        <f t="shared" si="11"/>
        <v>4.0385562370853424E-2</v>
      </c>
      <c r="Z26" s="84">
        <f>'Avg Bill by RS'!AK34</f>
        <v>4.5999999999999999E-2</v>
      </c>
      <c r="AA26" s="1020"/>
      <c r="AB26" s="1049">
        <f>'Rate Impacts - Rev Req ONLY'!N27</f>
        <v>198543.54260000002</v>
      </c>
      <c r="AC26" s="80">
        <f>'Rate Impacts - Rev Req ONLY'!O27</f>
        <v>198543.54260000002</v>
      </c>
      <c r="AD26" s="94">
        <f>SUM('Rev Req Proof Yr2'!AF34:AH34)</f>
        <v>3971.2852100000018</v>
      </c>
      <c r="AE26" s="84">
        <f>IFERROR((AD26/AB26),0)</f>
        <v>2.0002086988045925E-2</v>
      </c>
      <c r="AF26" s="94">
        <f>SUM('Temps Proof'!AQ34:AS34)</f>
        <v>-156.88842</v>
      </c>
      <c r="AG26" s="84">
        <f t="shared" si="12"/>
        <v>-7.9019653797594716E-4</v>
      </c>
      <c r="AH26" s="1153">
        <f>'Exh. RJW-3 Combined'!AJ27</f>
        <v>0</v>
      </c>
      <c r="AI26" s="84">
        <f t="shared" si="13"/>
        <v>0</v>
      </c>
      <c r="AJ26" s="1442">
        <f>'Exh. RJW-3 Combined'!AM27</f>
        <v>-1546.4091599999999</v>
      </c>
      <c r="AK26" s="84">
        <f t="shared" si="14"/>
        <v>-7.7887658281362805E-3</v>
      </c>
      <c r="AL26" s="1149">
        <f t="shared" si="15"/>
        <v>3303.3429400000014</v>
      </c>
      <c r="AM26" s="1150">
        <f t="shared" si="16"/>
        <v>1.6637876491682996E-2</v>
      </c>
      <c r="AN26" s="641"/>
      <c r="AO26" s="585"/>
      <c r="AP26" s="80">
        <f t="shared" si="17"/>
        <v>202514.82781000002</v>
      </c>
      <c r="AQ26" s="80">
        <f t="shared" si="18"/>
        <v>201846.88554000002</v>
      </c>
      <c r="AR26" s="82">
        <f t="shared" si="19"/>
        <v>2.0002086988045925E-2</v>
      </c>
      <c r="AS26" s="83">
        <f t="shared" si="20"/>
        <v>1.6637876491682999E-2</v>
      </c>
      <c r="AT26" s="84">
        <f>'Avg Bill by RS'!CE24</f>
        <v>0.02</v>
      </c>
    </row>
    <row r="27" spans="2:46" x14ac:dyDescent="0.3">
      <c r="B27" s="1032">
        <v>12</v>
      </c>
      <c r="C27" s="1026" t="s">
        <v>345</v>
      </c>
      <c r="D27" s="79">
        <f>'Rate Impacts - Rev Req ONLY'!D28</f>
        <v>0</v>
      </c>
      <c r="E27" s="80">
        <f>'Rate Impacts - Rev Req ONLY'!E28</f>
        <v>0</v>
      </c>
      <c r="F27" s="94">
        <f>SUM('Rev Req Proof Yr1'!AF37:AH37)</f>
        <v>0</v>
      </c>
      <c r="G27" s="84">
        <f>IFERROR((F27/D27),0)</f>
        <v>0</v>
      </c>
      <c r="H27" s="94">
        <f>SUM('Rev Req Proof Yr1'!AM37:AO37)</f>
        <v>0</v>
      </c>
      <c r="I27" s="83">
        <f t="shared" si="0"/>
        <v>0</v>
      </c>
      <c r="J27" s="95">
        <f>SUM('Temps Proof'!W37:Y37)</f>
        <v>0</v>
      </c>
      <c r="K27" s="84">
        <f t="shared" si="1"/>
        <v>0</v>
      </c>
      <c r="L27" s="95">
        <f>SUM('Temps Proof'!AA37:AC37)</f>
        <v>0</v>
      </c>
      <c r="M27" s="83">
        <f t="shared" si="2"/>
        <v>0</v>
      </c>
      <c r="N27" s="95">
        <f>SUM('Temps Proof'!AE37:AG37)</f>
        <v>0</v>
      </c>
      <c r="O27" s="83">
        <f t="shared" si="3"/>
        <v>0</v>
      </c>
      <c r="P27" s="1149">
        <f t="shared" si="4"/>
        <v>0</v>
      </c>
      <c r="Q27" s="946">
        <f t="shared" si="5"/>
        <v>0</v>
      </c>
      <c r="R27" s="1176">
        <f t="shared" si="6"/>
        <v>0</v>
      </c>
      <c r="S27" s="1150">
        <f t="shared" si="7"/>
        <v>0</v>
      </c>
      <c r="T27" s="641"/>
      <c r="U27" s="585"/>
      <c r="V27" s="80">
        <f t="shared" si="8"/>
        <v>0</v>
      </c>
      <c r="W27" s="80">
        <f t="shared" si="9"/>
        <v>0</v>
      </c>
      <c r="X27" s="82">
        <f t="shared" si="10"/>
        <v>0</v>
      </c>
      <c r="Y27" s="83">
        <f t="shared" si="11"/>
        <v>0</v>
      </c>
      <c r="Z27" s="84">
        <f>'Avg Bill by RS'!AK37</f>
        <v>0</v>
      </c>
      <c r="AA27" s="1020"/>
      <c r="AB27" s="1049">
        <f>'Rate Impacts - Rev Req ONLY'!N28</f>
        <v>0</v>
      </c>
      <c r="AC27" s="80">
        <f>'Rate Impacts - Rev Req ONLY'!O28</f>
        <v>0</v>
      </c>
      <c r="AD27" s="94">
        <f>SUM('Rev Req Proof Yr2'!AF37:AH37)</f>
        <v>0</v>
      </c>
      <c r="AE27" s="84">
        <f>IFERROR((AD27/AB27),0)</f>
        <v>0</v>
      </c>
      <c r="AF27" s="94">
        <f>SUM('Temps Proof'!AQ37:AS37)</f>
        <v>0</v>
      </c>
      <c r="AG27" s="84">
        <f t="shared" si="12"/>
        <v>0</v>
      </c>
      <c r="AH27" s="1153">
        <f>'Exh. RJW-3 Combined'!AJ28</f>
        <v>0</v>
      </c>
      <c r="AI27" s="84">
        <f t="shared" si="13"/>
        <v>0</v>
      </c>
      <c r="AJ27" s="1442">
        <f>'Exh. RJW-3 Combined'!AM28</f>
        <v>0</v>
      </c>
      <c r="AK27" s="84">
        <f t="shared" si="14"/>
        <v>0</v>
      </c>
      <c r="AL27" s="1149">
        <f t="shared" si="15"/>
        <v>0</v>
      </c>
      <c r="AM27" s="1150">
        <f t="shared" si="16"/>
        <v>0</v>
      </c>
      <c r="AN27" s="641"/>
      <c r="AO27" s="585"/>
      <c r="AP27" s="80">
        <f t="shared" si="17"/>
        <v>0</v>
      </c>
      <c r="AQ27" s="80">
        <f t="shared" si="18"/>
        <v>0</v>
      </c>
      <c r="AR27" s="82">
        <f t="shared" si="19"/>
        <v>0</v>
      </c>
      <c r="AS27" s="83">
        <f t="shared" si="20"/>
        <v>0</v>
      </c>
      <c r="AT27" s="84">
        <f>'Avg Bill by RS'!CE25</f>
        <v>0</v>
      </c>
    </row>
    <row r="28" spans="2:46" x14ac:dyDescent="0.3">
      <c r="B28" s="1032">
        <v>13</v>
      </c>
      <c r="C28" s="1026" t="s">
        <v>346</v>
      </c>
      <c r="D28" s="79">
        <f>'Rate Impacts - Rev Req ONLY'!D29</f>
        <v>219574.60083981926</v>
      </c>
      <c r="E28" s="80">
        <f>'Rate Impacts - Rev Req ONLY'!E29</f>
        <v>470188.60083981924</v>
      </c>
      <c r="F28" s="94">
        <f>SUM('Rev Req Proof Yr1'!AF44:AH44)</f>
        <v>25112.297418342769</v>
      </c>
      <c r="G28" s="84">
        <f t="shared" si="23"/>
        <v>0.11436795204133064</v>
      </c>
      <c r="H28" s="94">
        <f>SUM('Rev Req Proof Yr1'!AM44:AO44)</f>
        <v>-2055.595853643305</v>
      </c>
      <c r="I28" s="83">
        <f t="shared" si="0"/>
        <v>-9.361719642350037E-3</v>
      </c>
      <c r="J28" s="95">
        <f>SUM('Temps Proof'!W44:Y44)</f>
        <v>-3676.9133490107079</v>
      </c>
      <c r="K28" s="84">
        <f t="shared" si="1"/>
        <v>-7.8200818617109227E-3</v>
      </c>
      <c r="L28" s="95">
        <f>SUM('Temps Proof'!AA44:AC44)</f>
        <v>-1954.2784699244257</v>
      </c>
      <c r="M28" s="83">
        <f t="shared" si="2"/>
        <v>-4.1563714357043639E-3</v>
      </c>
      <c r="N28" s="95">
        <f>SUM('Temps Proof'!AE44:AG44)</f>
        <v>690.93709469138048</v>
      </c>
      <c r="O28" s="83">
        <f t="shared" si="3"/>
        <v>1.4694892506055552E-3</v>
      </c>
      <c r="P28" s="1149">
        <f t="shared" si="4"/>
        <v>23056.701564699462</v>
      </c>
      <c r="Q28" s="946">
        <f t="shared" si="5"/>
        <v>0.1050062323989806</v>
      </c>
      <c r="R28" s="1176">
        <f t="shared" si="6"/>
        <v>18116.446840455708</v>
      </c>
      <c r="S28" s="1150">
        <f t="shared" si="7"/>
        <v>3.8530170251038262E-2</v>
      </c>
      <c r="T28" s="641"/>
      <c r="U28" s="585"/>
      <c r="V28" s="80">
        <f t="shared" si="8"/>
        <v>242631.30240451873</v>
      </c>
      <c r="W28" s="80">
        <f t="shared" si="9"/>
        <v>488305.04768027493</v>
      </c>
      <c r="X28" s="82">
        <f t="shared" si="10"/>
        <v>0.10500623239898063</v>
      </c>
      <c r="Y28" s="83">
        <f t="shared" si="11"/>
        <v>3.8530170251038241E-2</v>
      </c>
      <c r="Z28" s="84">
        <f>'Avg Bill by RS'!AK44</f>
        <v>0.23499999999999999</v>
      </c>
      <c r="AA28" s="1020"/>
      <c r="AB28" s="1049">
        <f>'Rate Impacts - Rev Req ONLY'!N29</f>
        <v>242631.3024045187</v>
      </c>
      <c r="AC28" s="80">
        <f>'Rate Impacts - Rev Req ONLY'!O29</f>
        <v>493245.3024045187</v>
      </c>
      <c r="AD28" s="94">
        <f>SUM('Rev Req Proof Yr2'!AF44:AH44)</f>
        <v>13927.917812603351</v>
      </c>
      <c r="AE28" s="84">
        <f t="shared" ref="AE28:AE33" si="25">IFERROR((AD28/AB28),0)</f>
        <v>5.7403631248628045E-2</v>
      </c>
      <c r="AF28" s="94">
        <f>SUM('Temps Proof'!AQ44:AS44)</f>
        <v>-200.12600717261603</v>
      </c>
      <c r="AG28" s="84">
        <f t="shared" si="12"/>
        <v>-4.057332248214487E-4</v>
      </c>
      <c r="AH28" s="1153">
        <f>'Exh. RJW-3 Combined'!AJ29</f>
        <v>-3676.9133490107079</v>
      </c>
      <c r="AI28" s="84">
        <f t="shared" si="13"/>
        <v>-7.4545329293277483E-3</v>
      </c>
      <c r="AJ28" s="1442">
        <f>'Exh. RJW-3 Combined'!AM29</f>
        <v>-1957.3455035389716</v>
      </c>
      <c r="AK28" s="84">
        <f t="shared" si="14"/>
        <v>-3.9683003446705301E-3</v>
      </c>
      <c r="AL28" s="1149">
        <f t="shared" si="15"/>
        <v>13033.78767712481</v>
      </c>
      <c r="AM28" s="1150">
        <f t="shared" si="16"/>
        <v>2.6424555112003041E-2</v>
      </c>
      <c r="AN28" s="641"/>
      <c r="AO28" s="585"/>
      <c r="AP28" s="80">
        <f t="shared" si="17"/>
        <v>256559.22021712206</v>
      </c>
      <c r="AQ28" s="80">
        <f t="shared" si="18"/>
        <v>506279.09008164349</v>
      </c>
      <c r="AR28" s="82">
        <f t="shared" si="19"/>
        <v>5.7403631248628045E-2</v>
      </c>
      <c r="AS28" s="83">
        <f t="shared" si="20"/>
        <v>2.6424555112002986E-2</v>
      </c>
      <c r="AT28" s="84">
        <f>'Avg Bill by RS'!CE26</f>
        <v>0.36599999999999999</v>
      </c>
    </row>
    <row r="29" spans="2:46" x14ac:dyDescent="0.3">
      <c r="B29" s="1032">
        <v>14</v>
      </c>
      <c r="C29" s="1026" t="s">
        <v>347</v>
      </c>
      <c r="D29" s="79">
        <f>'Rate Impacts - Rev Req ONLY'!D30</f>
        <v>511672.37933789124</v>
      </c>
      <c r="E29" s="80">
        <f>'Rate Impacts - Rev Req ONLY'!E30</f>
        <v>1154958.3793378912</v>
      </c>
      <c r="F29" s="94">
        <f>SUM('Rev Req Proof Yr1'!AF51:AH51)</f>
        <v>28251.710180000027</v>
      </c>
      <c r="G29" s="84">
        <f t="shared" si="23"/>
        <v>5.5214452295740492E-2</v>
      </c>
      <c r="H29" s="94">
        <f>SUM('Rev Req Proof Yr1'!AM51:AO51)</f>
        <v>-4788.9728660000001</v>
      </c>
      <c r="I29" s="83">
        <f t="shared" si="0"/>
        <v>-9.3594515932186439E-3</v>
      </c>
      <c r="J29" s="95">
        <f>SUM('Temps Proof'!W51:Y51)</f>
        <v>0</v>
      </c>
      <c r="K29" s="84">
        <f t="shared" si="1"/>
        <v>0</v>
      </c>
      <c r="L29" s="95">
        <f>SUM('Temps Proof'!AA51:AC51)</f>
        <v>-4308.4706760000008</v>
      </c>
      <c r="M29" s="83">
        <f t="shared" si="2"/>
        <v>-3.7304120677231151E-3</v>
      </c>
      <c r="N29" s="95">
        <f>SUM('Temps Proof'!AE51:AG51)</f>
        <v>1516.3915260000001</v>
      </c>
      <c r="O29" s="83">
        <f t="shared" si="3"/>
        <v>1.3129404081810372E-3</v>
      </c>
      <c r="P29" s="1149">
        <f t="shared" si="4"/>
        <v>23462.737314000027</v>
      </c>
      <c r="Q29" s="946">
        <f t="shared" si="5"/>
        <v>4.5855000702521846E-2</v>
      </c>
      <c r="R29" s="1176">
        <f t="shared" si="6"/>
        <v>20670.658164000026</v>
      </c>
      <c r="S29" s="1150">
        <f t="shared" si="7"/>
        <v>1.7897318668617303E-2</v>
      </c>
      <c r="T29" s="641"/>
      <c r="U29" s="585"/>
      <c r="V29" s="80">
        <f t="shared" si="8"/>
        <v>535135.11665189127</v>
      </c>
      <c r="W29" s="80">
        <f t="shared" si="9"/>
        <v>1175629.0375018914</v>
      </c>
      <c r="X29" s="82">
        <f t="shared" si="10"/>
        <v>4.5855000702521846E-2</v>
      </c>
      <c r="Y29" s="83">
        <f t="shared" si="11"/>
        <v>1.78973186686174E-2</v>
      </c>
      <c r="Z29" s="84">
        <f>'Avg Bill by RS'!AK51</f>
        <v>0.21299999999999999</v>
      </c>
      <c r="AA29" s="1020"/>
      <c r="AB29" s="1049">
        <f>'Rate Impacts - Rev Req ONLY'!N30</f>
        <v>535135.11665189127</v>
      </c>
      <c r="AC29" s="80">
        <f>'Rate Impacts - Rev Req ONLY'!O30</f>
        <v>1178421.1166518913</v>
      </c>
      <c r="AD29" s="94">
        <f>SUM('Rev Req Proof Yr2'!AF51:AH51)</f>
        <v>10697.382511000014</v>
      </c>
      <c r="AE29" s="84">
        <f t="shared" si="25"/>
        <v>1.9990058918070833E-2</v>
      </c>
      <c r="AF29" s="94">
        <f>SUM('Temps Proof'!AQ51:AS51)</f>
        <v>-421.82319800000005</v>
      </c>
      <c r="AG29" s="84">
        <f t="shared" si="12"/>
        <v>-3.5795624504631797E-4</v>
      </c>
      <c r="AH29" s="1153">
        <f>'Exh. RJW-3 Combined'!AJ30</f>
        <v>0</v>
      </c>
      <c r="AI29" s="84">
        <f t="shared" si="13"/>
        <v>0</v>
      </c>
      <c r="AJ29" s="1442">
        <f>'Exh. RJW-3 Combined'!AM30</f>
        <v>-4163.1570730000012</v>
      </c>
      <c r="AK29" s="84">
        <f t="shared" si="14"/>
        <v>-3.5328262657311231E-3</v>
      </c>
      <c r="AL29" s="1149">
        <f t="shared" si="15"/>
        <v>8904.4813900000136</v>
      </c>
      <c r="AM29" s="1150">
        <f t="shared" si="16"/>
        <v>7.5562812513910692E-3</v>
      </c>
      <c r="AN29" s="641"/>
      <c r="AO29" s="585"/>
      <c r="AP29" s="80">
        <f t="shared" si="17"/>
        <v>545832.4991628913</v>
      </c>
      <c r="AQ29" s="80">
        <f t="shared" si="18"/>
        <v>1187325.5980418914</v>
      </c>
      <c r="AR29" s="82">
        <f t="shared" si="19"/>
        <v>1.9990058918070867E-2</v>
      </c>
      <c r="AS29" s="83">
        <f t="shared" si="20"/>
        <v>7.5562812513911316E-3</v>
      </c>
      <c r="AT29" s="84">
        <f>'Avg Bill by RS'!CE27</f>
        <v>0.39500000000000002</v>
      </c>
    </row>
    <row r="30" spans="2:46" x14ac:dyDescent="0.3">
      <c r="B30" s="1032">
        <v>15</v>
      </c>
      <c r="C30" s="1026" t="s">
        <v>348</v>
      </c>
      <c r="D30" s="79">
        <f>'Rate Impacts - Rev Req ONLY'!D31</f>
        <v>360784.67333999998</v>
      </c>
      <c r="E30" s="80">
        <f>'Rate Impacts - Rev Req ONLY'!E31</f>
        <v>360784.67333999998</v>
      </c>
      <c r="F30" s="94">
        <f>SUM('Rev Req Proof Yr1'!AF58:AH58)</f>
        <v>25027.144079999984</v>
      </c>
      <c r="G30" s="84">
        <f t="shared" si="23"/>
        <v>6.9368645425840036E-2</v>
      </c>
      <c r="H30" s="94">
        <f>SUM('Rev Req Proof Yr1'!AM58:AO58)</f>
        <v>-3383.8287</v>
      </c>
      <c r="I30" s="83">
        <f t="shared" si="0"/>
        <v>-9.3790810698078427E-3</v>
      </c>
      <c r="J30" s="95">
        <f>SUM('Temps Proof'!W58:Y58)</f>
        <v>0</v>
      </c>
      <c r="K30" s="84">
        <f t="shared" si="1"/>
        <v>0</v>
      </c>
      <c r="L30" s="551">
        <f>SUM('Temps Proof'!AA58:AC58)</f>
        <v>-3081.7999300000001</v>
      </c>
      <c r="M30" s="83">
        <f t="shared" si="2"/>
        <v>-8.5419369439115322E-3</v>
      </c>
      <c r="N30" s="551">
        <f>SUM('Temps Proof'!AE58:AG58)</f>
        <v>1086.0660399999999</v>
      </c>
      <c r="O30" s="83">
        <f t="shared" si="3"/>
        <v>3.0102887407761412E-3</v>
      </c>
      <c r="P30" s="1149">
        <f t="shared" si="4"/>
        <v>21643.315379999985</v>
      </c>
      <c r="Q30" s="946">
        <f t="shared" si="5"/>
        <v>5.9989564356032206E-2</v>
      </c>
      <c r="R30" s="1176">
        <f t="shared" si="6"/>
        <v>19647.581489999986</v>
      </c>
      <c r="S30" s="1150">
        <f t="shared" si="7"/>
        <v>5.4457916152896815E-2</v>
      </c>
      <c r="T30" s="641"/>
      <c r="U30" s="585"/>
      <c r="V30" s="80">
        <f t="shared" si="8"/>
        <v>382427.98871999996</v>
      </c>
      <c r="W30" s="80">
        <f t="shared" si="9"/>
        <v>380432.25482999999</v>
      </c>
      <c r="X30" s="82">
        <f t="shared" si="10"/>
        <v>5.9989564356032206E-2</v>
      </c>
      <c r="Y30" s="83">
        <f t="shared" si="11"/>
        <v>5.4457916152896885E-2</v>
      </c>
      <c r="Z30" s="84">
        <f>'Avg Bill by RS'!AK58</f>
        <v>6.3E-2</v>
      </c>
      <c r="AA30" s="1020"/>
      <c r="AB30" s="1049">
        <f>'Rate Impacts - Rev Req ONLY'!N31</f>
        <v>382427.98871999996</v>
      </c>
      <c r="AC30" s="80">
        <f>'Rate Impacts - Rev Req ONLY'!O31</f>
        <v>382427.98871999996</v>
      </c>
      <c r="AD30" s="94">
        <f>SUM('Rev Req Proof Yr2'!AF58:AH58)</f>
        <v>11469.364369999996</v>
      </c>
      <c r="AE30" s="84">
        <f t="shared" si="25"/>
        <v>2.9990912559481761E-2</v>
      </c>
      <c r="AF30" s="94">
        <f>SUM('Temps Proof'!AQ58:AS58)</f>
        <v>-308.0181</v>
      </c>
      <c r="AG30" s="84">
        <f t="shared" si="12"/>
        <v>-8.0542771210587259E-4</v>
      </c>
      <c r="AH30" s="1153">
        <f>'Exh. RJW-3 Combined'!AJ31</f>
        <v>0</v>
      </c>
      <c r="AI30" s="84">
        <f t="shared" si="13"/>
        <v>0</v>
      </c>
      <c r="AJ30" s="1442">
        <f>'Exh. RJW-3 Combined'!AM31</f>
        <v>-3005.4425199999996</v>
      </c>
      <c r="AK30" s="84">
        <f t="shared" si="14"/>
        <v>-7.8588456092330543E-3</v>
      </c>
      <c r="AL30" s="1149">
        <f t="shared" si="15"/>
        <v>10151.637639999997</v>
      </c>
      <c r="AM30" s="1150">
        <f t="shared" si="16"/>
        <v>2.654522665555387E-2</v>
      </c>
      <c r="AN30" s="641"/>
      <c r="AO30" s="585"/>
      <c r="AP30" s="80">
        <f t="shared" si="17"/>
        <v>393897.35308999999</v>
      </c>
      <c r="AQ30" s="80">
        <f t="shared" si="18"/>
        <v>392579.62635999994</v>
      </c>
      <c r="AR30" s="82">
        <f t="shared" si="19"/>
        <v>2.9990912559481837E-2</v>
      </c>
      <c r="AS30" s="83">
        <f t="shared" si="20"/>
        <v>2.65452266555538E-2</v>
      </c>
      <c r="AT30" s="84">
        <f>'Avg Bill by RS'!CE28</f>
        <v>2.1999999999999999E-2</v>
      </c>
    </row>
    <row r="31" spans="2:46" x14ac:dyDescent="0.3">
      <c r="B31" s="1032">
        <v>16</v>
      </c>
      <c r="C31" s="1026" t="s">
        <v>349</v>
      </c>
      <c r="D31" s="79">
        <f>'Rate Impacts - Rev Req ONLY'!D32</f>
        <v>823615.79209999996</v>
      </c>
      <c r="E31" s="80">
        <f>'Rate Impacts - Rev Req ONLY'!E32</f>
        <v>823615.79209999996</v>
      </c>
      <c r="F31" s="94">
        <f>SUM('Rev Req Proof Yr1'!AF65:AH65)</f>
        <v>45461.501829999994</v>
      </c>
      <c r="G31" s="84">
        <f t="shared" si="23"/>
        <v>5.519746253782401E-2</v>
      </c>
      <c r="H31" s="94">
        <f>SUM('Rev Req Proof Yr1'!AM65:AO65)</f>
        <v>-7716.6626000000006</v>
      </c>
      <c r="I31" s="83">
        <f t="shared" si="0"/>
        <v>-9.3692504126524512E-3</v>
      </c>
      <c r="J31" s="95">
        <f>SUM('Temps Proof'!W65:Y65)</f>
        <v>0</v>
      </c>
      <c r="K31" s="84">
        <f t="shared" si="1"/>
        <v>0</v>
      </c>
      <c r="L31" s="95">
        <f>SUM('Temps Proof'!AA65:AC65)</f>
        <v>-6919.0564000000013</v>
      </c>
      <c r="M31" s="83">
        <f t="shared" si="2"/>
        <v>-8.400830176359609E-3</v>
      </c>
      <c r="N31" s="95">
        <f>SUM('Temps Proof'!AE65:AG65)</f>
        <v>2455.9456000000005</v>
      </c>
      <c r="O31" s="83">
        <f t="shared" si="3"/>
        <v>2.9819068837157628E-3</v>
      </c>
      <c r="P31" s="1149">
        <f t="shared" si="4"/>
        <v>37744.83922999999</v>
      </c>
      <c r="Q31" s="946">
        <f t="shared" si="5"/>
        <v>4.5828212125171554E-2</v>
      </c>
      <c r="R31" s="1176">
        <f t="shared" si="6"/>
        <v>33281.728429999988</v>
      </c>
      <c r="S31" s="1150">
        <f t="shared" si="7"/>
        <v>4.0409288832527708E-2</v>
      </c>
      <c r="T31" s="641"/>
      <c r="U31" s="585"/>
      <c r="V31" s="80">
        <f t="shared" si="8"/>
        <v>861360.63133</v>
      </c>
      <c r="W31" s="80">
        <f t="shared" si="9"/>
        <v>856897.52052999998</v>
      </c>
      <c r="X31" s="82">
        <f t="shared" si="10"/>
        <v>4.5828212125171616E-2</v>
      </c>
      <c r="Y31" s="83">
        <f t="shared" si="11"/>
        <v>4.0409288832527743E-2</v>
      </c>
      <c r="Z31" s="84">
        <f>'Avg Bill by RS'!AK65</f>
        <v>5.0999999999999997E-2</v>
      </c>
      <c r="AA31" s="1020"/>
      <c r="AB31" s="1049">
        <f>'Rate Impacts - Rev Req ONLY'!N32</f>
        <v>861360.63132999989</v>
      </c>
      <c r="AC31" s="80">
        <f>'Rate Impacts - Rev Req ONLY'!O32</f>
        <v>861360.63132999989</v>
      </c>
      <c r="AD31" s="94">
        <f>SUM('Rev Req Proof Yr2'!AF65:AH65)</f>
        <v>17230.849550000014</v>
      </c>
      <c r="AE31" s="84">
        <f t="shared" si="25"/>
        <v>2.0004222300471754E-2</v>
      </c>
      <c r="AF31" s="94">
        <f>SUM('Temps Proof'!AQ65:AS65)</f>
        <v>-700.81233000000009</v>
      </c>
      <c r="AG31" s="84">
        <f t="shared" si="12"/>
        <v>-8.1361082049675039E-4</v>
      </c>
      <c r="AH31" s="1153">
        <f>'Exh. RJW-3 Combined'!AJ32</f>
        <v>0</v>
      </c>
      <c r="AI31" s="84">
        <f t="shared" si="13"/>
        <v>0</v>
      </c>
      <c r="AJ31" s="1442">
        <f>'Exh. RJW-3 Combined'!AM32</f>
        <v>-6715.2289000000001</v>
      </c>
      <c r="AK31" s="84">
        <f t="shared" si="14"/>
        <v>-7.7960713036434297E-3</v>
      </c>
      <c r="AL31" s="1149">
        <f t="shared" si="15"/>
        <v>14277.919120000013</v>
      </c>
      <c r="AM31" s="1150">
        <f t="shared" si="16"/>
        <v>1.6576006147336831E-2</v>
      </c>
      <c r="AN31" s="641"/>
      <c r="AO31" s="585"/>
      <c r="AP31" s="80">
        <f t="shared" si="17"/>
        <v>878591.48087999993</v>
      </c>
      <c r="AQ31" s="80">
        <f t="shared" si="18"/>
        <v>875638.55044999986</v>
      </c>
      <c r="AR31" s="82">
        <f t="shared" si="19"/>
        <v>2.0004222300471788E-2</v>
      </c>
      <c r="AS31" s="83">
        <f t="shared" si="20"/>
        <v>1.6576006147336789E-2</v>
      </c>
      <c r="AT31" s="84">
        <f>'Avg Bill by RS'!CE29</f>
        <v>1.2E-2</v>
      </c>
    </row>
    <row r="32" spans="2:46" x14ac:dyDescent="0.3">
      <c r="B32" s="1032">
        <v>17</v>
      </c>
      <c r="C32" s="1026" t="s">
        <v>350</v>
      </c>
      <c r="D32" s="79">
        <f>'Rate Impacts - Rev Req ONLY'!D33</f>
        <v>160512.61187958997</v>
      </c>
      <c r="E32" s="80">
        <f>'Rate Impacts - Rev Req ONLY'!E33</f>
        <v>430728.61187958985</v>
      </c>
      <c r="F32" s="94">
        <f>SUM('Rev Req Proof Yr1'!AF72:AH72)</f>
        <v>18359.480149999996</v>
      </c>
      <c r="G32" s="84">
        <f t="shared" si="23"/>
        <v>0.1143802965699202</v>
      </c>
      <c r="H32" s="94">
        <f>SUM('Rev Req Proof Yr1'!AM72:AO72)</f>
        <v>-1501.3931600000001</v>
      </c>
      <c r="I32" s="83">
        <f t="shared" si="0"/>
        <v>-9.3537395125454954E-3</v>
      </c>
      <c r="J32" s="95">
        <f>SUM('Temps Proof'!W72:Y72)</f>
        <v>-2684.9657399999996</v>
      </c>
      <c r="K32" s="84">
        <f t="shared" si="1"/>
        <v>-6.2335439670085846E-3</v>
      </c>
      <c r="L32" s="95">
        <f>SUM('Temps Proof'!AA72:AC72)</f>
        <v>-1428.40164</v>
      </c>
      <c r="M32" s="83">
        <f t="shared" si="2"/>
        <v>-3.3162450800907316E-3</v>
      </c>
      <c r="N32" s="95">
        <f>SUM('Temps Proof'!AE72:AG72)</f>
        <v>503.68345000000005</v>
      </c>
      <c r="O32" s="83">
        <f t="shared" si="3"/>
        <v>1.1693754166969635E-3</v>
      </c>
      <c r="P32" s="1149">
        <f t="shared" si="4"/>
        <v>16858.086989999996</v>
      </c>
      <c r="Q32" s="946">
        <f t="shared" si="5"/>
        <v>0.10502655705737471</v>
      </c>
      <c r="R32" s="1176">
        <f t="shared" si="6"/>
        <v>13248.403059999997</v>
      </c>
      <c r="S32" s="1150">
        <f t="shared" si="7"/>
        <v>3.0758121691028008E-2</v>
      </c>
      <c r="T32" s="641"/>
      <c r="U32" s="585"/>
      <c r="V32" s="80">
        <f t="shared" si="8"/>
        <v>177370.69886958995</v>
      </c>
      <c r="W32" s="80">
        <f t="shared" si="9"/>
        <v>443977.01493958983</v>
      </c>
      <c r="X32" s="82">
        <f t="shared" ref="X32:X38" si="26">IFERROR((V32-D32)/D32,0)</f>
        <v>0.10502655705737461</v>
      </c>
      <c r="Y32" s="83">
        <f t="shared" ref="Y32:Y38" si="27">IFERROR((W32-E32)/E32,0)</f>
        <v>3.0758121691027974E-2</v>
      </c>
      <c r="Z32" s="84">
        <f>'Avg Bill by RS'!AK72</f>
        <v>0.316</v>
      </c>
      <c r="AA32" s="1020"/>
      <c r="AB32" s="1049">
        <f>'Rate Impacts - Rev Req ONLY'!N33</f>
        <v>177370.69886958995</v>
      </c>
      <c r="AC32" s="80">
        <f>'Rate Impacts - Rev Req ONLY'!O33</f>
        <v>447586.69886958989</v>
      </c>
      <c r="AD32" s="94">
        <f>SUM('Rev Req Proof Yr2'!AF72:AH72)</f>
        <v>10182.187340000004</v>
      </c>
      <c r="AE32" s="84">
        <f t="shared" si="25"/>
        <v>5.7406253709843903E-2</v>
      </c>
      <c r="AF32" s="94">
        <f>SUM('Temps Proof'!AQ72:AS72)</f>
        <v>-145.98303999999999</v>
      </c>
      <c r="AG32" s="84">
        <f t="shared" si="12"/>
        <v>-3.2615589419589524E-4</v>
      </c>
      <c r="AH32" s="1153">
        <f>'Exh. RJW-3 Combined'!AJ33</f>
        <v>-2684.9657399999996</v>
      </c>
      <c r="AI32" s="84">
        <f t="shared" si="13"/>
        <v>-5.9987612383948404E-3</v>
      </c>
      <c r="AJ32" s="1442">
        <f>'Exh. RJW-3 Combined'!AM33</f>
        <v>-1433.0767499999997</v>
      </c>
      <c r="AK32" s="84">
        <f t="shared" si="14"/>
        <v>-3.2017858296936232E-3</v>
      </c>
      <c r="AL32" s="1149">
        <f t="shared" si="15"/>
        <v>9527.8457400000043</v>
      </c>
      <c r="AM32" s="1150">
        <f t="shared" si="16"/>
        <v>2.1287151213526263E-2</v>
      </c>
      <c r="AN32" s="641"/>
      <c r="AO32" s="585"/>
      <c r="AP32" s="80">
        <f t="shared" si="17"/>
        <v>187552.88620958995</v>
      </c>
      <c r="AQ32" s="80">
        <f t="shared" si="18"/>
        <v>457114.54460958991</v>
      </c>
      <c r="AR32" s="82">
        <f t="shared" si="19"/>
        <v>5.7406253709843903E-2</v>
      </c>
      <c r="AS32" s="83">
        <f t="shared" si="20"/>
        <v>2.1287151213526295E-2</v>
      </c>
      <c r="AT32" s="84">
        <f>'Avg Bill by RS'!CE30</f>
        <v>0.35599999999999998</v>
      </c>
    </row>
    <row r="33" spans="2:46" x14ac:dyDescent="0.3">
      <c r="B33" s="1032">
        <v>18</v>
      </c>
      <c r="C33" s="1026" t="s">
        <v>351</v>
      </c>
      <c r="D33" s="79">
        <f>'Rate Impacts - Rev Req ONLY'!D34</f>
        <v>81130.03459599179</v>
      </c>
      <c r="E33" s="80">
        <f>'Rate Impacts - Rev Req ONLY'!E34</f>
        <v>171731.03459599178</v>
      </c>
      <c r="F33" s="94">
        <f>SUM('Rev Req Proof Yr1'!AF79:AH79)</f>
        <v>4479.9151999999995</v>
      </c>
      <c r="G33" s="84">
        <f t="shared" si="23"/>
        <v>5.5218948473384835E-2</v>
      </c>
      <c r="H33" s="94">
        <f>SUM('Rev Req Proof Yr1'!AM79:AO79)</f>
        <v>-760.61590000000001</v>
      </c>
      <c r="I33" s="83">
        <f t="shared" si="0"/>
        <v>-9.3752690207478118E-3</v>
      </c>
      <c r="J33" s="95">
        <f>SUM('Temps Proof'!W79:Y79)</f>
        <v>0</v>
      </c>
      <c r="K33" s="84">
        <f t="shared" si="1"/>
        <v>0</v>
      </c>
      <c r="L33" s="95">
        <f>SUM('Temps Proof'!AA79:AC79)</f>
        <v>-683.13480000000004</v>
      </c>
      <c r="M33" s="83">
        <f t="shared" si="2"/>
        <v>-3.9779344578405309E-3</v>
      </c>
      <c r="N33" s="95">
        <f>SUM('Temps Proof'!AE79:AG79)</f>
        <v>240.36880000000002</v>
      </c>
      <c r="O33" s="83">
        <f t="shared" si="3"/>
        <v>1.3996817789253002E-3</v>
      </c>
      <c r="P33" s="1149">
        <f t="shared" si="4"/>
        <v>3719.2992999999997</v>
      </c>
      <c r="Q33" s="946">
        <f t="shared" si="5"/>
        <v>4.5843679452637023E-2</v>
      </c>
      <c r="R33" s="1176">
        <f t="shared" si="6"/>
        <v>3276.5333000000001</v>
      </c>
      <c r="S33" s="1150">
        <f t="shared" si="7"/>
        <v>1.9079447740521997E-2</v>
      </c>
      <c r="T33" s="641"/>
      <c r="U33" s="585"/>
      <c r="V33" s="80">
        <f t="shared" si="8"/>
        <v>84849.333895991789</v>
      </c>
      <c r="W33" s="80">
        <f t="shared" si="9"/>
        <v>175007.56789599179</v>
      </c>
      <c r="X33" s="82">
        <f t="shared" si="26"/>
        <v>4.5843679452637009E-2</v>
      </c>
      <c r="Y33" s="83">
        <f t="shared" si="27"/>
        <v>1.9079447740522053E-2</v>
      </c>
      <c r="Z33" s="84">
        <f>'Avg Bill by RS'!AK79</f>
        <v>0.26100000000000001</v>
      </c>
      <c r="AA33" s="1020"/>
      <c r="AB33" s="1049">
        <f>'Rate Impacts - Rev Req ONLY'!N34</f>
        <v>84849.333895991789</v>
      </c>
      <c r="AC33" s="80">
        <f>'Rate Impacts - Rev Req ONLY'!O34</f>
        <v>175450.33389599176</v>
      </c>
      <c r="AD33" s="94">
        <f>SUM('Rev Req Proof Yr2'!AF79:AH79)</f>
        <v>1696.7766999999985</v>
      </c>
      <c r="AE33" s="84">
        <f t="shared" si="25"/>
        <v>1.9997525284994051E-2</v>
      </c>
      <c r="AF33" s="94">
        <f>SUM('Temps Proof'!AQ79:AS79)</f>
        <v>-66.420800000000014</v>
      </c>
      <c r="AG33" s="84">
        <f t="shared" si="12"/>
        <v>-3.7857323223662115E-4</v>
      </c>
      <c r="AH33" s="1153">
        <f>'Exh. RJW-3 Combined'!AJ34</f>
        <v>0</v>
      </c>
      <c r="AI33" s="84">
        <f t="shared" si="13"/>
        <v>0</v>
      </c>
      <c r="AJ33" s="1442">
        <f>'Exh. RJW-3 Combined'!AM34</f>
        <v>-660.98469999999998</v>
      </c>
      <c r="AK33" s="84">
        <f t="shared" si="14"/>
        <v>-3.7673607414838921E-3</v>
      </c>
      <c r="AL33" s="1149">
        <f t="shared" si="15"/>
        <v>1412.1371999999985</v>
      </c>
      <c r="AM33" s="1150">
        <f t="shared" si="16"/>
        <v>8.0486435599325997E-3</v>
      </c>
      <c r="AN33" s="641"/>
      <c r="AO33" s="585"/>
      <c r="AP33" s="80">
        <f t="shared" si="17"/>
        <v>86546.110595991791</v>
      </c>
      <c r="AQ33" s="80">
        <f t="shared" si="18"/>
        <v>176862.47109599176</v>
      </c>
      <c r="AR33" s="82">
        <f t="shared" si="19"/>
        <v>1.9997525284994093E-2</v>
      </c>
      <c r="AS33" s="83">
        <f t="shared" si="20"/>
        <v>8.0486435599325945E-3</v>
      </c>
      <c r="AT33" s="84">
        <f>'Avg Bill by RS'!CE31</f>
        <v>0.317</v>
      </c>
    </row>
    <row r="34" spans="2:46" x14ac:dyDescent="0.3">
      <c r="B34" s="1032">
        <v>19</v>
      </c>
      <c r="C34" s="1026" t="s">
        <v>353</v>
      </c>
      <c r="D34" s="79">
        <f>'Rate Impacts - Rev Req ONLY'!D35</f>
        <v>0</v>
      </c>
      <c r="E34" s="80">
        <f>'Rate Impacts - Rev Req ONLY'!E35</f>
        <v>0</v>
      </c>
      <c r="F34" s="94">
        <f>SUM('Rev Req Proof Yr1'!AF86:AH86)</f>
        <v>0</v>
      </c>
      <c r="G34" s="84">
        <f>IFERROR((F34/D34),0)</f>
        <v>0</v>
      </c>
      <c r="H34" s="94">
        <f>SUM('Rev Req Proof Yr1'!AM86:AO86)</f>
        <v>0</v>
      </c>
      <c r="I34" s="83">
        <f t="shared" si="0"/>
        <v>0</v>
      </c>
      <c r="J34" s="95">
        <f>SUM('Temps Proof'!W86:Y86)</f>
        <v>0</v>
      </c>
      <c r="K34" s="84">
        <f t="shared" si="1"/>
        <v>0</v>
      </c>
      <c r="L34" s="95">
        <f>SUM('Temps Proof'!AA86:AC86)</f>
        <v>0</v>
      </c>
      <c r="M34" s="83">
        <f t="shared" si="2"/>
        <v>0</v>
      </c>
      <c r="N34" s="95">
        <f>SUM('Temps Proof'!AE86:AG86)</f>
        <v>0</v>
      </c>
      <c r="O34" s="83">
        <f t="shared" si="3"/>
        <v>0</v>
      </c>
      <c r="P34" s="1149">
        <f t="shared" si="4"/>
        <v>0</v>
      </c>
      <c r="Q34" s="946">
        <f t="shared" si="5"/>
        <v>0</v>
      </c>
      <c r="R34" s="1176">
        <f t="shared" si="6"/>
        <v>0</v>
      </c>
      <c r="S34" s="1150">
        <f t="shared" si="7"/>
        <v>0</v>
      </c>
      <c r="T34" s="641"/>
      <c r="U34" s="585"/>
      <c r="V34" s="80">
        <f t="shared" si="8"/>
        <v>0</v>
      </c>
      <c r="W34" s="80">
        <f t="shared" si="9"/>
        <v>0</v>
      </c>
      <c r="X34" s="82">
        <f t="shared" si="26"/>
        <v>0</v>
      </c>
      <c r="Y34" s="83">
        <f t="shared" si="27"/>
        <v>0</v>
      </c>
      <c r="Z34" s="84">
        <f>'Avg Bill by RS'!AK86</f>
        <v>0</v>
      </c>
      <c r="AA34" s="1020"/>
      <c r="AB34" s="1049">
        <f>'Rate Impacts - Rev Req ONLY'!N35</f>
        <v>0</v>
      </c>
      <c r="AC34" s="80">
        <f>'Rate Impacts - Rev Req ONLY'!O35</f>
        <v>0</v>
      </c>
      <c r="AD34" s="94">
        <f>SUM('Rev Req Proof Yr2'!AF86:AH86)</f>
        <v>0</v>
      </c>
      <c r="AE34" s="84">
        <f>IFERROR((AD34/AB34),0)</f>
        <v>0</v>
      </c>
      <c r="AF34" s="94">
        <f>SUM('Temps Proof'!AQ86:AS86)</f>
        <v>0</v>
      </c>
      <c r="AG34" s="84">
        <f t="shared" si="12"/>
        <v>0</v>
      </c>
      <c r="AH34" s="1153">
        <f>'Exh. RJW-3 Combined'!AJ35</f>
        <v>0</v>
      </c>
      <c r="AI34" s="84">
        <f t="shared" si="13"/>
        <v>0</v>
      </c>
      <c r="AJ34" s="1442">
        <f>'Exh. RJW-3 Combined'!AM35</f>
        <v>0</v>
      </c>
      <c r="AK34" s="84">
        <f t="shared" si="14"/>
        <v>0</v>
      </c>
      <c r="AL34" s="1149">
        <f t="shared" si="15"/>
        <v>0</v>
      </c>
      <c r="AM34" s="1150">
        <f t="shared" si="16"/>
        <v>0</v>
      </c>
      <c r="AN34" s="641"/>
      <c r="AO34" s="585"/>
      <c r="AP34" s="80">
        <f t="shared" si="17"/>
        <v>0</v>
      </c>
      <c r="AQ34" s="80">
        <f t="shared" si="18"/>
        <v>0</v>
      </c>
      <c r="AR34" s="82">
        <f t="shared" si="19"/>
        <v>0</v>
      </c>
      <c r="AS34" s="83">
        <f t="shared" si="20"/>
        <v>0</v>
      </c>
      <c r="AT34" s="84">
        <f>'Avg Bill by RS'!CE32</f>
        <v>0</v>
      </c>
    </row>
    <row r="35" spans="2:46" x14ac:dyDescent="0.3">
      <c r="B35" s="1032">
        <v>20</v>
      </c>
      <c r="C35" s="1026" t="s">
        <v>354</v>
      </c>
      <c r="D35" s="79">
        <f>'Rate Impacts - Rev Req ONLY'!D36</f>
        <v>825480.07319999998</v>
      </c>
      <c r="E35" s="80">
        <f>'Rate Impacts - Rev Req ONLY'!E36</f>
        <v>825480.07319999998</v>
      </c>
      <c r="F35" s="94">
        <f>SUM('Rev Req Proof Yr1'!AF93:AH93)</f>
        <v>45591.999140000014</v>
      </c>
      <c r="G35" s="84">
        <f>IFERROR((F35/D35),0)</f>
        <v>5.5230890024105812E-2</v>
      </c>
      <c r="H35" s="94">
        <f>SUM('Rev Req Proof Yr1'!AM93:AO93)</f>
        <v>-7732.5836500000005</v>
      </c>
      <c r="I35" s="83">
        <f t="shared" si="0"/>
        <v>-9.3673777248485142E-3</v>
      </c>
      <c r="J35" s="95">
        <f>SUM('Temps Proof'!W93:Y93)</f>
        <v>0</v>
      </c>
      <c r="K35" s="84">
        <f t="shared" si="1"/>
        <v>0</v>
      </c>
      <c r="L35" s="95">
        <f>SUM('Temps Proof'!AA93:AC93)</f>
        <v>-6964.8609200000001</v>
      </c>
      <c r="M35" s="83">
        <f t="shared" si="2"/>
        <v>-8.437345910726219E-3</v>
      </c>
      <c r="N35" s="95">
        <f>SUM('Temps Proof'!AE93:AG93)</f>
        <v>2437.8116799999998</v>
      </c>
      <c r="O35" s="83">
        <f t="shared" si="3"/>
        <v>2.9532047582320727E-3</v>
      </c>
      <c r="P35" s="1149">
        <f>SUM(F35,H35)</f>
        <v>37859.415490000014</v>
      </c>
      <c r="Q35" s="946">
        <f t="shared" si="5"/>
        <v>4.5863512299257295E-2</v>
      </c>
      <c r="R35" s="1176">
        <f t="shared" si="6"/>
        <v>33332.366250000014</v>
      </c>
      <c r="S35" s="1150">
        <f t="shared" si="7"/>
        <v>4.0379371146763154E-2</v>
      </c>
      <c r="T35" s="641"/>
      <c r="U35" s="585"/>
      <c r="V35" s="80">
        <f t="shared" si="8"/>
        <v>863339.48869000003</v>
      </c>
      <c r="W35" s="80">
        <f t="shared" si="9"/>
        <v>858812.43944999995</v>
      </c>
      <c r="X35" s="82">
        <f t="shared" si="26"/>
        <v>4.5863512299257336E-2</v>
      </c>
      <c r="Y35" s="83">
        <f t="shared" si="27"/>
        <v>4.0379371146763092E-2</v>
      </c>
      <c r="Z35" s="84">
        <f>'Avg Bill by RS'!AK93</f>
        <v>4.7E-2</v>
      </c>
      <c r="AA35" s="1020"/>
      <c r="AB35" s="1049">
        <f>'Rate Impacts - Rev Req ONLY'!N36</f>
        <v>863339.48868999991</v>
      </c>
      <c r="AC35" s="80">
        <f>'Rate Impacts - Rev Req ONLY'!O36</f>
        <v>863339.48868999991</v>
      </c>
      <c r="AD35" s="94">
        <f>SUM('Rev Req Proof Yr2'!AF93:AH93)</f>
        <v>17271.723759999964</v>
      </c>
      <c r="AE35" s="84">
        <f>IFERROR((AD35/AB35),0)</f>
        <v>2.0005715001183894E-2</v>
      </c>
      <c r="AF35" s="94">
        <f>SUM('Temps Proof'!AQ93:AS93)</f>
        <v>-678.94928000000004</v>
      </c>
      <c r="AG35" s="84">
        <f t="shared" si="12"/>
        <v>-7.864221304532393E-4</v>
      </c>
      <c r="AH35" s="1153">
        <f>'Exh. RJW-3 Combined'!AJ36</f>
        <v>0</v>
      </c>
      <c r="AI35" s="84">
        <f t="shared" si="13"/>
        <v>0</v>
      </c>
      <c r="AJ35" s="1442">
        <f>'Exh. RJW-3 Combined'!AM36</f>
        <v>-6714.4615800000001</v>
      </c>
      <c r="AK35" s="84">
        <f t="shared" si="14"/>
        <v>-7.7773131751314667E-3</v>
      </c>
      <c r="AL35" s="1149">
        <f t="shared" si="15"/>
        <v>14405.362139999965</v>
      </c>
      <c r="AM35" s="1150">
        <f t="shared" si="16"/>
        <v>1.6685628688035734E-2</v>
      </c>
      <c r="AN35" s="641"/>
      <c r="AO35" s="585"/>
      <c r="AP35" s="80">
        <f t="shared" si="17"/>
        <v>880611.21244999988</v>
      </c>
      <c r="AQ35" s="80">
        <f t="shared" si="18"/>
        <v>877744.85082999989</v>
      </c>
      <c r="AR35" s="82">
        <f t="shared" si="19"/>
        <v>2.0005715001183894E-2</v>
      </c>
      <c r="AS35" s="83">
        <f t="shared" si="20"/>
        <v>1.6685628688035754E-2</v>
      </c>
      <c r="AT35" s="84">
        <f>'Avg Bill by RS'!CE33</f>
        <v>0.01</v>
      </c>
    </row>
    <row r="36" spans="2:46" x14ac:dyDescent="0.3">
      <c r="B36" s="1032">
        <v>21</v>
      </c>
      <c r="C36" s="1026" t="s">
        <v>56</v>
      </c>
      <c r="D36" s="79">
        <f>'Rate Impacts - Rev Req ONLY'!D37</f>
        <v>0</v>
      </c>
      <c r="E36" s="80">
        <f>'Rate Impacts - Rev Req ONLY'!E37</f>
        <v>0</v>
      </c>
      <c r="F36" s="94">
        <f>SUM('Rev Req Proof Yr1'!AF94:AH94)</f>
        <v>0</v>
      </c>
      <c r="G36" s="84">
        <f>IFERROR((F36/D36),0)</f>
        <v>0</v>
      </c>
      <c r="H36" s="94">
        <f>SUM('Rev Req Proof Yr1'!AM94:AO94)</f>
        <v>0</v>
      </c>
      <c r="I36" s="83">
        <f t="shared" si="0"/>
        <v>0</v>
      </c>
      <c r="J36" s="95">
        <f>SUM('Temps Proof'!W94:Y94)</f>
        <v>0</v>
      </c>
      <c r="K36" s="84">
        <f t="shared" si="1"/>
        <v>0</v>
      </c>
      <c r="L36" s="95">
        <f>SUM('Temps Proof'!AA94:AC94)</f>
        <v>0</v>
      </c>
      <c r="M36" s="83">
        <f t="shared" si="2"/>
        <v>0</v>
      </c>
      <c r="N36" s="95">
        <f>SUM('Temps Proof'!AE94:AG94)</f>
        <v>0</v>
      </c>
      <c r="O36" s="83">
        <f t="shared" si="3"/>
        <v>0</v>
      </c>
      <c r="P36" s="1149">
        <f t="shared" si="4"/>
        <v>0</v>
      </c>
      <c r="Q36" s="946">
        <f t="shared" si="5"/>
        <v>0</v>
      </c>
      <c r="R36" s="1176">
        <f t="shared" si="6"/>
        <v>0</v>
      </c>
      <c r="S36" s="1150">
        <f t="shared" si="7"/>
        <v>0</v>
      </c>
      <c r="T36" s="641"/>
      <c r="U36" s="585"/>
      <c r="V36" s="80">
        <f t="shared" si="8"/>
        <v>0</v>
      </c>
      <c r="W36" s="80">
        <f t="shared" si="9"/>
        <v>0</v>
      </c>
      <c r="X36" s="82">
        <f t="shared" si="26"/>
        <v>0</v>
      </c>
      <c r="Y36" s="83">
        <f t="shared" si="27"/>
        <v>0</v>
      </c>
      <c r="Z36" s="84">
        <f>'Avg Bill by RS'!AK94</f>
        <v>0</v>
      </c>
      <c r="AA36" s="1020"/>
      <c r="AB36" s="1049">
        <f>'Rate Impacts - Rev Req ONLY'!N37</f>
        <v>0</v>
      </c>
      <c r="AC36" s="80">
        <f>'Rate Impacts - Rev Req ONLY'!O37</f>
        <v>0</v>
      </c>
      <c r="AD36" s="94">
        <f>SUM('Rev Req Proof Yr2'!AF94:AH94)</f>
        <v>0</v>
      </c>
      <c r="AE36" s="84">
        <f>IFERROR((AD36/AB36),0)</f>
        <v>0</v>
      </c>
      <c r="AF36" s="94">
        <f>SUM('Temps Proof'!AQ94:AS94)</f>
        <v>0</v>
      </c>
      <c r="AG36" s="84">
        <f t="shared" si="12"/>
        <v>0</v>
      </c>
      <c r="AH36" s="1153">
        <f>'Exh. RJW-3 Combined'!AJ37</f>
        <v>0</v>
      </c>
      <c r="AI36" s="84">
        <f t="shared" si="13"/>
        <v>0</v>
      </c>
      <c r="AJ36" s="1442">
        <f>'Exh. RJW-3 Combined'!AM37</f>
        <v>0</v>
      </c>
      <c r="AK36" s="84">
        <f t="shared" si="14"/>
        <v>0</v>
      </c>
      <c r="AL36" s="1149">
        <f t="shared" si="15"/>
        <v>0</v>
      </c>
      <c r="AM36" s="1150">
        <f t="shared" si="16"/>
        <v>0</v>
      </c>
      <c r="AN36" s="641"/>
      <c r="AO36" s="585"/>
      <c r="AP36" s="80">
        <f t="shared" si="17"/>
        <v>0</v>
      </c>
      <c r="AQ36" s="80">
        <f t="shared" si="18"/>
        <v>0</v>
      </c>
      <c r="AR36" s="82">
        <f t="shared" si="19"/>
        <v>0</v>
      </c>
      <c r="AS36" s="83">
        <f t="shared" si="20"/>
        <v>0</v>
      </c>
      <c r="AT36" s="84">
        <f>'Avg Bill by RS'!CE34</f>
        <v>0</v>
      </c>
    </row>
    <row r="37" spans="2:46" x14ac:dyDescent="0.3">
      <c r="B37" s="1032">
        <v>22</v>
      </c>
      <c r="C37" s="1026" t="s">
        <v>335</v>
      </c>
      <c r="D37" s="79">
        <f>'Rate Impacts - Rev Req ONLY'!D38</f>
        <v>0</v>
      </c>
      <c r="E37" s="80">
        <f>'Rate Impacts - Rev Req ONLY'!E38</f>
        <v>0</v>
      </c>
      <c r="F37" s="94">
        <f>SUM('Rev Req Proof Yr1'!AF95:AH95)</f>
        <v>0</v>
      </c>
      <c r="G37" s="84">
        <f>IFERROR((F37/D37),0)</f>
        <v>0</v>
      </c>
      <c r="H37" s="94">
        <f>SUM('Rev Req Proof Yr1'!AM95:AO95)</f>
        <v>0</v>
      </c>
      <c r="I37" s="83">
        <f t="shared" si="0"/>
        <v>0</v>
      </c>
      <c r="J37" s="95">
        <f>SUM('Temps Proof'!W95:Y95)</f>
        <v>0</v>
      </c>
      <c r="K37" s="84">
        <f t="shared" si="1"/>
        <v>0</v>
      </c>
      <c r="L37" s="95">
        <f>SUM('Temps Proof'!AA95:AC95)</f>
        <v>0</v>
      </c>
      <c r="M37" s="83">
        <f t="shared" si="2"/>
        <v>0</v>
      </c>
      <c r="N37" s="95">
        <f>SUM('Temps Proof'!AE95:AG95)</f>
        <v>0</v>
      </c>
      <c r="O37" s="83">
        <f t="shared" si="3"/>
        <v>0</v>
      </c>
      <c r="P37" s="1149">
        <f t="shared" si="4"/>
        <v>0</v>
      </c>
      <c r="Q37" s="946">
        <f t="shared" si="5"/>
        <v>0</v>
      </c>
      <c r="R37" s="1176">
        <f t="shared" si="6"/>
        <v>0</v>
      </c>
      <c r="S37" s="1150">
        <f t="shared" si="7"/>
        <v>0</v>
      </c>
      <c r="T37" s="641"/>
      <c r="U37" s="585"/>
      <c r="V37" s="80">
        <f t="shared" si="8"/>
        <v>0</v>
      </c>
      <c r="W37" s="80">
        <f t="shared" si="9"/>
        <v>0</v>
      </c>
      <c r="X37" s="82">
        <f t="shared" si="26"/>
        <v>0</v>
      </c>
      <c r="Y37" s="83">
        <f t="shared" si="27"/>
        <v>0</v>
      </c>
      <c r="Z37" s="84">
        <f>'Avg Bill by RS'!AK95</f>
        <v>0</v>
      </c>
      <c r="AA37" s="1020"/>
      <c r="AB37" s="1049">
        <f>'Rate Impacts - Rev Req ONLY'!N38</f>
        <v>0</v>
      </c>
      <c r="AC37" s="80">
        <f>'Rate Impacts - Rev Req ONLY'!O38</f>
        <v>0</v>
      </c>
      <c r="AD37" s="94">
        <f>SUM('Rev Req Proof Yr2'!AF95:AH95)</f>
        <v>0</v>
      </c>
      <c r="AE37" s="84">
        <f>IFERROR((AD37/AB37),0)</f>
        <v>0</v>
      </c>
      <c r="AF37" s="94">
        <f>SUM('Temps Proof'!AQ95:AS95)</f>
        <v>0</v>
      </c>
      <c r="AG37" s="84">
        <f t="shared" si="12"/>
        <v>0</v>
      </c>
      <c r="AH37" s="1153">
        <f>'Exh. RJW-3 Combined'!AJ38</f>
        <v>0</v>
      </c>
      <c r="AI37" s="84">
        <f t="shared" si="13"/>
        <v>0</v>
      </c>
      <c r="AJ37" s="1442">
        <f>'Exh. RJW-3 Combined'!AM38</f>
        <v>0</v>
      </c>
      <c r="AK37" s="84">
        <f t="shared" si="14"/>
        <v>0</v>
      </c>
      <c r="AL37" s="1149">
        <f t="shared" si="15"/>
        <v>0</v>
      </c>
      <c r="AM37" s="1150">
        <f t="shared" si="16"/>
        <v>0</v>
      </c>
      <c r="AN37" s="641"/>
      <c r="AO37" s="585"/>
      <c r="AP37" s="80">
        <f t="shared" si="17"/>
        <v>0</v>
      </c>
      <c r="AQ37" s="80">
        <f t="shared" si="18"/>
        <v>0</v>
      </c>
      <c r="AR37" s="82">
        <f t="shared" si="19"/>
        <v>0</v>
      </c>
      <c r="AS37" s="83">
        <f t="shared" si="20"/>
        <v>0</v>
      </c>
      <c r="AT37" s="84">
        <f>'Avg Bill by RS'!CE35</f>
        <v>0</v>
      </c>
    </row>
    <row r="38" spans="2:46" x14ac:dyDescent="0.3">
      <c r="B38" s="1032">
        <v>23</v>
      </c>
      <c r="C38" s="1026" t="s">
        <v>373</v>
      </c>
      <c r="D38" s="79">
        <f>'Rate Impacts - Rev Req ONLY'!D39</f>
        <v>242994.60207180592</v>
      </c>
      <c r="E38" s="80">
        <f>'Rate Impacts - Rev Req ONLY'!E39</f>
        <v>242994.60207180592</v>
      </c>
      <c r="F38" s="94">
        <f>SUM('Rev Req Proof Yr1'!AF96:AH96)</f>
        <v>0</v>
      </c>
      <c r="G38" s="84">
        <f>IFERROR((F38/D38),0)</f>
        <v>0</v>
      </c>
      <c r="H38" s="94">
        <f>SUM('Rev Req Proof Yr1'!AM96:AO96)</f>
        <v>0</v>
      </c>
      <c r="I38" s="83">
        <f t="shared" si="0"/>
        <v>0</v>
      </c>
      <c r="J38" s="95">
        <f>SUM('Temps Proof'!W96:Y96)</f>
        <v>0</v>
      </c>
      <c r="K38" s="84">
        <f t="shared" si="1"/>
        <v>0</v>
      </c>
      <c r="L38" s="95">
        <f>SUM('Temps Proof'!AA96:AC96)</f>
        <v>0</v>
      </c>
      <c r="M38" s="83">
        <f t="shared" si="2"/>
        <v>0</v>
      </c>
      <c r="N38" s="95">
        <f>SUM('Temps Proof'!AE96:AG96)</f>
        <v>0</v>
      </c>
      <c r="O38" s="83">
        <f t="shared" si="3"/>
        <v>0</v>
      </c>
      <c r="P38" s="1149">
        <f>SUM(F38,H38)</f>
        <v>0</v>
      </c>
      <c r="Q38" s="946">
        <f t="shared" si="5"/>
        <v>0</v>
      </c>
      <c r="R38" s="1176">
        <f t="shared" si="6"/>
        <v>0</v>
      </c>
      <c r="S38" s="1150">
        <f t="shared" si="7"/>
        <v>0</v>
      </c>
      <c r="T38" s="581"/>
      <c r="U38" s="585"/>
      <c r="V38" s="80">
        <f t="shared" si="8"/>
        <v>242994.60207180592</v>
      </c>
      <c r="W38" s="80">
        <f t="shared" si="9"/>
        <v>242994.60207180592</v>
      </c>
      <c r="X38" s="82">
        <f t="shared" si="26"/>
        <v>0</v>
      </c>
      <c r="Y38" s="83">
        <f t="shared" si="27"/>
        <v>0</v>
      </c>
      <c r="Z38" s="84">
        <f>'Avg Bill by RS'!AK96</f>
        <v>0</v>
      </c>
      <c r="AA38" s="1020"/>
      <c r="AB38" s="1049">
        <f>'Rate Impacts - Rev Req ONLY'!N39</f>
        <v>242994.60207180592</v>
      </c>
      <c r="AC38" s="80">
        <f>'Rate Impacts - Rev Req ONLY'!O39</f>
        <v>242994.60207180592</v>
      </c>
      <c r="AD38" s="94">
        <f>SUM('Rev Req Proof Yr2'!AF96:AH96)</f>
        <v>0</v>
      </c>
      <c r="AE38" s="84">
        <f>IFERROR((AD38/AB38),0)</f>
        <v>0</v>
      </c>
      <c r="AF38" s="94">
        <f>SUM('Temps Proof'!AQ96:AS96)</f>
        <v>0</v>
      </c>
      <c r="AG38" s="84">
        <f t="shared" si="12"/>
        <v>0</v>
      </c>
      <c r="AH38" s="1153">
        <f>'Exh. RJW-3 Combined'!AJ39</f>
        <v>0</v>
      </c>
      <c r="AI38" s="84">
        <f t="shared" si="13"/>
        <v>0</v>
      </c>
      <c r="AJ38" s="1442">
        <f>'Exh. RJW-3 Combined'!AM39</f>
        <v>0</v>
      </c>
      <c r="AK38" s="84">
        <f t="shared" si="14"/>
        <v>0</v>
      </c>
      <c r="AL38" s="1149">
        <f t="shared" si="15"/>
        <v>0</v>
      </c>
      <c r="AM38" s="1150">
        <f t="shared" si="16"/>
        <v>0</v>
      </c>
      <c r="AN38" s="581"/>
      <c r="AO38" s="585"/>
      <c r="AP38" s="80">
        <f t="shared" si="17"/>
        <v>242994.60207180592</v>
      </c>
      <c r="AQ38" s="80">
        <f t="shared" si="18"/>
        <v>242994.60207180592</v>
      </c>
      <c r="AR38" s="82">
        <f t="shared" si="19"/>
        <v>0</v>
      </c>
      <c r="AS38" s="83">
        <f t="shared" si="20"/>
        <v>0</v>
      </c>
      <c r="AT38" s="84">
        <f>'Avg Bill by RS'!CE36</f>
        <v>0</v>
      </c>
    </row>
    <row r="39" spans="2:46" ht="13.5" thickBot="1" x14ac:dyDescent="0.35">
      <c r="B39" s="1034"/>
      <c r="C39" s="1027"/>
      <c r="D39" s="53"/>
      <c r="E39" s="53"/>
      <c r="F39" s="52"/>
      <c r="G39" s="994"/>
      <c r="H39" s="52"/>
      <c r="I39" s="995"/>
      <c r="J39" s="996"/>
      <c r="K39" s="997"/>
      <c r="L39" s="996"/>
      <c r="M39" s="1174"/>
      <c r="N39" s="996"/>
      <c r="O39" s="1174"/>
      <c r="P39" s="1179"/>
      <c r="Q39" s="1180"/>
      <c r="R39" s="1180"/>
      <c r="S39" s="1181"/>
      <c r="T39" s="580"/>
      <c r="U39" s="1000"/>
      <c r="V39" s="53"/>
      <c r="W39" s="53"/>
      <c r="X39" s="1008"/>
      <c r="Y39" s="1009"/>
      <c r="Z39" s="1010"/>
      <c r="AA39" s="1020"/>
      <c r="AB39" s="52"/>
      <c r="AC39" s="53"/>
      <c r="AD39" s="52"/>
      <c r="AE39" s="994"/>
      <c r="AF39" s="52"/>
      <c r="AG39" s="994"/>
      <c r="AH39" s="1154"/>
      <c r="AI39" s="997"/>
      <c r="AJ39" s="1174"/>
      <c r="AK39" s="1174"/>
      <c r="AL39" s="998"/>
      <c r="AM39" s="999"/>
      <c r="AN39" s="580"/>
      <c r="AO39" s="1000"/>
      <c r="AP39" s="53"/>
      <c r="AQ39" s="53"/>
      <c r="AR39" s="1008"/>
      <c r="AS39" s="1009"/>
      <c r="AT39" s="1010"/>
    </row>
    <row r="40" spans="2:46" s="91" customFormat="1" x14ac:dyDescent="0.3">
      <c r="B40" s="1038"/>
      <c r="C40" s="1372" t="s">
        <v>32</v>
      </c>
      <c r="D40" s="982">
        <f>SUM(D16:D38)</f>
        <v>49604902.662138224</v>
      </c>
      <c r="E40" s="983">
        <f>SUM(E16:E38)</f>
        <v>78333454.662138224</v>
      </c>
      <c r="F40" s="1140">
        <f>SUM(F16:F38)</f>
        <v>5462264.5776675073</v>
      </c>
      <c r="G40" s="987">
        <f>IFERROR((F40/(D40-D38)),0)</f>
        <v>0.11065748453282456</v>
      </c>
      <c r="H40" s="983">
        <f>SUM(H16:H38)</f>
        <v>-462278.66210878297</v>
      </c>
      <c r="I40" s="986">
        <f>IFERROR((H40/(D40-D38)),0)</f>
        <v>-9.3650889983072708E-3</v>
      </c>
      <c r="J40" s="1001">
        <f>SUM(J16:J38)</f>
        <v>-770801.0344698329</v>
      </c>
      <c r="K40" s="987">
        <f>IFERROR((J40/(E40-E38)),0)</f>
        <v>-9.8706171519151037E-3</v>
      </c>
      <c r="L40" s="1141">
        <f>SUM(L16:L38)</f>
        <v>-437544.81737369846</v>
      </c>
      <c r="M40" s="986">
        <f>IFERROR((L40/(E40-E38)),0)</f>
        <v>-5.6030508340857935E-3</v>
      </c>
      <c r="N40" s="1141">
        <f>SUM(N16:N38)</f>
        <v>154321.70340641376</v>
      </c>
      <c r="O40" s="986">
        <f>IFERROR((N40/(E40-E38)),0)</f>
        <v>1.976191500059175E-3</v>
      </c>
      <c r="P40" s="947">
        <f>SUM(P16:P38)</f>
        <v>4999985.91555872</v>
      </c>
      <c r="Q40" s="1172">
        <f>IFERROR((P40)/(D40-D38),0)</f>
        <v>0.1012923955345172</v>
      </c>
      <c r="R40" s="1182">
        <f>SUM(R16:R38)</f>
        <v>3945961.7671216042</v>
      </c>
      <c r="S40" s="948">
        <f>IFERROR((R40)/(E40-E38),0)</f>
        <v>5.0530650787386951E-2</v>
      </c>
      <c r="T40" s="1039">
        <f>SUM(T16:T38)</f>
        <v>0</v>
      </c>
      <c r="U40" s="1043">
        <f>T40/E40</f>
        <v>0</v>
      </c>
      <c r="V40" s="988">
        <f>SUM(V16:V38)</f>
        <v>54604888.577696949</v>
      </c>
      <c r="W40" s="1046">
        <f>SUM(W16:W38)</f>
        <v>82279416.429259822</v>
      </c>
      <c r="X40" s="986">
        <f>IFERROR(SUM((V40-V38)-SUM(D40-D38))/SUM(D40-D38),0)</f>
        <v>0.10129239553451731</v>
      </c>
      <c r="Y40" s="986">
        <f>IFERROR(SUM((W40-W38)-SUM(E40-E38))/SUM(E40-E38),0)</f>
        <v>5.0530650787386874E-2</v>
      </c>
      <c r="Z40" s="987"/>
      <c r="AA40" s="1021"/>
      <c r="AB40" s="1050">
        <f>SUM(AB16:AB38)</f>
        <v>54604888.577696942</v>
      </c>
      <c r="AC40" s="1012">
        <f>SUM(AC16:AC38)</f>
        <v>83333440.577696964</v>
      </c>
      <c r="AD40" s="1142">
        <f>SUM(AD16:AD38)</f>
        <v>3000103.941193596</v>
      </c>
      <c r="AE40" s="1013">
        <f t="shared" ref="AE40" si="28">IFERROR((AD40/AB40),0)</f>
        <v>5.4942039427930842E-2</v>
      </c>
      <c r="AF40" s="1142">
        <f>SUM(AF16:AF38)</f>
        <v>-44647.663027564136</v>
      </c>
      <c r="AG40" s="1013">
        <f>IFERROR((AF40/AC40),0)</f>
        <v>-5.3577126682938692E-4</v>
      </c>
      <c r="AH40" s="1155">
        <f>SUM(AH16:AH38)</f>
        <v>-770801.0344698329</v>
      </c>
      <c r="AI40" s="1014">
        <f>IFERROR((AH40/AC40),0)</f>
        <v>-9.2496005100277476E-3</v>
      </c>
      <c r="AJ40" s="1155">
        <f>SUM(AJ16:AJ38)</f>
        <v>-438192.71031602036</v>
      </c>
      <c r="AK40" s="1014">
        <f>IFERROR((AJ40/AC40),0)</f>
        <v>-5.2583057567083882E-3</v>
      </c>
      <c r="AL40" s="1015">
        <f>SUM(AL16:AL38)</f>
        <v>2800486.6818172955</v>
      </c>
      <c r="AM40" s="1016">
        <f>IFERROR((AL40/AB40),0)</f>
        <v>5.1286372974326304E-2</v>
      </c>
      <c r="AN40" s="1017">
        <f>SUM(AN16:AN38)</f>
        <v>0</v>
      </c>
      <c r="AO40" s="1018">
        <f>AN40/AC40</f>
        <v>0</v>
      </c>
      <c r="AP40" s="1011">
        <f>SUM(AP16:AP38)</f>
        <v>57604992.518890552</v>
      </c>
      <c r="AQ40" s="1012">
        <f>SUM(AQ16:AQ38)</f>
        <v>86133927.259514228</v>
      </c>
      <c r="AR40" s="1019">
        <f>IFERROR(SUM((AP40-AP38)-SUM(AB40-AB38))/SUM(AB40-AB38),0)</f>
        <v>5.5187627247475987E-2</v>
      </c>
      <c r="AS40" s="1014">
        <f>IFERROR(SUM((AQ40-AQ38)-SUM(AC40-AC38))/SUM(AC40-AC38),0)</f>
        <v>3.3704075708521228E-2</v>
      </c>
      <c r="AT40" s="1013"/>
    </row>
    <row r="41" spans="2:46" ht="15" thickBot="1" x14ac:dyDescent="0.4">
      <c r="B41" s="1040"/>
      <c r="C41" s="1041"/>
      <c r="D41" s="1218"/>
      <c r="E41" s="1002"/>
      <c r="F41" s="1373" t="s">
        <v>525</v>
      </c>
      <c r="G41" s="1004"/>
      <c r="H41" s="1374" t="s">
        <v>525</v>
      </c>
      <c r="I41" s="1002"/>
      <c r="J41" s="1375" t="s">
        <v>525</v>
      </c>
      <c r="K41" s="89"/>
      <c r="L41" s="1374" t="s">
        <v>525</v>
      </c>
      <c r="M41" s="88"/>
      <c r="N41" s="1374" t="s">
        <v>525</v>
      </c>
      <c r="O41" s="88"/>
      <c r="P41" s="1376" t="s">
        <v>526</v>
      </c>
      <c r="Q41" s="1173"/>
      <c r="R41" s="1377" t="s">
        <v>526</v>
      </c>
      <c r="S41" s="1005"/>
      <c r="T41" s="1042"/>
      <c r="U41" s="1044"/>
      <c r="V41" s="1217"/>
      <c r="W41" s="1047"/>
      <c r="X41" s="1219" t="s">
        <v>501</v>
      </c>
      <c r="Y41" s="88"/>
      <c r="Z41" s="1378" t="s">
        <v>678</v>
      </c>
      <c r="AA41" s="1020"/>
      <c r="AB41" s="1003"/>
      <c r="AC41" s="1002"/>
      <c r="AD41" s="1373" t="s">
        <v>525</v>
      </c>
      <c r="AE41" s="1004"/>
      <c r="AF41" s="1380"/>
      <c r="AG41" s="1157"/>
      <c r="AH41" s="1156"/>
      <c r="AI41" s="88"/>
      <c r="AJ41" s="88"/>
      <c r="AK41" s="88"/>
      <c r="AL41" s="1376"/>
      <c r="AM41" s="1005"/>
      <c r="AN41" s="1006"/>
      <c r="AO41" s="1007"/>
      <c r="AP41" s="1002"/>
      <c r="AQ41" s="1045"/>
      <c r="AR41" s="1219"/>
      <c r="AS41" s="88"/>
      <c r="AT41" s="1378" t="s">
        <v>526</v>
      </c>
    </row>
    <row r="42" spans="2:46" ht="6.75" customHeight="1" x14ac:dyDescent="0.3">
      <c r="D42" s="87"/>
      <c r="E42" s="87"/>
      <c r="F42" s="87"/>
      <c r="G42" s="87"/>
      <c r="H42" s="87"/>
      <c r="I42" s="87"/>
      <c r="J42" s="87"/>
      <c r="K42" s="87"/>
      <c r="L42" s="87"/>
      <c r="M42" s="87"/>
      <c r="N42" s="87"/>
      <c r="O42" s="87"/>
      <c r="P42" s="87"/>
      <c r="Q42" s="1220" t="s">
        <v>502</v>
      </c>
      <c r="R42" s="87"/>
      <c r="S42" s="87"/>
      <c r="T42" s="87"/>
      <c r="U42" s="87"/>
      <c r="V42" s="87"/>
    </row>
    <row r="43" spans="2:46" ht="12" customHeight="1" x14ac:dyDescent="0.3">
      <c r="B43" s="880" t="s">
        <v>631</v>
      </c>
      <c r="C43" s="876"/>
      <c r="D43" s="97"/>
      <c r="E43" s="98"/>
      <c r="F43" s="61"/>
      <c r="G43" s="61"/>
      <c r="H43" s="98"/>
      <c r="I43" s="61"/>
      <c r="J43" s="98"/>
      <c r="K43" s="98"/>
      <c r="L43" s="98"/>
      <c r="M43" s="98"/>
      <c r="N43" s="98"/>
      <c r="O43" s="98"/>
      <c r="P43" s="98"/>
      <c r="Q43" s="98"/>
      <c r="R43" s="98"/>
      <c r="S43" s="98"/>
      <c r="T43" s="98"/>
      <c r="U43" s="98"/>
      <c r="V43" s="61"/>
      <c r="W43" s="99"/>
      <c r="X43" s="573"/>
      <c r="Y43" s="61"/>
      <c r="Z43" s="61"/>
      <c r="AA43" s="61"/>
      <c r="AB43" s="880" t="s">
        <v>631</v>
      </c>
      <c r="AC43" s="876"/>
    </row>
    <row r="44" spans="2:46" ht="12" customHeight="1" x14ac:dyDescent="0.3">
      <c r="B44" s="880" t="s">
        <v>522</v>
      </c>
      <c r="C44" s="881"/>
      <c r="D44" s="97"/>
      <c r="E44" s="98"/>
      <c r="F44" s="99"/>
      <c r="G44" s="99"/>
      <c r="H44" s="98"/>
      <c r="I44" s="99"/>
      <c r="J44" s="98"/>
      <c r="K44" s="98"/>
      <c r="L44" s="98"/>
      <c r="M44" s="98"/>
      <c r="N44" s="98"/>
      <c r="O44" s="98"/>
      <c r="P44" s="98"/>
      <c r="Q44" s="98"/>
      <c r="R44" s="98"/>
      <c r="S44" s="98"/>
      <c r="T44" s="98"/>
      <c r="U44" s="98"/>
      <c r="V44" s="61"/>
      <c r="W44" s="1216"/>
      <c r="X44" s="573"/>
      <c r="Y44" s="61"/>
      <c r="Z44" s="61"/>
      <c r="AA44" s="61"/>
      <c r="AB44" s="880" t="s">
        <v>528</v>
      </c>
    </row>
    <row r="45" spans="2:46" ht="12" customHeight="1" x14ac:dyDescent="0.3">
      <c r="B45" s="880" t="s">
        <v>523</v>
      </c>
      <c r="D45" s="97"/>
      <c r="E45" s="98"/>
      <c r="F45" s="99"/>
      <c r="G45" s="99"/>
      <c r="H45" s="98"/>
      <c r="I45" s="99"/>
      <c r="J45" s="98"/>
      <c r="K45" s="98"/>
      <c r="L45" s="98"/>
      <c r="M45" s="98"/>
      <c r="N45" s="98"/>
      <c r="O45" s="98"/>
      <c r="P45" s="98"/>
      <c r="Q45" s="98"/>
      <c r="R45" s="98"/>
      <c r="S45" s="98"/>
      <c r="T45" s="98"/>
      <c r="U45" s="98"/>
      <c r="V45" s="61"/>
      <c r="W45" s="61"/>
      <c r="X45" s="61"/>
      <c r="Y45" s="61"/>
      <c r="Z45" s="61"/>
      <c r="AA45" s="61"/>
      <c r="AB45" s="880" t="s">
        <v>523</v>
      </c>
    </row>
    <row r="46" spans="2:46" ht="12" customHeight="1" x14ac:dyDescent="0.3">
      <c r="B46" s="880" t="s">
        <v>524</v>
      </c>
      <c r="D46" s="97"/>
      <c r="E46" s="98"/>
      <c r="F46" s="61"/>
      <c r="G46" s="61"/>
      <c r="H46" s="98"/>
      <c r="I46" s="61"/>
      <c r="J46" s="98"/>
      <c r="K46" s="98"/>
      <c r="L46" s="98"/>
      <c r="M46" s="98"/>
      <c r="N46" s="98"/>
      <c r="O46" s="98"/>
      <c r="P46" s="98"/>
      <c r="Q46" s="98"/>
      <c r="R46" s="98"/>
      <c r="S46" s="98"/>
      <c r="T46" s="98"/>
      <c r="U46" s="98"/>
      <c r="V46" s="61"/>
      <c r="W46" s="61"/>
      <c r="X46" s="61"/>
      <c r="Y46" s="61"/>
      <c r="Z46" s="61"/>
      <c r="AA46" s="61"/>
      <c r="AB46" s="880" t="s">
        <v>524</v>
      </c>
      <c r="AC46" s="881"/>
    </row>
    <row r="47" spans="2:46" ht="12" customHeight="1" x14ac:dyDescent="0.3">
      <c r="B47" s="880" t="s">
        <v>679</v>
      </c>
      <c r="D47" s="97"/>
      <c r="E47" s="98"/>
      <c r="F47" s="61"/>
      <c r="G47" s="61"/>
      <c r="H47" s="98"/>
      <c r="I47" s="61"/>
      <c r="J47" s="98"/>
      <c r="K47" s="98"/>
      <c r="L47" s="98"/>
      <c r="M47" s="98"/>
      <c r="N47" s="98"/>
      <c r="O47" s="98"/>
      <c r="P47" s="98"/>
      <c r="Q47" s="98"/>
      <c r="R47" s="98"/>
      <c r="S47" s="98"/>
      <c r="T47" s="98"/>
      <c r="U47" s="98"/>
      <c r="V47" s="61"/>
      <c r="W47" s="61"/>
      <c r="X47" s="61"/>
      <c r="Y47" s="61"/>
      <c r="Z47" s="61"/>
      <c r="AA47" s="61"/>
      <c r="AB47" s="880" t="s">
        <v>639</v>
      </c>
    </row>
    <row r="48" spans="2:46" x14ac:dyDescent="0.3">
      <c r="B48" s="880" t="s">
        <v>680</v>
      </c>
      <c r="C48" s="876"/>
      <c r="D48" s="96"/>
      <c r="E48" s="61"/>
      <c r="F48" s="61"/>
      <c r="G48" s="61"/>
      <c r="H48" s="61"/>
      <c r="I48" s="61"/>
      <c r="J48" s="61"/>
      <c r="K48" s="61"/>
      <c r="L48" s="61"/>
      <c r="M48" s="61"/>
      <c r="N48" s="61"/>
      <c r="O48" s="61"/>
      <c r="P48" s="61"/>
      <c r="Q48" s="61"/>
      <c r="R48" s="61"/>
      <c r="S48" s="61"/>
      <c r="T48" s="61"/>
      <c r="U48" s="61"/>
      <c r="V48" s="61"/>
      <c r="W48" s="61"/>
      <c r="X48" s="61"/>
      <c r="Y48" s="61"/>
      <c r="Z48" s="61"/>
      <c r="AA48" s="61"/>
      <c r="AB48" s="880" t="s">
        <v>527</v>
      </c>
    </row>
    <row r="49" spans="2:43" ht="13" customHeight="1" x14ac:dyDescent="0.3">
      <c r="B49" s="880" t="s">
        <v>681</v>
      </c>
      <c r="C49" s="881"/>
      <c r="D49" s="96"/>
      <c r="E49" s="61"/>
      <c r="F49" s="61"/>
      <c r="G49" s="61"/>
      <c r="H49" s="61"/>
      <c r="I49" s="61"/>
      <c r="J49" s="61"/>
      <c r="K49" s="61"/>
      <c r="L49" s="61"/>
      <c r="M49" s="61"/>
      <c r="N49" s="61"/>
      <c r="O49" s="61"/>
      <c r="P49" s="61"/>
      <c r="Q49" s="61"/>
      <c r="R49" s="61"/>
      <c r="S49" s="61"/>
      <c r="T49" s="61"/>
      <c r="U49" s="61"/>
      <c r="V49" s="61"/>
      <c r="W49" s="61"/>
      <c r="X49" s="61"/>
      <c r="Y49" s="61"/>
      <c r="Z49" s="61"/>
      <c r="AA49" s="61"/>
    </row>
    <row r="50" spans="2:43" ht="12" customHeight="1" x14ac:dyDescent="0.3">
      <c r="B50" s="1281"/>
      <c r="C50" s="97"/>
      <c r="D50" s="96"/>
      <c r="E50" s="61"/>
      <c r="F50" s="61"/>
      <c r="G50" s="61"/>
      <c r="H50" s="61"/>
      <c r="I50" s="61"/>
      <c r="J50" s="61"/>
      <c r="K50" s="61"/>
      <c r="L50" s="61"/>
      <c r="M50" s="61"/>
      <c r="N50" s="61"/>
      <c r="O50" s="61"/>
      <c r="P50" s="61"/>
      <c r="Q50" s="61"/>
      <c r="R50" s="61"/>
      <c r="S50" s="61"/>
      <c r="T50" s="61"/>
      <c r="U50" s="61"/>
      <c r="V50" s="61"/>
      <c r="W50" s="61"/>
      <c r="X50" s="61"/>
      <c r="Y50" s="61"/>
      <c r="Z50" s="61"/>
      <c r="AA50" s="61"/>
    </row>
    <row r="51" spans="2:43" ht="12" customHeight="1" thickBot="1" x14ac:dyDescent="0.35">
      <c r="B51" s="1281"/>
      <c r="C51" s="97"/>
      <c r="D51" s="61"/>
      <c r="E51" s="61"/>
      <c r="F51" s="61"/>
      <c r="G51" s="61"/>
      <c r="H51" s="61"/>
      <c r="I51" s="61"/>
      <c r="J51" s="61"/>
      <c r="K51" s="61"/>
      <c r="L51" s="61"/>
      <c r="M51" s="61"/>
      <c r="N51" s="61"/>
      <c r="O51" s="61"/>
      <c r="P51" s="61"/>
      <c r="Q51" s="61"/>
      <c r="R51" s="61"/>
      <c r="S51" s="61"/>
      <c r="T51" s="61"/>
      <c r="U51" s="61"/>
      <c r="V51" s="1221" t="s">
        <v>402</v>
      </c>
      <c r="W51" s="1921" t="s">
        <v>498</v>
      </c>
      <c r="X51" s="1921"/>
      <c r="Y51" s="1921"/>
      <c r="Z51" s="1921"/>
      <c r="AA51" s="61"/>
      <c r="AB51" s="1921" t="s">
        <v>499</v>
      </c>
      <c r="AC51" s="1921"/>
      <c r="AD51" s="1921"/>
      <c r="AE51" s="1921"/>
      <c r="AG51" s="1921" t="s">
        <v>500</v>
      </c>
      <c r="AH51" s="1921"/>
      <c r="AI51" s="1921"/>
      <c r="AJ51" s="1921"/>
      <c r="AK51" s="1921"/>
      <c r="AL51" s="1921"/>
      <c r="AP51" s="1381" t="s">
        <v>80</v>
      </c>
      <c r="AQ51" s="1382" t="s">
        <v>506</v>
      </c>
    </row>
    <row r="52" spans="2:43" x14ac:dyDescent="0.3">
      <c r="W52" s="1205" t="s">
        <v>490</v>
      </c>
      <c r="X52" s="1205" t="s">
        <v>491</v>
      </c>
      <c r="Y52" s="1205" t="s">
        <v>492</v>
      </c>
      <c r="Z52" s="1205" t="s">
        <v>493</v>
      </c>
      <c r="AB52" s="1205" t="s">
        <v>496</v>
      </c>
      <c r="AC52" s="1205" t="s">
        <v>497</v>
      </c>
      <c r="AD52" s="1205" t="s">
        <v>492</v>
      </c>
      <c r="AE52" s="1205" t="s">
        <v>493</v>
      </c>
      <c r="AG52" s="1205" t="s">
        <v>496</v>
      </c>
      <c r="AH52" s="1205" t="s">
        <v>497</v>
      </c>
      <c r="AI52" s="1205" t="s">
        <v>492</v>
      </c>
      <c r="AJ52" s="1205"/>
      <c r="AK52" s="1205"/>
      <c r="AL52" s="1205" t="s">
        <v>493</v>
      </c>
      <c r="AP52" s="1383" t="s">
        <v>359</v>
      </c>
      <c r="AQ52" s="1383" t="s">
        <v>507</v>
      </c>
    </row>
    <row r="53" spans="2:43" x14ac:dyDescent="0.3">
      <c r="V53" s="51" t="s">
        <v>253</v>
      </c>
      <c r="W53" s="1206">
        <f>D16+D18</f>
        <v>34006734.72181496</v>
      </c>
      <c r="X53" s="1206">
        <f>V16+V18</f>
        <v>37577541.187851176</v>
      </c>
      <c r="Y53" s="1206">
        <f>X53-W53</f>
        <v>3570806.4660362154</v>
      </c>
      <c r="Z53" s="1208">
        <f>Y53/W53</f>
        <v>0.10500292060518179</v>
      </c>
      <c r="AB53" s="1206">
        <f>E16+E18</f>
        <v>53291888.72181496</v>
      </c>
      <c r="AC53" s="1206">
        <f>AB53+Y53</f>
        <v>56862695.187851176</v>
      </c>
      <c r="AD53" s="1206">
        <f>AC53-AB53</f>
        <v>3570806.4660362154</v>
      </c>
      <c r="AE53" s="1208">
        <f>AD53/AB53</f>
        <v>6.7004689675682502E-2</v>
      </c>
      <c r="AG53" s="1206">
        <f>AB53</f>
        <v>53291888.72181496</v>
      </c>
      <c r="AH53" s="1206">
        <f>W16+W18</f>
        <v>56097442.948517151</v>
      </c>
      <c r="AI53" s="1206">
        <f>AH53-AG53</f>
        <v>2805554.2267021909</v>
      </c>
      <c r="AJ53" s="1206"/>
      <c r="AK53" s="1206"/>
      <c r="AL53" s="1208">
        <f>AI53/AG53</f>
        <v>5.2645051507692976E-2</v>
      </c>
      <c r="AP53" s="1225">
        <f>'WA Volumes &amp; Revenues'!Y22</f>
        <v>82030</v>
      </c>
      <c r="AQ53" s="1223">
        <f>(AI53/AP53)/12</f>
        <v>2.8501302640316459</v>
      </c>
    </row>
    <row r="54" spans="2:43" x14ac:dyDescent="0.3">
      <c r="F54" s="943"/>
      <c r="V54" s="51" t="s">
        <v>26</v>
      </c>
      <c r="W54" s="1206">
        <f>D17+D19+D21+D22+D28</f>
        <v>11867633.430188185</v>
      </c>
      <c r="X54" s="1206">
        <f>V17+V19+V21+V22+V28</f>
        <v>13113928.569930695</v>
      </c>
      <c r="Y54" s="1206">
        <f t="shared" ref="Y54:Y57" si="29">X54-W54</f>
        <v>1246295.1397425104</v>
      </c>
      <c r="Z54" s="1208">
        <f t="shared" ref="Z54:Z58" si="30">Y54/W54</f>
        <v>0.10501631576960058</v>
      </c>
      <c r="AB54" s="1206">
        <f>E17+E19+E21+E22+E28</f>
        <v>19853121.430188186</v>
      </c>
      <c r="AC54" s="1206">
        <f t="shared" ref="AC54:AC57" si="31">AB54+Y54</f>
        <v>21099416.569930695</v>
      </c>
      <c r="AD54" s="1206">
        <f t="shared" ref="AD54:AD57" si="32">AC54-AB54</f>
        <v>1246295.1397425085</v>
      </c>
      <c r="AE54" s="1208">
        <f t="shared" ref="AE54:AE58" si="33">AD54/AB54</f>
        <v>6.2775777810305522E-2</v>
      </c>
      <c r="AG54" s="1206">
        <f t="shared" ref="AG54:AG57" si="34">AB54</f>
        <v>19853121.430188186</v>
      </c>
      <c r="AH54" s="1206">
        <f>W17+W19+W21+W22+W28</f>
        <v>20832472.663063601</v>
      </c>
      <c r="AI54" s="1206">
        <f t="shared" ref="AI54:AI57" si="35">AH54-AG54</f>
        <v>979351.23287541419</v>
      </c>
      <c r="AJ54" s="1206"/>
      <c r="AK54" s="1206"/>
      <c r="AL54" s="1208">
        <f t="shared" ref="AL54:AL58" si="36">AI54/AG54</f>
        <v>4.9329836435001898E-2</v>
      </c>
      <c r="AP54" s="1225">
        <f>'WA Volumes &amp; Revenues'!Y23</f>
        <v>7224</v>
      </c>
      <c r="AQ54" s="1223">
        <f t="shared" ref="AQ54:AQ58" si="37">(AI54/AP54)/12</f>
        <v>11.297425628407787</v>
      </c>
    </row>
    <row r="55" spans="2:43" x14ac:dyDescent="0.3">
      <c r="V55" s="51" t="s">
        <v>487</v>
      </c>
      <c r="W55" s="1206">
        <f>D20+D23+D29</f>
        <v>1046175.3848576922</v>
      </c>
      <c r="X55" s="1206">
        <f>V20+V23+V29</f>
        <v>1102532.5337376923</v>
      </c>
      <c r="Y55" s="1206">
        <f t="shared" si="29"/>
        <v>56357.14888000011</v>
      </c>
      <c r="Z55" s="1208">
        <f t="shared" si="30"/>
        <v>5.3869694982038016E-2</v>
      </c>
      <c r="AB55" s="1206">
        <f>E20+E23+E29</f>
        <v>2143268.3848576923</v>
      </c>
      <c r="AC55" s="1206">
        <f t="shared" si="31"/>
        <v>2199625.5337376925</v>
      </c>
      <c r="AD55" s="1206">
        <f t="shared" si="32"/>
        <v>56357.148880000226</v>
      </c>
      <c r="AE55" s="1208">
        <f t="shared" si="33"/>
        <v>2.6294956468432301E-2</v>
      </c>
      <c r="AG55" s="1206">
        <f t="shared" si="34"/>
        <v>2143268.3848576923</v>
      </c>
      <c r="AH55" s="1206">
        <f>W20+W23+W29</f>
        <v>2193871.2306716926</v>
      </c>
      <c r="AI55" s="1206">
        <f t="shared" si="35"/>
        <v>50602.845814000349</v>
      </c>
      <c r="AJ55" s="1206"/>
      <c r="AK55" s="1206"/>
      <c r="AL55" s="1208">
        <f t="shared" si="36"/>
        <v>2.3610130290500343E-2</v>
      </c>
      <c r="AP55" s="1225">
        <f>'WA Volumes &amp; Revenues'!Y24</f>
        <v>53.999999999999993</v>
      </c>
      <c r="AQ55" s="1223">
        <f t="shared" si="37"/>
        <v>78.090811441358582</v>
      </c>
    </row>
    <row r="56" spans="2:43" x14ac:dyDescent="0.3">
      <c r="V56" s="51" t="s">
        <v>488</v>
      </c>
      <c r="W56" s="1206">
        <f>D25+D33+D24+D32</f>
        <v>241642.64647558174</v>
      </c>
      <c r="X56" s="1206">
        <f>V24+V25+V32+V33</f>
        <v>262220.03276558174</v>
      </c>
      <c r="Y56" s="1206">
        <f t="shared" si="29"/>
        <v>20577.386289999995</v>
      </c>
      <c r="Z56" s="1208">
        <f t="shared" si="30"/>
        <v>8.5156269351152641E-2</v>
      </c>
      <c r="AB56" s="1206">
        <f>E25+E33+E24+E32</f>
        <v>602459.64647558169</v>
      </c>
      <c r="AC56" s="1206">
        <f t="shared" si="31"/>
        <v>623037.03276558174</v>
      </c>
      <c r="AD56" s="1206">
        <f t="shared" si="32"/>
        <v>20577.386290000053</v>
      </c>
      <c r="AE56" s="1208">
        <f t="shared" si="33"/>
        <v>3.4155625875324211E-2</v>
      </c>
      <c r="AG56" s="1206">
        <f t="shared" si="34"/>
        <v>602459.64647558169</v>
      </c>
      <c r="AH56" s="1206">
        <f>W24+W25+W32+W33</f>
        <v>618984.58283558162</v>
      </c>
      <c r="AI56" s="1206">
        <f t="shared" si="35"/>
        <v>16524.936359999934</v>
      </c>
      <c r="AJ56" s="1206"/>
      <c r="AK56" s="1206"/>
      <c r="AL56" s="1208">
        <f t="shared" si="36"/>
        <v>2.7429117380179099E-2</v>
      </c>
      <c r="AP56" s="1225">
        <f>'WA Volumes &amp; Revenues'!Y25</f>
        <v>4.9166666666666696</v>
      </c>
      <c r="AQ56" s="1223">
        <f t="shared" si="37"/>
        <v>280.08366711864278</v>
      </c>
    </row>
    <row r="57" spans="2:43" x14ac:dyDescent="0.3">
      <c r="V57" s="598" t="s">
        <v>494</v>
      </c>
      <c r="W57" s="1206">
        <f>D26+D27+D30+D31+D34+D35+D36+D37</f>
        <v>2199721.8767299997</v>
      </c>
      <c r="X57" s="1206">
        <f>V26+V27+V30+V31+V34+V35+V36+V37</f>
        <v>2305671.6513399999</v>
      </c>
      <c r="Y57" s="1206">
        <f t="shared" si="29"/>
        <v>105949.7746100002</v>
      </c>
      <c r="Z57" s="1208">
        <f t="shared" si="30"/>
        <v>4.8165077472202993E-2</v>
      </c>
      <c r="AB57" s="1206">
        <f>E26+E27+E30+E31+E34+E35+E36+E37</f>
        <v>2199721.8767299997</v>
      </c>
      <c r="AC57" s="1206">
        <f t="shared" si="31"/>
        <v>2305671.6513399999</v>
      </c>
      <c r="AD57" s="1206">
        <f t="shared" si="32"/>
        <v>105949.7746100002</v>
      </c>
      <c r="AE57" s="1208">
        <f t="shared" si="33"/>
        <v>4.8165077472202993E-2</v>
      </c>
      <c r="AG57" s="1206">
        <f t="shared" si="34"/>
        <v>2199721.8767299997</v>
      </c>
      <c r="AH57" s="1206">
        <f>W26+W27+W30+W31+W34+W35+W36+W37</f>
        <v>2293650.4021000001</v>
      </c>
      <c r="AI57" s="1206">
        <f t="shared" si="35"/>
        <v>93928.525370000396</v>
      </c>
      <c r="AJ57" s="1206"/>
      <c r="AK57" s="1206"/>
      <c r="AL57" s="1208">
        <f t="shared" si="36"/>
        <v>4.2700182401981659E-2</v>
      </c>
      <c r="AP57" s="1227">
        <f>'WA Volumes &amp; Revenues'!Y26</f>
        <v>27.833333333333336</v>
      </c>
      <c r="AQ57" s="1232">
        <f t="shared" si="37"/>
        <v>281.22312985030055</v>
      </c>
    </row>
    <row r="58" spans="2:43" x14ac:dyDescent="0.3">
      <c r="V58" s="51" t="s">
        <v>489</v>
      </c>
      <c r="W58" s="1207">
        <f>SUM(W53:W57)</f>
        <v>49361908.060066424</v>
      </c>
      <c r="X58" s="1207">
        <f>SUM(X53:X57)</f>
        <v>54361893.975625142</v>
      </c>
      <c r="Y58" s="1207">
        <f>SUM(Y53:Y57)</f>
        <v>4999985.9155587256</v>
      </c>
      <c r="Z58" s="1209">
        <f t="shared" si="30"/>
        <v>0.1012923955345173</v>
      </c>
      <c r="AB58" s="1207">
        <f>SUM(AB53:AB57)</f>
        <v>78090460.060066417</v>
      </c>
      <c r="AC58" s="1207">
        <f>SUM(AC53:AC57)</f>
        <v>83090445.975625128</v>
      </c>
      <c r="AD58" s="1207">
        <f>SUM(AD53:AD57)</f>
        <v>4999985.9155587237</v>
      </c>
      <c r="AE58" s="1209">
        <f t="shared" si="33"/>
        <v>6.4028127273328697E-2</v>
      </c>
      <c r="AG58" s="1207">
        <f>SUM(AG53:AG57)</f>
        <v>78090460.060066417</v>
      </c>
      <c r="AH58" s="1207">
        <f>SUM(AH53:AH57)</f>
        <v>82036421.82718803</v>
      </c>
      <c r="AI58" s="1207">
        <f>SUM(AI53:AI57)</f>
        <v>3945961.767121606</v>
      </c>
      <c r="AJ58" s="1207"/>
      <c r="AK58" s="1207"/>
      <c r="AL58" s="1209">
        <f t="shared" si="36"/>
        <v>5.0530650787386971E-2</v>
      </c>
      <c r="AP58" s="1226">
        <f>SUM(AP53:AP57)</f>
        <v>89340.75</v>
      </c>
      <c r="AQ58" s="1224">
        <f t="shared" si="37"/>
        <v>3.6806289096535885</v>
      </c>
    </row>
    <row r="59" spans="2:43" x14ac:dyDescent="0.3">
      <c r="AH59" s="943"/>
      <c r="AI59" s="943"/>
      <c r="AJ59" s="943"/>
      <c r="AK59" s="943"/>
    </row>
    <row r="60" spans="2:43" x14ac:dyDescent="0.3">
      <c r="V60" s="598" t="s">
        <v>495</v>
      </c>
      <c r="Y60" s="943"/>
    </row>
    <row r="61" spans="2:43" x14ac:dyDescent="0.3">
      <c r="Y61" s="943"/>
    </row>
    <row r="62" spans="2:43" ht="13.5" thickBot="1" x14ac:dyDescent="0.35">
      <c r="V62" s="1221" t="s">
        <v>397</v>
      </c>
      <c r="W62" s="1921" t="s">
        <v>498</v>
      </c>
      <c r="X62" s="1921"/>
      <c r="Y62" s="1921"/>
      <c r="Z62" s="1921"/>
      <c r="AA62" s="61"/>
      <c r="AB62" s="1921" t="s">
        <v>499</v>
      </c>
      <c r="AC62" s="1921"/>
      <c r="AD62" s="1921"/>
      <c r="AE62" s="1921"/>
      <c r="AG62" s="1921" t="s">
        <v>500</v>
      </c>
      <c r="AH62" s="1921"/>
      <c r="AI62" s="1921"/>
      <c r="AJ62" s="1921"/>
      <c r="AK62" s="1921"/>
      <c r="AL62" s="1921"/>
      <c r="AP62" s="1205" t="s">
        <v>80</v>
      </c>
      <c r="AQ62" s="1228" t="s">
        <v>506</v>
      </c>
    </row>
    <row r="63" spans="2:43" x14ac:dyDescent="0.3">
      <c r="W63" s="1205" t="s">
        <v>490</v>
      </c>
      <c r="X63" s="1205" t="s">
        <v>491</v>
      </c>
      <c r="Y63" s="1205" t="s">
        <v>492</v>
      </c>
      <c r="Z63" s="1205" t="s">
        <v>493</v>
      </c>
      <c r="AB63" s="1205" t="s">
        <v>496</v>
      </c>
      <c r="AC63" s="1205" t="s">
        <v>497</v>
      </c>
      <c r="AD63" s="1205" t="s">
        <v>492</v>
      </c>
      <c r="AE63" s="1205" t="s">
        <v>493</v>
      </c>
      <c r="AG63" s="1205" t="s">
        <v>496</v>
      </c>
      <c r="AH63" s="1205" t="s">
        <v>497</v>
      </c>
      <c r="AI63" s="1205" t="s">
        <v>492</v>
      </c>
      <c r="AJ63" s="1205"/>
      <c r="AK63" s="1205"/>
      <c r="AL63" s="1205" t="s">
        <v>493</v>
      </c>
      <c r="AP63" s="1229" t="s">
        <v>359</v>
      </c>
      <c r="AQ63" s="1229" t="s">
        <v>507</v>
      </c>
    </row>
    <row r="64" spans="2:43" x14ac:dyDescent="0.3">
      <c r="V64" s="51" t="s">
        <v>253</v>
      </c>
      <c r="W64" s="1206">
        <f>X53</f>
        <v>37577541.187851176</v>
      </c>
      <c r="X64" s="1206">
        <f>AP16+AP18</f>
        <v>39735063.88775593</v>
      </c>
      <c r="Y64" s="1206">
        <f>X64-W64</f>
        <v>2157522.6999047548</v>
      </c>
      <c r="Z64" s="1208">
        <f>Y64/W64</f>
        <v>5.7415217486403346E-2</v>
      </c>
      <c r="AB64" s="1206">
        <f>AC16+AC18</f>
        <v>56862695.187851176</v>
      </c>
      <c r="AC64" s="1206">
        <f>AD16+AD18+AB64</f>
        <v>59020217.88775593</v>
      </c>
      <c r="AD64" s="1206">
        <f>AC64-AB64</f>
        <v>2157522.6999047548</v>
      </c>
      <c r="AE64" s="1208">
        <f>AD64/AB64</f>
        <v>3.7942673887988936E-2</v>
      </c>
      <c r="AG64" s="1206">
        <f>AB64</f>
        <v>56862695.187851176</v>
      </c>
      <c r="AH64" s="1206">
        <f>AQ16+AQ18</f>
        <v>58881436.481542759</v>
      </c>
      <c r="AI64" s="1206">
        <f>AH64-AG64</f>
        <v>2018741.293691583</v>
      </c>
      <c r="AJ64" s="1206"/>
      <c r="AK64" s="1206"/>
      <c r="AL64" s="1208">
        <f>AI64/AG64</f>
        <v>3.5502033222703996E-2</v>
      </c>
      <c r="AP64" s="1230">
        <f>AP53</f>
        <v>82030</v>
      </c>
      <c r="AQ64" s="1223">
        <f>(AI64/AP64)/12</f>
        <v>2.0508160568202518</v>
      </c>
    </row>
    <row r="65" spans="22:43" x14ac:dyDescent="0.3">
      <c r="V65" s="51" t="s">
        <v>26</v>
      </c>
      <c r="W65" s="1206">
        <f>X54</f>
        <v>13113928.569930695</v>
      </c>
      <c r="X65" s="1206">
        <f>AP17+AP19+AP21+AP22+AP28</f>
        <v>13866779.543872537</v>
      </c>
      <c r="Y65" s="1206">
        <f t="shared" ref="Y65:Y68" si="38">X65-W65</f>
        <v>752850.97394184209</v>
      </c>
      <c r="Z65" s="1208">
        <f t="shared" ref="Z65:Z69" si="39">Y65/W65</f>
        <v>5.7408500429693955E-2</v>
      </c>
      <c r="AB65" s="1206">
        <f>AC17+AC19+AC21+AC22+AC28</f>
        <v>21099416.569930699</v>
      </c>
      <c r="AC65" s="1206">
        <f>AD17+AD19+AD21+AD22+AD28+AB65</f>
        <v>21852267.543872539</v>
      </c>
      <c r="AD65" s="1206">
        <f>AC65-AB65</f>
        <v>752850.97394184023</v>
      </c>
      <c r="AE65" s="1208">
        <f>AD65/AB65</f>
        <v>3.5681127553770696E-2</v>
      </c>
      <c r="AG65" s="1206">
        <f t="shared" ref="AG65:AG68" si="40">AB65</f>
        <v>21099416.569930699</v>
      </c>
      <c r="AH65" s="1206">
        <f>AQ17+AQ19+AQ21+AQ22+AQ28</f>
        <v>21803917.608134411</v>
      </c>
      <c r="AI65" s="1206">
        <f t="shared" ref="AI65:AI68" si="41">AH65-AG65</f>
        <v>704501.03820371255</v>
      </c>
      <c r="AJ65" s="1206"/>
      <c r="AK65" s="1206"/>
      <c r="AL65" s="1208">
        <f t="shared" ref="AL65:AL69" si="42">AI65/AG65</f>
        <v>3.3389598042616708E-2</v>
      </c>
      <c r="AP65" s="1230">
        <f>AP54</f>
        <v>7224</v>
      </c>
      <c r="AQ65" s="1223">
        <f t="shared" ref="AQ65:AQ69" si="43">(AI65/AP65)/12</f>
        <v>8.1268576758457058</v>
      </c>
    </row>
    <row r="66" spans="22:43" x14ac:dyDescent="0.3">
      <c r="V66" s="51" t="s">
        <v>487</v>
      </c>
      <c r="W66" s="1206">
        <f>X55</f>
        <v>1102532.5337376923</v>
      </c>
      <c r="X66" s="1206">
        <f>AP20+AP23+AP29</f>
        <v>1130440.6141546923</v>
      </c>
      <c r="Y66" s="1206">
        <f t="shared" si="38"/>
        <v>27908.08041699999</v>
      </c>
      <c r="Z66" s="1208">
        <f t="shared" si="39"/>
        <v>2.5312704671297898E-2</v>
      </c>
      <c r="AB66" s="1206">
        <f>AC20+AC23+AC29</f>
        <v>2199625.5337376921</v>
      </c>
      <c r="AC66" s="1206">
        <f>AD20+AD23+AD29+AB66</f>
        <v>2227533.6141546923</v>
      </c>
      <c r="AD66" s="1206">
        <f>AC66-AB66</f>
        <v>27908.080417000223</v>
      </c>
      <c r="AE66" s="1208">
        <f>AD66/AB66</f>
        <v>1.2687650688241327E-2</v>
      </c>
      <c r="AG66" s="1206">
        <f t="shared" si="40"/>
        <v>2199625.5337376921</v>
      </c>
      <c r="AH66" s="1206">
        <f>AQ20+AQ23+AQ29</f>
        <v>2223791.6388796922</v>
      </c>
      <c r="AI66" s="1206">
        <f t="shared" si="41"/>
        <v>24166.105142000131</v>
      </c>
      <c r="AJ66" s="1206"/>
      <c r="AK66" s="1206"/>
      <c r="AL66" s="1208">
        <f t="shared" si="42"/>
        <v>1.0986463273562803E-2</v>
      </c>
      <c r="AP66" s="1230">
        <f>AP55</f>
        <v>53.999999999999993</v>
      </c>
      <c r="AQ66" s="1223">
        <f t="shared" si="43"/>
        <v>37.293372132716257</v>
      </c>
    </row>
    <row r="67" spans="22:43" x14ac:dyDescent="0.3">
      <c r="V67" s="51" t="s">
        <v>488</v>
      </c>
      <c r="W67" s="1206">
        <f>X56</f>
        <v>262220.03276558174</v>
      </c>
      <c r="X67" s="1206">
        <f>AP25+AP33+AP24+AP32</f>
        <v>274098.99680558173</v>
      </c>
      <c r="Y67" s="1206">
        <f t="shared" si="38"/>
        <v>11878.964039999992</v>
      </c>
      <c r="Z67" s="1208">
        <f t="shared" si="39"/>
        <v>4.5301512301386578E-2</v>
      </c>
      <c r="AB67" s="1206">
        <f>AC25+AC33+AC24+AC32</f>
        <v>623037.03276558162</v>
      </c>
      <c r="AC67" s="1206">
        <f>AD25+AD33+AD24+AD32+AB67</f>
        <v>634915.99680558161</v>
      </c>
      <c r="AD67" s="1206">
        <f>AC67-AB67</f>
        <v>11878.964039999992</v>
      </c>
      <c r="AE67" s="1208">
        <f>AD67/AB67</f>
        <v>1.9066224662875643E-2</v>
      </c>
      <c r="AG67" s="1206">
        <f t="shared" si="40"/>
        <v>623037.03276558162</v>
      </c>
      <c r="AH67" s="1206">
        <f>AQ25+AQ33+AQ24+AQ32</f>
        <v>633977.01570558164</v>
      </c>
      <c r="AI67" s="1206">
        <f t="shared" si="41"/>
        <v>10939.982940000016</v>
      </c>
      <c r="AJ67" s="1206"/>
      <c r="AK67" s="1206"/>
      <c r="AL67" s="1208">
        <f t="shared" si="42"/>
        <v>1.7559121472184136E-2</v>
      </c>
      <c r="AP67" s="1230">
        <f>AP56</f>
        <v>4.9166666666666696</v>
      </c>
      <c r="AQ67" s="1223">
        <f t="shared" si="43"/>
        <v>185.42343966101711</v>
      </c>
    </row>
    <row r="68" spans="22:43" x14ac:dyDescent="0.3">
      <c r="V68" s="598" t="s">
        <v>494</v>
      </c>
      <c r="W68" s="1206">
        <f>X57</f>
        <v>2305671.6513399999</v>
      </c>
      <c r="X68" s="1206">
        <f>AP26+AP27+AP30+AP31+AP34+AP35+AP36+AP37</f>
        <v>2355614.8742299997</v>
      </c>
      <c r="Y68" s="1206">
        <f t="shared" si="38"/>
        <v>49943.222889999859</v>
      </c>
      <c r="Z68" s="1208">
        <f t="shared" si="39"/>
        <v>2.1661030034772766E-2</v>
      </c>
      <c r="AB68" s="1206">
        <f>AC26+AC27+AC30+AC31+AC34+AC35+AC36+AC37</f>
        <v>2305671.6513399999</v>
      </c>
      <c r="AC68" s="1206">
        <f>AD26+AD27+AD30+AD31+AD34+AD35+AD36+AD37+AB68</f>
        <v>2355614.8742299997</v>
      </c>
      <c r="AD68" s="1206">
        <f>AC68-AB68</f>
        <v>49943.222889999859</v>
      </c>
      <c r="AE68" s="1208">
        <f>AD68/AB68</f>
        <v>2.1661030034772766E-2</v>
      </c>
      <c r="AG68" s="1206">
        <f t="shared" si="40"/>
        <v>2305671.6513399999</v>
      </c>
      <c r="AH68" s="1206">
        <f>AQ26+AQ27+AQ30+AQ31+AQ34+AQ35+AQ36+AQ37</f>
        <v>2347809.9131799997</v>
      </c>
      <c r="AI68" s="1206">
        <f t="shared" si="41"/>
        <v>42138.261839999817</v>
      </c>
      <c r="AJ68" s="1206"/>
      <c r="AK68" s="1206"/>
      <c r="AL68" s="1208">
        <f t="shared" si="42"/>
        <v>1.827591618065395E-2</v>
      </c>
      <c r="AP68" s="1231">
        <f>AP57</f>
        <v>27.833333333333336</v>
      </c>
      <c r="AQ68" s="1232">
        <f t="shared" si="43"/>
        <v>126.16246059880183</v>
      </c>
    </row>
    <row r="69" spans="22:43" x14ac:dyDescent="0.3">
      <c r="V69" s="51" t="s">
        <v>489</v>
      </c>
      <c r="W69" s="1207">
        <f>SUM(W64:W68)</f>
        <v>54361893.975625142</v>
      </c>
      <c r="X69" s="1207">
        <f>SUM(X64:X68)</f>
        <v>57361997.916818731</v>
      </c>
      <c r="Y69" s="1207">
        <f>SUM(Y64:Y68)</f>
        <v>3000103.9411935965</v>
      </c>
      <c r="Z69" s="1209">
        <f t="shared" si="39"/>
        <v>5.5187627247475723E-2</v>
      </c>
      <c r="AB69" s="1207">
        <f>SUM(AB64:AB68)</f>
        <v>83090445.975625142</v>
      </c>
      <c r="AC69" s="1207">
        <f>SUM(AC64:AC68)</f>
        <v>86090549.916818738</v>
      </c>
      <c r="AD69" s="1207">
        <f>SUM(AD64:AD68)</f>
        <v>3000103.9411935951</v>
      </c>
      <c r="AE69" s="1209">
        <f t="shared" ref="AE69" si="44">AD69/AB69</f>
        <v>3.6106484999174099E-2</v>
      </c>
      <c r="AG69" s="1207">
        <f>SUM(AG64:AG68)</f>
        <v>83090445.975625142</v>
      </c>
      <c r="AH69" s="1207">
        <f>SUM(AH64:AH68)</f>
        <v>85890932.657442436</v>
      </c>
      <c r="AI69" s="1207">
        <f>SUM(AI64:AI68)</f>
        <v>2800486.6818172955</v>
      </c>
      <c r="AJ69" s="1207"/>
      <c r="AK69" s="1207"/>
      <c r="AL69" s="1209">
        <f t="shared" si="42"/>
        <v>3.3704075708521623E-2</v>
      </c>
      <c r="AP69" s="1230">
        <f>SUM(AP64:AP68)</f>
        <v>89340.75</v>
      </c>
      <c r="AQ69" s="1224">
        <f t="shared" si="43"/>
        <v>2.6121774235322772</v>
      </c>
    </row>
    <row r="70" spans="22:43" x14ac:dyDescent="0.3">
      <c r="Y70" s="943"/>
      <c r="AC70" s="943"/>
      <c r="AD70" s="943"/>
      <c r="AI70" s="943"/>
      <c r="AJ70" s="943"/>
      <c r="AK70" s="943"/>
    </row>
    <row r="71" spans="22:43" x14ac:dyDescent="0.3">
      <c r="V71" s="598" t="s">
        <v>495</v>
      </c>
      <c r="Y71" s="943"/>
      <c r="AD71" s="943"/>
      <c r="AI71" s="943"/>
      <c r="AJ71" s="943"/>
      <c r="AK71" s="943"/>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31">
    <mergeCell ref="AQ2:AS2"/>
    <mergeCell ref="AQ3:AQ4"/>
    <mergeCell ref="AR3:AR4"/>
    <mergeCell ref="AS3:AS4"/>
    <mergeCell ref="AJ11:AK11"/>
    <mergeCell ref="W2:Y2"/>
    <mergeCell ref="X3:X4"/>
    <mergeCell ref="W3:W4"/>
    <mergeCell ref="Y3:Y4"/>
    <mergeCell ref="P11:S11"/>
    <mergeCell ref="X11:Z11"/>
    <mergeCell ref="D10:Z10"/>
    <mergeCell ref="F11:G11"/>
    <mergeCell ref="H11:I11"/>
    <mergeCell ref="J11:K11"/>
    <mergeCell ref="N11:O11"/>
    <mergeCell ref="L11:M11"/>
    <mergeCell ref="T11:U11"/>
    <mergeCell ref="W62:Z62"/>
    <mergeCell ref="AB62:AE62"/>
    <mergeCell ref="AB10:AT10"/>
    <mergeCell ref="AN11:AO11"/>
    <mergeCell ref="AR11:AT11"/>
    <mergeCell ref="AG62:AL62"/>
    <mergeCell ref="W51:Z51"/>
    <mergeCell ref="AB51:AE51"/>
    <mergeCell ref="AG51:AL51"/>
    <mergeCell ref="AL11:AM11"/>
    <mergeCell ref="AF11:AG11"/>
    <mergeCell ref="AH11:AI11"/>
    <mergeCell ref="AD11:AE11"/>
  </mergeCells>
  <printOptions verticalCentered="1"/>
  <pageMargins left="0.25" right="0.25" top="0.5" bottom="0.5" header="0.25" footer="0.25"/>
  <pageSetup scale="49" orientation="landscape" r:id="rId3"/>
  <headerFooter alignWithMargins="0">
    <oddHeader>&amp;RUG-200994 et al. / NWN WUTC Advice 22-09
WP1 / &amp;A</oddHeader>
    <oddFooter xml:space="preserve">&amp;C&amp;F &amp;D &amp;T
&amp;A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0F00-E532-43F0-9C17-1B2DEEF9B9EC}">
  <sheetPr>
    <tabColor rgb="FF009900"/>
    <pageSetUpPr fitToPage="1"/>
  </sheetPr>
  <dimension ref="A1:R99"/>
  <sheetViews>
    <sheetView view="pageLayout" topLeftCell="J4" zoomScale="70" zoomScaleNormal="100" zoomScalePageLayoutView="70" workbookViewId="0">
      <selection sqref="A1:R98"/>
    </sheetView>
  </sheetViews>
  <sheetFormatPr defaultColWidth="9.296875" defaultRowHeight="13" x14ac:dyDescent="0.3"/>
  <cols>
    <col min="1" max="1" width="6.796875" style="54" customWidth="1"/>
    <col min="2" max="2" width="17.796875" style="55" customWidth="1"/>
    <col min="3" max="3" width="9.296875" style="55"/>
    <col min="4" max="4" width="17.5" style="55" customWidth="1"/>
    <col min="5" max="5" width="13.296875" style="55" customWidth="1"/>
    <col min="6" max="6" width="13.69921875" style="55" customWidth="1"/>
    <col min="7" max="7" width="14" style="55" customWidth="1"/>
    <col min="8" max="8" width="14.19921875" style="55" customWidth="1"/>
    <col min="9" max="10" width="11.796875" style="55" customWidth="1"/>
    <col min="11" max="12" width="15.5" style="55" customWidth="1"/>
    <col min="13" max="18" width="23.796875" style="55" customWidth="1"/>
    <col min="19" max="16384" width="9.296875" style="54"/>
  </cols>
  <sheetData>
    <row r="1" spans="1:18" ht="14.5" x14ac:dyDescent="0.35">
      <c r="A1" s="172" t="str">
        <f>+'WA Volumes &amp; Revenues'!A1</f>
        <v>NW Natural</v>
      </c>
      <c r="M1" s="347"/>
      <c r="N1" s="347"/>
      <c r="P1" s="347"/>
      <c r="Q1" s="347"/>
    </row>
    <row r="2" spans="1:18" ht="14.5" x14ac:dyDescent="0.35">
      <c r="A2" s="172" t="str">
        <f>+'WA Volumes &amp; Revenues'!A2</f>
        <v>Rates &amp; Regulatory Affairs</v>
      </c>
      <c r="G2" s="54"/>
      <c r="H2" s="54"/>
      <c r="I2" s="54"/>
      <c r="J2" s="54"/>
      <c r="M2" s="347"/>
      <c r="N2" s="347"/>
      <c r="O2" s="346"/>
      <c r="P2" s="347"/>
      <c r="Q2" s="347"/>
      <c r="R2" s="346"/>
    </row>
    <row r="3" spans="1:18" ht="14.5" customHeight="1" x14ac:dyDescent="0.35">
      <c r="A3" s="172" t="str">
        <f>+'WA Volumes &amp; Revenues'!A3</f>
        <v>Test Year Ending September 30, 2020</v>
      </c>
      <c r="G3" s="588"/>
      <c r="H3" s="85"/>
      <c r="I3" s="367"/>
      <c r="J3" s="367"/>
      <c r="M3" s="170"/>
      <c r="N3" s="347"/>
      <c r="O3" s="347"/>
      <c r="Q3" s="347"/>
      <c r="R3" s="347"/>
    </row>
    <row r="4" spans="1:18" ht="14.5" customHeight="1" thickBot="1" x14ac:dyDescent="0.4">
      <c r="A4" s="410" t="s">
        <v>230</v>
      </c>
      <c r="G4" s="588"/>
      <c r="H4" s="155"/>
      <c r="I4" s="1623"/>
      <c r="J4" s="1623"/>
      <c r="M4" s="1199"/>
      <c r="N4" s="347"/>
      <c r="Q4" s="347"/>
    </row>
    <row r="5" spans="1:18" ht="15" thickBot="1" x14ac:dyDescent="0.4">
      <c r="G5" s="588"/>
      <c r="H5" s="155"/>
      <c r="I5" s="1623"/>
      <c r="J5" s="1623"/>
      <c r="K5" s="399"/>
      <c r="L5" s="399"/>
      <c r="M5" s="1875" t="s">
        <v>402</v>
      </c>
      <c r="N5" s="1876"/>
      <c r="O5" s="1877"/>
      <c r="P5" s="1879" t="s">
        <v>397</v>
      </c>
      <c r="Q5" s="1879"/>
      <c r="R5" s="1880"/>
    </row>
    <row r="6" spans="1:18" ht="14.5" x14ac:dyDescent="0.35">
      <c r="A6" s="653"/>
      <c r="G6" s="54"/>
      <c r="H6" s="54"/>
      <c r="I6" s="54"/>
      <c r="J6" s="54"/>
      <c r="K6" s="54"/>
      <c r="L6" s="54"/>
      <c r="M6" s="1953" t="s">
        <v>739</v>
      </c>
      <c r="N6" s="1954"/>
      <c r="O6" s="1955"/>
      <c r="P6" s="1953" t="s">
        <v>795</v>
      </c>
      <c r="Q6" s="1954"/>
      <c r="R6" s="1955"/>
    </row>
    <row r="7" spans="1:18" ht="13.5" thickBot="1" x14ac:dyDescent="0.35">
      <c r="F7" s="60" t="str">
        <f>D8</f>
        <v>UG-200994</v>
      </c>
      <c r="G7" s="54"/>
      <c r="K7" s="57" t="s">
        <v>796</v>
      </c>
      <c r="L7" s="57" t="s">
        <v>400</v>
      </c>
      <c r="M7" s="401"/>
      <c r="N7" s="400"/>
      <c r="O7" s="402"/>
      <c r="P7" s="401"/>
      <c r="Q7" s="400"/>
      <c r="R7" s="402"/>
    </row>
    <row r="8" spans="1:18" x14ac:dyDescent="0.3">
      <c r="A8" s="85">
        <v>1</v>
      </c>
      <c r="D8" s="60" t="s">
        <v>599</v>
      </c>
      <c r="F8" s="348" t="s">
        <v>79</v>
      </c>
      <c r="G8" s="60" t="s">
        <v>18</v>
      </c>
      <c r="H8" s="348" t="str">
        <f>D8</f>
        <v>UG-200994</v>
      </c>
      <c r="I8" s="60" t="s">
        <v>18</v>
      </c>
      <c r="J8" s="60" t="s">
        <v>400</v>
      </c>
      <c r="K8" s="348" t="str">
        <f>D8</f>
        <v>UG-200994</v>
      </c>
      <c r="L8" s="348" t="str">
        <f>K8</f>
        <v>UG-200994</v>
      </c>
      <c r="M8" s="566" t="s">
        <v>798</v>
      </c>
      <c r="N8" s="351" t="str">
        <f t="shared" ref="N8:O10" si="0">M8</f>
        <v>UG-200994 + 21-22 PGA</v>
      </c>
      <c r="O8" s="978" t="str">
        <f t="shared" si="0"/>
        <v>UG-200994 + 21-22 PGA</v>
      </c>
      <c r="P8" s="566" t="s">
        <v>799</v>
      </c>
      <c r="Q8" s="351" t="str">
        <f t="shared" ref="Q8:R10" si="1">P8</f>
        <v>UG-200994 + 22-23 PGA</v>
      </c>
      <c r="R8" s="978" t="str">
        <f t="shared" si="1"/>
        <v>UG-200994 + 22-23 PGA</v>
      </c>
    </row>
    <row r="9" spans="1:18" x14ac:dyDescent="0.3">
      <c r="A9" s="85">
        <f t="shared" ref="A9:A72" si="2">+A8+1</f>
        <v>2</v>
      </c>
      <c r="D9" s="60" t="s">
        <v>357</v>
      </c>
      <c r="E9" s="348"/>
      <c r="F9" s="348" t="s">
        <v>65</v>
      </c>
      <c r="G9" s="60" t="s">
        <v>67</v>
      </c>
      <c r="H9" s="60" t="s">
        <v>67</v>
      </c>
      <c r="I9" s="348">
        <v>44136</v>
      </c>
      <c r="J9" s="348">
        <v>44501</v>
      </c>
      <c r="K9" s="348">
        <f>+I9</f>
        <v>44136</v>
      </c>
      <c r="L9" s="348">
        <v>44501</v>
      </c>
      <c r="M9" s="566">
        <f>L9</f>
        <v>44501</v>
      </c>
      <c r="N9" s="351">
        <f t="shared" si="0"/>
        <v>44501</v>
      </c>
      <c r="O9" s="352">
        <f t="shared" si="0"/>
        <v>44501</v>
      </c>
      <c r="P9" s="566">
        <v>44866</v>
      </c>
      <c r="Q9" s="351">
        <f t="shared" si="1"/>
        <v>44866</v>
      </c>
      <c r="R9" s="352">
        <f t="shared" si="1"/>
        <v>44866</v>
      </c>
    </row>
    <row r="10" spans="1:18" x14ac:dyDescent="0.3">
      <c r="A10" s="85">
        <f t="shared" si="2"/>
        <v>3</v>
      </c>
      <c r="D10" s="60" t="s">
        <v>185</v>
      </c>
      <c r="E10" s="60" t="s">
        <v>64</v>
      </c>
      <c r="F10" s="60" t="s">
        <v>68</v>
      </c>
      <c r="G10" s="60" t="s">
        <v>68</v>
      </c>
      <c r="H10" s="60" t="s">
        <v>68</v>
      </c>
      <c r="I10" s="60" t="s">
        <v>15</v>
      </c>
      <c r="J10" s="60" t="s">
        <v>15</v>
      </c>
      <c r="K10" s="60" t="s">
        <v>796</v>
      </c>
      <c r="L10" s="60" t="s">
        <v>18</v>
      </c>
      <c r="M10" s="417" t="s">
        <v>21</v>
      </c>
      <c r="N10" s="85" t="str">
        <f t="shared" si="0"/>
        <v>Proposed</v>
      </c>
      <c r="O10" s="565" t="str">
        <f t="shared" si="0"/>
        <v>Proposed</v>
      </c>
      <c r="P10" s="417" t="s">
        <v>21</v>
      </c>
      <c r="Q10" s="85" t="str">
        <f t="shared" si="1"/>
        <v>Proposed</v>
      </c>
      <c r="R10" s="565" t="str">
        <f t="shared" si="1"/>
        <v>Proposed</v>
      </c>
    </row>
    <row r="11" spans="1:18" s="56" customFormat="1" ht="13.5" thickBot="1" x14ac:dyDescent="0.35">
      <c r="A11" s="85">
        <f t="shared" si="2"/>
        <v>4</v>
      </c>
      <c r="B11" s="55"/>
      <c r="C11" s="55"/>
      <c r="D11" s="353" t="s">
        <v>168</v>
      </c>
      <c r="E11" s="353" t="s">
        <v>3</v>
      </c>
      <c r="F11" s="353" t="s">
        <v>66</v>
      </c>
      <c r="G11" s="353" t="s">
        <v>69</v>
      </c>
      <c r="H11" s="353" t="s">
        <v>69</v>
      </c>
      <c r="I11" s="353" t="s">
        <v>16</v>
      </c>
      <c r="J11" s="353" t="s">
        <v>16</v>
      </c>
      <c r="K11" s="353" t="s">
        <v>70</v>
      </c>
      <c r="L11" s="353" t="s">
        <v>70</v>
      </c>
      <c r="M11" s="290" t="s">
        <v>16</v>
      </c>
      <c r="N11" s="1626" t="s">
        <v>70</v>
      </c>
      <c r="O11" s="355" t="s">
        <v>71</v>
      </c>
      <c r="P11" s="290" t="s">
        <v>16</v>
      </c>
      <c r="Q11" s="1626" t="s">
        <v>70</v>
      </c>
      <c r="R11" s="355" t="s">
        <v>71</v>
      </c>
    </row>
    <row r="12" spans="1:18" s="56" customFormat="1" x14ac:dyDescent="0.3">
      <c r="A12" s="85">
        <f t="shared" si="2"/>
        <v>5</v>
      </c>
      <c r="B12" s="55"/>
      <c r="C12" s="406"/>
      <c r="D12" s="149"/>
      <c r="E12" s="149"/>
      <c r="F12" s="149"/>
      <c r="G12" s="149"/>
      <c r="H12" s="149"/>
      <c r="I12" s="149"/>
      <c r="J12" s="149"/>
      <c r="K12" s="58" t="s">
        <v>740</v>
      </c>
      <c r="L12" s="58" t="s">
        <v>741</v>
      </c>
      <c r="M12" s="147"/>
      <c r="N12" s="1625" t="s">
        <v>742</v>
      </c>
      <c r="O12" s="357" t="s">
        <v>743</v>
      </c>
      <c r="P12" s="147"/>
      <c r="Q12" s="1625" t="s">
        <v>745</v>
      </c>
      <c r="R12" s="592" t="s">
        <v>744</v>
      </c>
    </row>
    <row r="13" spans="1:18" s="56" customFormat="1" x14ac:dyDescent="0.3">
      <c r="A13" s="85">
        <f t="shared" si="2"/>
        <v>6</v>
      </c>
      <c r="B13" s="725" t="s">
        <v>2</v>
      </c>
      <c r="C13" s="857" t="s">
        <v>3</v>
      </c>
      <c r="D13" s="706" t="s">
        <v>35</v>
      </c>
      <c r="E13" s="706" t="s">
        <v>36</v>
      </c>
      <c r="F13" s="706" t="s">
        <v>13</v>
      </c>
      <c r="G13" s="706" t="s">
        <v>37</v>
      </c>
      <c r="H13" s="706" t="s">
        <v>38</v>
      </c>
      <c r="I13" s="706" t="s">
        <v>39</v>
      </c>
      <c r="J13" s="706" t="s">
        <v>40</v>
      </c>
      <c r="K13" s="706" t="s">
        <v>41</v>
      </c>
      <c r="L13" s="706" t="s">
        <v>42</v>
      </c>
      <c r="M13" s="151" t="s">
        <v>124</v>
      </c>
      <c r="N13" s="706" t="s">
        <v>125</v>
      </c>
      <c r="O13" s="358" t="s">
        <v>43</v>
      </c>
      <c r="P13" s="151" t="s">
        <v>126</v>
      </c>
      <c r="Q13" s="706" t="s">
        <v>127</v>
      </c>
      <c r="R13" s="358" t="s">
        <v>128</v>
      </c>
    </row>
    <row r="14" spans="1:18" x14ac:dyDescent="0.3">
      <c r="A14" s="85">
        <f t="shared" si="2"/>
        <v>7</v>
      </c>
      <c r="B14" s="959" t="str">
        <f>'WA Volumes &amp; Revenues'!B15</f>
        <v>1R</v>
      </c>
      <c r="C14" s="1617" t="s">
        <v>270</v>
      </c>
      <c r="D14" s="359">
        <f>'WA Volumes &amp; Revenues'!E15</f>
        <v>214704.20066131229</v>
      </c>
      <c r="E14" s="360" t="s">
        <v>270</v>
      </c>
      <c r="F14" s="361">
        <f>'WA Volumes &amp; Revenues'!I15</f>
        <v>19.639970000000002</v>
      </c>
      <c r="G14" s="861">
        <f>'WA Volumes &amp; Revenues'!O15</f>
        <v>5.5</v>
      </c>
      <c r="H14" s="362">
        <f>'WA Volumes &amp; Revenues'!N15</f>
        <v>5.5</v>
      </c>
      <c r="I14" s="122">
        <f>+'Rates in summary'!D14</f>
        <v>1.1525299999999998</v>
      </c>
      <c r="J14" s="122">
        <f>+'Rates in summary'!M14</f>
        <v>1.3474699999999995</v>
      </c>
      <c r="K14" s="362">
        <f t="shared" ref="K14:L19" si="3">ROUND(+$G14+(I14*$F14),2)</f>
        <v>28.14</v>
      </c>
      <c r="L14" s="362">
        <f t="shared" si="3"/>
        <v>31.96</v>
      </c>
      <c r="M14" s="363">
        <f>'Rates in summary'!M14</f>
        <v>1.3474699999999995</v>
      </c>
      <c r="N14" s="362">
        <f t="shared" ref="N14:N19" si="4">ROUND(H14+(F14*M14),2)</f>
        <v>31.96</v>
      </c>
      <c r="O14" s="364">
        <f t="shared" ref="O14:O19" si="5">ROUND((N14-K14)/K14,3)</f>
        <v>0.13600000000000001</v>
      </c>
      <c r="P14" s="363">
        <f>'Rates in summary'!W14</f>
        <v>1.5918999999999996</v>
      </c>
      <c r="Q14" s="362">
        <f t="shared" ref="Q14:Q19" si="6">ROUND(H14+(F14*P14),2)</f>
        <v>36.76</v>
      </c>
      <c r="R14" s="364">
        <f t="shared" ref="R14:R19" si="7">ROUND((Q14-L14)/L14,3)</f>
        <v>0.15</v>
      </c>
    </row>
    <row r="15" spans="1:18" x14ac:dyDescent="0.3">
      <c r="A15" s="85">
        <f t="shared" si="2"/>
        <v>8</v>
      </c>
      <c r="B15" s="959" t="str">
        <f>'WA Volumes &amp; Revenues'!B16</f>
        <v>1C</v>
      </c>
      <c r="C15" s="1617" t="s">
        <v>270</v>
      </c>
      <c r="D15" s="359">
        <f>'WA Volumes &amp; Revenues'!E16</f>
        <v>46539.057144390383</v>
      </c>
      <c r="E15" s="360" t="s">
        <v>270</v>
      </c>
      <c r="F15" s="361">
        <f>'WA Volumes &amp; Revenues'!I16</f>
        <v>114.06632</v>
      </c>
      <c r="G15" s="861">
        <f>'WA Volumes &amp; Revenues'!O16</f>
        <v>7</v>
      </c>
      <c r="H15" s="362">
        <f>'WA Volumes &amp; Revenues'!N16</f>
        <v>7</v>
      </c>
      <c r="I15" s="122">
        <f>+'Rates in summary'!D15</f>
        <v>1.18929</v>
      </c>
      <c r="J15" s="122">
        <f>+'Rates in summary'!M15</f>
        <v>1.36829</v>
      </c>
      <c r="K15" s="362">
        <f t="shared" si="3"/>
        <v>142.66</v>
      </c>
      <c r="L15" s="362">
        <f t="shared" si="3"/>
        <v>163.08000000000001</v>
      </c>
      <c r="M15" s="363">
        <f>'Rates in summary'!M15</f>
        <v>1.36829</v>
      </c>
      <c r="N15" s="362">
        <f t="shared" si="4"/>
        <v>163.08000000000001</v>
      </c>
      <c r="O15" s="364">
        <f t="shared" si="5"/>
        <v>0.14299999999999999</v>
      </c>
      <c r="P15" s="363">
        <f>'Rates in summary'!W15</f>
        <v>1.6060100000000002</v>
      </c>
      <c r="Q15" s="362">
        <f t="shared" si="6"/>
        <v>190.19</v>
      </c>
      <c r="R15" s="364">
        <f t="shared" si="7"/>
        <v>0.16600000000000001</v>
      </c>
    </row>
    <row r="16" spans="1:18" x14ac:dyDescent="0.3">
      <c r="A16" s="85">
        <f t="shared" si="2"/>
        <v>9</v>
      </c>
      <c r="B16" s="959" t="str">
        <f>'WA Volumes &amp; Revenues'!B17</f>
        <v>2R</v>
      </c>
      <c r="C16" s="1617" t="s">
        <v>270</v>
      </c>
      <c r="D16" s="359">
        <f>'WA Volumes &amp; Revenues'!E17</f>
        <v>54953515.785084128</v>
      </c>
      <c r="E16" s="360" t="s">
        <v>270</v>
      </c>
      <c r="F16" s="361">
        <f>'WA Volumes &amp; Revenues'!I17</f>
        <v>56.453600000000002</v>
      </c>
      <c r="G16" s="861">
        <f>'WA Volumes &amp; Revenues'!O17</f>
        <v>8</v>
      </c>
      <c r="H16" s="362">
        <f>'WA Volumes &amp; Revenues'!N17</f>
        <v>8</v>
      </c>
      <c r="I16" s="122">
        <f>+'Rates in summary'!D16</f>
        <v>0.88947999999999972</v>
      </c>
      <c r="J16" s="122">
        <f>+'Rates in summary'!M16</f>
        <v>1.0514699999999997</v>
      </c>
      <c r="K16" s="362">
        <f t="shared" si="3"/>
        <v>58.21</v>
      </c>
      <c r="L16" s="362">
        <f t="shared" si="3"/>
        <v>67.36</v>
      </c>
      <c r="M16" s="363">
        <f>'Rates in summary'!M16</f>
        <v>1.0514699999999997</v>
      </c>
      <c r="N16" s="362">
        <f t="shared" si="4"/>
        <v>67.36</v>
      </c>
      <c r="O16" s="364">
        <f t="shared" si="5"/>
        <v>0.157</v>
      </c>
      <c r="P16" s="363">
        <f>'Rates in summary'!W16</f>
        <v>1.2163036170212764</v>
      </c>
      <c r="Q16" s="362">
        <f t="shared" si="6"/>
        <v>76.66</v>
      </c>
      <c r="R16" s="364">
        <f>ROUND((Q16-L16)/L16,3)</f>
        <v>0.13800000000000001</v>
      </c>
    </row>
    <row r="17" spans="1:18" x14ac:dyDescent="0.3">
      <c r="A17" s="85">
        <f t="shared" si="2"/>
        <v>10</v>
      </c>
      <c r="B17" s="959" t="str">
        <f>'WA Volumes &amp; Revenues'!B18</f>
        <v>3 CFS</v>
      </c>
      <c r="C17" s="1617" t="s">
        <v>270</v>
      </c>
      <c r="D17" s="359">
        <f>'WA Volumes &amp; Revenues'!E18</f>
        <v>17867210.60654201</v>
      </c>
      <c r="E17" s="360" t="s">
        <v>270</v>
      </c>
      <c r="F17" s="361">
        <f>'WA Volumes &amp; Revenues'!I18</f>
        <v>235.66542999999999</v>
      </c>
      <c r="G17" s="861">
        <f>'WA Volumes &amp; Revenues'!O18</f>
        <v>22</v>
      </c>
      <c r="H17" s="362">
        <f>'WA Volumes &amp; Revenues'!N18</f>
        <v>22</v>
      </c>
      <c r="I17" s="122">
        <f>+'Rates in summary'!D17</f>
        <v>0.86690000000000011</v>
      </c>
      <c r="J17" s="122">
        <f>+'Rates in summary'!M17</f>
        <v>1.0228199999999998</v>
      </c>
      <c r="K17" s="362">
        <f t="shared" si="3"/>
        <v>226.3</v>
      </c>
      <c r="L17" s="362">
        <f t="shared" si="3"/>
        <v>263.04000000000002</v>
      </c>
      <c r="M17" s="363">
        <f>'Rates in summary'!M17</f>
        <v>1.0228199999999998</v>
      </c>
      <c r="N17" s="362">
        <f t="shared" si="4"/>
        <v>263.04000000000002</v>
      </c>
      <c r="O17" s="364">
        <f t="shared" si="5"/>
        <v>0.16200000000000001</v>
      </c>
      <c r="P17" s="363">
        <f>'Rates in summary'!W17</f>
        <v>1.2503799999999998</v>
      </c>
      <c r="Q17" s="362">
        <f t="shared" si="6"/>
        <v>316.67</v>
      </c>
      <c r="R17" s="364">
        <f t="shared" si="7"/>
        <v>0.20399999999999999</v>
      </c>
    </row>
    <row r="18" spans="1:18" x14ac:dyDescent="0.3">
      <c r="A18" s="85">
        <f>+A17+1</f>
        <v>11</v>
      </c>
      <c r="B18" s="959" t="str">
        <f>'WA Volumes &amp; Revenues'!B19</f>
        <v>3 IFS</v>
      </c>
      <c r="C18" s="1617" t="s">
        <v>270</v>
      </c>
      <c r="D18" s="359">
        <f>'WA Volumes &amp; Revenues'!E19</f>
        <v>283651.99999999994</v>
      </c>
      <c r="E18" s="360" t="s">
        <v>270</v>
      </c>
      <c r="F18" s="361">
        <f>'WA Volumes &amp; Revenues'!I19</f>
        <v>974.74914000000001</v>
      </c>
      <c r="G18" s="861">
        <f>'WA Volumes &amp; Revenues'!O19</f>
        <v>22</v>
      </c>
      <c r="H18" s="362">
        <f>'WA Volumes &amp; Revenues'!N19</f>
        <v>22</v>
      </c>
      <c r="I18" s="122">
        <f>+'Rates in summary'!D18</f>
        <v>0.82713999999999999</v>
      </c>
      <c r="J18" s="122">
        <f>+'Rates in summary'!M18</f>
        <v>0.97858000000000012</v>
      </c>
      <c r="K18" s="362">
        <f t="shared" si="3"/>
        <v>828.25</v>
      </c>
      <c r="L18" s="362">
        <f t="shared" si="3"/>
        <v>975.87</v>
      </c>
      <c r="M18" s="363">
        <f>'Rates in summary'!M18</f>
        <v>0.97858000000000012</v>
      </c>
      <c r="N18" s="362">
        <f t="shared" si="4"/>
        <v>975.87</v>
      </c>
      <c r="O18" s="364">
        <f t="shared" si="5"/>
        <v>0.17799999999999999</v>
      </c>
      <c r="P18" s="363">
        <f>'Rates in summary'!W18</f>
        <v>1.2289900000000002</v>
      </c>
      <c r="Q18" s="362">
        <f t="shared" si="6"/>
        <v>1219.96</v>
      </c>
      <c r="R18" s="364">
        <f t="shared" si="7"/>
        <v>0.25</v>
      </c>
    </row>
    <row r="19" spans="1:18" x14ac:dyDescent="0.3">
      <c r="A19" s="85">
        <f t="shared" si="2"/>
        <v>12</v>
      </c>
      <c r="B19" s="959" t="str">
        <f>'WA Volumes &amp; Revenues'!B20</f>
        <v>27R</v>
      </c>
      <c r="C19" s="1617" t="s">
        <v>270</v>
      </c>
      <c r="D19" s="359">
        <f>'WA Volumes &amp; Revenues'!E20</f>
        <v>461371.76933137607</v>
      </c>
      <c r="E19" s="360" t="s">
        <v>270</v>
      </c>
      <c r="F19" s="361">
        <f>'WA Volumes &amp; Revenues'!I20</f>
        <v>49.545940000000002</v>
      </c>
      <c r="G19" s="861">
        <f>'WA Volumes &amp; Revenues'!O20</f>
        <v>9</v>
      </c>
      <c r="H19" s="362">
        <f>'WA Volumes &amp; Revenues'!N20</f>
        <v>9</v>
      </c>
      <c r="I19" s="122">
        <f>+'Rates in summary'!D19</f>
        <v>0.64432999999999974</v>
      </c>
      <c r="J19" s="122">
        <f>+'Rates in summary'!M19</f>
        <v>0.78956999999999966</v>
      </c>
      <c r="K19" s="362">
        <f t="shared" si="3"/>
        <v>40.92</v>
      </c>
      <c r="L19" s="362">
        <f t="shared" si="3"/>
        <v>48.12</v>
      </c>
      <c r="M19" s="363">
        <f>'Rates in summary'!M19</f>
        <v>0.78956999999999966</v>
      </c>
      <c r="N19" s="362">
        <f t="shared" si="4"/>
        <v>48.12</v>
      </c>
      <c r="O19" s="364">
        <f t="shared" si="5"/>
        <v>0.17599999999999999</v>
      </c>
      <c r="P19" s="363">
        <f>'Rates in summary'!W19</f>
        <v>1.0206199999999996</v>
      </c>
      <c r="Q19" s="362">
        <f t="shared" si="6"/>
        <v>59.57</v>
      </c>
      <c r="R19" s="364">
        <f t="shared" si="7"/>
        <v>0.23799999999999999</v>
      </c>
    </row>
    <row r="20" spans="1:18" x14ac:dyDescent="0.3">
      <c r="A20" s="85">
        <f t="shared" si="2"/>
        <v>13</v>
      </c>
      <c r="B20" s="1618" t="str">
        <f>'WA Volumes &amp; Revenues'!B21</f>
        <v>41C Firm Sales</v>
      </c>
      <c r="C20" s="1619" t="s">
        <v>4</v>
      </c>
      <c r="D20" s="294">
        <f>'WA Volumes &amp; Revenues'!E21</f>
        <v>1777065.1510316674</v>
      </c>
      <c r="E20" s="366">
        <v>2000</v>
      </c>
      <c r="F20" s="295">
        <f>+'WA Volumes &amp; Revenues'!I21</f>
        <v>3436</v>
      </c>
      <c r="G20" s="862">
        <f>'WA Volumes &amp; Revenues'!O21</f>
        <v>250</v>
      </c>
      <c r="H20" s="367">
        <f>'WA Volumes &amp; Revenues'!N21</f>
        <v>250</v>
      </c>
      <c r="I20" s="121">
        <f>+'Rates in summary'!D20</f>
        <v>0.65150000000000008</v>
      </c>
      <c r="J20" s="121">
        <f>+'Rates in summary'!M20</f>
        <v>0.79066000000000003</v>
      </c>
      <c r="K20" s="367"/>
      <c r="L20" s="367"/>
      <c r="M20" s="368">
        <f>'Rates in summary'!M20</f>
        <v>0.79066000000000003</v>
      </c>
      <c r="N20" s="367"/>
      <c r="O20" s="369"/>
      <c r="P20" s="368">
        <f>'Rates in summary'!W20</f>
        <v>1.03667</v>
      </c>
      <c r="Q20" s="367"/>
      <c r="R20" s="369"/>
    </row>
    <row r="21" spans="1:18" x14ac:dyDescent="0.3">
      <c r="A21" s="85">
        <f t="shared" si="2"/>
        <v>14</v>
      </c>
      <c r="B21" s="85"/>
      <c r="C21" s="1619" t="s">
        <v>5</v>
      </c>
      <c r="D21" s="294">
        <f>'WA Volumes &amp; Revenues'!E22</f>
        <v>1974656.4658023661</v>
      </c>
      <c r="E21" s="366" t="s">
        <v>72</v>
      </c>
      <c r="F21" s="295"/>
      <c r="G21" s="862"/>
      <c r="H21" s="367"/>
      <c r="I21" s="121">
        <f>+'Rates in summary'!D21</f>
        <v>0.60426999999999997</v>
      </c>
      <c r="J21" s="121">
        <f>+'Rates in summary'!M21</f>
        <v>0.7381899999999999</v>
      </c>
      <c r="K21" s="367"/>
      <c r="L21" s="367"/>
      <c r="M21" s="368">
        <f>'Rates in summary'!M21</f>
        <v>0.7381899999999999</v>
      </c>
      <c r="N21" s="367"/>
      <c r="O21" s="369"/>
      <c r="P21" s="368">
        <f>'Rates in summary'!W21</f>
        <v>0.98319999999999996</v>
      </c>
      <c r="Q21" s="367"/>
      <c r="R21" s="369"/>
    </row>
    <row r="22" spans="1:18" x14ac:dyDescent="0.3">
      <c r="A22" s="85">
        <f t="shared" si="2"/>
        <v>15</v>
      </c>
      <c r="B22" s="160"/>
      <c r="C22" s="1620" t="s">
        <v>76</v>
      </c>
      <c r="D22" s="370"/>
      <c r="E22" s="371"/>
      <c r="F22" s="372"/>
      <c r="G22" s="863"/>
      <c r="H22" s="374"/>
      <c r="I22" s="373"/>
      <c r="J22" s="373"/>
      <c r="K22" s="374">
        <f>$G20+ROUND(IF($F20&lt;$E20,($F20*I20),IF($F20&gt;SUM($E20:$E21),(($E20*I20)+(($F20-$E20)*I21)),0)),2)</f>
        <v>2420.73</v>
      </c>
      <c r="L22" s="374">
        <f>$G20+ROUND(IF($F20&lt;$E20,($F20*J20),IF($F20&gt;SUM($E20:$E21),(($E20*J20)+(($F20-$E20)*J21)),0)),2)</f>
        <v>2891.36</v>
      </c>
      <c r="M22" s="376"/>
      <c r="N22" s="374">
        <f>$H20+ROUND(IF($F20&lt;$E20,($F20*M20),IF($F20&gt;SUM($E20:$E21),(($E20*M20)+(($F20-$E20)*M21)),0)),2)</f>
        <v>2891.36</v>
      </c>
      <c r="O22" s="377">
        <f>ROUND((N22-K22)/K22,3)</f>
        <v>0.19400000000000001</v>
      </c>
      <c r="P22" s="376"/>
      <c r="Q22" s="374">
        <f>$H20+ROUND(IF($F20&lt;$E20,($F20*P20),IF($F20&gt;SUM($E20:$E21),(($E20*P20)+(($F20-$E20)*P21)),0)),2)</f>
        <v>3735.22</v>
      </c>
      <c r="R22" s="377">
        <f>ROUND((Q22-L22)/L22,3)</f>
        <v>0.29199999999999998</v>
      </c>
    </row>
    <row r="23" spans="1:18" x14ac:dyDescent="0.3">
      <c r="A23" s="85">
        <f t="shared" si="2"/>
        <v>16</v>
      </c>
      <c r="B23" s="1618" t="str">
        <f>'WA Volumes &amp; Revenues'!B23</f>
        <v>41I Firm Sales</v>
      </c>
      <c r="C23" s="1619" t="s">
        <v>4</v>
      </c>
      <c r="D23" s="294">
        <f>'WA Volumes &amp; Revenues'!E23</f>
        <v>392890.20000000007</v>
      </c>
      <c r="E23" s="366">
        <v>2000</v>
      </c>
      <c r="F23" s="295">
        <f>'WA Volumes &amp; Revenues'!I23</f>
        <v>4741</v>
      </c>
      <c r="G23" s="862">
        <f>'WA Volumes &amp; Revenues'!O23</f>
        <v>250</v>
      </c>
      <c r="H23" s="367">
        <f>'WA Volumes &amp; Revenues'!N23</f>
        <v>250</v>
      </c>
      <c r="I23" s="121">
        <f>+'Rates in summary'!D22</f>
        <v>0.60577000000000025</v>
      </c>
      <c r="J23" s="121">
        <f>+'Rates in summary'!M22</f>
        <v>0.71891000000000027</v>
      </c>
      <c r="K23" s="367"/>
      <c r="L23" s="367"/>
      <c r="M23" s="368">
        <f>'Rates in summary'!M22</f>
        <v>0.71891000000000027</v>
      </c>
      <c r="N23" s="367"/>
      <c r="O23" s="369"/>
      <c r="P23" s="368">
        <f>'Rates in summary'!W22</f>
        <v>0.96687000000000034</v>
      </c>
      <c r="Q23" s="367"/>
      <c r="R23" s="369"/>
    </row>
    <row r="24" spans="1:18" x14ac:dyDescent="0.3">
      <c r="A24" s="85">
        <f t="shared" si="2"/>
        <v>17</v>
      </c>
      <c r="B24" s="85"/>
      <c r="C24" s="1619" t="s">
        <v>5</v>
      </c>
      <c r="D24" s="294">
        <f>'WA Volumes &amp; Revenues'!E24</f>
        <v>621650.00000000012</v>
      </c>
      <c r="E24" s="366" t="s">
        <v>72</v>
      </c>
      <c r="F24" s="295"/>
      <c r="G24" s="862"/>
      <c r="H24" s="367"/>
      <c r="I24" s="121">
        <f>+'Rates in summary'!D23</f>
        <v>0.56396000000000013</v>
      </c>
      <c r="J24" s="121">
        <f>+'Rates in summary'!M23</f>
        <v>0.67496000000000023</v>
      </c>
      <c r="K24" s="367"/>
      <c r="L24" s="367"/>
      <c r="M24" s="368">
        <f>'Rates in summary'!M23</f>
        <v>0.67496000000000023</v>
      </c>
      <c r="N24" s="367"/>
      <c r="O24" s="369"/>
      <c r="P24" s="368">
        <f>'Rates in summary'!W23</f>
        <v>0.92170000000000019</v>
      </c>
      <c r="Q24" s="367"/>
      <c r="R24" s="369"/>
    </row>
    <row r="25" spans="1:18" x14ac:dyDescent="0.3">
      <c r="A25" s="85">
        <f t="shared" si="2"/>
        <v>18</v>
      </c>
      <c r="B25" s="160"/>
      <c r="C25" s="1620" t="s">
        <v>76</v>
      </c>
      <c r="D25" s="370"/>
      <c r="E25" s="371"/>
      <c r="F25" s="372"/>
      <c r="G25" s="863"/>
      <c r="H25" s="374"/>
      <c r="I25" s="373"/>
      <c r="J25" s="373"/>
      <c r="K25" s="374">
        <f>$G23+ROUND(IF($F23&lt;$E23,($F23*I23),IF($F23&gt;SUM($E23:$E24),(($E23*I23)+(($F23-$E23)*I24)),0)),2)</f>
        <v>3007.35</v>
      </c>
      <c r="L25" s="374">
        <f>$G23+ROUND(IF($F23&lt;$E23,($F23*J23),IF($F23&gt;SUM($E23:$E24),(($E23*J23)+(($F23-$E23)*J24)),0)),2)</f>
        <v>3537.89</v>
      </c>
      <c r="M25" s="376"/>
      <c r="N25" s="374">
        <f>$H23+ROUND(IF($F23&lt;$E23,($F23*M23),IF($F23&gt;SUM($E23:$E24),(($E23*M23)+(($F23-$E23)*M24)),0)),2)</f>
        <v>3537.89</v>
      </c>
      <c r="O25" s="377">
        <f>ROUND((N25-K25)/K25,3)</f>
        <v>0.17599999999999999</v>
      </c>
      <c r="P25" s="376"/>
      <c r="Q25" s="374">
        <f>$H23+ROUND(IF($F23&lt;$E23,($F23*P23),IF($F23&gt;SUM($E23:$E24),(($E23*P23)+(($F23-$E23)*P24)),0)),2)</f>
        <v>4710.12</v>
      </c>
      <c r="R25" s="377">
        <f>ROUND((Q25-L25)/L25,3)</f>
        <v>0.33100000000000002</v>
      </c>
    </row>
    <row r="26" spans="1:18" x14ac:dyDescent="0.3">
      <c r="A26" s="85">
        <f t="shared" si="2"/>
        <v>19</v>
      </c>
      <c r="B26" s="85" t="str">
        <f>'WA Volumes &amp; Revenues'!B25</f>
        <v>41C Interr Sales</v>
      </c>
      <c r="C26" s="1619" t="s">
        <v>4</v>
      </c>
      <c r="D26" s="294">
        <f>'WA Volumes &amp; Revenues'!E25</f>
        <v>0</v>
      </c>
      <c r="E26" s="366">
        <v>2000</v>
      </c>
      <c r="F26" s="295">
        <f>'WA Volumes &amp; Revenues'!I25</f>
        <v>0</v>
      </c>
      <c r="G26" s="862">
        <f>'WA Volumes &amp; Revenues'!O25</f>
        <v>250</v>
      </c>
      <c r="H26" s="367">
        <f>'WA Volumes &amp; Revenues'!N25</f>
        <v>250</v>
      </c>
      <c r="I26" s="121">
        <f>+'Rates in summary'!D24</f>
        <v>0.66024999999999989</v>
      </c>
      <c r="J26" s="121">
        <f>+'Rates in summary'!M24</f>
        <v>0.81380999999999981</v>
      </c>
      <c r="K26" s="367"/>
      <c r="L26" s="367"/>
      <c r="M26" s="368">
        <f>'Rates in summary'!M24</f>
        <v>0.81380999999999981</v>
      </c>
      <c r="N26" s="367"/>
      <c r="O26" s="369"/>
      <c r="P26" s="368">
        <f>'Rates in summary'!W24</f>
        <v>1.0148999999999999</v>
      </c>
      <c r="Q26" s="367"/>
      <c r="R26" s="369"/>
    </row>
    <row r="27" spans="1:18" x14ac:dyDescent="0.3">
      <c r="A27" s="85">
        <f t="shared" si="2"/>
        <v>20</v>
      </c>
      <c r="B27" s="85"/>
      <c r="C27" s="1619" t="s">
        <v>5</v>
      </c>
      <c r="D27" s="294">
        <f>'WA Volumes &amp; Revenues'!E26</f>
        <v>0</v>
      </c>
      <c r="E27" s="366" t="s">
        <v>72</v>
      </c>
      <c r="F27" s="295"/>
      <c r="G27" s="862"/>
      <c r="H27" s="367"/>
      <c r="I27" s="121">
        <f>+'Rates in summary'!D25</f>
        <v>0.61316999999999988</v>
      </c>
      <c r="J27" s="121">
        <f>+'Rates in summary'!M25</f>
        <v>0.76286999999999983</v>
      </c>
      <c r="K27" s="367"/>
      <c r="L27" s="367"/>
      <c r="M27" s="368">
        <f>'Rates in summary'!M25</f>
        <v>0.76286999999999983</v>
      </c>
      <c r="N27" s="367"/>
      <c r="O27" s="369"/>
      <c r="P27" s="368">
        <f>'Rates in summary'!W25</f>
        <v>0.96392999999999984</v>
      </c>
      <c r="Q27" s="367"/>
      <c r="R27" s="369"/>
    </row>
    <row r="28" spans="1:18" x14ac:dyDescent="0.3">
      <c r="A28" s="85">
        <f t="shared" si="2"/>
        <v>21</v>
      </c>
      <c r="B28" s="160"/>
      <c r="C28" s="1620" t="s">
        <v>76</v>
      </c>
      <c r="D28" s="370"/>
      <c r="E28" s="371"/>
      <c r="F28" s="372"/>
      <c r="G28" s="863"/>
      <c r="H28" s="374"/>
      <c r="I28" s="373"/>
      <c r="J28" s="373"/>
      <c r="K28" s="374">
        <f>$G26+ROUND(IF($F26&lt;$E26,($F26*I26),IF($F26&gt;SUM($E26:$E27),(($E26*I26)+(($F26-$E26)*I27)),0)),2)</f>
        <v>250</v>
      </c>
      <c r="L28" s="374">
        <f>$G26+ROUND(IF($F26&lt;$E26,($F26*J26),IF($F26&gt;SUM($E26:$E27),(($E26*J26)+(($F26-$E26)*J27)),0)),2)</f>
        <v>250</v>
      </c>
      <c r="M28" s="376"/>
      <c r="N28" s="374">
        <f>$H26+ROUND(IF($F26&lt;$E26,($F26*M26),IF($F26&gt;SUM($E26:$E27),(($E26*M26)+(($F26-$E26)*M27)),0)),2)</f>
        <v>250</v>
      </c>
      <c r="O28" s="377">
        <f>ROUND((N28-K28)/K28,3)</f>
        <v>0</v>
      </c>
      <c r="P28" s="376"/>
      <c r="Q28" s="374">
        <f>$H26+ROUND(IF($F26&lt;$E26,($F26*P26),IF($F26&gt;SUM($E26:$E27),(($E26*P26)+(($F26-$E26)*P27)),0)),2)</f>
        <v>250</v>
      </c>
      <c r="R28" s="377">
        <f>ROUND((Q28-L28)/L28,3)</f>
        <v>0</v>
      </c>
    </row>
    <row r="29" spans="1:18" x14ac:dyDescent="0.3">
      <c r="A29" s="85">
        <f t="shared" si="2"/>
        <v>22</v>
      </c>
      <c r="B29" s="85" t="str">
        <f>'WA Volumes &amp; Revenues'!B27</f>
        <v>41I Interr Sales</v>
      </c>
      <c r="C29" s="1619" t="s">
        <v>4</v>
      </c>
      <c r="D29" s="294">
        <f>'WA Volumes &amp; Revenues'!E27</f>
        <v>0</v>
      </c>
      <c r="E29" s="366">
        <v>2000</v>
      </c>
      <c r="F29" s="295">
        <f>'WA Volumes &amp; Revenues'!I27</f>
        <v>0</v>
      </c>
      <c r="G29" s="862">
        <f>'WA Volumes &amp; Revenues'!O27</f>
        <v>250</v>
      </c>
      <c r="H29" s="367">
        <f>'WA Volumes &amp; Revenues'!N27</f>
        <v>250</v>
      </c>
      <c r="I29" s="121">
        <f>+'Rates in summary'!D26</f>
        <v>0.61580999999999997</v>
      </c>
      <c r="J29" s="121">
        <f>+'Rates in summary'!M26</f>
        <v>0.74958000000000002</v>
      </c>
      <c r="K29" s="367"/>
      <c r="L29" s="367"/>
      <c r="M29" s="368">
        <f>'Rates in summary'!M26</f>
        <v>0.74958000000000002</v>
      </c>
      <c r="N29" s="367"/>
      <c r="O29" s="369"/>
      <c r="P29" s="368">
        <f>'Rates in summary'!W26</f>
        <v>0.95740000000000003</v>
      </c>
      <c r="Q29" s="367"/>
      <c r="R29" s="369"/>
    </row>
    <row r="30" spans="1:18" x14ac:dyDescent="0.3">
      <c r="A30" s="85">
        <f t="shared" si="2"/>
        <v>23</v>
      </c>
      <c r="B30" s="85"/>
      <c r="C30" s="1619" t="s">
        <v>5</v>
      </c>
      <c r="D30" s="294">
        <f>'WA Volumes &amp; Revenues'!E28</f>
        <v>0</v>
      </c>
      <c r="E30" s="366" t="s">
        <v>72</v>
      </c>
      <c r="F30" s="378"/>
      <c r="G30" s="864"/>
      <c r="H30" s="650"/>
      <c r="I30" s="121">
        <f>+'Rates in summary'!D27</f>
        <v>0.57401999999999986</v>
      </c>
      <c r="J30" s="121">
        <f>+'Rates in summary'!M27</f>
        <v>0.70627999999999991</v>
      </c>
      <c r="K30" s="367"/>
      <c r="L30" s="367"/>
      <c r="M30" s="368">
        <f>'Rates in summary'!M27</f>
        <v>0.70627999999999991</v>
      </c>
      <c r="N30" s="367"/>
      <c r="O30" s="369"/>
      <c r="P30" s="368">
        <f>'Rates in summary'!W27</f>
        <v>0.91322999999999999</v>
      </c>
      <c r="Q30" s="367"/>
      <c r="R30" s="369"/>
    </row>
    <row r="31" spans="1:18" x14ac:dyDescent="0.3">
      <c r="A31" s="85">
        <f t="shared" si="2"/>
        <v>24</v>
      </c>
      <c r="B31" s="160"/>
      <c r="C31" s="1620" t="s">
        <v>76</v>
      </c>
      <c r="D31" s="370"/>
      <c r="E31" s="371"/>
      <c r="F31" s="372"/>
      <c r="G31" s="863"/>
      <c r="H31" s="374"/>
      <c r="I31" s="373"/>
      <c r="J31" s="373"/>
      <c r="K31" s="374">
        <f>$G29+ROUND(IF($F29&lt;$E29,($F29*I29),IF($F29&gt;SUM($E29:$E30),(($E29*I29)+(($F29-$E29)*I30)),0)),2)</f>
        <v>250</v>
      </c>
      <c r="L31" s="374">
        <f>$G29+ROUND(IF($F29&lt;$E29,($F29*J29),IF($F29&gt;SUM($E29:$E30),(($E29*J29)+(($F29-$E29)*J30)),0)),2)</f>
        <v>250</v>
      </c>
      <c r="M31" s="376"/>
      <c r="N31" s="374">
        <f>$H29+ROUND(IF($F29&lt;$E29,($F29*M29),IF($F29&gt;SUM($E29:$E30),(($E29*M29)+(($F29-$E29)*M30)),0)),2)</f>
        <v>250</v>
      </c>
      <c r="O31" s="377">
        <f>ROUND((N31-K31)/K31,3)</f>
        <v>0</v>
      </c>
      <c r="P31" s="376"/>
      <c r="Q31" s="374">
        <f>$H29+ROUND(IF($F29&lt;$E29,($F29*P29),IF($F29&gt;SUM($E29:$E30),(($E29*P29)+(($F29-$E29)*P30)),0)),2)</f>
        <v>250</v>
      </c>
      <c r="R31" s="377">
        <f>ROUND((Q31-L31)/L31,3)</f>
        <v>0</v>
      </c>
    </row>
    <row r="32" spans="1:18" x14ac:dyDescent="0.3">
      <c r="A32" s="85">
        <f t="shared" si="2"/>
        <v>25</v>
      </c>
      <c r="B32" s="85" t="str">
        <f>'WA Volumes &amp; Revenues'!B29</f>
        <v>41C Firm Transpt</v>
      </c>
      <c r="C32" s="1619" t="s">
        <v>4</v>
      </c>
      <c r="D32" s="294">
        <f>'WA Volumes &amp; Revenues'!E29</f>
        <v>168721</v>
      </c>
      <c r="E32" s="366">
        <v>2000</v>
      </c>
      <c r="F32" s="295">
        <f>'WA Volumes &amp; Revenues'!I29</f>
        <v>4648</v>
      </c>
      <c r="G32" s="862">
        <f>'WA Volumes &amp; Revenues'!O29</f>
        <v>500</v>
      </c>
      <c r="H32" s="367">
        <f>'WA Volumes &amp; Revenues'!N29</f>
        <v>500</v>
      </c>
      <c r="I32" s="121">
        <f>+'Rates in summary'!D28</f>
        <v>0.34945999999999999</v>
      </c>
      <c r="J32" s="121">
        <f>+'Rates in summary'!M28</f>
        <v>0.37100000000000005</v>
      </c>
      <c r="K32" s="367"/>
      <c r="L32" s="367"/>
      <c r="M32" s="368">
        <f>'Rates in summary'!M28</f>
        <v>0.37100000000000005</v>
      </c>
      <c r="N32" s="367"/>
      <c r="O32" s="369"/>
      <c r="P32" s="368">
        <f>'Rates in summary'!W28</f>
        <v>0.38083000000000006</v>
      </c>
      <c r="Q32" s="367"/>
      <c r="R32" s="369"/>
    </row>
    <row r="33" spans="1:18" x14ac:dyDescent="0.3">
      <c r="A33" s="85">
        <f t="shared" si="2"/>
        <v>26</v>
      </c>
      <c r="B33" s="85"/>
      <c r="C33" s="1619" t="s">
        <v>5</v>
      </c>
      <c r="D33" s="294">
        <f>'WA Volumes &amp; Revenues'!E30</f>
        <v>272866</v>
      </c>
      <c r="E33" s="366" t="s">
        <v>72</v>
      </c>
      <c r="F33" s="378"/>
      <c r="G33" s="864"/>
      <c r="H33" s="650"/>
      <c r="I33" s="121">
        <f>+'Rates in summary'!D29</f>
        <v>0.30789000000000011</v>
      </c>
      <c r="J33" s="121">
        <f>+'Rates in summary'!M29</f>
        <v>0.32688000000000006</v>
      </c>
      <c r="K33" s="367"/>
      <c r="L33" s="367"/>
      <c r="M33" s="368">
        <f>'Rates in summary'!M29</f>
        <v>0.32688000000000006</v>
      </c>
      <c r="N33" s="367"/>
      <c r="O33" s="369"/>
      <c r="P33" s="368">
        <f>'Rates in summary'!W29</f>
        <v>0.33552000000000004</v>
      </c>
      <c r="Q33" s="367"/>
      <c r="R33" s="369"/>
    </row>
    <row r="34" spans="1:18" x14ac:dyDescent="0.3">
      <c r="A34" s="85">
        <f t="shared" si="2"/>
        <v>27</v>
      </c>
      <c r="B34" s="160"/>
      <c r="C34" s="1620" t="s">
        <v>76</v>
      </c>
      <c r="D34" s="370"/>
      <c r="E34" s="371"/>
      <c r="F34" s="372"/>
      <c r="G34" s="863"/>
      <c r="H34" s="374"/>
      <c r="I34" s="373"/>
      <c r="J34" s="373"/>
      <c r="K34" s="374">
        <f>$G32+ROUND(IF($F32&lt;$E32,($F32*I32),IF($F32&gt;SUM($E32:$E33),(($E32*I32)+(($F32-$E32)*I33)),0)),2)</f>
        <v>2014.21</v>
      </c>
      <c r="L34" s="374">
        <f>$G32+ROUND(IF($F32&lt;$E32,($F32*J32),IF($F32&gt;SUM($E32:$E33),(($E32*J32)+(($F32-$E32)*J33)),0)),2)</f>
        <v>2107.58</v>
      </c>
      <c r="M34" s="376"/>
      <c r="N34" s="374">
        <f>$H32+ROUND(IF($F32&lt;$E32,($F32*M32),IF($F32&gt;SUM($E32:$E33),(($E32*M32)+(($F32-$E32)*M33)),0)),2)</f>
        <v>2107.58</v>
      </c>
      <c r="O34" s="377">
        <f>ROUND((N34-K34)/K34,3)</f>
        <v>4.5999999999999999E-2</v>
      </c>
      <c r="P34" s="376"/>
      <c r="Q34" s="374">
        <f>$H32+ROUND(IF($F32&lt;$E32,($F32*P32),IF($F32&gt;SUM($E32:$E33),(($E32*P32)+(($F32-$E32)*P33)),0)),2)</f>
        <v>2150.12</v>
      </c>
      <c r="R34" s="377">
        <f>ROUND((Q34-L34)/L34,3)</f>
        <v>0.02</v>
      </c>
    </row>
    <row r="35" spans="1:18" x14ac:dyDescent="0.3">
      <c r="A35" s="85">
        <f t="shared" si="2"/>
        <v>28</v>
      </c>
      <c r="B35" s="85" t="str">
        <f>'WA Volumes &amp; Revenues'!B31</f>
        <v>41I Firm Transpt</v>
      </c>
      <c r="C35" s="1619" t="s">
        <v>4</v>
      </c>
      <c r="D35" s="294">
        <f>'WA Volumes &amp; Revenues'!E31</f>
        <v>0</v>
      </c>
      <c r="E35" s="366">
        <v>2000</v>
      </c>
      <c r="F35" s="295">
        <f>'WA Volumes &amp; Revenues'!I31</f>
        <v>0</v>
      </c>
      <c r="G35" s="862">
        <f>'WA Volumes &amp; Revenues'!O31</f>
        <v>500</v>
      </c>
      <c r="H35" s="367">
        <f>'WA Volumes &amp; Revenues'!N31</f>
        <v>500</v>
      </c>
      <c r="I35" s="121">
        <f>+'Rates in summary'!D30</f>
        <v>0.34945999999999999</v>
      </c>
      <c r="J35" s="121">
        <f>+'Rates in summary'!M30</f>
        <v>0.36336999999999997</v>
      </c>
      <c r="K35" s="367"/>
      <c r="L35" s="367"/>
      <c r="M35" s="368">
        <f>'Rates in summary'!M30</f>
        <v>0.36336999999999997</v>
      </c>
      <c r="N35" s="367"/>
      <c r="O35" s="369"/>
      <c r="P35" s="368">
        <f>'Rates in summary'!W30</f>
        <v>0.37097999999999998</v>
      </c>
      <c r="Q35" s="367"/>
      <c r="R35" s="369"/>
    </row>
    <row r="36" spans="1:18" x14ac:dyDescent="0.3">
      <c r="A36" s="85">
        <f t="shared" si="2"/>
        <v>29</v>
      </c>
      <c r="B36" s="85"/>
      <c r="C36" s="1619" t="s">
        <v>5</v>
      </c>
      <c r="D36" s="294">
        <f>'WA Volumes &amp; Revenues'!E32</f>
        <v>0</v>
      </c>
      <c r="E36" s="366" t="s">
        <v>72</v>
      </c>
      <c r="F36" s="295"/>
      <c r="G36" s="862"/>
      <c r="H36" s="367"/>
      <c r="I36" s="121">
        <f>+'Rates in summary'!D31</f>
        <v>0.30789000000000011</v>
      </c>
      <c r="J36" s="121">
        <f>+'Rates in summary'!M31</f>
        <v>0.3201500000000001</v>
      </c>
      <c r="K36" s="367"/>
      <c r="L36" s="367"/>
      <c r="M36" s="368">
        <f>'Rates in summary'!M31</f>
        <v>0.3201500000000001</v>
      </c>
      <c r="N36" s="367"/>
      <c r="O36" s="369"/>
      <c r="P36" s="368">
        <f>'Rates in summary'!W31</f>
        <v>0.3268700000000001</v>
      </c>
      <c r="Q36" s="367"/>
      <c r="R36" s="369"/>
    </row>
    <row r="37" spans="1:18" x14ac:dyDescent="0.3">
      <c r="A37" s="85">
        <f t="shared" si="2"/>
        <v>30</v>
      </c>
      <c r="B37" s="160"/>
      <c r="C37" s="1620" t="s">
        <v>76</v>
      </c>
      <c r="D37" s="370"/>
      <c r="E37" s="371"/>
      <c r="F37" s="372"/>
      <c r="G37" s="863"/>
      <c r="H37" s="374"/>
      <c r="I37" s="373"/>
      <c r="J37" s="373"/>
      <c r="K37" s="374">
        <f>$G35+ROUND(IF($F35&lt;$E35,($F35*I35),IF($F35&gt;SUM($E35:$E36),(($E35*I35)+(($F35-$E35)*I36)),0)),2)</f>
        <v>500</v>
      </c>
      <c r="L37" s="374">
        <f>$G35+ROUND(IF($F35&lt;$E35,($F35*J35),IF($F35&gt;SUM($E35:$E36),(($E35*J35)+(($F35-$E35)*J36)),0)),2)</f>
        <v>500</v>
      </c>
      <c r="M37" s="376"/>
      <c r="N37" s="374">
        <f>$H35+ROUND(IF($F35&lt;$E35,($F35*M35),IF($F35&gt;SUM($E35:$E36),(($E35*M35)+(($F35-$E35)*M36)),0)),2)</f>
        <v>500</v>
      </c>
      <c r="O37" s="377">
        <f>ROUND((N37-K37)/K37,3)</f>
        <v>0</v>
      </c>
      <c r="P37" s="376"/>
      <c r="Q37" s="374">
        <f>$H35+ROUND(IF($F35&lt;$E35,($F35*P35),IF($F35&gt;SUM($E35:$E36),(($E35*P35)+(($F35-$E35)*P36)),0)),2)</f>
        <v>500</v>
      </c>
      <c r="R37" s="377">
        <f>ROUND((Q37-L37)/L37,3)</f>
        <v>0</v>
      </c>
    </row>
    <row r="38" spans="1:18" x14ac:dyDescent="0.3">
      <c r="A38" s="85">
        <f t="shared" si="2"/>
        <v>31</v>
      </c>
      <c r="B38" s="85" t="str">
        <f>'WA Volumes &amp; Revenues'!B33</f>
        <v>42C Firm Sales</v>
      </c>
      <c r="C38" s="1619" t="s">
        <v>4</v>
      </c>
      <c r="D38" s="294">
        <f>'WA Volumes &amp; Revenues'!E33</f>
        <v>350769.66174469434</v>
      </c>
      <c r="E38" s="294">
        <v>10000</v>
      </c>
      <c r="F38" s="295">
        <f>'WA Volumes &amp; Revenues'!I33</f>
        <v>11949</v>
      </c>
      <c r="G38" s="862">
        <f>'WA Volumes &amp; Revenues'!O33</f>
        <v>1300</v>
      </c>
      <c r="H38" s="367">
        <f>'WA Volumes &amp; Revenues'!N33</f>
        <v>1300</v>
      </c>
      <c r="I38" s="121">
        <f>+'Rates in summary'!D32</f>
        <v>0.43535000000000001</v>
      </c>
      <c r="J38" s="121">
        <f>+'Rates in summary'!M32</f>
        <v>0.56289</v>
      </c>
      <c r="K38" s="367"/>
      <c r="L38" s="367"/>
      <c r="M38" s="368">
        <f>'Rates in summary'!M32</f>
        <v>0.56289</v>
      </c>
      <c r="N38" s="367"/>
      <c r="O38" s="369"/>
      <c r="P38" s="368">
        <f>'Rates in summary'!W32</f>
        <v>0.8075</v>
      </c>
      <c r="Q38" s="367"/>
      <c r="R38" s="369"/>
    </row>
    <row r="39" spans="1:18" x14ac:dyDescent="0.3">
      <c r="A39" s="85">
        <f t="shared" si="2"/>
        <v>32</v>
      </c>
      <c r="B39" s="85"/>
      <c r="C39" s="1619" t="s">
        <v>5</v>
      </c>
      <c r="D39" s="294">
        <f>'WA Volumes &amp; Revenues'!E34</f>
        <v>303088.75426472601</v>
      </c>
      <c r="E39" s="294">
        <v>20000</v>
      </c>
      <c r="F39" s="295"/>
      <c r="G39" s="862"/>
      <c r="H39" s="367"/>
      <c r="I39" s="121">
        <f>+'Rates in summary'!D33</f>
        <v>0.41633999999999971</v>
      </c>
      <c r="J39" s="121">
        <f>+'Rates in summary'!M33</f>
        <v>0.54045999999999972</v>
      </c>
      <c r="K39" s="367"/>
      <c r="L39" s="367"/>
      <c r="M39" s="368">
        <f>'Rates in summary'!M33</f>
        <v>0.54045999999999972</v>
      </c>
      <c r="N39" s="367"/>
      <c r="O39" s="369"/>
      <c r="P39" s="368">
        <f>'Rates in summary'!W33</f>
        <v>0.78433999999999982</v>
      </c>
      <c r="Q39" s="367"/>
      <c r="R39" s="369"/>
    </row>
    <row r="40" spans="1:18" x14ac:dyDescent="0.3">
      <c r="A40" s="85">
        <f t="shared" si="2"/>
        <v>33</v>
      </c>
      <c r="B40" s="85"/>
      <c r="C40" s="1619" t="s">
        <v>6</v>
      </c>
      <c r="D40" s="294">
        <f>'WA Volumes &amp; Revenues'!E35</f>
        <v>59441.942130257296</v>
      </c>
      <c r="E40" s="294">
        <v>20000</v>
      </c>
      <c r="F40" s="295"/>
      <c r="G40" s="862"/>
      <c r="H40" s="367"/>
      <c r="I40" s="121">
        <f>+'Rates in summary'!D34</f>
        <v>0.37851999999999986</v>
      </c>
      <c r="J40" s="121">
        <f>+'Rates in summary'!M34</f>
        <v>0.4958599999999998</v>
      </c>
      <c r="K40" s="367"/>
      <c r="L40" s="367"/>
      <c r="M40" s="368">
        <f>'Rates in summary'!M34</f>
        <v>0.4958599999999998</v>
      </c>
      <c r="N40" s="367"/>
      <c r="O40" s="369"/>
      <c r="P40" s="368">
        <f>'Rates in summary'!W34</f>
        <v>0.7383099999999998</v>
      </c>
      <c r="Q40" s="367"/>
      <c r="R40" s="369"/>
    </row>
    <row r="41" spans="1:18" x14ac:dyDescent="0.3">
      <c r="A41" s="85">
        <f t="shared" si="2"/>
        <v>34</v>
      </c>
      <c r="B41" s="85"/>
      <c r="C41" s="1619" t="s">
        <v>7</v>
      </c>
      <c r="D41" s="294">
        <f>'WA Volumes &amp; Revenues'!E36</f>
        <v>3614.6071898605187</v>
      </c>
      <c r="E41" s="294">
        <v>100000</v>
      </c>
      <c r="F41" s="295"/>
      <c r="G41" s="862"/>
      <c r="H41" s="367"/>
      <c r="I41" s="121">
        <f>+'Rates in summary'!D35</f>
        <v>0.35361000000000004</v>
      </c>
      <c r="J41" s="121">
        <f>+'Rates in summary'!M35</f>
        <v>0.46651000000000004</v>
      </c>
      <c r="K41" s="367"/>
      <c r="L41" s="367"/>
      <c r="M41" s="368">
        <f>'Rates in summary'!M35</f>
        <v>0.46651000000000004</v>
      </c>
      <c r="N41" s="367"/>
      <c r="O41" s="369"/>
      <c r="P41" s="368">
        <f>'Rates in summary'!W35</f>
        <v>0.70801000000000014</v>
      </c>
      <c r="Q41" s="367"/>
      <c r="R41" s="369"/>
    </row>
    <row r="42" spans="1:18" x14ac:dyDescent="0.3">
      <c r="A42" s="85">
        <f t="shared" si="2"/>
        <v>35</v>
      </c>
      <c r="B42" s="85"/>
      <c r="C42" s="1619" t="s">
        <v>8</v>
      </c>
      <c r="D42" s="294">
        <f>'WA Volumes &amp; Revenues'!E37</f>
        <v>0</v>
      </c>
      <c r="E42" s="294">
        <v>600000</v>
      </c>
      <c r="F42" s="295"/>
      <c r="G42" s="862"/>
      <c r="H42" s="367"/>
      <c r="I42" s="121">
        <f>+'Rates in summary'!D36</f>
        <v>0.32038</v>
      </c>
      <c r="J42" s="121">
        <f>+'Rates in summary'!M36</f>
        <v>0.42738999999999994</v>
      </c>
      <c r="K42" s="367"/>
      <c r="L42" s="367"/>
      <c r="M42" s="368">
        <f>'Rates in summary'!M36</f>
        <v>0.42738999999999994</v>
      </c>
      <c r="N42" s="367"/>
      <c r="O42" s="369"/>
      <c r="P42" s="368">
        <f>'Rates in summary'!W36</f>
        <v>0.66761000000000004</v>
      </c>
      <c r="Q42" s="367"/>
      <c r="R42" s="369"/>
    </row>
    <row r="43" spans="1:18" x14ac:dyDescent="0.3">
      <c r="A43" s="85">
        <f t="shared" si="2"/>
        <v>36</v>
      </c>
      <c r="B43" s="85"/>
      <c r="C43" s="1619" t="s">
        <v>9</v>
      </c>
      <c r="D43" s="294">
        <f>'WA Volumes &amp; Revenues'!E38</f>
        <v>0</v>
      </c>
      <c r="E43" s="366" t="s">
        <v>72</v>
      </c>
      <c r="F43" s="295"/>
      <c r="G43" s="862"/>
      <c r="H43" s="367"/>
      <c r="I43" s="121">
        <f>+'Rates in summary'!D37</f>
        <v>0.27890000000000004</v>
      </c>
      <c r="J43" s="121">
        <f>+'Rates in summary'!M37</f>
        <v>0.37845999999999996</v>
      </c>
      <c r="K43" s="367"/>
      <c r="L43" s="367"/>
      <c r="M43" s="368">
        <f>'Rates in summary'!M37</f>
        <v>0.37845999999999996</v>
      </c>
      <c r="N43" s="367"/>
      <c r="O43" s="369"/>
      <c r="P43" s="368">
        <f>'Rates in summary'!W37</f>
        <v>0.61709000000000003</v>
      </c>
      <c r="Q43" s="367"/>
      <c r="R43" s="369"/>
    </row>
    <row r="44" spans="1:18" x14ac:dyDescent="0.3">
      <c r="A44" s="85">
        <f t="shared" si="2"/>
        <v>37</v>
      </c>
      <c r="B44" s="160"/>
      <c r="C44" s="1620" t="s">
        <v>76</v>
      </c>
      <c r="D44" s="370"/>
      <c r="E44" s="371"/>
      <c r="F44" s="372"/>
      <c r="G44" s="863"/>
      <c r="H44" s="374"/>
      <c r="I44" s="373"/>
      <c r="J44" s="373"/>
      <c r="K44" s="374">
        <f>$G38+ROUND(IF($F38&lt;$E38,($F38*I38),IF($F38&lt;SUM($E38:$E39),(($E38*I38)+(($F38-$E38)*I39)),IF($F38&lt;SUM($E38:$E40),(($E38*I38)+($E39*I39)+(($F38-$E38-$E39)*I40)),IF($F38&lt;SUM($E38:$E41),(($E38*I38)+($E39*I39)+($E40*I40)+(($F38-SUM($E38:$E40))*I41)),IF($F38&lt;SUM($E38:$E42),(($E38*I38)+($E39*I39)+($E40*I40)+($E41*I41)+(($F38-SUM($E38:$E41))*I42)),(($E38*I38)+($E39*I39)+($E40*I40)+($E41*I40)+($E42*I42)+(($F38-SUM($E38:$E42))*I43))))))),2)</f>
        <v>6464.95</v>
      </c>
      <c r="L44" s="374">
        <f>$G38+ROUND(IF($F38&lt;$E38,($F38*J38),IF($F38&lt;SUM($E38:$E39),(($E38*J38)+(($F38-$E38)*J39)),IF($F38&lt;SUM($E38:$E40),(($E38*J38)+($E39*J39)+(($F38-$E38-$E39)*J40)),IF($F38&lt;SUM($E38:$E41),(($E38*J38)+($E39*J39)+($E40*J40)+(($F38-SUM($E38:$E40))*J41)),IF($F38&lt;SUM($E38:$E42),(($E38*J38)+($E39*J39)+($E40*J40)+($E41*J41)+(($F38-SUM($E38:$E41))*J42)),(($E38*J38)+($E39*J39)+($E40*J40)+($E41*J40)+($E42*J42)+(($F38-SUM($E38:$E42))*J43))))))),2)</f>
        <v>7982.26</v>
      </c>
      <c r="M44" s="376"/>
      <c r="N44" s="374">
        <f>$H38+ROUND(IF($F38&lt;$E38,($F38*M38),IF($F38&lt;SUM($E38:$E39),(($E38*M38)+(($F38-$E38)*M39)),IF($F38&lt;SUM($E38:$E40),(($E38*M38)+($E39*M39)+(($F38-$E38-$E39)*M40)),IF($F38&lt;SUM($E38:$E41),(($E38*M38)+($E39*M39)+($E40*M40)+(($F38-SUM($E38:$E40))*M41)),IF($F38&lt;SUM($E38:$E42),(($E38*M38)+($E39*M39)+($E40*M40)+($E41*M41)+(($F38-SUM($E38:$E41))*M42)),(($E38*M38)+($E39*M39)+($E40*M40)+($E41*M40)+($E42*M42)+(($F38-SUM($E38:$E42))*M43))))))),2)</f>
        <v>7982.26</v>
      </c>
      <c r="O44" s="377">
        <f>ROUND((N44-K44)/K44,3)</f>
        <v>0.23499999999999999</v>
      </c>
      <c r="P44" s="376"/>
      <c r="Q44" s="374">
        <f>$H38+ROUND(IF($F38&lt;$E38,($F38*P38),IF($F38&lt;SUM($E38:$E39),(($E38*P38)+(($F38-$E38)*P39)),IF($F38&lt;SUM($E38:$E40),(($E38*P38)+($E39*P39)+(($F38-$E38-$E39)*P40)),IF($F38&lt;SUM($E38:$E41),(($E38*P38)+($E39*P39)+($E40*P40)+(($F38-SUM($E38:$E40))*P41)),IF($F38&lt;SUM($E38:$E42),(($E38*P38)+($E39*P39)+($E40*P40)+($E41*P41)+(($F38-SUM($E38:$E41))*P42)),(($E38*P38)+($E39*P39)+($E40*P40)+($E41*P40)+($E42*P42)+(($F38-SUM($E38:$E42))*P43))))))),2)</f>
        <v>10903.68</v>
      </c>
      <c r="R44" s="377">
        <f>ROUND((Q44-L44)/L44,3)</f>
        <v>0.36599999999999999</v>
      </c>
    </row>
    <row r="45" spans="1:18" x14ac:dyDescent="0.3">
      <c r="A45" s="85">
        <f t="shared" si="2"/>
        <v>38</v>
      </c>
      <c r="B45" s="85" t="str">
        <f>'WA Volumes &amp; Revenues'!B39</f>
        <v>42I Firm Sales</v>
      </c>
      <c r="C45" s="1619" t="s">
        <v>4</v>
      </c>
      <c r="D45" s="294">
        <f>'WA Volumes &amp; Revenues'!E39</f>
        <v>1093724.2000000002</v>
      </c>
      <c r="E45" s="294">
        <v>10000</v>
      </c>
      <c r="F45" s="295">
        <f>'WA Volumes &amp; Revenues'!I39</f>
        <v>12869</v>
      </c>
      <c r="G45" s="862">
        <f>'WA Volumes &amp; Revenues'!O39</f>
        <v>1300</v>
      </c>
      <c r="H45" s="367">
        <f>'WA Volumes &amp; Revenues'!N39</f>
        <v>1300</v>
      </c>
      <c r="I45" s="121">
        <f>+'Rates in summary'!D38</f>
        <v>0.40593000000000001</v>
      </c>
      <c r="J45" s="121">
        <f>+'Rates in summary'!M38</f>
        <v>0.51346999999999998</v>
      </c>
      <c r="K45" s="367"/>
      <c r="L45" s="367"/>
      <c r="M45" s="368">
        <f>'Rates in summary'!M38</f>
        <v>0.51346999999999998</v>
      </c>
      <c r="N45" s="367"/>
      <c r="O45" s="369"/>
      <c r="P45" s="368">
        <f>'Rates in summary'!W38</f>
        <v>0.75461</v>
      </c>
      <c r="Q45" s="367"/>
      <c r="R45" s="369"/>
    </row>
    <row r="46" spans="1:18" x14ac:dyDescent="0.3">
      <c r="A46" s="85">
        <f t="shared" si="2"/>
        <v>39</v>
      </c>
      <c r="B46" s="85"/>
      <c r="C46" s="1619" t="s">
        <v>5</v>
      </c>
      <c r="D46" s="294">
        <f>'WA Volumes &amp; Revenues'!E40</f>
        <v>655939.80000000005</v>
      </c>
      <c r="E46" s="294">
        <v>20000</v>
      </c>
      <c r="F46" s="295"/>
      <c r="G46" s="862"/>
      <c r="H46" s="367"/>
      <c r="I46" s="121">
        <f>+'Rates in summary'!D39</f>
        <v>0.38999</v>
      </c>
      <c r="J46" s="121">
        <f>+'Rates in summary'!M39</f>
        <v>0.49624000000000001</v>
      </c>
      <c r="K46" s="367"/>
      <c r="L46" s="367"/>
      <c r="M46" s="368">
        <f>'Rates in summary'!M39</f>
        <v>0.49624000000000001</v>
      </c>
      <c r="N46" s="367"/>
      <c r="O46" s="369"/>
      <c r="P46" s="368">
        <f>'Rates in summary'!W39</f>
        <v>0.7370000000000001</v>
      </c>
      <c r="Q46" s="367"/>
      <c r="R46" s="369"/>
    </row>
    <row r="47" spans="1:18" x14ac:dyDescent="0.3">
      <c r="A47" s="85">
        <f t="shared" si="2"/>
        <v>40</v>
      </c>
      <c r="B47" s="85"/>
      <c r="C47" s="1619" t="s">
        <v>6</v>
      </c>
      <c r="D47" s="294">
        <f>'WA Volumes &amp; Revenues'!E41</f>
        <v>81241.3</v>
      </c>
      <c r="E47" s="294">
        <v>20000</v>
      </c>
      <c r="F47" s="295"/>
      <c r="G47" s="862"/>
      <c r="H47" s="367"/>
      <c r="I47" s="121">
        <f>+'Rates in summary'!D40</f>
        <v>0.35830999999999985</v>
      </c>
      <c r="J47" s="121">
        <f>+'Rates in summary'!M40</f>
        <v>0.46193999999999985</v>
      </c>
      <c r="K47" s="367"/>
      <c r="L47" s="367"/>
      <c r="M47" s="368">
        <f>'Rates in summary'!M40</f>
        <v>0.46193999999999985</v>
      </c>
      <c r="N47" s="367"/>
      <c r="O47" s="369"/>
      <c r="P47" s="368">
        <f>'Rates in summary'!W40</f>
        <v>0.70197999999999994</v>
      </c>
      <c r="Q47" s="367"/>
      <c r="R47" s="369"/>
    </row>
    <row r="48" spans="1:18" x14ac:dyDescent="0.3">
      <c r="A48" s="85">
        <f t="shared" si="2"/>
        <v>41</v>
      </c>
      <c r="B48" s="85"/>
      <c r="C48" s="1619" t="s">
        <v>7</v>
      </c>
      <c r="D48" s="294">
        <f>'WA Volumes &amp; Revenues'!E42</f>
        <v>9320.1</v>
      </c>
      <c r="E48" s="294">
        <v>100000</v>
      </c>
      <c r="F48" s="295"/>
      <c r="G48" s="862"/>
      <c r="H48" s="367"/>
      <c r="I48" s="121">
        <f>+'Rates in summary'!D41</f>
        <v>0.33743999999999996</v>
      </c>
      <c r="J48" s="121">
        <f>+'Rates in summary'!M41</f>
        <v>0.43937999999999994</v>
      </c>
      <c r="K48" s="367"/>
      <c r="L48" s="367"/>
      <c r="M48" s="368">
        <f>'Rates in summary'!M41</f>
        <v>0.43937999999999994</v>
      </c>
      <c r="N48" s="367"/>
      <c r="O48" s="369"/>
      <c r="P48" s="368">
        <f>'Rates in summary'!W41</f>
        <v>0.67895000000000005</v>
      </c>
      <c r="Q48" s="367"/>
      <c r="R48" s="369"/>
    </row>
    <row r="49" spans="1:18" x14ac:dyDescent="0.3">
      <c r="A49" s="85">
        <f t="shared" si="2"/>
        <v>42</v>
      </c>
      <c r="B49" s="85"/>
      <c r="C49" s="1619" t="s">
        <v>8</v>
      </c>
      <c r="D49" s="294">
        <f>'WA Volumes &amp; Revenues'!E43</f>
        <v>0</v>
      </c>
      <c r="E49" s="294">
        <v>600000</v>
      </c>
      <c r="F49" s="295"/>
      <c r="G49" s="862"/>
      <c r="H49" s="367"/>
      <c r="I49" s="121">
        <f>+'Rates in summary'!D42</f>
        <v>0.30965000000000004</v>
      </c>
      <c r="J49" s="121">
        <f>+'Rates in summary'!M42</f>
        <v>0.40932000000000002</v>
      </c>
      <c r="K49" s="367"/>
      <c r="L49" s="367"/>
      <c r="M49" s="368">
        <f>'Rates in summary'!M42</f>
        <v>0.40932000000000002</v>
      </c>
      <c r="N49" s="367"/>
      <c r="O49" s="369"/>
      <c r="P49" s="368">
        <f>'Rates in summary'!W42</f>
        <v>0.64824000000000004</v>
      </c>
      <c r="Q49" s="367"/>
      <c r="R49" s="369"/>
    </row>
    <row r="50" spans="1:18" x14ac:dyDescent="0.3">
      <c r="A50" s="85">
        <f t="shared" si="2"/>
        <v>43</v>
      </c>
      <c r="B50" s="85"/>
      <c r="C50" s="1619" t="s">
        <v>9</v>
      </c>
      <c r="D50" s="294">
        <f>'WA Volumes &amp; Revenues'!E44</f>
        <v>0</v>
      </c>
      <c r="E50" s="366" t="s">
        <v>72</v>
      </c>
      <c r="F50" s="295"/>
      <c r="G50" s="862"/>
      <c r="H50" s="367"/>
      <c r="I50" s="121">
        <f>+'Rates in summary'!D43</f>
        <v>0.27485999999999999</v>
      </c>
      <c r="J50" s="121">
        <f>+'Rates in summary'!M43</f>
        <v>0.37169999999999997</v>
      </c>
      <c r="K50" s="367"/>
      <c r="L50" s="367"/>
      <c r="M50" s="368">
        <f>'Rates in summary'!M43</f>
        <v>0.37169999999999997</v>
      </c>
      <c r="N50" s="367"/>
      <c r="O50" s="369"/>
      <c r="P50" s="368">
        <f>'Rates in summary'!W43</f>
        <v>0.60982000000000003</v>
      </c>
      <c r="Q50" s="367"/>
      <c r="R50" s="369"/>
    </row>
    <row r="51" spans="1:18" x14ac:dyDescent="0.3">
      <c r="A51" s="85">
        <f t="shared" si="2"/>
        <v>44</v>
      </c>
      <c r="B51" s="160"/>
      <c r="C51" s="1620" t="s">
        <v>76</v>
      </c>
      <c r="D51" s="370"/>
      <c r="E51" s="371"/>
      <c r="F51" s="372"/>
      <c r="G51" s="863"/>
      <c r="H51" s="374"/>
      <c r="I51" s="373"/>
      <c r="J51" s="373"/>
      <c r="K51" s="374">
        <f>$G45+ROUND(IF($F45&lt;$E45,($F45*I45),IF($F45&lt;SUM($E45:$E46),(($E45*I45)+(($F45-$E45)*I46)),IF($F45&lt;SUM($E45:$E47),(($E45*I45)+($E46*I46)+(($F45-$E45-$E46)*I47)),IF($F45&lt;SUM($E45:$E48),(($E45*I45)+($E46*I46)+($E47*I47)+(($F45-SUM($E45:$E47))*I48)),IF($F45&lt;SUM($E45:$E49),(($E45*I45)+($E46*I46)+($E47*I47)+($E48*I48)+(($F45-SUM($E45:$E48))*I49)),(($E45*I45)+($E46*I46)+($E47*I47)+($E48*I47)+($E49*I49)+(($F45-SUM($E45:$E49))*I50))))))),2)</f>
        <v>6478.18</v>
      </c>
      <c r="L51" s="374">
        <f>$G45+ROUND(IF($F45&lt;$E45,($F45*J45),IF($F45&lt;SUM($E45:$E46),(($E45*J45)+(($F45-$E45)*J46)),IF($F45&lt;SUM($E45:$E47),(($E45*J45)+($E46*J46)+(($F45-$E45-$E46)*J47)),IF($F45&lt;SUM($E45:$E48),(($E45*J45)+($E46*J46)+($E47*J47)+(($F45-SUM($E45:$E47))*J48)),IF($F45&lt;SUM($E45:$E49),(($E45*J45)+($E46*J46)+($E47*J47)+($E48*J48)+(($F45-SUM($E45:$E48))*J49)),(($E45*J45)+($E46*J46)+($E47*J47)+($E48*J47)+($E49*J49)+(($F45-SUM($E45:$E49))*J50))))))),2)</f>
        <v>7858.41</v>
      </c>
      <c r="M51" s="376"/>
      <c r="N51" s="374">
        <f>$H45+ROUND(IF($F45&lt;$E45,($F45*M45),IF($F45&lt;SUM($E45:$E46),(($E45*M45)+(($F45-$E45)*M46)),IF($F45&lt;SUM($E45:$E47),(($E45*M45)+($E46*M46)+(($F45-$E45-$E46)*M47)),IF($F45&lt;SUM($E45:$E48),(($E45*M45)+($E46*M46)+($E47*M47)+(($F45-SUM($E45:$E47))*M48)),IF($F45&lt;SUM($E45:$E49),(($E45*M45)+($E46*M46)+($E47*M47)+($E48*M48)+(($F45-SUM($E45:$E48))*M49)),(($E45*M45)+($E46*M46)+($E47*M47)+($E48*M47)+($E49*M49)+(($F45-SUM($E45:$E49))*M50))))))),2)</f>
        <v>7858.41</v>
      </c>
      <c r="O51" s="377">
        <f>ROUND((N51-K51)/K51,3)</f>
        <v>0.21299999999999999</v>
      </c>
      <c r="P51" s="376"/>
      <c r="Q51" s="374">
        <f>$H45+ROUND(IF($F45&lt;$E45,($F45*P45),IF($F45&lt;SUM($E45:$E46),(($E45*P45)+(($F45-$E45)*P46)),IF($F45&lt;SUM($E45:$E47),(($E45*P45)+($E46*P46)+(($F45-$E45-$E46)*P47)),IF($F45&lt;SUM($E45:$E48),(($E45*P45)+($E46*P46)+($E47*P47)+(($F45-SUM($E45:$E47))*P48)),IF($F45&lt;SUM($E45:$E49),(($E45*P45)+($E46*P46)+($E47*P47)+($E48*P48)+(($F45-SUM($E45:$E48))*P49)),(($E45*P45)+($E46*P46)+($E47*P47)+($E48*P47)+($E49*P49)+(($F45-SUM($E45:$E49))*P50))))))),2)</f>
        <v>10960.55</v>
      </c>
      <c r="R51" s="377">
        <f>ROUND((Q51-L51)/L51,3)</f>
        <v>0.39500000000000002</v>
      </c>
    </row>
    <row r="52" spans="1:18" x14ac:dyDescent="0.3">
      <c r="A52" s="85">
        <f t="shared" si="2"/>
        <v>45</v>
      </c>
      <c r="B52" s="85" t="str">
        <f>'WA Volumes &amp; Revenues'!B45</f>
        <v>42C Firm Transpt</v>
      </c>
      <c r="C52" s="1619" t="s">
        <v>4</v>
      </c>
      <c r="D52" s="294">
        <f>'WA Volumes &amp; Revenues'!E45</f>
        <v>480000</v>
      </c>
      <c r="E52" s="294">
        <v>10000</v>
      </c>
      <c r="F52" s="295">
        <f>+'WA Volumes &amp; Revenues'!I45</f>
        <v>51470</v>
      </c>
      <c r="G52" s="862">
        <f>'WA Volumes &amp; Revenues'!O45</f>
        <v>1550</v>
      </c>
      <c r="H52" s="367">
        <f>'WA Volumes &amp; Revenues'!N45</f>
        <v>1550</v>
      </c>
      <c r="I52" s="121">
        <f>+'Rates in summary'!D44</f>
        <v>0.13851999999999998</v>
      </c>
      <c r="J52" s="121">
        <f>+'Rates in summary'!M44</f>
        <v>0.14960999999999997</v>
      </c>
      <c r="K52" s="367"/>
      <c r="L52" s="367"/>
      <c r="M52" s="368">
        <f>'Rates in summary'!M44</f>
        <v>0.14960999999999997</v>
      </c>
      <c r="N52" s="367"/>
      <c r="O52" s="369"/>
      <c r="P52" s="368">
        <f>'Rates in summary'!W44</f>
        <v>0.15375999999999998</v>
      </c>
      <c r="Q52" s="367"/>
      <c r="R52" s="369"/>
    </row>
    <row r="53" spans="1:18" x14ac:dyDescent="0.3">
      <c r="A53" s="85">
        <f t="shared" si="2"/>
        <v>46</v>
      </c>
      <c r="B53" s="85"/>
      <c r="C53" s="1619" t="s">
        <v>5</v>
      </c>
      <c r="D53" s="294">
        <f>'WA Volumes &amp; Revenues'!E46</f>
        <v>807846</v>
      </c>
      <c r="E53" s="294">
        <v>20000</v>
      </c>
      <c r="F53" s="295"/>
      <c r="G53" s="862"/>
      <c r="H53" s="367"/>
      <c r="I53" s="121">
        <f>+'Rates in summary'!D45</f>
        <v>0.12399999999999999</v>
      </c>
      <c r="J53" s="121">
        <f>+'Rates in summary'!M45</f>
        <v>0.13391999999999998</v>
      </c>
      <c r="K53" s="367"/>
      <c r="L53" s="367"/>
      <c r="M53" s="368">
        <f>'Rates in summary'!M45</f>
        <v>0.13391999999999998</v>
      </c>
      <c r="N53" s="367"/>
      <c r="O53" s="369"/>
      <c r="P53" s="368">
        <f>'Rates in summary'!W45</f>
        <v>0.13763999999999998</v>
      </c>
      <c r="Q53" s="367"/>
      <c r="R53" s="369"/>
    </row>
    <row r="54" spans="1:18" x14ac:dyDescent="0.3">
      <c r="A54" s="85">
        <f t="shared" si="2"/>
        <v>47</v>
      </c>
      <c r="B54" s="85"/>
      <c r="C54" s="1619" t="s">
        <v>6</v>
      </c>
      <c r="D54" s="294">
        <f>'WA Volumes &amp; Revenues'!E47</f>
        <v>583779</v>
      </c>
      <c r="E54" s="294">
        <v>20000</v>
      </c>
      <c r="F54" s="295"/>
      <c r="G54" s="862"/>
      <c r="H54" s="367"/>
      <c r="I54" s="121">
        <f>+'Rates in summary'!D46</f>
        <v>9.5079999999999998E-2</v>
      </c>
      <c r="J54" s="121">
        <f>+'Rates in summary'!M46</f>
        <v>0.1027</v>
      </c>
      <c r="K54" s="367"/>
      <c r="L54" s="367"/>
      <c r="M54" s="368">
        <f>'Rates in summary'!M46</f>
        <v>0.1027</v>
      </c>
      <c r="N54" s="367"/>
      <c r="O54" s="369"/>
      <c r="P54" s="368">
        <f>'Rates in summary'!W46</f>
        <v>0.10553</v>
      </c>
      <c r="Q54" s="367"/>
      <c r="R54" s="369"/>
    </row>
    <row r="55" spans="1:18" x14ac:dyDescent="0.3">
      <c r="A55" s="85">
        <f t="shared" si="2"/>
        <v>48</v>
      </c>
      <c r="B55" s="85"/>
      <c r="C55" s="1619" t="s">
        <v>7</v>
      </c>
      <c r="D55" s="294">
        <f>'WA Volumes &amp; Revenues'!E48</f>
        <v>598933</v>
      </c>
      <c r="E55" s="294">
        <v>100000</v>
      </c>
      <c r="F55" s="295"/>
      <c r="G55" s="862"/>
      <c r="H55" s="367"/>
      <c r="I55" s="121">
        <f>+'Rates in summary'!D47</f>
        <v>7.6070000000000013E-2</v>
      </c>
      <c r="J55" s="121">
        <f>+'Rates in summary'!M47</f>
        <v>8.2170000000000021E-2</v>
      </c>
      <c r="K55" s="367"/>
      <c r="L55" s="367"/>
      <c r="M55" s="368">
        <f>'Rates in summary'!M47</f>
        <v>8.2170000000000021E-2</v>
      </c>
      <c r="N55" s="367"/>
      <c r="O55" s="369"/>
      <c r="P55" s="368">
        <f>'Rates in summary'!W47</f>
        <v>8.4450000000000025E-2</v>
      </c>
      <c r="Q55" s="367"/>
      <c r="R55" s="369"/>
    </row>
    <row r="56" spans="1:18" x14ac:dyDescent="0.3">
      <c r="A56" s="85">
        <f t="shared" si="2"/>
        <v>49</v>
      </c>
      <c r="B56" s="85"/>
      <c r="C56" s="1619" t="s">
        <v>8</v>
      </c>
      <c r="D56" s="294">
        <f>'WA Volumes &amp; Revenues'!E49</f>
        <v>0</v>
      </c>
      <c r="E56" s="294">
        <v>600000</v>
      </c>
      <c r="F56" s="295"/>
      <c r="G56" s="862"/>
      <c r="H56" s="367"/>
      <c r="I56" s="121">
        <f>+'Rates in summary'!D48</f>
        <v>5.0710000000000005E-2</v>
      </c>
      <c r="J56" s="121">
        <f>+'Rates in summary'!M48</f>
        <v>5.4790000000000005E-2</v>
      </c>
      <c r="K56" s="367"/>
      <c r="L56" s="367"/>
      <c r="M56" s="368">
        <f>'Rates in summary'!M48</f>
        <v>5.4790000000000005E-2</v>
      </c>
      <c r="N56" s="367"/>
      <c r="O56" s="369"/>
      <c r="P56" s="368">
        <f>'Rates in summary'!W48</f>
        <v>5.6290000000000007E-2</v>
      </c>
      <c r="Q56" s="367"/>
      <c r="R56" s="369"/>
    </row>
    <row r="57" spans="1:18" x14ac:dyDescent="0.3">
      <c r="A57" s="85">
        <f t="shared" si="2"/>
        <v>50</v>
      </c>
      <c r="B57" s="85"/>
      <c r="C57" s="1619" t="s">
        <v>9</v>
      </c>
      <c r="D57" s="294">
        <f>'WA Volumes &amp; Revenues'!E50</f>
        <v>0</v>
      </c>
      <c r="E57" s="366" t="s">
        <v>72</v>
      </c>
      <c r="F57" s="295"/>
      <c r="G57" s="862"/>
      <c r="H57" s="367"/>
      <c r="I57" s="121">
        <f>+'Rates in summary'!D49</f>
        <v>1.9009999999999999E-2</v>
      </c>
      <c r="J57" s="121">
        <f>+'Rates in summary'!M49</f>
        <v>2.0539999999999999E-2</v>
      </c>
      <c r="K57" s="367"/>
      <c r="L57" s="367"/>
      <c r="M57" s="368">
        <f>'Rates in summary'!M49</f>
        <v>2.0539999999999999E-2</v>
      </c>
      <c r="N57" s="367"/>
      <c r="O57" s="369"/>
      <c r="P57" s="368">
        <f>'Rates in summary'!W49</f>
        <v>2.111E-2</v>
      </c>
      <c r="Q57" s="367"/>
      <c r="R57" s="369"/>
    </row>
    <row r="58" spans="1:18" x14ac:dyDescent="0.3">
      <c r="A58" s="85">
        <f t="shared" si="2"/>
        <v>51</v>
      </c>
      <c r="B58" s="160"/>
      <c r="C58" s="1620" t="s">
        <v>76</v>
      </c>
      <c r="D58" s="370"/>
      <c r="E58" s="371"/>
      <c r="F58" s="372"/>
      <c r="G58" s="863"/>
      <c r="H58" s="374"/>
      <c r="I58" s="373"/>
      <c r="J58" s="373"/>
      <c r="K58" s="374">
        <f>$G52+ROUND(IF($F52&lt;$E52,($F52*I52),IF($F52&lt;SUM($E52:$E53),(($E52*I52)+(($F52-$E52)*I53)),IF($F52&lt;SUM($E52:$E54),(($E52*I52)+($E53*I53)+(($F52-$E52-$E53)*I54)),IF($F52&lt;SUM($E52:$E55),(($E52*I52)+($E53*I53)+($E54*I54)+(($F52-SUM($E52:$E54))*I55)),IF($F52&lt;SUM($E52:$E56),(($E52*I52)+($E53*I53)+($E54*I54)+($E55*I55)+(($F52-SUM($E52:$E55))*I56)),(($E52*I52)+($E53*I53)+($E54*I54)+($E55*I54)+($E56*I56)+(($F52-SUM($E52:$E56))*I57))))))),2)</f>
        <v>7428.62</v>
      </c>
      <c r="L58" s="374">
        <f>$G52+ROUND(IF($F52&lt;$E52,($F52*J52),IF($F52&lt;SUM($E52:$E53),(($E52*J52)+(($F52-$E52)*J53)),IF($F52&lt;SUM($E52:$E54),(($E52*J52)+($E53*J53)+(($F52-$E52-$E53)*J54)),IF($F52&lt;SUM($E52:$E55),(($E52*J52)+($E53*J53)+($E54*J54)+(($F52-SUM($E52:$E54))*J55)),IF($F52&lt;SUM($E52:$E56),(($E52*J52)+($E53*J53)+($E54*J54)+($E55*J55)+(($F52-SUM($E52:$E55))*J56)),(($E52*J52)+($E53*J53)+($E54*J54)+($E55*J54)+($E56*J56)+(($F52-SUM($E52:$E56))*J57))))))),2)</f>
        <v>7899.29</v>
      </c>
      <c r="M58" s="376"/>
      <c r="N58" s="374">
        <f>$H52+ROUND(IF($F52&lt;$E52,($F52*M52),IF($F52&lt;SUM($E52:$E53),(($E52*M52)+(($F52-$E52)*M53)),IF($F52&lt;SUM($E52:$E54),(($E52*M52)+($E53*M53)+(($F52-$E52-$E53)*M54)),IF($F52&lt;SUM($E52:$E55),(($E52*M52)+($E53*M53)+($E54*M54)+(($F52-SUM($E52:$E54))*M55)),IF($F52&lt;SUM($E52:$E56),(($E52*M52)+($E53*M53)+($E54*M54)+($E55*M55)+(($F52-SUM($E52:$E55))*M56)),(($E52*M52)+($E53*M53)+($E54*M54)+($E55*M54)+($E56*M56)+(($F52-SUM($E52:$E56))*M57))))))),2)</f>
        <v>7899.29</v>
      </c>
      <c r="O58" s="377">
        <f>ROUND((N58-K58)/K58,3)</f>
        <v>6.3E-2</v>
      </c>
      <c r="P58" s="376"/>
      <c r="Q58" s="374">
        <f>$H52+ROUND(IF($F52&lt;$E52,($F52*P52),IF($F52&lt;SUM($E52:$E53),(($E52*P52)+(($F52-$E52)*P53)),IF($F52&lt;SUM($E52:$E54),(($E52*P52)+($E53*P53)+(($F52-$E52-$E53)*P54)),IF($F52&lt;SUM($E52:$E55),(($E52*P52)+($E53*P53)+($E54*P54)+(($F52-SUM($E52:$E54))*P55)),IF($F52&lt;SUM($E52:$E56),(($E52*P52)+($E53*P53)+($E54*P54)+($E55*P55)+(($F52-SUM($E52:$E55))*P56)),(($E52*P52)+($E53*P53)+($E54*P54)+($E55*P54)+($E56*P56)+(($F52-SUM($E52:$E56))*P57))))))),2)</f>
        <v>8075.14</v>
      </c>
      <c r="R58" s="377">
        <f>ROUND((Q58-L58)/L58,3)</f>
        <v>2.1999999999999999E-2</v>
      </c>
    </row>
    <row r="59" spans="1:18" x14ac:dyDescent="0.3">
      <c r="A59" s="85">
        <f t="shared" si="2"/>
        <v>52</v>
      </c>
      <c r="B59" s="85" t="str">
        <f>'WA Volumes &amp; Revenues'!B51</f>
        <v>42I Firm Transpt</v>
      </c>
      <c r="C59" s="1619" t="s">
        <v>4</v>
      </c>
      <c r="D59" s="294">
        <f>'WA Volumes &amp; Revenues'!E51</f>
        <v>924395</v>
      </c>
      <c r="E59" s="294">
        <v>10000</v>
      </c>
      <c r="F59" s="295">
        <f>+'WA Volumes &amp; Revenues'!I51</f>
        <v>63374</v>
      </c>
      <c r="G59" s="862">
        <f>'WA Volumes &amp; Revenues'!O51</f>
        <v>1550</v>
      </c>
      <c r="H59" s="367">
        <f>'WA Volumes &amp; Revenues'!N51</f>
        <v>1550</v>
      </c>
      <c r="I59" s="121">
        <f>+'Rates in summary'!D50</f>
        <v>0.14000000000000001</v>
      </c>
      <c r="J59" s="121">
        <f>+'Rates in summary'!M50</f>
        <v>0.14867000000000002</v>
      </c>
      <c r="K59" s="367"/>
      <c r="L59" s="367"/>
      <c r="M59" s="368">
        <f>'Rates in summary'!M50</f>
        <v>0.14867000000000002</v>
      </c>
      <c r="N59" s="367"/>
      <c r="O59" s="369"/>
      <c r="P59" s="368">
        <f>'Rates in summary'!W50</f>
        <v>0.15086000000000002</v>
      </c>
      <c r="Q59" s="367"/>
      <c r="R59" s="369"/>
    </row>
    <row r="60" spans="1:18" x14ac:dyDescent="0.3">
      <c r="A60" s="85">
        <f t="shared" si="2"/>
        <v>53</v>
      </c>
      <c r="B60" s="85"/>
      <c r="C60" s="1619" t="s">
        <v>5</v>
      </c>
      <c r="D60" s="294">
        <f>'WA Volumes &amp; Revenues'!E52</f>
        <v>1036796</v>
      </c>
      <c r="E60" s="294">
        <v>20000</v>
      </c>
      <c r="F60" s="295"/>
      <c r="G60" s="862"/>
      <c r="H60" s="367"/>
      <c r="I60" s="121">
        <f>+'Rates in summary'!D51</f>
        <v>0.12530999999999998</v>
      </c>
      <c r="J60" s="121">
        <f>+'Rates in summary'!M51</f>
        <v>0.13306999999999997</v>
      </c>
      <c r="K60" s="367"/>
      <c r="L60" s="367"/>
      <c r="M60" s="368">
        <f>'Rates in summary'!M51</f>
        <v>0.13306999999999997</v>
      </c>
      <c r="N60" s="367"/>
      <c r="O60" s="369"/>
      <c r="P60" s="368">
        <f>'Rates in summary'!W51</f>
        <v>0.13502999999999996</v>
      </c>
      <c r="Q60" s="367"/>
      <c r="R60" s="369"/>
    </row>
    <row r="61" spans="1:18" x14ac:dyDescent="0.3">
      <c r="A61" s="85">
        <f t="shared" si="2"/>
        <v>54</v>
      </c>
      <c r="B61" s="85"/>
      <c r="C61" s="1619" t="s">
        <v>6</v>
      </c>
      <c r="D61" s="294">
        <f>'WA Volumes &amp; Revenues'!E53</f>
        <v>937215</v>
      </c>
      <c r="E61" s="294">
        <v>20000</v>
      </c>
      <c r="F61" s="295"/>
      <c r="G61" s="862"/>
      <c r="H61" s="367"/>
      <c r="I61" s="121">
        <f>+'Rates in summary'!D52</f>
        <v>9.6100000000000005E-2</v>
      </c>
      <c r="J61" s="121">
        <f>+'Rates in summary'!M52</f>
        <v>0.10205</v>
      </c>
      <c r="K61" s="367"/>
      <c r="L61" s="367"/>
      <c r="M61" s="368">
        <f>'Rates in summary'!M52</f>
        <v>0.10205</v>
      </c>
      <c r="N61" s="367"/>
      <c r="O61" s="369"/>
      <c r="P61" s="368">
        <f>'Rates in summary'!W52</f>
        <v>0.10353999999999999</v>
      </c>
      <c r="Q61" s="367"/>
      <c r="R61" s="369"/>
    </row>
    <row r="62" spans="1:18" x14ac:dyDescent="0.3">
      <c r="A62" s="85">
        <f t="shared" si="2"/>
        <v>55</v>
      </c>
      <c r="B62" s="85"/>
      <c r="C62" s="1619" t="s">
        <v>7</v>
      </c>
      <c r="D62" s="294">
        <f>'WA Volumes &amp; Revenues'!E54</f>
        <v>2390318</v>
      </c>
      <c r="E62" s="294">
        <v>100000</v>
      </c>
      <c r="F62" s="295"/>
      <c r="G62" s="862"/>
      <c r="H62" s="367"/>
      <c r="I62" s="121">
        <f>+'Rates in summary'!D53</f>
        <v>7.6880000000000018E-2</v>
      </c>
      <c r="J62" s="121">
        <f>+'Rates in summary'!M53</f>
        <v>8.1650000000000014E-2</v>
      </c>
      <c r="K62" s="367"/>
      <c r="L62" s="367"/>
      <c r="M62" s="368">
        <f>'Rates in summary'!M53</f>
        <v>8.1650000000000014E-2</v>
      </c>
      <c r="N62" s="367"/>
      <c r="O62" s="369"/>
      <c r="P62" s="368">
        <f>'Rates in summary'!W53</f>
        <v>8.2830000000000029E-2</v>
      </c>
      <c r="Q62" s="367"/>
      <c r="R62" s="369"/>
    </row>
    <row r="63" spans="1:18" x14ac:dyDescent="0.3">
      <c r="A63" s="85">
        <f t="shared" si="2"/>
        <v>56</v>
      </c>
      <c r="B63" s="85"/>
      <c r="C63" s="1619" t="s">
        <v>8</v>
      </c>
      <c r="D63" s="294">
        <f>'WA Volumes &amp; Revenues'!E55</f>
        <v>1492257</v>
      </c>
      <c r="E63" s="294">
        <v>600000</v>
      </c>
      <c r="F63" s="295"/>
      <c r="G63" s="862"/>
      <c r="H63" s="367"/>
      <c r="I63" s="121">
        <f>+'Rates in summary'!D54</f>
        <v>5.1250000000000004E-2</v>
      </c>
      <c r="J63" s="121">
        <f>+'Rates in summary'!M54</f>
        <v>5.4429999999999999E-2</v>
      </c>
      <c r="K63" s="367"/>
      <c r="L63" s="367"/>
      <c r="M63" s="368">
        <f>'Rates in summary'!M54</f>
        <v>5.4429999999999999E-2</v>
      </c>
      <c r="N63" s="367"/>
      <c r="O63" s="369"/>
      <c r="P63" s="368">
        <f>'Rates in summary'!W54</f>
        <v>5.5229999999999994E-2</v>
      </c>
      <c r="Q63" s="367"/>
      <c r="R63" s="369"/>
    </row>
    <row r="64" spans="1:18" x14ac:dyDescent="0.3">
      <c r="A64" s="85">
        <f t="shared" si="2"/>
        <v>57</v>
      </c>
      <c r="B64" s="85"/>
      <c r="C64" s="1619" t="s">
        <v>9</v>
      </c>
      <c r="D64" s="294">
        <f>'WA Volumes &amp; Revenues'!E56</f>
        <v>0</v>
      </c>
      <c r="E64" s="366" t="s">
        <v>72</v>
      </c>
      <c r="F64" s="295"/>
      <c r="G64" s="862"/>
      <c r="H64" s="367"/>
      <c r="I64" s="121">
        <f>+'Rates in summary'!D55</f>
        <v>1.9220000000000001E-2</v>
      </c>
      <c r="J64" s="121">
        <f>+'Rates in summary'!M55</f>
        <v>2.0410000000000001E-2</v>
      </c>
      <c r="K64" s="367"/>
      <c r="L64" s="367"/>
      <c r="M64" s="368">
        <f>'Rates in summary'!M55</f>
        <v>2.0410000000000001E-2</v>
      </c>
      <c r="N64" s="367"/>
      <c r="O64" s="369"/>
      <c r="P64" s="368">
        <f>'Rates in summary'!W55</f>
        <v>2.0709999999999999E-2</v>
      </c>
      <c r="Q64" s="367"/>
      <c r="R64" s="369"/>
    </row>
    <row r="65" spans="1:18" x14ac:dyDescent="0.3">
      <c r="A65" s="85">
        <f t="shared" si="2"/>
        <v>58</v>
      </c>
      <c r="B65" s="160"/>
      <c r="C65" s="1620" t="s">
        <v>76</v>
      </c>
      <c r="D65" s="370"/>
      <c r="E65" s="371"/>
      <c r="F65" s="372"/>
      <c r="G65" s="863"/>
      <c r="H65" s="374"/>
      <c r="I65" s="373"/>
      <c r="J65" s="373"/>
      <c r="K65" s="374">
        <f>$G59+ROUND(IF($F59&lt;$E59,($F59*I59),IF($F59&lt;SUM($E59:$E60),(($E59*I59)+(($F59-$E59)*I60)),IF($F59&lt;SUM($E59:$E61),(($E59*I59)+($E60*I60)+(($F59-$E59-$E60)*I61)),IF($F59&lt;SUM($E59:$E62),(($E59*I59)+($E60*I60)+($E61*I61)+(($F59-SUM($E59:$E61))*I62)),IF($F59&lt;SUM($E59:$E63),(($E59*I59)+($E60*I60)+($E61*I61)+($E62*I62)+(($F59-SUM($E59:$E62))*I63)),(($E59*I59)+($E60*I60)+($E61*I61)+($E62*I61)+($E63*I63)+(($F59-SUM($E59:$E63))*I64))))))),2)</f>
        <v>8406.39</v>
      </c>
      <c r="L65" s="374">
        <f>$G59+ROUND(IF($F59&lt;$E59,($F59*J59),IF($F59&lt;SUM($E59:$E60),(($E59*J59)+(($F59-$E59)*J60)),IF($F59&lt;SUM($E59:$E61),(($E59*J59)+($E60*J60)+(($F59-$E59-$E60)*J61)),IF($F59&lt;SUM($E59:$E62),(($E59*J59)+($E60*J60)+($E61*J61)+(($F59-SUM($E59:$E61))*J62)),IF($F59&lt;SUM($E59:$E63),(($E59*J59)+($E60*J60)+($E61*J61)+($E62*J62)+(($F59-SUM($E59:$E62))*J63)),(($E59*J59)+($E60*J60)+($E61*J61)+($E62*J61)+($E63*J63)+(($F59-SUM($E59:$E63))*J64))))))),2)</f>
        <v>8831.09</v>
      </c>
      <c r="M65" s="376"/>
      <c r="N65" s="374">
        <f>$H59+ROUND(IF($F59&lt;$E59,($F59*M59),IF($F59&lt;SUM($E59:$E60),(($E59*M59)+(($F59-$E59)*M60)),IF($F59&lt;SUM($E59:$E61),(($E59*M59)+($E60*M60)+(($F59-$E59-$E60)*M61)),IF($F59&lt;SUM($E59:$E62),(($E59*M59)+($E60*M60)+($E61*M61)+(($F59-SUM($E59:$E61))*M62)),IF($F59&lt;SUM($E59:$E63),(($E59*M59)+($E60*M60)+($E61*M61)+($E62*M62)+(($F59-SUM($E59:$E62))*M63)),(($E59*M59)+($E60*M60)+($E61*M61)+($E62*M61)+($E63*M63)+(($F59-SUM($E59:$E63))*M64))))))),2)</f>
        <v>8831.09</v>
      </c>
      <c r="O65" s="377">
        <f>ROUND((N65-K65)/K65,3)</f>
        <v>5.0999999999999997E-2</v>
      </c>
      <c r="P65" s="376"/>
      <c r="Q65" s="374">
        <f>$H59+ROUND(IF($F59&lt;$E59,($F59*P59),IF($F59&lt;SUM($E59:$E60),(($E59*P59)+(($F59-$E59)*P60)),IF($F59&lt;SUM($E59:$E61),(($E59*P59)+($E60*P60)+(($F59-$E59-$E60)*P61)),IF($F59&lt;SUM($E59:$E62),(($E59*P59)+($E60*P60)+($E61*P61)+(($F59-SUM($E59:$E61))*P62)),IF($F59&lt;SUM($E59:$E63),(($E59*P59)+($E60*P60)+($E61*P61)+($E62*P62)+(($F59-SUM($E59:$E62))*P63)),(($E59*P59)+($E60*P60)+($E61*P61)+($E62*P61)+($E63*P63)+(($F59-SUM($E59:$E63))*P64))))))),2)</f>
        <v>8937.77</v>
      </c>
      <c r="R65" s="377">
        <f>ROUND((Q65-L65)/L65,3)</f>
        <v>1.2E-2</v>
      </c>
    </row>
    <row r="66" spans="1:18" x14ac:dyDescent="0.3">
      <c r="A66" s="85">
        <f t="shared" si="2"/>
        <v>59</v>
      </c>
      <c r="B66" s="85" t="str">
        <f>'WA Volumes &amp; Revenues'!B57</f>
        <v>42C Interr Sales</v>
      </c>
      <c r="C66" s="1619" t="s">
        <v>4</v>
      </c>
      <c r="D66" s="294">
        <f>'WA Volumes &amp; Revenues'!E57</f>
        <v>240000</v>
      </c>
      <c r="E66" s="294">
        <v>10000</v>
      </c>
      <c r="F66" s="295">
        <f>+'WA Volumes &amp; Revenues'!I57</f>
        <v>39322</v>
      </c>
      <c r="G66" s="862">
        <f>'WA Volumes &amp; Revenues'!O57</f>
        <v>1300</v>
      </c>
      <c r="H66" s="367">
        <f>'WA Volumes &amp; Revenues'!N57</f>
        <v>1300</v>
      </c>
      <c r="I66" s="121">
        <f>+'Rates in summary'!D56</f>
        <v>0.42349000000000003</v>
      </c>
      <c r="J66" s="121">
        <f>+'Rates in summary'!M56</f>
        <v>0.56372</v>
      </c>
      <c r="K66" s="367"/>
      <c r="L66" s="367"/>
      <c r="M66" s="368">
        <f>'Rates in summary'!M56</f>
        <v>0.56372</v>
      </c>
      <c r="N66" s="367"/>
      <c r="O66" s="369"/>
      <c r="P66" s="368">
        <f>'Rates in summary'!W56</f>
        <v>0.76838999999999991</v>
      </c>
      <c r="Q66" s="367"/>
      <c r="R66" s="369"/>
    </row>
    <row r="67" spans="1:18" x14ac:dyDescent="0.3">
      <c r="A67" s="85">
        <f t="shared" si="2"/>
        <v>60</v>
      </c>
      <c r="B67" s="85"/>
      <c r="C67" s="1619" t="s">
        <v>5</v>
      </c>
      <c r="D67" s="294">
        <f>'WA Volumes &amp; Revenues'!E58</f>
        <v>467511</v>
      </c>
      <c r="E67" s="294">
        <v>20000</v>
      </c>
      <c r="F67" s="378"/>
      <c r="G67" s="864"/>
      <c r="H67" s="650"/>
      <c r="I67" s="121">
        <f>+'Rates in summary'!D57</f>
        <v>0.40679999999999994</v>
      </c>
      <c r="J67" s="121">
        <f>+'Rates in summary'!M57</f>
        <v>0.5450299999999999</v>
      </c>
      <c r="K67" s="367"/>
      <c r="L67" s="367"/>
      <c r="M67" s="368">
        <f>'Rates in summary'!M57</f>
        <v>0.5450299999999999</v>
      </c>
      <c r="N67" s="367"/>
      <c r="O67" s="369"/>
      <c r="P67" s="368">
        <f>'Rates in summary'!W57</f>
        <v>0.74928000000000006</v>
      </c>
      <c r="Q67" s="367"/>
      <c r="R67" s="369"/>
    </row>
    <row r="68" spans="1:18" x14ac:dyDescent="0.3">
      <c r="A68" s="85">
        <f t="shared" si="2"/>
        <v>61</v>
      </c>
      <c r="B68" s="85"/>
      <c r="C68" s="1619" t="s">
        <v>6</v>
      </c>
      <c r="D68" s="294">
        <f>'WA Volumes &amp; Revenues'!E59</f>
        <v>218004</v>
      </c>
      <c r="E68" s="294">
        <v>20000</v>
      </c>
      <c r="F68" s="378"/>
      <c r="G68" s="864"/>
      <c r="H68" s="650"/>
      <c r="I68" s="121">
        <f>+'Rates in summary'!D58</f>
        <v>0.37361</v>
      </c>
      <c r="J68" s="121">
        <f>+'Rates in summary'!M58</f>
        <v>0.50780999999999998</v>
      </c>
      <c r="K68" s="367"/>
      <c r="L68" s="367"/>
      <c r="M68" s="368">
        <f>'Rates in summary'!M58</f>
        <v>0.50780999999999998</v>
      </c>
      <c r="N68" s="367"/>
      <c r="O68" s="369"/>
      <c r="P68" s="368">
        <f>'Rates in summary'!W58</f>
        <v>0.71125000000000005</v>
      </c>
      <c r="Q68" s="367"/>
      <c r="R68" s="369"/>
    </row>
    <row r="69" spans="1:18" x14ac:dyDescent="0.3">
      <c r="A69" s="85">
        <f t="shared" si="2"/>
        <v>62</v>
      </c>
      <c r="B69" s="85"/>
      <c r="C69" s="1619" t="s">
        <v>7</v>
      </c>
      <c r="D69" s="294">
        <f>'WA Volumes &amp; Revenues'!E60</f>
        <v>18208</v>
      </c>
      <c r="E69" s="294">
        <v>100000</v>
      </c>
      <c r="F69" s="378"/>
      <c r="G69" s="864"/>
      <c r="H69" s="650"/>
      <c r="I69" s="121">
        <f>+'Rates in summary'!D59</f>
        <v>0.35180000000000006</v>
      </c>
      <c r="J69" s="121">
        <f>+'Rates in summary'!M59</f>
        <v>0.48334000000000005</v>
      </c>
      <c r="K69" s="367"/>
      <c r="L69" s="367"/>
      <c r="M69" s="368">
        <f>'Rates in summary'!M59</f>
        <v>0.48334000000000005</v>
      </c>
      <c r="N69" s="367"/>
      <c r="O69" s="369"/>
      <c r="P69" s="368">
        <f>'Rates in summary'!W59</f>
        <v>0.6862100000000001</v>
      </c>
      <c r="Q69" s="367"/>
      <c r="R69" s="369"/>
    </row>
    <row r="70" spans="1:18" x14ac:dyDescent="0.3">
      <c r="A70" s="85">
        <f t="shared" si="2"/>
        <v>63</v>
      </c>
      <c r="B70" s="85"/>
      <c r="C70" s="1619" t="s">
        <v>8</v>
      </c>
      <c r="D70" s="294">
        <f>'WA Volumes &amp; Revenues'!E61</f>
        <v>0</v>
      </c>
      <c r="E70" s="294">
        <v>600000</v>
      </c>
      <c r="F70" s="378"/>
      <c r="G70" s="864"/>
      <c r="H70" s="650"/>
      <c r="I70" s="121">
        <f>+'Rates in summary'!D60</f>
        <v>0.32268999999999998</v>
      </c>
      <c r="J70" s="121">
        <f>+'Rates in summary'!M60</f>
        <v>0.45072999999999996</v>
      </c>
      <c r="K70" s="367"/>
      <c r="L70" s="367"/>
      <c r="M70" s="368">
        <f>'Rates in summary'!M60</f>
        <v>0.45072999999999996</v>
      </c>
      <c r="N70" s="367"/>
      <c r="O70" s="369"/>
      <c r="P70" s="368">
        <f>'Rates in summary'!W60</f>
        <v>0.65288000000000002</v>
      </c>
      <c r="Q70" s="367"/>
      <c r="R70" s="369"/>
    </row>
    <row r="71" spans="1:18" x14ac:dyDescent="0.3">
      <c r="A71" s="85">
        <f t="shared" si="2"/>
        <v>64</v>
      </c>
      <c r="B71" s="85"/>
      <c r="C71" s="1619" t="s">
        <v>9</v>
      </c>
      <c r="D71" s="294">
        <f>'WA Volumes &amp; Revenues'!E62</f>
        <v>0</v>
      </c>
      <c r="E71" s="366" t="s">
        <v>72</v>
      </c>
      <c r="F71" s="378"/>
      <c r="G71" s="864"/>
      <c r="H71" s="650"/>
      <c r="I71" s="121">
        <f>+'Rates in summary'!D61</f>
        <v>0.28632000000000002</v>
      </c>
      <c r="J71" s="121">
        <f>+'Rates in summary'!M61</f>
        <v>0.40994999999999998</v>
      </c>
      <c r="K71" s="367"/>
      <c r="L71" s="367"/>
      <c r="M71" s="368">
        <f>'Rates in summary'!M61</f>
        <v>0.40994999999999998</v>
      </c>
      <c r="N71" s="367"/>
      <c r="O71" s="369"/>
      <c r="P71" s="368">
        <f>'Rates in summary'!W61</f>
        <v>0.61118000000000006</v>
      </c>
      <c r="Q71" s="367"/>
      <c r="R71" s="369"/>
    </row>
    <row r="72" spans="1:18" x14ac:dyDescent="0.3">
      <c r="A72" s="85">
        <f t="shared" si="2"/>
        <v>65</v>
      </c>
      <c r="B72" s="160"/>
      <c r="C72" s="1620" t="s">
        <v>76</v>
      </c>
      <c r="D72" s="370"/>
      <c r="E72" s="371"/>
      <c r="F72" s="372"/>
      <c r="G72" s="863"/>
      <c r="H72" s="374"/>
      <c r="I72" s="373"/>
      <c r="J72" s="373"/>
      <c r="K72" s="374">
        <f>$G66+ROUND(IF($F66&lt;$E66,($F66*I66),IF($F66&lt;SUM($E66:$E67),(($E66*I66)+(($F66-$E66)*I67)),IF($F66&lt;SUM($E66:$E68),(($E66*I66)+($E67*I67)+(($F66-$E66-$E67)*I68)),IF($F66&lt;SUM($E66:$E69),(($E66*I66)+($E67*I67)+($E68*I68)+(($F66-SUM($E66:$E68))*I69)),IF($F66&lt;SUM($E66:$E70),(($E66*I66)+($E67*I67)+($E68*I68)+($E69*I69)+(($F66-SUM($E66:$E69))*I70)),(($E66*I66)+($E67*I67)+($E68*I68)+($E69*I68)+($E70*I70)+(($F66-SUM($E66:$E70))*I71))))))),2)</f>
        <v>17153.690000000002</v>
      </c>
      <c r="L72" s="374">
        <f>$G66+ROUND(IF($F66&lt;$E66,($F66*J66),IF($F66&lt;SUM($E66:$E67),(($E66*J66)+(($F66-$E66)*J67)),IF($F66&lt;SUM($E66:$E68),(($E66*J66)+($E67*J67)+(($F66-$E66-$E67)*J68)),IF($F66&lt;SUM($E66:$E69),(($E66*J66)+($E67*J67)+($E68*J68)+(($F66-SUM($E66:$E68))*J69)),IF($F66&lt;SUM($E66:$E70),(($E66*J66)+($E67*J67)+($E68*J68)+($E69*J69)+(($F66-SUM($E66:$E69))*J70)),(($E66*J66)+($E67*J67)+($E68*J68)+($E69*J68)+($E70*J70)+(($F66-SUM($E66:$E70))*J71))))))),2)</f>
        <v>22571.599999999999</v>
      </c>
      <c r="M72" s="376"/>
      <c r="N72" s="374">
        <f>$H66+ROUND(IF($F66&lt;$E66,($F66*M66),IF($F66&lt;SUM($E66:$E67),(($E66*M66)+(($F66-$E66)*M67)),IF($F66&lt;SUM($E66:$E68),(($E66*M66)+($E67*M67)+(($F66-$E66-$E67)*M68)),IF($F66&lt;SUM($E66:$E69),(($E66*M66)+($E67*M67)+($E68*M68)+(($F66-SUM($E66:$E68))*M69)),IF($F66&lt;SUM($E66:$E70),(($E66*M66)+($E67*M67)+($E68*M68)+($E69*M69)+(($F66-SUM($E66:$E69))*M70)),(($E66*M66)+($E67*M67)+($E68*M68)+($E69*M68)+($E70*M70)+(($F66-SUM($E66:$E70))*M71))))))),2)</f>
        <v>22571.599999999999</v>
      </c>
      <c r="O72" s="377">
        <f>ROUND((N72-K72)/K72,3)</f>
        <v>0.316</v>
      </c>
      <c r="P72" s="376"/>
      <c r="Q72" s="374">
        <f>$H66+ROUND(IF($F66&lt;$E66,($F66*P66),IF($F66&lt;SUM($E66:$E67),(($E66*P66)+(($F66-$E66)*P67)),IF($F66&lt;SUM($E66:$E68),(($E66*P66)+($E67*P67)+(($F66-$E66-$E67)*P68)),IF($F66&lt;SUM($E66:$E69),(($E66*P66)+($E67*P67)+($E68*P68)+(($F66-SUM($E66:$E68))*P69)),IF($F66&lt;SUM($E66:$E70),(($E66*P66)+($E67*P67)+($E68*P68)+($E69*P69)+(($F66-SUM($E66:$E69))*P70)),(($E66*P66)+($E67*P67)+($E68*P68)+($E69*P68)+($E70*P70)+(($F66-SUM($E66:$E70))*P71))))))),2)</f>
        <v>30599.77</v>
      </c>
      <c r="R72" s="377">
        <f>ROUND((Q72-L72)/L72,3)</f>
        <v>0.35599999999999998</v>
      </c>
    </row>
    <row r="73" spans="1:18" x14ac:dyDescent="0.3">
      <c r="A73" s="85">
        <f t="shared" ref="A73:A99" si="8">+A72+1</f>
        <v>66</v>
      </c>
      <c r="B73" s="85" t="str">
        <f>'WA Volumes &amp; Revenues'!B63</f>
        <v>42I Interr Sales</v>
      </c>
      <c r="C73" s="1619" t="s">
        <v>4</v>
      </c>
      <c r="D73" s="294">
        <f>'WA Volumes &amp; Revenues'!E63</f>
        <v>156740</v>
      </c>
      <c r="E73" s="294">
        <v>10000</v>
      </c>
      <c r="F73" s="295">
        <f>+'WA Volumes &amp; Revenues'!I63</f>
        <v>13758</v>
      </c>
      <c r="G73" s="862">
        <f>'WA Volumes &amp; Revenues'!O63</f>
        <v>1300</v>
      </c>
      <c r="H73" s="367">
        <f>'WA Volumes &amp; Revenues'!N63</f>
        <v>1300</v>
      </c>
      <c r="I73" s="121">
        <f>+'Rates in summary'!D62</f>
        <v>0.4161399999999999</v>
      </c>
      <c r="J73" s="121">
        <f>+'Rates in summary'!M62</f>
        <v>0.54884999999999984</v>
      </c>
      <c r="K73" s="367"/>
      <c r="L73" s="367"/>
      <c r="M73" s="368">
        <f>'Rates in summary'!M62</f>
        <v>0.54884999999999984</v>
      </c>
      <c r="N73" s="367"/>
      <c r="O73" s="369"/>
      <c r="P73" s="368">
        <f>'Rates in summary'!W62</f>
        <v>0.75104999999999977</v>
      </c>
      <c r="Q73" s="367"/>
      <c r="R73" s="369"/>
    </row>
    <row r="74" spans="1:18" x14ac:dyDescent="0.3">
      <c r="A74" s="85">
        <f t="shared" si="8"/>
        <v>67</v>
      </c>
      <c r="B74" s="85"/>
      <c r="C74" s="1619" t="s">
        <v>5</v>
      </c>
      <c r="D74" s="294">
        <f>'WA Volumes &amp; Revenues'!E64</f>
        <v>159690</v>
      </c>
      <c r="E74" s="294">
        <v>20000</v>
      </c>
      <c r="F74" s="295"/>
      <c r="G74" s="862"/>
      <c r="H74" s="367"/>
      <c r="I74" s="121">
        <f>+'Rates in summary'!D63</f>
        <v>0.40022999999999992</v>
      </c>
      <c r="J74" s="121">
        <f>+'Rates in summary'!M63</f>
        <v>0.53171999999999986</v>
      </c>
      <c r="K74" s="367"/>
      <c r="L74" s="367"/>
      <c r="M74" s="368">
        <f>'Rates in summary'!M63</f>
        <v>0.53171999999999986</v>
      </c>
      <c r="N74" s="367"/>
      <c r="O74" s="369"/>
      <c r="P74" s="368">
        <f>'Rates in summary'!W63</f>
        <v>0.73375999999999997</v>
      </c>
      <c r="Q74" s="367"/>
      <c r="R74" s="369"/>
    </row>
    <row r="75" spans="1:18" x14ac:dyDescent="0.3">
      <c r="A75" s="85">
        <f t="shared" si="8"/>
        <v>68</v>
      </c>
      <c r="B75" s="85"/>
      <c r="C75" s="1619" t="s">
        <v>6</v>
      </c>
      <c r="D75" s="294">
        <f>'WA Volumes &amp; Revenues'!E65</f>
        <v>0</v>
      </c>
      <c r="E75" s="294">
        <v>20000</v>
      </c>
      <c r="F75" s="295"/>
      <c r="G75" s="862"/>
      <c r="H75" s="367"/>
      <c r="I75" s="121">
        <f>+'Rates in summary'!D64</f>
        <v>0.36857999999999996</v>
      </c>
      <c r="J75" s="121">
        <f>+'Rates in summary'!M64</f>
        <v>0.49761999999999995</v>
      </c>
      <c r="K75" s="367"/>
      <c r="L75" s="367"/>
      <c r="M75" s="368">
        <f>'Rates in summary'!M64</f>
        <v>0.49761999999999995</v>
      </c>
      <c r="N75" s="367"/>
      <c r="O75" s="369"/>
      <c r="P75" s="368">
        <f>'Rates in summary'!W64</f>
        <v>0.69935999999999998</v>
      </c>
      <c r="Q75" s="367"/>
      <c r="R75" s="369"/>
    </row>
    <row r="76" spans="1:18" x14ac:dyDescent="0.3">
      <c r="A76" s="85">
        <f t="shared" si="8"/>
        <v>69</v>
      </c>
      <c r="B76" s="85"/>
      <c r="C76" s="1619" t="s">
        <v>7</v>
      </c>
      <c r="D76" s="294">
        <f>'WA Volumes &amp; Revenues'!E66</f>
        <v>0</v>
      </c>
      <c r="E76" s="294">
        <v>100000</v>
      </c>
      <c r="F76" s="295"/>
      <c r="G76" s="862"/>
      <c r="H76" s="367"/>
      <c r="I76" s="121">
        <f>+'Rates in summary'!D65</f>
        <v>0.34777000000000002</v>
      </c>
      <c r="J76" s="121">
        <f>+'Rates in summary'!M65</f>
        <v>0.47520000000000001</v>
      </c>
      <c r="K76" s="367"/>
      <c r="L76" s="367"/>
      <c r="M76" s="368">
        <f>'Rates in summary'!M65</f>
        <v>0.47520000000000001</v>
      </c>
      <c r="N76" s="367"/>
      <c r="O76" s="369"/>
      <c r="P76" s="368">
        <f>'Rates in summary'!W65</f>
        <v>0.67671000000000014</v>
      </c>
      <c r="Q76" s="367"/>
      <c r="R76" s="369"/>
    </row>
    <row r="77" spans="1:18" x14ac:dyDescent="0.3">
      <c r="A77" s="85">
        <f t="shared" si="8"/>
        <v>70</v>
      </c>
      <c r="B77" s="85"/>
      <c r="C77" s="1619" t="s">
        <v>8</v>
      </c>
      <c r="D77" s="294">
        <f>'WA Volumes &amp; Revenues'!E67</f>
        <v>0</v>
      </c>
      <c r="E77" s="294">
        <v>600000</v>
      </c>
      <c r="F77" s="295"/>
      <c r="G77" s="862"/>
      <c r="H77" s="367"/>
      <c r="I77" s="121">
        <f>+'Rates in summary'!D66</f>
        <v>0.32002000000000003</v>
      </c>
      <c r="J77" s="121">
        <f>+'Rates in summary'!M66</f>
        <v>0.44528000000000001</v>
      </c>
      <c r="K77" s="367"/>
      <c r="L77" s="367"/>
      <c r="M77" s="368">
        <f>'Rates in summary'!M66</f>
        <v>0.44528000000000001</v>
      </c>
      <c r="N77" s="367"/>
      <c r="O77" s="369"/>
      <c r="P77" s="368">
        <f>'Rates in summary'!W66</f>
        <v>0.64651999999999998</v>
      </c>
      <c r="Q77" s="367"/>
      <c r="R77" s="369"/>
    </row>
    <row r="78" spans="1:18" x14ac:dyDescent="0.3">
      <c r="A78" s="85">
        <f t="shared" si="8"/>
        <v>71</v>
      </c>
      <c r="B78" s="85"/>
      <c r="C78" s="1619" t="s">
        <v>9</v>
      </c>
      <c r="D78" s="294">
        <f>'WA Volumes &amp; Revenues'!E68</f>
        <v>0</v>
      </c>
      <c r="E78" s="366" t="s">
        <v>72</v>
      </c>
      <c r="F78" s="295"/>
      <c r="G78" s="862"/>
      <c r="H78" s="367"/>
      <c r="I78" s="121">
        <f>+'Rates in summary'!D67</f>
        <v>0.2853</v>
      </c>
      <c r="J78" s="121">
        <f>+'Rates in summary'!M67</f>
        <v>0.40789999999999998</v>
      </c>
      <c r="K78" s="367"/>
      <c r="L78" s="367"/>
      <c r="M78" s="368">
        <f>'Rates in summary'!M67</f>
        <v>0.40789999999999998</v>
      </c>
      <c r="N78" s="367"/>
      <c r="O78" s="369"/>
      <c r="P78" s="368">
        <f>'Rates in summary'!W67</f>
        <v>0.60879000000000005</v>
      </c>
      <c r="Q78" s="367"/>
      <c r="R78" s="369"/>
    </row>
    <row r="79" spans="1:18" x14ac:dyDescent="0.3">
      <c r="A79" s="85">
        <f t="shared" si="8"/>
        <v>72</v>
      </c>
      <c r="B79" s="160"/>
      <c r="C79" s="1620" t="s">
        <v>76</v>
      </c>
      <c r="D79" s="370"/>
      <c r="E79" s="371"/>
      <c r="F79" s="372"/>
      <c r="G79" s="863"/>
      <c r="H79" s="374"/>
      <c r="I79" s="373"/>
      <c r="J79" s="373"/>
      <c r="K79" s="374">
        <f>$G73+ROUND(IF($F73&lt;$E73,($F73*I73),IF($F73&lt;SUM($E73:$E74),(($E73*I73)+(($F73-$E73)*I74)),IF($F73&lt;SUM($E73:$E75),(($E73*I73)+($E74*I74)+(($F73-$E73-$E74)*I75)),IF($F73&lt;SUM($E73:$E76),(($E73*I73)+($E74*I74)+($E75*I75)+(($F73-SUM($E73:$E75))*I76)),IF($F73&lt;SUM($E73:$E77),(($E73*I73)+($E74*I74)+($E75*I75)+($E76*I76)+(($F73-SUM($E73:$E76))*I77)),(($E73*I73)+($E74*I74)+($E75*I75)+($E76*I75)+($E77*I77)+(($F73-SUM($E73:$E77))*I78))))))),2)</f>
        <v>6965.46</v>
      </c>
      <c r="L79" s="374">
        <f>$G73+ROUND(IF($F73&lt;$E73,($F73*J73),IF($F73&lt;SUM($E73:$E74),(($E73*J73)+(($F73-$E73)*J74)),IF($F73&lt;SUM($E73:$E75),(($E73*J73)+($E74*J74)+(($F73-$E73-$E74)*J75)),IF($F73&lt;SUM($E73:$E76),(($E73*J73)+($E74*J74)+($E75*J75)+(($F73-SUM($E73:$E75))*J76)),IF($F73&lt;SUM($E73:$E77),(($E73*J73)+($E74*J74)+($E75*J75)+($E76*J76)+(($F73-SUM($E73:$E76))*J77)),(($E73*J73)+($E74*J74)+($E75*J75)+($E76*J75)+($E77*J77)+(($F73-SUM($E73:$E77))*J78))))))),2)</f>
        <v>8786.7000000000007</v>
      </c>
      <c r="M79" s="376"/>
      <c r="N79" s="374">
        <f>$H73+ROUND(IF($F73&lt;$E73,($F73*M73),IF($F73&lt;SUM($E73:$E74),(($E73*M73)+(($F73-$E73)*M74)),IF($F73&lt;SUM($E73:$E75),(($E73*M73)+($E74*M74)+(($F73-$E73-$E74)*M75)),IF($F73&lt;SUM($E73:$E76),(($E73*M73)+($E74*M74)+($E75*M75)+(($F73-SUM($E73:$E75))*M76)),IF($F73&lt;SUM($E73:$E77),(($E73*M73)+($E74*M74)+($E75*M75)+($E76*M76)+(($F73-SUM($E73:$E76))*M77)),(($E73*M73)+($E74*M74)+($E75*M75)+($E76*M75)+($E77*M77)+(($F73-SUM($E73:$E77))*M78))))))),2)</f>
        <v>8786.7000000000007</v>
      </c>
      <c r="O79" s="377">
        <f>ROUND((N79-K79)/K79,3)</f>
        <v>0.26100000000000001</v>
      </c>
      <c r="P79" s="376"/>
      <c r="Q79" s="374">
        <f>$H73+ROUND(IF($F73&lt;$E73,($F73*P73),IF($F73&lt;SUM($E73:$E74),(($E73*P73)+(($F73-$E73)*P74)),IF($F73&lt;SUM($E73:$E75),(($E73*P73)+($E74*P74)+(($F73-$E73-$E74)*P75)),IF($F73&lt;SUM($E73:$E76),(($E73*P73)+($E74*P74)+($E75*P75)+(($F73-SUM($E73:$E75))*P76)),IF($F73&lt;SUM($E73:$E77),(($E73*P73)+($E74*P74)+($E75*P75)+($E76*P76)+(($F73-SUM($E73:$E76))*P77)),(($E73*P73)+($E74*P74)+($E75*P75)+($E76*P75)+($E77*P77)+(($F73-SUM($E73:$E77))*P78))))))),2)</f>
        <v>11567.97</v>
      </c>
      <c r="R79" s="377">
        <f>ROUND((Q79-L79)/L79,3)</f>
        <v>0.317</v>
      </c>
    </row>
    <row r="80" spans="1:18" x14ac:dyDescent="0.3">
      <c r="A80" s="85">
        <f t="shared" si="8"/>
        <v>73</v>
      </c>
      <c r="B80" s="85" t="str">
        <f>'WA Volumes &amp; Revenues'!B69</f>
        <v>42C Inter Transpt</v>
      </c>
      <c r="C80" s="1619" t="s">
        <v>4</v>
      </c>
      <c r="D80" s="379">
        <f>'WA Volumes &amp; Revenues'!E69</f>
        <v>0</v>
      </c>
      <c r="E80" s="294">
        <v>10000</v>
      </c>
      <c r="F80" s="380">
        <f>'WA Volumes &amp; Revenues'!I69</f>
        <v>0</v>
      </c>
      <c r="G80" s="862">
        <f>'WA Volumes &amp; Revenues'!O69</f>
        <v>1550</v>
      </c>
      <c r="H80" s="367">
        <f>'WA Volumes &amp; Revenues'!N69</f>
        <v>1550</v>
      </c>
      <c r="I80" s="381">
        <f>+'Rates in summary'!D68</f>
        <v>0.13459999999999997</v>
      </c>
      <c r="J80" s="381">
        <f>+'Rates in summary'!M68</f>
        <v>0.13989999999999997</v>
      </c>
      <c r="K80" s="367"/>
      <c r="L80" s="367"/>
      <c r="M80" s="368">
        <f>'Rates in summary'!M68</f>
        <v>0.13989999999999997</v>
      </c>
      <c r="N80" s="367"/>
      <c r="O80" s="369"/>
      <c r="P80" s="368">
        <f>'Rates in summary'!W68</f>
        <v>0.14294999999999997</v>
      </c>
      <c r="Q80" s="367"/>
      <c r="R80" s="369"/>
    </row>
    <row r="81" spans="1:18" x14ac:dyDescent="0.3">
      <c r="A81" s="85">
        <f t="shared" si="8"/>
        <v>74</v>
      </c>
      <c r="B81" s="85"/>
      <c r="C81" s="1619" t="s">
        <v>5</v>
      </c>
      <c r="D81" s="379">
        <f>'WA Volumes &amp; Revenues'!E70</f>
        <v>0</v>
      </c>
      <c r="E81" s="294">
        <v>20000</v>
      </c>
      <c r="F81" s="380"/>
      <c r="G81" s="865"/>
      <c r="H81" s="651"/>
      <c r="I81" s="381">
        <f>+'Rates in summary'!D69</f>
        <v>0.12048999999999999</v>
      </c>
      <c r="J81" s="381">
        <f>+'Rates in summary'!M69</f>
        <v>0.12523999999999999</v>
      </c>
      <c r="K81" s="367"/>
      <c r="L81" s="367"/>
      <c r="M81" s="368">
        <f>'Rates in summary'!M69</f>
        <v>0.12523999999999999</v>
      </c>
      <c r="N81" s="367"/>
      <c r="O81" s="369"/>
      <c r="P81" s="368">
        <f>'Rates in summary'!W69</f>
        <v>0.12797</v>
      </c>
      <c r="Q81" s="367"/>
      <c r="R81" s="369"/>
    </row>
    <row r="82" spans="1:18" x14ac:dyDescent="0.3">
      <c r="A82" s="85">
        <f t="shared" si="8"/>
        <v>75</v>
      </c>
      <c r="B82" s="85"/>
      <c r="C82" s="1619" t="s">
        <v>6</v>
      </c>
      <c r="D82" s="379">
        <f>'WA Volumes &amp; Revenues'!E71</f>
        <v>0</v>
      </c>
      <c r="E82" s="294">
        <v>20000</v>
      </c>
      <c r="F82" s="380"/>
      <c r="G82" s="865"/>
      <c r="H82" s="651"/>
      <c r="I82" s="381">
        <f>+'Rates in summary'!D70</f>
        <v>9.2380000000000004E-2</v>
      </c>
      <c r="J82" s="381">
        <f>+'Rates in summary'!M70</f>
        <v>9.604E-2</v>
      </c>
      <c r="K82" s="367"/>
      <c r="L82" s="367"/>
      <c r="M82" s="368">
        <f>'Rates in summary'!M70</f>
        <v>9.604E-2</v>
      </c>
      <c r="N82" s="367"/>
      <c r="O82" s="369"/>
      <c r="P82" s="368">
        <f>'Rates in summary'!W70</f>
        <v>9.8129999999999995E-2</v>
      </c>
      <c r="Q82" s="367"/>
      <c r="R82" s="369"/>
    </row>
    <row r="83" spans="1:18" x14ac:dyDescent="0.3">
      <c r="A83" s="85">
        <f t="shared" si="8"/>
        <v>76</v>
      </c>
      <c r="B83" s="85"/>
      <c r="C83" s="1619" t="s">
        <v>7</v>
      </c>
      <c r="D83" s="379">
        <f>'WA Volumes &amp; Revenues'!E72</f>
        <v>0</v>
      </c>
      <c r="E83" s="294">
        <v>100000</v>
      </c>
      <c r="F83" s="380"/>
      <c r="G83" s="865"/>
      <c r="H83" s="651"/>
      <c r="I83" s="381">
        <f>+'Rates in summary'!D71</f>
        <v>7.392E-2</v>
      </c>
      <c r="J83" s="381">
        <f>+'Rates in summary'!M71</f>
        <v>7.6840000000000006E-2</v>
      </c>
      <c r="K83" s="367"/>
      <c r="L83" s="367"/>
      <c r="M83" s="368">
        <f>'Rates in summary'!M71</f>
        <v>7.6840000000000006E-2</v>
      </c>
      <c r="N83" s="367"/>
      <c r="O83" s="369"/>
      <c r="P83" s="368">
        <f>'Rates in summary'!W71</f>
        <v>7.851000000000001E-2</v>
      </c>
      <c r="Q83" s="367"/>
      <c r="R83" s="369"/>
    </row>
    <row r="84" spans="1:18" x14ac:dyDescent="0.3">
      <c r="A84" s="85">
        <f t="shared" si="8"/>
        <v>77</v>
      </c>
      <c r="B84" s="85"/>
      <c r="C84" s="1619" t="s">
        <v>8</v>
      </c>
      <c r="D84" s="379">
        <f>'WA Volumes &amp; Revenues'!E73</f>
        <v>0</v>
      </c>
      <c r="E84" s="294">
        <v>600000</v>
      </c>
      <c r="F84" s="380"/>
      <c r="G84" s="865"/>
      <c r="H84" s="651"/>
      <c r="I84" s="381">
        <f>+'Rates in summary'!D72</f>
        <v>4.929E-2</v>
      </c>
      <c r="J84" s="381">
        <f>+'Rates in summary'!M72</f>
        <v>5.1240000000000001E-2</v>
      </c>
      <c r="K84" s="367"/>
      <c r="L84" s="367"/>
      <c r="M84" s="368">
        <f>'Rates in summary'!M72</f>
        <v>5.1240000000000001E-2</v>
      </c>
      <c r="N84" s="367"/>
      <c r="O84" s="369"/>
      <c r="P84" s="368">
        <f>'Rates in summary'!W72</f>
        <v>5.2350000000000001E-2</v>
      </c>
      <c r="Q84" s="367"/>
      <c r="R84" s="369"/>
    </row>
    <row r="85" spans="1:18" x14ac:dyDescent="0.3">
      <c r="A85" s="85">
        <f t="shared" si="8"/>
        <v>78</v>
      </c>
      <c r="B85" s="85"/>
      <c r="C85" s="1619" t="s">
        <v>9</v>
      </c>
      <c r="D85" s="379">
        <f>'WA Volumes &amp; Revenues'!E74</f>
        <v>0</v>
      </c>
      <c r="E85" s="366" t="s">
        <v>72</v>
      </c>
      <c r="F85" s="380"/>
      <c r="G85" s="865"/>
      <c r="H85" s="651"/>
      <c r="I85" s="381">
        <f>+'Rates in summary'!D73</f>
        <v>1.8460000000000001E-2</v>
      </c>
      <c r="J85" s="381">
        <f>+'Rates in summary'!M73</f>
        <v>1.9200000000000002E-2</v>
      </c>
      <c r="K85" s="367"/>
      <c r="L85" s="367"/>
      <c r="M85" s="368">
        <f>'Rates in summary'!M73</f>
        <v>1.9200000000000002E-2</v>
      </c>
      <c r="N85" s="367"/>
      <c r="O85" s="369"/>
      <c r="P85" s="368">
        <f>'Rates in summary'!W73</f>
        <v>1.9609999999999999E-2</v>
      </c>
      <c r="Q85" s="367"/>
      <c r="R85" s="369"/>
    </row>
    <row r="86" spans="1:18" x14ac:dyDescent="0.3">
      <c r="A86" s="85">
        <f t="shared" si="8"/>
        <v>79</v>
      </c>
      <c r="B86" s="160"/>
      <c r="C86" s="1620" t="s">
        <v>76</v>
      </c>
      <c r="D86" s="370"/>
      <c r="E86" s="371"/>
      <c r="F86" s="372"/>
      <c r="G86" s="863"/>
      <c r="H86" s="374"/>
      <c r="I86" s="373"/>
      <c r="J86" s="373"/>
      <c r="K86" s="374">
        <f>$G80+ROUND(IF($F80&lt;$E80,($F80*I80),IF($F80&lt;SUM($E80:$E81),(($E80*I80)+(($F80-$E80)*I81)),IF($F80&lt;SUM($E80:$E82),(($E80*I80)+($E81*I81)+(($F80-$E80-$E81)*I82)),IF($F80&lt;SUM($E80:$E83),(($E80*I80)+($E81*I81)+($E82*I82)+(($F80-SUM($E80:$E82))*I83)),IF($F80&lt;SUM($E80:$E84),(($E80*I80)+($E81*I81)+($E82*I82)+($E83*I83)+(($F80-SUM($E80:$E83))*I84)),(($E80*I80)+($E81*I81)+($E82*I82)+($E83*I82)+($E84*I84)+(($F80-SUM($E80:$E84))*I85))))))),2)</f>
        <v>1550</v>
      </c>
      <c r="L86" s="374">
        <f>$G80+ROUND(IF($F80&lt;$E80,($F80*J80),IF($F80&lt;SUM($E80:$E81),(($E80*J80)+(($F80-$E80)*J81)),IF($F80&lt;SUM($E80:$E82),(($E80*J80)+($E81*J81)+(($F80-$E80-$E81)*J82)),IF($F80&lt;SUM($E80:$E83),(($E80*J80)+($E81*J81)+($E82*J82)+(($F80-SUM($E80:$E82))*J83)),IF($F80&lt;SUM($E80:$E84),(($E80*J80)+($E81*J81)+($E82*J82)+($E83*J83)+(($F80-SUM($E80:$E83))*J84)),(($E80*J80)+($E81*J81)+($E82*J82)+($E83*J82)+($E84*J84)+(($F80-SUM($E80:$E84))*J85))))))),2)</f>
        <v>1550</v>
      </c>
      <c r="M86" s="376"/>
      <c r="N86" s="374">
        <f>$H80+ROUND(IF($F80&lt;$E80,($F80*M80),IF($F80&lt;SUM($E80:$E81),(($E80*M80)+(($F80-$E80)*M81)),IF($F80&lt;SUM($E80:$E82),(($E80*M80)+($E81*M81)+(($F80-$E80-$E81)*M82)),IF($F80&lt;SUM($E80:$E83),(($E80*M80)+($E81*M81)+($E82*M82)+(($F80-SUM($E80:$E82))*M83)),IF($F80&lt;SUM($E80:$E84),(($E80*M80)+($E81*M81)+($E82*M82)+($E83*M83)+(($F80-SUM($E80:$E83))*M84)),(($E80*M80)+($E81*M81)+($E82*M82)+($E83*M82)+($E84*M84)+(($F80-SUM($E80:$E84))*M85))))))),2)</f>
        <v>1550</v>
      </c>
      <c r="O86" s="377">
        <f>ROUND((N86-K86)/K86,3)</f>
        <v>0</v>
      </c>
      <c r="P86" s="376"/>
      <c r="Q86" s="374">
        <f>$H80+ROUND(IF($F80&lt;$E80,($F80*P80),IF($F80&lt;SUM($E80:$E81),(($E80*P80)+(($F80-$E80)*P81)),IF($F80&lt;SUM($E80:$E82),(($E80*P80)+($E81*P81)+(($F80-$E80-$E81)*P82)),IF($F80&lt;SUM($E80:$E83),(($E80*P80)+($E81*P81)+($E82*P82)+(($F80-SUM($E80:$E82))*P83)),IF($F80&lt;SUM($E80:$E84),(($E80*P80)+($E81*P81)+($E82*P82)+($E83*P83)+(($F80-SUM($E80:$E83))*P84)),(($E80*P80)+($E81*P81)+($E82*P82)+($E83*P82)+($E84*P84)+(($F80-SUM($E80:$E84))*P85))))))),2)</f>
        <v>1550</v>
      </c>
      <c r="R86" s="377">
        <f>ROUND((Q86-L86)/L86,3)</f>
        <v>0</v>
      </c>
    </row>
    <row r="87" spans="1:18" x14ac:dyDescent="0.3">
      <c r="A87" s="85">
        <f t="shared" si="8"/>
        <v>80</v>
      </c>
      <c r="B87" s="85" t="str">
        <f>'WA Volumes &amp; Revenues'!B75</f>
        <v>42I Inter Transpt</v>
      </c>
      <c r="C87" s="1619" t="s">
        <v>4</v>
      </c>
      <c r="D87" s="379">
        <f>'WA Volumes &amp; Revenues'!E75</f>
        <v>844078</v>
      </c>
      <c r="E87" s="294">
        <v>10000</v>
      </c>
      <c r="F87" s="380">
        <f>'WA Volumes &amp; Revenues'!I75</f>
        <v>95634</v>
      </c>
      <c r="G87" s="862">
        <f>'WA Volumes &amp; Revenues'!O75</f>
        <v>1550</v>
      </c>
      <c r="H87" s="367">
        <f>'WA Volumes &amp; Revenues'!N75</f>
        <v>1550</v>
      </c>
      <c r="I87" s="381">
        <f>+'Rates in summary'!D74</f>
        <v>0.13459999999999997</v>
      </c>
      <c r="J87" s="381">
        <f>+'Rates in summary'!M74</f>
        <v>0.14205999999999996</v>
      </c>
      <c r="K87" s="367"/>
      <c r="L87" s="367"/>
      <c r="M87" s="368">
        <f>'Rates in summary'!M74</f>
        <v>0.14205999999999996</v>
      </c>
      <c r="N87" s="367"/>
      <c r="O87" s="369"/>
      <c r="P87" s="368">
        <f>'Rates in summary'!W74</f>
        <v>0.14371999999999999</v>
      </c>
      <c r="Q87" s="367"/>
      <c r="R87" s="369"/>
    </row>
    <row r="88" spans="1:18" x14ac:dyDescent="0.3">
      <c r="A88" s="85">
        <f t="shared" si="8"/>
        <v>81</v>
      </c>
      <c r="B88" s="85"/>
      <c r="C88" s="1619" t="s">
        <v>5</v>
      </c>
      <c r="D88" s="379">
        <f>'WA Volumes &amp; Revenues'!E76</f>
        <v>1445175</v>
      </c>
      <c r="E88" s="294">
        <v>20000</v>
      </c>
      <c r="F88" s="380"/>
      <c r="G88" s="865"/>
      <c r="H88" s="651"/>
      <c r="I88" s="381">
        <f>+'Rates in summary'!D75</f>
        <v>0.12048999999999999</v>
      </c>
      <c r="J88" s="381">
        <f>+'Rates in summary'!M75</f>
        <v>0.12716</v>
      </c>
      <c r="K88" s="367"/>
      <c r="L88" s="367"/>
      <c r="M88" s="368">
        <f>'Rates in summary'!M75</f>
        <v>0.12716</v>
      </c>
      <c r="N88" s="367"/>
      <c r="O88" s="369"/>
      <c r="P88" s="368">
        <f>'Rates in summary'!W75</f>
        <v>0.12865000000000001</v>
      </c>
      <c r="Q88" s="367"/>
      <c r="R88" s="369"/>
    </row>
    <row r="89" spans="1:18" x14ac:dyDescent="0.3">
      <c r="A89" s="85">
        <f t="shared" si="8"/>
        <v>82</v>
      </c>
      <c r="B89" s="85"/>
      <c r="C89" s="1619" t="s">
        <v>6</v>
      </c>
      <c r="D89" s="379">
        <f>'WA Volumes &amp; Revenues'!E77</f>
        <v>1034978</v>
      </c>
      <c r="E89" s="294">
        <v>20000</v>
      </c>
      <c r="F89" s="380"/>
      <c r="G89" s="865"/>
      <c r="H89" s="651"/>
      <c r="I89" s="381">
        <f>+'Rates in summary'!D76</f>
        <v>9.2380000000000004E-2</v>
      </c>
      <c r="J89" s="381">
        <f>+'Rates in summary'!M76</f>
        <v>9.7509999999999999E-2</v>
      </c>
      <c r="K89" s="367"/>
      <c r="L89" s="367"/>
      <c r="M89" s="368">
        <f>'Rates in summary'!M76</f>
        <v>9.7509999999999999E-2</v>
      </c>
      <c r="N89" s="367"/>
      <c r="O89" s="369"/>
      <c r="P89" s="368">
        <f>'Rates in summary'!W76</f>
        <v>9.8650000000000015E-2</v>
      </c>
      <c r="Q89" s="367"/>
      <c r="R89" s="369"/>
    </row>
    <row r="90" spans="1:18" x14ac:dyDescent="0.3">
      <c r="A90" s="85">
        <f t="shared" si="8"/>
        <v>83</v>
      </c>
      <c r="B90" s="85"/>
      <c r="C90" s="1619" t="s">
        <v>7</v>
      </c>
      <c r="D90" s="379">
        <f>'WA Volumes &amp; Revenues'!E78</f>
        <v>3359916</v>
      </c>
      <c r="E90" s="294">
        <v>100000</v>
      </c>
      <c r="F90" s="380"/>
      <c r="G90" s="865"/>
      <c r="H90" s="651"/>
      <c r="I90" s="381">
        <f>+'Rates in summary'!D77</f>
        <v>7.392E-2</v>
      </c>
      <c r="J90" s="381">
        <f>+'Rates in summary'!M77</f>
        <v>7.8020000000000006E-2</v>
      </c>
      <c r="K90" s="367"/>
      <c r="L90" s="367"/>
      <c r="M90" s="368">
        <f>'Rates in summary'!M77</f>
        <v>7.8020000000000006E-2</v>
      </c>
      <c r="N90" s="367"/>
      <c r="O90" s="369"/>
      <c r="P90" s="368">
        <f>'Rates in summary'!W77</f>
        <v>7.8939999999999996E-2</v>
      </c>
      <c r="Q90" s="367"/>
      <c r="R90" s="369"/>
    </row>
    <row r="91" spans="1:18" x14ac:dyDescent="0.3">
      <c r="A91" s="85">
        <f t="shared" si="8"/>
        <v>84</v>
      </c>
      <c r="B91" s="85"/>
      <c r="C91" s="1619" t="s">
        <v>8</v>
      </c>
      <c r="D91" s="379">
        <f>'WA Volumes &amp; Revenues'!E79</f>
        <v>1349120</v>
      </c>
      <c r="E91" s="294">
        <v>600000</v>
      </c>
      <c r="F91" s="380"/>
      <c r="G91" s="865"/>
      <c r="H91" s="651"/>
      <c r="I91" s="381">
        <f>+'Rates in summary'!D78</f>
        <v>4.929E-2</v>
      </c>
      <c r="J91" s="381">
        <f>+'Rates in summary'!M78</f>
        <v>5.2019999999999997E-2</v>
      </c>
      <c r="K91" s="367"/>
      <c r="L91" s="367"/>
      <c r="M91" s="368">
        <f>'Rates in summary'!M78</f>
        <v>5.2019999999999997E-2</v>
      </c>
      <c r="N91" s="367"/>
      <c r="O91" s="369"/>
      <c r="P91" s="368">
        <f>'Rates in summary'!W78</f>
        <v>5.2629999999999996E-2</v>
      </c>
      <c r="Q91" s="367"/>
      <c r="R91" s="369"/>
    </row>
    <row r="92" spans="1:18" x14ac:dyDescent="0.3">
      <c r="A92" s="85">
        <f t="shared" si="8"/>
        <v>85</v>
      </c>
      <c r="B92" s="85"/>
      <c r="C92" s="1619" t="s">
        <v>9</v>
      </c>
      <c r="D92" s="379">
        <f>'WA Volumes &amp; Revenues'!E80</f>
        <v>0</v>
      </c>
      <c r="E92" s="366" t="s">
        <v>72</v>
      </c>
      <c r="F92" s="380"/>
      <c r="G92" s="865"/>
      <c r="H92" s="651"/>
      <c r="I92" s="381">
        <f>+'Rates in summary'!D79</f>
        <v>1.8460000000000001E-2</v>
      </c>
      <c r="J92" s="381">
        <f>+'Rates in summary'!M79</f>
        <v>1.9500000000000003E-2</v>
      </c>
      <c r="K92" s="367"/>
      <c r="L92" s="367"/>
      <c r="M92" s="368">
        <f>'Rates in summary'!M79</f>
        <v>1.9500000000000003E-2</v>
      </c>
      <c r="N92" s="367"/>
      <c r="O92" s="369"/>
      <c r="P92" s="368">
        <f>'Rates in summary'!W79</f>
        <v>1.9730000000000004E-2</v>
      </c>
      <c r="Q92" s="367"/>
      <c r="R92" s="369"/>
    </row>
    <row r="93" spans="1:18" x14ac:dyDescent="0.3">
      <c r="A93" s="85">
        <f t="shared" si="8"/>
        <v>86</v>
      </c>
      <c r="B93" s="160"/>
      <c r="C93" s="1620" t="s">
        <v>76</v>
      </c>
      <c r="D93" s="370"/>
      <c r="E93" s="371"/>
      <c r="F93" s="372"/>
      <c r="G93" s="863"/>
      <c r="H93" s="374"/>
      <c r="I93" s="373"/>
      <c r="J93" s="373"/>
      <c r="K93" s="374">
        <f>$G87+ROUND(IF($F87&lt;$E87,($F87*I87),IF($F87&lt;SUM($E87:$E88),(($E87*I87)+(($F87-$E87)*I88)),IF($F87&lt;SUM($E87:$E89),(($E87*I87)+($E88*I88)+(($F87-$E87-$E88)*I89)),IF($F87&lt;SUM($E87:$E90),(($E87*I87)+($E88*I88)+($E89*I89)+(($F87-SUM($E87:$E89))*I90)),IF($F87&lt;SUM($E87:$E91),(($E87*I87)+($E88*I88)+($E89*I89)+($E90*I90)+(($F87-SUM($E87:$E90))*I91)),(($E87*I87)+($E88*I88)+($E89*I89)+($E90*I89)+($E91*I91)+(($F87-SUM($E87:$E91))*I92))))))),2)</f>
        <v>10526.67</v>
      </c>
      <c r="L93" s="374">
        <f>$G87+ROUND(IF($F87&lt;$E87,($F87*J87),IF($F87&lt;SUM($E87:$E88),(($E87*J87)+(($F87-$E87)*J88)),IF($F87&lt;SUM($E87:$E89),(($E87*J87)+($E88*J88)+(($F87-$E87-$E88)*J89)),IF($F87&lt;SUM($E87:$E90),(($E87*J87)+($E88*J88)+($E89*J89)+(($F87-SUM($E87:$E89))*J90)),IF($F87&lt;SUM($E87:$E91),(($E87*J87)+($E88*J88)+($E89*J89)+($E90*J90)+(($F87-SUM($E87:$E90))*J91)),(($E87*J87)+($E88*J88)+($E89*J89)+($E90*J89)+($E91*J91)+(($F87-SUM($E87:$E91))*J92))))))),2)</f>
        <v>11024.36</v>
      </c>
      <c r="M93" s="383"/>
      <c r="N93" s="374">
        <f>$H87+ROUND(IF($F87&lt;$E87,($F87*M87),IF($F87&lt;SUM($E87:$E88),(($E87*M87)+(($F87-$E87)*M88)),IF($F87&lt;SUM($E87:$E89),(($E87*M87)+($E88*M88)+(($F87-$E87-$E88)*M89)),IF($F87&lt;SUM($E87:$E90),(($E87*M87)+($E88*M88)+($E89*M89)+(($F87-SUM($E87:$E89))*M90)),IF($F87&lt;SUM($E87:$E91),(($E87*M87)+($E88*M88)+($E89*M89)+($E90*M90)+(($F87-SUM($E87:$E90))*M91)),(($E87*M87)+($E88*M88)+($E89*M89)+($E90*M89)+($E91*M91)+(($F87-SUM($E87:$E91))*M92))))))),2)</f>
        <v>11024.36</v>
      </c>
      <c r="O93" s="377">
        <f>ROUND((N93-K93)/K93,3)</f>
        <v>4.7E-2</v>
      </c>
      <c r="P93" s="383"/>
      <c r="Q93" s="374">
        <f>$H87+ROUND(IF($F87&lt;$E87,($F87*P87),IF($F87&lt;SUM($E87:$E88),(($E87*P87)+(($F87-$E87)*P88)),IF($F87&lt;SUM($E87:$E89),(($E87*P87)+($E88*P88)+(($F87-$E87-$E88)*P89)),IF($F87&lt;SUM($E87:$E90),(($E87*P87)+($E88*P88)+($E89*P89)+(($F87-SUM($E87:$E89))*P90)),IF($F87&lt;SUM($E87:$E91),(($E87*P87)+($E88*P88)+($E89*P89)+($E90*P90)+(($F87-SUM($E87:$E90))*P91)),(($E87*P87)+($E88*P88)+($E89*P89)+($E90*P89)+($E91*P91)+(($F87-SUM($E87:$E91))*P92))))))),2)</f>
        <v>11135.55</v>
      </c>
      <c r="R93" s="377">
        <f>ROUND((Q93-L93)/L93,3)</f>
        <v>0.01</v>
      </c>
    </row>
    <row r="94" spans="1:18" x14ac:dyDescent="0.3">
      <c r="A94" s="85">
        <f t="shared" si="8"/>
        <v>87</v>
      </c>
      <c r="B94" s="160" t="str">
        <f>'WA Volumes &amp; Revenues'!B81</f>
        <v>43 Firm Transpt</v>
      </c>
      <c r="C94" s="1621" t="s">
        <v>270</v>
      </c>
      <c r="D94" s="384">
        <f>'WA Volumes &amp; Revenues'!E81</f>
        <v>0</v>
      </c>
      <c r="E94" s="385" t="s">
        <v>270</v>
      </c>
      <c r="F94" s="386">
        <f>+'WA Volumes &amp; Revenues'!I81</f>
        <v>0</v>
      </c>
      <c r="G94" s="866">
        <f>'WA Volumes &amp; Revenues'!O81</f>
        <v>38000</v>
      </c>
      <c r="H94" s="652">
        <f>'WA Volumes &amp; Revenues'!N81</f>
        <v>38000</v>
      </c>
      <c r="I94" s="387">
        <f>+'Rates in summary'!D80</f>
        <v>4.919999999999999E-3</v>
      </c>
      <c r="J94" s="387">
        <f>+'Rates in summary'!M80</f>
        <v>4.9499999999999987E-3</v>
      </c>
      <c r="K94" s="362">
        <f t="shared" ref="K94:L96" si="9">ROUND(+$G94+(I94*$F94),2)</f>
        <v>38000</v>
      </c>
      <c r="L94" s="362">
        <f t="shared" si="9"/>
        <v>38000</v>
      </c>
      <c r="M94" s="390">
        <f>'Rates in summary'!M80</f>
        <v>4.9499999999999987E-3</v>
      </c>
      <c r="N94" s="362">
        <f>ROUND(H94+(F94*M94),2)</f>
        <v>38000</v>
      </c>
      <c r="O94" s="389">
        <f>ROUND((N94-K94)/K94,3)</f>
        <v>0</v>
      </c>
      <c r="P94" s="390">
        <f>'Rates in summary'!W80</f>
        <v>5.7799999999999987E-3</v>
      </c>
      <c r="Q94" s="362">
        <f>ROUND(H94+(F94*P94),2)</f>
        <v>38000</v>
      </c>
      <c r="R94" s="389">
        <f>ROUND((Q94-L94)/L94,3)</f>
        <v>0</v>
      </c>
    </row>
    <row r="95" spans="1:18" x14ac:dyDescent="0.3">
      <c r="A95" s="85">
        <f t="shared" si="8"/>
        <v>88</v>
      </c>
      <c r="B95" s="160" t="str">
        <f>'WA Volumes &amp; Revenues'!B82</f>
        <v>43 Interr Transpt</v>
      </c>
      <c r="C95" s="1617" t="s">
        <v>270</v>
      </c>
      <c r="D95" s="384">
        <f>'WA Volumes &amp; Revenues'!E82</f>
        <v>0</v>
      </c>
      <c r="E95" s="385" t="s">
        <v>270</v>
      </c>
      <c r="F95" s="386">
        <f>+'WA Volumes &amp; Revenues'!I82</f>
        <v>0</v>
      </c>
      <c r="G95" s="866">
        <f>'WA Volumes &amp; Revenues'!O82</f>
        <v>38000</v>
      </c>
      <c r="H95" s="652">
        <f>'WA Volumes &amp; Revenues'!N82</f>
        <v>38000</v>
      </c>
      <c r="I95" s="387">
        <f>+'Rates in summary'!D81</f>
        <v>4.919999999999999E-3</v>
      </c>
      <c r="J95" s="387">
        <f>+'Rates in summary'!M81</f>
        <v>4.9499999999999987E-3</v>
      </c>
      <c r="K95" s="362">
        <f t="shared" si="9"/>
        <v>38000</v>
      </c>
      <c r="L95" s="362">
        <f t="shared" si="9"/>
        <v>38000</v>
      </c>
      <c r="M95" s="390">
        <f>'Rates in summary'!M81</f>
        <v>4.9499999999999987E-3</v>
      </c>
      <c r="N95" s="362">
        <f>ROUND(H95+(F95*M95),2)</f>
        <v>38000</v>
      </c>
      <c r="O95" s="389">
        <f>ROUND((N95-K95)/K95,3)</f>
        <v>0</v>
      </c>
      <c r="P95" s="390">
        <f>'Rates in summary'!W81</f>
        <v>5.2099999999999985E-3</v>
      </c>
      <c r="Q95" s="362">
        <f>ROUND(H95+(F95*P95),2)</f>
        <v>38000</v>
      </c>
      <c r="R95" s="389">
        <f>ROUND((Q95-L95)/L95,3)</f>
        <v>0</v>
      </c>
    </row>
    <row r="96" spans="1:18" x14ac:dyDescent="0.3">
      <c r="A96" s="85">
        <f t="shared" si="8"/>
        <v>89</v>
      </c>
      <c r="B96" s="85" t="str">
        <f>'WA Volumes &amp; Revenues'!B83</f>
        <v>Special Contract</v>
      </c>
      <c r="C96" s="1622" t="s">
        <v>270</v>
      </c>
      <c r="D96" s="961">
        <f>'WA Volumes &amp; Revenues'!E83</f>
        <v>2895114</v>
      </c>
      <c r="E96" s="962" t="s">
        <v>270</v>
      </c>
      <c r="F96" s="681">
        <f>+'WA Volumes &amp; Revenues'!I83</f>
        <v>241259.5</v>
      </c>
      <c r="G96" s="865">
        <f>'WA Volumes &amp; Revenues'!O83</f>
        <v>0</v>
      </c>
      <c r="H96" s="651">
        <f>'WA Volumes &amp; Revenues'!N83</f>
        <v>0</v>
      </c>
      <c r="I96" s="963">
        <f>+'Rates in summary'!D82</f>
        <v>0</v>
      </c>
      <c r="J96" s="963">
        <f>+'Rates in summary'!M82</f>
        <v>0</v>
      </c>
      <c r="K96" s="367">
        <f t="shared" si="9"/>
        <v>0</v>
      </c>
      <c r="L96" s="367">
        <f t="shared" si="9"/>
        <v>0</v>
      </c>
      <c r="M96" s="390">
        <f>'Rates in summary'!M82</f>
        <v>0</v>
      </c>
      <c r="N96" s="362">
        <v>0</v>
      </c>
      <c r="O96" s="389">
        <f>IF(K96=0,0,ROUND((N96-K96)/K96,3))</f>
        <v>0</v>
      </c>
      <c r="P96" s="390">
        <f>'Rates in summary'!W82</f>
        <v>0</v>
      </c>
      <c r="Q96" s="362">
        <f>ROUND(H96+(F96*P96),2)</f>
        <v>0</v>
      </c>
      <c r="R96" s="389">
        <f>IF(L96=0,0,ROUND((Q96-L96)/L96,3))</f>
        <v>0</v>
      </c>
    </row>
    <row r="97" spans="1:18" ht="13.5" thickBot="1" x14ac:dyDescent="0.35">
      <c r="A97" s="85">
        <f t="shared" si="8"/>
        <v>90</v>
      </c>
      <c r="B97" s="1628" t="s">
        <v>76</v>
      </c>
      <c r="C97" s="1629"/>
      <c r="D97" s="964">
        <f>SUM(D14:D96)</f>
        <v>103032055.6009268</v>
      </c>
      <c r="E97" s="729"/>
      <c r="F97" s="964">
        <f>SUM(F14:F96)</f>
        <v>543910.62040000001</v>
      </c>
      <c r="G97" s="1624"/>
      <c r="H97" s="1624"/>
      <c r="I97" s="966"/>
      <c r="J97" s="966"/>
      <c r="K97" s="967"/>
      <c r="L97" s="967"/>
      <c r="M97" s="393"/>
      <c r="N97" s="394"/>
      <c r="O97" s="396"/>
      <c r="P97" s="393"/>
      <c r="Q97" s="394"/>
      <c r="R97" s="396"/>
    </row>
    <row r="98" spans="1:18" ht="12.65" customHeight="1" x14ac:dyDescent="0.3">
      <c r="A98" s="85">
        <f t="shared" si="8"/>
        <v>91</v>
      </c>
      <c r="B98" s="1647"/>
      <c r="C98" s="1627"/>
      <c r="D98" s="1627"/>
      <c r="E98" s="1627"/>
      <c r="F98" s="1627"/>
      <c r="G98" s="1627"/>
      <c r="H98" s="1627"/>
      <c r="I98" s="407"/>
      <c r="J98" s="407"/>
      <c r="K98" s="407"/>
      <c r="L98" s="407"/>
      <c r="M98" s="54"/>
      <c r="N98" s="54"/>
      <c r="O98" s="54"/>
      <c r="P98" s="54"/>
      <c r="Q98" s="54"/>
      <c r="R98" s="54"/>
    </row>
    <row r="99" spans="1:18" ht="12.65" customHeight="1" x14ac:dyDescent="0.3">
      <c r="A99" s="85">
        <f t="shared" si="8"/>
        <v>92</v>
      </c>
      <c r="B99" s="1648" t="s">
        <v>358</v>
      </c>
      <c r="C99" s="1627"/>
      <c r="D99" s="1627"/>
      <c r="E99" s="1627"/>
      <c r="F99" s="1627"/>
      <c r="G99" s="1627"/>
      <c r="H99" s="1627"/>
      <c r="I99" s="408"/>
      <c r="J99" s="408"/>
      <c r="K99" s="408"/>
      <c r="L99" s="408"/>
      <c r="M99" s="54"/>
      <c r="N99" s="54"/>
      <c r="O99" s="54"/>
      <c r="P99" s="54"/>
      <c r="Q99" s="54"/>
      <c r="R99" s="54"/>
    </row>
  </sheetData>
  <mergeCells count="4">
    <mergeCell ref="P6:R6"/>
    <mergeCell ref="M5:O5"/>
    <mergeCell ref="P5:R5"/>
    <mergeCell ref="M6:O6"/>
  </mergeCells>
  <printOptions horizontalCentered="1" verticalCentered="1"/>
  <pageMargins left="0.25" right="0.25" top="0.75" bottom="0.25" header="0.25" footer="0.25"/>
  <pageSetup scale="42" orientation="landscape" r:id="rId1"/>
  <headerFooter alignWithMargins="0">
    <oddHeader>&amp;RUG-200994 et al. / NWN WUTC Advice 22-09
WP1 / &amp;A</oddHeader>
  </headerFooter>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9E152-EEB9-4908-B288-CC3AD76DDF77}">
  <sheetPr>
    <tabColor rgb="FF009900"/>
    <pageSetUpPr fitToPage="1"/>
  </sheetPr>
  <dimension ref="B1:BE79"/>
  <sheetViews>
    <sheetView tabSelected="1" view="pageLayout" topLeftCell="B1" zoomScale="70" zoomScaleNormal="100" zoomScalePageLayoutView="70" workbookViewId="0">
      <selection activeCell="B1" sqref="B1:BE79"/>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8" width="14" style="51" customWidth="1"/>
    <col min="9" max="9" width="14" style="51" hidden="1" customWidth="1" outlineLevel="1"/>
    <col min="10" max="10" width="14" style="614" hidden="1" customWidth="1" outlineLevel="1"/>
    <col min="11" max="11" width="15.19921875" style="614" hidden="1" customWidth="1" outlineLevel="1"/>
    <col min="12" max="12" width="14" style="614" hidden="1" customWidth="1" outlineLevel="1"/>
    <col min="13" max="13" width="14.296875" style="614" hidden="1" customWidth="1" outlineLevel="1"/>
    <col min="14" max="14" width="14" style="51" hidden="1" customWidth="1" outlineLevel="1"/>
    <col min="15" max="17" width="16" style="51" hidden="1" customWidth="1" outlineLevel="1"/>
    <col min="18" max="18" width="16.5" style="91" hidden="1" customWidth="1" outlineLevel="1"/>
    <col min="19" max="19" width="16" style="51" hidden="1" customWidth="1" outlineLevel="1"/>
    <col min="20" max="20" width="15.69921875" style="51" hidden="1" customWidth="1" outlineLevel="1"/>
    <col min="21" max="21" width="15.5" style="51" hidden="1" customWidth="1" outlineLevel="1"/>
    <col min="22" max="22" width="16" style="51" hidden="1" customWidth="1" outlineLevel="1"/>
    <col min="23" max="23" width="3" style="55" hidden="1" customWidth="1" outlineLevel="1"/>
    <col min="24" max="24" width="12.5" style="55" hidden="1" customWidth="1" outlineLevel="1"/>
    <col min="25" max="25" width="12.796875" style="55" hidden="1" customWidth="1" outlineLevel="1"/>
    <col min="26" max="26" width="12.5" style="55" hidden="1" customWidth="1" outlineLevel="1"/>
    <col min="27" max="27" width="12.19921875" style="55" hidden="1" customWidth="1" outlineLevel="1"/>
    <col min="28" max="28" width="13" style="55" hidden="1" customWidth="1" outlineLevel="1"/>
    <col min="29" max="29" width="15" style="91" hidden="1" customWidth="1" outlineLevel="1"/>
    <col min="30" max="30" width="3" style="51" hidden="1" customWidth="1" outlineLevel="1"/>
    <col min="31" max="31" width="15.19921875" style="51" customWidth="1" collapsed="1"/>
    <col min="32" max="32" width="11.296875" style="51" hidden="1" customWidth="1" outlineLevel="1"/>
    <col min="33" max="33" width="15.19921875" style="51" customWidth="1" collapsed="1"/>
    <col min="34" max="35" width="15.19921875" style="51" customWidth="1"/>
    <col min="36" max="36" width="15.19921875" style="91" customWidth="1"/>
    <col min="37" max="37" width="1.796875" style="129" customWidth="1"/>
    <col min="38" max="42" width="13.19921875" style="129" hidden="1" customWidth="1" outlineLevel="1"/>
    <col min="43" max="43" width="6.296875" style="129" hidden="1" customWidth="1" outlineLevel="1"/>
    <col min="44" max="44" width="12.5" style="55" hidden="1" customWidth="1" outlineLevel="1"/>
    <col min="45" max="45" width="12.796875" style="55" hidden="1" customWidth="1" outlineLevel="1"/>
    <col min="46" max="46" width="12.5" style="55" hidden="1" customWidth="1" outlineLevel="1"/>
    <col min="47" max="47" width="11.5" style="55" hidden="1" customWidth="1" outlineLevel="1"/>
    <col min="48" max="48" width="12" style="55" hidden="1" customWidth="1" outlineLevel="1"/>
    <col min="49" max="49" width="15" style="91" hidden="1" customWidth="1" outlineLevel="1"/>
    <col min="50" max="50" width="3.796875" style="51" hidden="1" customWidth="1" outlineLevel="1"/>
    <col min="51" max="51" width="15.19921875" style="51" customWidth="1" collapsed="1"/>
    <col min="52" max="52" width="11.296875" style="51" hidden="1" customWidth="1"/>
    <col min="53" max="55" width="15.19921875" style="51" customWidth="1"/>
    <col min="56" max="56" width="15.19921875" style="91" customWidth="1"/>
    <col min="57" max="57" width="13" style="51" customWidth="1"/>
    <col min="58" max="16384" width="9.296875" style="51"/>
  </cols>
  <sheetData>
    <row r="1" spans="2:57" x14ac:dyDescent="0.3">
      <c r="B1" s="90" t="s">
        <v>0</v>
      </c>
      <c r="T1" s="64"/>
      <c r="U1" s="64"/>
    </row>
    <row r="2" spans="2:57" x14ac:dyDescent="0.3">
      <c r="B2" s="90" t="s">
        <v>265</v>
      </c>
    </row>
    <row r="3" spans="2:57" x14ac:dyDescent="0.3">
      <c r="B3" s="90" t="s">
        <v>266</v>
      </c>
      <c r="P3" s="100"/>
      <c r="R3" s="137"/>
    </row>
    <row r="4" spans="2:57" ht="13.5" thickBot="1" x14ac:dyDescent="0.35">
      <c r="B4" s="90" t="s">
        <v>613</v>
      </c>
      <c r="N4" s="646"/>
      <c r="O4" s="58" t="s">
        <v>218</v>
      </c>
      <c r="P4" s="58" t="s">
        <v>218</v>
      </c>
      <c r="Q4" s="58" t="s">
        <v>218</v>
      </c>
      <c r="R4" s="57"/>
      <c r="S4" s="57" t="s">
        <v>217</v>
      </c>
      <c r="T4" s="57" t="s">
        <v>217</v>
      </c>
      <c r="U4" s="57" t="s">
        <v>217</v>
      </c>
      <c r="AE4" s="598"/>
      <c r="AH4" s="100"/>
      <c r="AI4" s="598"/>
      <c r="AJ4" s="137"/>
      <c r="AK4" s="130"/>
      <c r="AL4" s="130"/>
      <c r="AM4" s="57" t="s">
        <v>217</v>
      </c>
      <c r="AN4" s="57" t="s">
        <v>217</v>
      </c>
      <c r="AO4" s="57" t="s">
        <v>217</v>
      </c>
      <c r="AP4" s="130"/>
      <c r="AQ4" s="130"/>
      <c r="AY4" s="598"/>
      <c r="BB4" s="100"/>
      <c r="BC4" s="598"/>
    </row>
    <row r="5" spans="2:57" ht="13.5" thickBot="1" x14ac:dyDescent="0.35">
      <c r="O5" s="950">
        <f>'Rates in Detail'!L4</f>
        <v>5462.2520000000004</v>
      </c>
      <c r="P5" s="951">
        <f>'Rates in Detail'!P4</f>
        <v>-462.25200000000001</v>
      </c>
      <c r="Q5" s="101">
        <v>0</v>
      </c>
      <c r="R5" s="101"/>
      <c r="S5" s="951">
        <f>'Rates in Detail'!S4</f>
        <v>-770.71600000000001</v>
      </c>
      <c r="T5" s="951">
        <f>'Rates in Detail'!T4</f>
        <v>-437.87</v>
      </c>
      <c r="U5" s="951">
        <f>'Rates in Detail'!U4</f>
        <v>154.42099999999999</v>
      </c>
      <c r="AE5" s="1956" t="s">
        <v>402</v>
      </c>
      <c r="AF5" s="1957"/>
      <c r="AG5" s="1957"/>
      <c r="AH5" s="1957"/>
      <c r="AI5" s="1957"/>
      <c r="AJ5" s="1958"/>
      <c r="AL5" s="954"/>
      <c r="AM5" s="951">
        <f>'Rates in Detail'!AD4</f>
        <v>-44.543999999999997</v>
      </c>
      <c r="AN5" s="951">
        <f>'Rates in Detail'!AE4</f>
        <v>-770.71600000000001</v>
      </c>
      <c r="AO5" s="951">
        <f>'Rates in Detail'!AF4</f>
        <v>-437.87</v>
      </c>
      <c r="AP5" s="954"/>
      <c r="AY5" s="1959" t="s">
        <v>397</v>
      </c>
      <c r="AZ5" s="1960"/>
      <c r="BA5" s="1960"/>
      <c r="BB5" s="1960"/>
      <c r="BC5" s="1960"/>
      <c r="BD5" s="1961"/>
    </row>
    <row r="6" spans="2:57" ht="13.5" thickBot="1" x14ac:dyDescent="0.35">
      <c r="B6" s="102"/>
      <c r="C6" s="102"/>
      <c r="D6" s="102"/>
      <c r="E6" s="102"/>
      <c r="F6" s="102"/>
      <c r="G6" s="102"/>
      <c r="H6" s="624" t="s">
        <v>797</v>
      </c>
      <c r="I6" s="103" t="s">
        <v>599</v>
      </c>
      <c r="J6" s="1962" t="s">
        <v>246</v>
      </c>
      <c r="K6" s="1963"/>
      <c r="L6" s="1963"/>
      <c r="M6" s="1963"/>
      <c r="N6" s="1964"/>
      <c r="O6" s="1054" t="s">
        <v>173</v>
      </c>
      <c r="P6" s="1054" t="str">
        <f>'Rates in Detail'!P9</f>
        <v>EDIT Amort Cr</v>
      </c>
      <c r="Q6" s="1055" t="s">
        <v>360</v>
      </c>
      <c r="R6" s="252" t="s">
        <v>235</v>
      </c>
      <c r="S6" s="1054" t="str">
        <f>'Rates in Detail'!S9</f>
        <v>Historical EE</v>
      </c>
      <c r="T6" s="1054" t="str">
        <f>'Rates in Detail'!T9</f>
        <v>Truck Lot Sale</v>
      </c>
      <c r="U6" s="1054" t="str">
        <f>'Rates in Detail'!U9</f>
        <v>CPA</v>
      </c>
      <c r="V6" s="253" t="s">
        <v>235</v>
      </c>
      <c r="X6" s="1909" t="s">
        <v>380</v>
      </c>
      <c r="Y6" s="1910"/>
      <c r="Z6" s="1910"/>
      <c r="AA6" s="1910"/>
      <c r="AB6" s="1910"/>
      <c r="AC6" s="1911"/>
      <c r="AE6" s="1965" t="s">
        <v>739</v>
      </c>
      <c r="AF6" s="1965"/>
      <c r="AG6" s="1965"/>
      <c r="AH6" s="1965"/>
      <c r="AI6" s="1965"/>
      <c r="AJ6" s="1965"/>
      <c r="AL6" s="955" t="s">
        <v>173</v>
      </c>
      <c r="AM6" s="956" t="s">
        <v>398</v>
      </c>
      <c r="AN6" s="956" t="str">
        <f>S6</f>
        <v>Historical EE</v>
      </c>
      <c r="AO6" s="956" t="str">
        <f>T6</f>
        <v>Truck Lot Sale</v>
      </c>
      <c r="AP6" s="956" t="s">
        <v>399</v>
      </c>
      <c r="AR6" s="1909" t="s">
        <v>409</v>
      </c>
      <c r="AS6" s="1910"/>
      <c r="AT6" s="1910"/>
      <c r="AU6" s="1910"/>
      <c r="AV6" s="1910"/>
      <c r="AW6" s="1911"/>
      <c r="AY6" s="1965" t="s">
        <v>795</v>
      </c>
      <c r="AZ6" s="1965"/>
      <c r="BA6" s="1965"/>
      <c r="BB6" s="1965"/>
      <c r="BC6" s="1965"/>
      <c r="BD6" s="1965"/>
    </row>
    <row r="7" spans="2:57" ht="52" x14ac:dyDescent="0.3">
      <c r="B7" s="104" t="s">
        <v>145</v>
      </c>
      <c r="C7" s="65" t="s">
        <v>2</v>
      </c>
      <c r="D7" s="65" t="s">
        <v>3</v>
      </c>
      <c r="E7" s="65" t="s">
        <v>158</v>
      </c>
      <c r="F7" s="65" t="s">
        <v>156</v>
      </c>
      <c r="G7" s="65" t="s">
        <v>157</v>
      </c>
      <c r="H7" s="105" t="s">
        <v>154</v>
      </c>
      <c r="I7" s="65" t="s">
        <v>617</v>
      </c>
      <c r="J7" s="615" t="s">
        <v>375</v>
      </c>
      <c r="K7" s="616" t="s">
        <v>376</v>
      </c>
      <c r="L7" s="616" t="s">
        <v>377</v>
      </c>
      <c r="M7" s="616" t="s">
        <v>378</v>
      </c>
      <c r="N7" s="106" t="s">
        <v>379</v>
      </c>
      <c r="O7" s="119" t="s">
        <v>618</v>
      </c>
      <c r="P7" s="120" t="s">
        <v>619</v>
      </c>
      <c r="Q7" s="120" t="s">
        <v>620</v>
      </c>
      <c r="R7" s="248" t="s">
        <v>614</v>
      </c>
      <c r="S7" s="120" t="s">
        <v>621</v>
      </c>
      <c r="T7" s="120" t="s">
        <v>621</v>
      </c>
      <c r="U7" s="120" t="s">
        <v>676</v>
      </c>
      <c r="V7" s="254" t="s">
        <v>615</v>
      </c>
      <c r="W7" s="611"/>
      <c r="X7" s="341" t="s">
        <v>87</v>
      </c>
      <c r="Y7" s="341" t="s">
        <v>220</v>
      </c>
      <c r="Z7" s="341" t="s">
        <v>215</v>
      </c>
      <c r="AA7" s="341" t="s">
        <v>216</v>
      </c>
      <c r="AB7" s="341" t="s">
        <v>214</v>
      </c>
      <c r="AC7" s="342" t="s">
        <v>616</v>
      </c>
      <c r="AE7" s="1633" t="s">
        <v>87</v>
      </c>
      <c r="AF7" s="1633" t="s">
        <v>220</v>
      </c>
      <c r="AG7" s="1633" t="s">
        <v>738</v>
      </c>
      <c r="AH7" s="1633" t="str">
        <f>AA7</f>
        <v>Commodity Rate (WACOG)</v>
      </c>
      <c r="AI7" s="1633" t="str">
        <f>AB7</f>
        <v>Temporary Adjustment</v>
      </c>
      <c r="AJ7" s="1634" t="s">
        <v>622</v>
      </c>
      <c r="AK7" s="1635"/>
      <c r="AL7" s="1636" t="s">
        <v>618</v>
      </c>
      <c r="AM7" s="1636" t="s">
        <v>621</v>
      </c>
      <c r="AN7" s="1636" t="s">
        <v>621</v>
      </c>
      <c r="AO7" s="1636" t="s">
        <v>621</v>
      </c>
      <c r="AP7" s="1637" t="s">
        <v>623</v>
      </c>
      <c r="AQ7" s="1635"/>
      <c r="AR7" s="1633" t="s">
        <v>87</v>
      </c>
      <c r="AS7" s="1633" t="s">
        <v>220</v>
      </c>
      <c r="AT7" s="1633" t="s">
        <v>215</v>
      </c>
      <c r="AU7" s="1633" t="s">
        <v>216</v>
      </c>
      <c r="AV7" s="1633" t="s">
        <v>214</v>
      </c>
      <c r="AW7" s="1634" t="s">
        <v>624</v>
      </c>
      <c r="AX7" s="27"/>
      <c r="AY7" s="1633" t="s">
        <v>87</v>
      </c>
      <c r="AZ7" s="1633" t="s">
        <v>220</v>
      </c>
      <c r="BA7" s="1633" t="s">
        <v>738</v>
      </c>
      <c r="BB7" s="1633" t="str">
        <f>AU7</f>
        <v>Commodity Rate (WACOG)</v>
      </c>
      <c r="BC7" s="1633" t="str">
        <f>AV7</f>
        <v>Temporary Adjustment</v>
      </c>
      <c r="BD7" s="1634" t="s">
        <v>625</v>
      </c>
    </row>
    <row r="8" spans="2:57" ht="13.5" thickBot="1" x14ac:dyDescent="0.35">
      <c r="B8" s="632"/>
      <c r="C8" s="633" t="s">
        <v>35</v>
      </c>
      <c r="D8" s="633" t="s">
        <v>36</v>
      </c>
      <c r="E8" s="633" t="s">
        <v>13</v>
      </c>
      <c r="F8" s="633" t="s">
        <v>37</v>
      </c>
      <c r="G8" s="633" t="s">
        <v>38</v>
      </c>
      <c r="H8" s="634" t="s">
        <v>39</v>
      </c>
      <c r="I8" s="635" t="s">
        <v>40</v>
      </c>
      <c r="J8" s="634" t="s">
        <v>41</v>
      </c>
      <c r="K8" s="633" t="s">
        <v>42</v>
      </c>
      <c r="L8" s="633" t="s">
        <v>124</v>
      </c>
      <c r="M8" s="633" t="s">
        <v>125</v>
      </c>
      <c r="N8" s="635" t="s">
        <v>248</v>
      </c>
      <c r="O8" s="636" t="s">
        <v>126</v>
      </c>
      <c r="P8" s="637" t="s">
        <v>127</v>
      </c>
      <c r="Q8" s="637" t="s">
        <v>128</v>
      </c>
      <c r="R8" s="638" t="s">
        <v>454</v>
      </c>
      <c r="S8" s="637" t="s">
        <v>130</v>
      </c>
      <c r="T8" s="637" t="s">
        <v>86</v>
      </c>
      <c r="U8" s="637" t="s">
        <v>89</v>
      </c>
      <c r="V8" s="639" t="s">
        <v>455</v>
      </c>
      <c r="W8" s="625"/>
      <c r="X8" s="626" t="s">
        <v>91</v>
      </c>
      <c r="Y8" s="627" t="s">
        <v>180</v>
      </c>
      <c r="Z8" s="627" t="s">
        <v>224</v>
      </c>
      <c r="AA8" s="627" t="s">
        <v>219</v>
      </c>
      <c r="AB8" s="627" t="s">
        <v>225</v>
      </c>
      <c r="AC8" s="628" t="s">
        <v>456</v>
      </c>
      <c r="AD8" s="625"/>
      <c r="AE8" s="1638"/>
      <c r="AF8" s="1639"/>
      <c r="AG8" s="1639"/>
      <c r="AH8" s="1639"/>
      <c r="AI8" s="1639"/>
      <c r="AJ8" s="1640"/>
      <c r="AK8" s="1641"/>
      <c r="AL8" s="1642"/>
      <c r="AM8" s="1643"/>
      <c r="AN8" s="1643"/>
      <c r="AO8" s="1643"/>
      <c r="AP8" s="1644"/>
      <c r="AQ8" s="1645"/>
      <c r="AR8" s="1638"/>
      <c r="AS8" s="1639"/>
      <c r="AT8" s="1639"/>
      <c r="AU8" s="1639"/>
      <c r="AV8" s="1639"/>
      <c r="AW8" s="1640"/>
      <c r="AX8" s="1646"/>
      <c r="AY8" s="1638"/>
      <c r="AZ8" s="1639"/>
      <c r="BA8" s="1639"/>
      <c r="BB8" s="1639"/>
      <c r="BC8" s="1639"/>
      <c r="BD8" s="1640"/>
    </row>
    <row r="9" spans="2:57" x14ac:dyDescent="0.3">
      <c r="B9" s="109">
        <v>1</v>
      </c>
      <c r="C9" s="110" t="str">
        <f>'WA Volumes &amp; Revenues'!B15</f>
        <v>1R</v>
      </c>
      <c r="D9" s="110" t="s">
        <v>270</v>
      </c>
      <c r="E9" s="110" t="s">
        <v>270</v>
      </c>
      <c r="F9" s="112">
        <f>'WA Volumes &amp; Revenues'!E15</f>
        <v>214704.20066131229</v>
      </c>
      <c r="G9" s="112">
        <f>'WA Volumes &amp; Revenues'!H15</f>
        <v>911</v>
      </c>
      <c r="H9" s="885">
        <f>'WA Volumes &amp; Revenues'!O15</f>
        <v>5.5</v>
      </c>
      <c r="I9" s="886">
        <f>'WA Volumes &amp; Revenues'!N15</f>
        <v>5.5</v>
      </c>
      <c r="J9" s="619">
        <f>'Rates in Detail'!E13</f>
        <v>0.67652999999999996</v>
      </c>
      <c r="K9" s="623">
        <f>'Rates in Detail'!H13</f>
        <v>0.10141</v>
      </c>
      <c r="L9" s="623">
        <f>'Rates in Detail'!F13</f>
        <v>0.26333000000000001</v>
      </c>
      <c r="M9" s="623">
        <f>'Rates in Detail'!I13</f>
        <v>0.11125999999999998</v>
      </c>
      <c r="N9" s="135">
        <f>SUM(J9:M9)</f>
        <v>1.1525299999999998</v>
      </c>
      <c r="O9" s="949">
        <f>'Rates in Detail'!L13</f>
        <v>0.11114</v>
      </c>
      <c r="P9" s="623">
        <f>'Rates in Detail'!P13</f>
        <v>-9.1000000000000004E-3</v>
      </c>
      <c r="Q9" s="623">
        <f>'Rates in Detail'!Q13</f>
        <v>0</v>
      </c>
      <c r="R9" s="249">
        <f>SUM(O9:Q9)</f>
        <v>0.10204000000000001</v>
      </c>
      <c r="S9" s="949">
        <f>'Rates in Detail'!S13</f>
        <v>-1.627E-2</v>
      </c>
      <c r="T9" s="623">
        <f>'Rates in Detail'!T13</f>
        <v>-8.6499999999999997E-3</v>
      </c>
      <c r="U9" s="623">
        <f>'Rates in Detail'!U13</f>
        <v>3.0500000000000002E-3</v>
      </c>
      <c r="V9" s="255">
        <f>SUM(R9:U9)</f>
        <v>8.0170000000000005E-2</v>
      </c>
      <c r="W9" s="612"/>
      <c r="X9" s="113">
        <f>'[25]Rates in detail'!$AC13</f>
        <v>0.67653000000000008</v>
      </c>
      <c r="Y9" s="113"/>
      <c r="Z9" s="113">
        <f>'[25]Rates in detail'!$AD13</f>
        <v>0.10689</v>
      </c>
      <c r="AA9" s="113">
        <f>'[25]Rates in detail'!$AE13</f>
        <v>0.34872999999999998</v>
      </c>
      <c r="AB9" s="113">
        <f>'[25]Rates in detail'!$AF13</f>
        <v>0.13515000000000002</v>
      </c>
      <c r="AC9" s="343">
        <f>SUM(X9:AB9)</f>
        <v>1.2673000000000003</v>
      </c>
      <c r="AD9" s="1594"/>
      <c r="AE9" s="113">
        <f>X9+O9+P9+Q9</f>
        <v>0.7785700000000001</v>
      </c>
      <c r="AF9" s="113"/>
      <c r="AG9" s="113">
        <f>Z9</f>
        <v>0.10689</v>
      </c>
      <c r="AH9" s="113">
        <f>AA9</f>
        <v>0.34872999999999998</v>
      </c>
      <c r="AI9" s="113">
        <f>AB9+S9+T9+U9</f>
        <v>0.11328000000000001</v>
      </c>
      <c r="AJ9" s="113">
        <f>SUM(AE9:AI9)</f>
        <v>1.3474700000000002</v>
      </c>
      <c r="AK9" s="1595"/>
      <c r="AL9" s="113">
        <f>'Rates in Detail'!AC13</f>
        <v>6.1650000000000003E-2</v>
      </c>
      <c r="AM9" s="113">
        <f>'Rates in Detail'!AD13</f>
        <v>-8.8000000000000003E-4</v>
      </c>
      <c r="AN9" s="113">
        <f>'Rates in Detail'!AE13</f>
        <v>-1.627E-2</v>
      </c>
      <c r="AO9" s="113">
        <f>'Rates in Detail'!AF13</f>
        <v>-8.6700000000000006E-3</v>
      </c>
      <c r="AP9" s="113">
        <f>SUM(AL9:AO9)</f>
        <v>3.5830000000000001E-2</v>
      </c>
      <c r="AQ9" s="130"/>
      <c r="AR9" s="113">
        <f>'Proposed Rates - COMBINED'!AR9</f>
        <v>0.77857000000000032</v>
      </c>
      <c r="AS9" s="113">
        <f>'Proposed Rates - COMBINED'!AS9</f>
        <v>0</v>
      </c>
      <c r="AT9" s="113">
        <f>'Proposed Rates - COMBINED'!AT9</f>
        <v>8.6959999999999996E-2</v>
      </c>
      <c r="AU9" s="113">
        <f>'Proposed Rates - COMBINED'!AU9</f>
        <v>0.46972000000000003</v>
      </c>
      <c r="AV9" s="113">
        <f>'Proposed Rates - COMBINED'!AV9</f>
        <v>0.22081999999999999</v>
      </c>
      <c r="AW9" s="113">
        <f>SUM(AR9:AV9)</f>
        <v>1.5560700000000003</v>
      </c>
      <c r="AY9" s="113">
        <f>AL9+AR9</f>
        <v>0.8402200000000003</v>
      </c>
      <c r="AZ9" s="113">
        <f t="shared" ref="AZ9:BB40" si="0">AF9+AS9</f>
        <v>0</v>
      </c>
      <c r="BA9" s="113">
        <f>AT9</f>
        <v>8.6959999999999996E-2</v>
      </c>
      <c r="BB9" s="113">
        <f>AU9</f>
        <v>0.46972000000000003</v>
      </c>
      <c r="BC9" s="113">
        <f>SUM(AM9:AO9)+AV9</f>
        <v>0.19499999999999998</v>
      </c>
      <c r="BD9" s="113">
        <f>SUM(AY9:BC9)</f>
        <v>1.5919000000000005</v>
      </c>
      <c r="BE9" s="1654"/>
    </row>
    <row r="10" spans="2:57" x14ac:dyDescent="0.3">
      <c r="B10" s="109">
        <f>B9+1</f>
        <v>2</v>
      </c>
      <c r="C10" s="110" t="str">
        <f>'WA Volumes &amp; Revenues'!B16</f>
        <v>1C</v>
      </c>
      <c r="D10" s="110" t="s">
        <v>270</v>
      </c>
      <c r="E10" s="110" t="s">
        <v>270</v>
      </c>
      <c r="F10" s="112">
        <f>'WA Volumes &amp; Revenues'!E16</f>
        <v>46539.057144390383</v>
      </c>
      <c r="G10" s="112">
        <f>'WA Volumes &amp; Revenues'!H16</f>
        <v>34</v>
      </c>
      <c r="H10" s="885">
        <f>'WA Volumes &amp; Revenues'!O16</f>
        <v>7</v>
      </c>
      <c r="I10" s="886">
        <f>'WA Volumes &amp; Revenues'!N16</f>
        <v>7</v>
      </c>
      <c r="J10" s="619">
        <f>'Rates in Detail'!E14</f>
        <v>0.73148999999999997</v>
      </c>
      <c r="K10" s="623">
        <f>'Rates in Detail'!H14</f>
        <v>0.10141</v>
      </c>
      <c r="L10" s="623">
        <f>'Rates in Detail'!F14</f>
        <v>0.26333000000000001</v>
      </c>
      <c r="M10" s="623">
        <f>'Rates in Detail'!I14</f>
        <v>9.3060000000000004E-2</v>
      </c>
      <c r="N10" s="134">
        <f t="shared" ref="N10:N73" si="1">SUM(J10:M10)</f>
        <v>1.18929</v>
      </c>
      <c r="O10" s="949">
        <f>'Rates in Detail'!L14</f>
        <v>9.2410000000000006E-2</v>
      </c>
      <c r="P10" s="623">
        <f>'Rates in Detail'!P14</f>
        <v>-7.5599999999999999E-3</v>
      </c>
      <c r="Q10" s="623">
        <f>'Rates in Detail'!Q14</f>
        <v>0</v>
      </c>
      <c r="R10" s="249">
        <f t="shared" ref="R10:R73" si="2">SUM(O10:Q10)</f>
        <v>8.4850000000000009E-2</v>
      </c>
      <c r="S10" s="949">
        <f>'Rates in Detail'!S14</f>
        <v>-1.354E-2</v>
      </c>
      <c r="T10" s="623">
        <f>'Rates in Detail'!T14</f>
        <v>-7.1999999999999998E-3</v>
      </c>
      <c r="U10" s="623">
        <f>'Rates in Detail'!U14</f>
        <v>2.5400000000000002E-3</v>
      </c>
      <c r="V10" s="255">
        <f t="shared" ref="V10:V40" si="3">SUM(R10:U10)</f>
        <v>6.6650000000000015E-2</v>
      </c>
      <c r="W10" s="612"/>
      <c r="X10" s="113">
        <f>'[25]Rates in detail'!$AC14</f>
        <v>0.73148999999999942</v>
      </c>
      <c r="Y10" s="113"/>
      <c r="Z10" s="113">
        <f>'[25]Rates in detail'!$AD14</f>
        <v>0.10689</v>
      </c>
      <c r="AA10" s="113">
        <f>'[25]Rates in detail'!$AE14</f>
        <v>0.34872999999999998</v>
      </c>
      <c r="AB10" s="113">
        <f>'[25]Rates in detail'!$AF14</f>
        <v>0.11452999999999999</v>
      </c>
      <c r="AC10" s="343">
        <f t="shared" ref="AC10:AC73" si="4">SUM(X10:AB10)</f>
        <v>1.3016399999999995</v>
      </c>
      <c r="AD10" s="1594"/>
      <c r="AE10" s="113">
        <f t="shared" ref="AE10:AE73" si="5">X10+O10+P10+Q10</f>
        <v>0.8163399999999994</v>
      </c>
      <c r="AF10" s="113"/>
      <c r="AG10" s="113">
        <f t="shared" ref="AG10:AH73" si="6">Z10</f>
        <v>0.10689</v>
      </c>
      <c r="AH10" s="113">
        <f t="shared" si="6"/>
        <v>0.34872999999999998</v>
      </c>
      <c r="AI10" s="113">
        <f t="shared" ref="AI10:AI73" si="7">AB10+S10+T10+U10</f>
        <v>9.6329999999999999E-2</v>
      </c>
      <c r="AJ10" s="113">
        <f t="shared" ref="AJ10:AJ73" si="8">SUM(AE10:AI10)</f>
        <v>1.3682899999999996</v>
      </c>
      <c r="AK10" s="1596"/>
      <c r="AL10" s="113">
        <f>'Rates in Detail'!AC14</f>
        <v>5.126E-2</v>
      </c>
      <c r="AM10" s="113">
        <f>'Rates in Detail'!AD14</f>
        <v>-7.2999999999999996E-4</v>
      </c>
      <c r="AN10" s="113">
        <f>'Rates in Detail'!AE14</f>
        <v>-1.354E-2</v>
      </c>
      <c r="AO10" s="113">
        <f>'Rates in Detail'!AF14</f>
        <v>-7.1999999999999998E-3</v>
      </c>
      <c r="AP10" s="113">
        <f t="shared" ref="AP10:AP73" si="9">SUM(AL10:AO10)</f>
        <v>2.9789999999999997E-2</v>
      </c>
      <c r="AQ10" s="130"/>
      <c r="AR10" s="113">
        <f>'Proposed Rates - COMBINED'!AR10</f>
        <v>0.81633999999999962</v>
      </c>
      <c r="AS10" s="113">
        <f>'Proposed Rates - COMBINED'!AS10</f>
        <v>0</v>
      </c>
      <c r="AT10" s="113">
        <f>'Proposed Rates - COMBINED'!AT10</f>
        <v>8.6959999999999996E-2</v>
      </c>
      <c r="AU10" s="113">
        <f>'Proposed Rates - COMBINED'!AU10</f>
        <v>0.46972000000000003</v>
      </c>
      <c r="AV10" s="113">
        <f>'Proposed Rates - COMBINED'!AV10</f>
        <v>0.20319999999999999</v>
      </c>
      <c r="AW10" s="113">
        <f t="shared" ref="AW10:AW73" si="10">SUM(AR10:AV10)</f>
        <v>1.5762199999999997</v>
      </c>
      <c r="AY10" s="113">
        <f t="shared" ref="AY10:AY73" si="11">AL10+AR10</f>
        <v>0.86759999999999959</v>
      </c>
      <c r="AZ10" s="113">
        <f t="shared" ref="AZ10:AZ73" si="12">AF10+AS10</f>
        <v>0</v>
      </c>
      <c r="BA10" s="113">
        <f t="shared" ref="BA10:BA73" si="13">AT10</f>
        <v>8.6959999999999996E-2</v>
      </c>
      <c r="BB10" s="113">
        <f t="shared" ref="BB10:BB73" si="14">AU10</f>
        <v>0.46972000000000003</v>
      </c>
      <c r="BC10" s="113">
        <f t="shared" ref="BC10:BC73" si="15">SUM(AM10:AO10)+AV10</f>
        <v>0.18173</v>
      </c>
      <c r="BD10" s="113">
        <f t="shared" ref="BD10:BD73" si="16">SUM(AY10:BC10)</f>
        <v>1.6060099999999995</v>
      </c>
      <c r="BE10" s="1654"/>
    </row>
    <row r="11" spans="2:57" x14ac:dyDescent="0.3">
      <c r="B11" s="109">
        <f t="shared" ref="B11:B74" si="17">B10+1</f>
        <v>3</v>
      </c>
      <c r="C11" s="110" t="str">
        <f>'WA Volumes &amp; Revenues'!B17</f>
        <v>2R</v>
      </c>
      <c r="D11" s="110" t="s">
        <v>270</v>
      </c>
      <c r="E11" s="110" t="s">
        <v>270</v>
      </c>
      <c r="F11" s="112">
        <f>'WA Volumes &amp; Revenues'!E17</f>
        <v>54953515.785084128</v>
      </c>
      <c r="G11" s="112">
        <f>'WA Volumes &amp; Revenues'!H17</f>
        <v>81119</v>
      </c>
      <c r="H11" s="885">
        <f>'WA Volumes &amp; Revenues'!O17</f>
        <v>8</v>
      </c>
      <c r="I11" s="886">
        <f>'WA Volumes &amp; Revenues'!N17</f>
        <v>8</v>
      </c>
      <c r="J11" s="619">
        <f>'Rates in Detail'!E15</f>
        <v>0.45815999999999979</v>
      </c>
      <c r="K11" s="623">
        <f>'Rates in Detail'!H15</f>
        <v>0.10141</v>
      </c>
      <c r="L11" s="623">
        <f>'Rates in Detail'!F15</f>
        <v>0.26333000000000001</v>
      </c>
      <c r="M11" s="623">
        <f>'Rates in Detail'!I15</f>
        <v>6.6579999999999986E-2</v>
      </c>
      <c r="N11" s="134">
        <f t="shared" si="1"/>
        <v>0.88947999999999972</v>
      </c>
      <c r="O11" s="949">
        <f>'Rates in Detail'!L15</f>
        <v>7.034E-2</v>
      </c>
      <c r="P11" s="623">
        <f>'Rates in Detail'!P15</f>
        <v>-5.7600000000000004E-3</v>
      </c>
      <c r="Q11" s="623">
        <f>'Rates in Detail'!Q15</f>
        <v>0</v>
      </c>
      <c r="R11" s="249">
        <f t="shared" si="2"/>
        <v>6.4579999999999999E-2</v>
      </c>
      <c r="S11" s="949">
        <f>'Rates in Detail'!S15</f>
        <v>-1.03E-2</v>
      </c>
      <c r="T11" s="623">
        <f>'Rates in Detail'!T15</f>
        <v>-5.47E-3</v>
      </c>
      <c r="U11" s="623">
        <f>'Rates in Detail'!U15</f>
        <v>1.9300000000000001E-3</v>
      </c>
      <c r="V11" s="255">
        <f t="shared" si="3"/>
        <v>5.0739999999999993E-2</v>
      </c>
      <c r="W11" s="612"/>
      <c r="X11" s="113">
        <f>'[25]Rates in detail'!$AC15</f>
        <v>0.4581599999999999</v>
      </c>
      <c r="Y11" s="113"/>
      <c r="Z11" s="113">
        <f>'[25]Rates in detail'!$AD15</f>
        <v>0.10689</v>
      </c>
      <c r="AA11" s="113">
        <f>'[25]Rates in detail'!$AE15</f>
        <v>0.34872999999999998</v>
      </c>
      <c r="AB11" s="113">
        <f>'[25]Rates in detail'!$AF15</f>
        <v>8.6949999999999986E-2</v>
      </c>
      <c r="AC11" s="343">
        <f t="shared" si="4"/>
        <v>1.0007299999999999</v>
      </c>
      <c r="AD11" s="1594"/>
      <c r="AE11" s="113">
        <f t="shared" si="5"/>
        <v>0.52273999999999987</v>
      </c>
      <c r="AF11" s="113"/>
      <c r="AG11" s="113">
        <f t="shared" si="6"/>
        <v>0.10689</v>
      </c>
      <c r="AH11" s="113">
        <f t="shared" si="6"/>
        <v>0.34872999999999998</v>
      </c>
      <c r="AI11" s="113">
        <f t="shared" si="7"/>
        <v>7.3109999999999981E-2</v>
      </c>
      <c r="AJ11" s="113">
        <f t="shared" si="8"/>
        <v>1.0514699999999999</v>
      </c>
      <c r="AK11" s="1595"/>
      <c r="AL11" s="113">
        <f>'Rates in Detail'!AC15</f>
        <v>3.9019999999999999E-2</v>
      </c>
      <c r="AM11" s="113">
        <f>'Rates in Detail'!AD15</f>
        <v>-5.5999999999999995E-4</v>
      </c>
      <c r="AN11" s="113">
        <f>'Rates in Detail'!AE15</f>
        <v>-1.03E-2</v>
      </c>
      <c r="AO11" s="113">
        <f>'Rates in Detail'!AF15</f>
        <v>-5.4900000000000001E-3</v>
      </c>
      <c r="AP11" s="113">
        <f t="shared" si="9"/>
        <v>2.2670000000000003E-2</v>
      </c>
      <c r="AQ11" s="130"/>
      <c r="AR11" s="113">
        <f>'Proposed Rates - COMBINED'!AR11</f>
        <v>0.52273999999999998</v>
      </c>
      <c r="AS11" s="113">
        <f>'Proposed Rates - COMBINED'!AS11</f>
        <v>0</v>
      </c>
      <c r="AT11" s="113">
        <f>'Proposed Rates - COMBINED'!AT11</f>
        <v>8.6959999999999996E-2</v>
      </c>
      <c r="AU11" s="113">
        <f>'Proposed Rates - COMBINED'!AU11</f>
        <v>0.46972000000000003</v>
      </c>
      <c r="AV11" s="113">
        <f>'Proposed Rates - COMBINED'!AV11+'Proposed Rates - COMBINED'!BD11</f>
        <v>0.11421361702127664</v>
      </c>
      <c r="AW11" s="113">
        <f t="shared" si="10"/>
        <v>1.1936336170212767</v>
      </c>
      <c r="AY11" s="113">
        <f t="shared" si="11"/>
        <v>0.56176000000000004</v>
      </c>
      <c r="AZ11" s="113">
        <f t="shared" si="12"/>
        <v>0</v>
      </c>
      <c r="BA11" s="113">
        <f t="shared" si="13"/>
        <v>8.6959999999999996E-2</v>
      </c>
      <c r="BB11" s="113">
        <f t="shared" si="14"/>
        <v>0.46972000000000003</v>
      </c>
      <c r="BC11" s="113">
        <f t="shared" si="15"/>
        <v>9.7863617021276633E-2</v>
      </c>
      <c r="BD11" s="113">
        <f t="shared" si="16"/>
        <v>1.2163036170212767</v>
      </c>
      <c r="BE11" s="1654"/>
    </row>
    <row r="12" spans="2:57" x14ac:dyDescent="0.3">
      <c r="B12" s="109">
        <f t="shared" si="17"/>
        <v>4</v>
      </c>
      <c r="C12" s="110" t="str">
        <f>'WA Volumes &amp; Revenues'!B18</f>
        <v>3 CFS</v>
      </c>
      <c r="D12" s="110" t="s">
        <v>270</v>
      </c>
      <c r="E12" s="110" t="s">
        <v>270</v>
      </c>
      <c r="F12" s="112">
        <f>'WA Volumes &amp; Revenues'!E18</f>
        <v>17867210.60654201</v>
      </c>
      <c r="G12" s="112">
        <f>'WA Volumes &amp; Revenues'!H18</f>
        <v>6318</v>
      </c>
      <c r="H12" s="885">
        <f>'WA Volumes &amp; Revenues'!O18</f>
        <v>22</v>
      </c>
      <c r="I12" s="887">
        <f>'WA Volumes &amp; Revenues'!N18</f>
        <v>22</v>
      </c>
      <c r="J12" s="619">
        <f>'Rates in Detail'!E16</f>
        <v>0.44368000000000019</v>
      </c>
      <c r="K12" s="623">
        <f>'Rates in Detail'!H16</f>
        <v>0.10141</v>
      </c>
      <c r="L12" s="623">
        <f>'Rates in Detail'!F16</f>
        <v>0.26333000000000001</v>
      </c>
      <c r="M12" s="623">
        <f>'Rates in Detail'!I16</f>
        <v>5.8480000000000004E-2</v>
      </c>
      <c r="N12" s="134">
        <f t="shared" si="1"/>
        <v>0.86690000000000011</v>
      </c>
      <c r="O12" s="619">
        <f>'Rates in Detail'!L16</f>
        <v>6.3159999999999994E-2</v>
      </c>
      <c r="P12" s="623">
        <f>'Rates in Detail'!P16</f>
        <v>-5.1700000000000001E-3</v>
      </c>
      <c r="Q12" s="623">
        <f>'Rates in Detail'!Q16</f>
        <v>0</v>
      </c>
      <c r="R12" s="249">
        <f t="shared" si="2"/>
        <v>5.7989999999999993E-2</v>
      </c>
      <c r="S12" s="619">
        <f>'Rates in Detail'!S16</f>
        <v>-9.2399999999999999E-3</v>
      </c>
      <c r="T12" s="623">
        <f>'Rates in Detail'!T16</f>
        <v>-4.9100000000000003E-3</v>
      </c>
      <c r="U12" s="623">
        <f>'Rates in Detail'!U16</f>
        <v>1.73E-3</v>
      </c>
      <c r="V12" s="255">
        <f t="shared" si="3"/>
        <v>4.5569999999999999E-2</v>
      </c>
      <c r="W12" s="612"/>
      <c r="X12" s="113">
        <f>'[25]Rates in detail'!$AC16</f>
        <v>0.44368000000000019</v>
      </c>
      <c r="Y12" s="113"/>
      <c r="Z12" s="113">
        <f>'[25]Rates in detail'!$AD16</f>
        <v>0.10689</v>
      </c>
      <c r="AA12" s="113">
        <f>'[25]Rates in detail'!$AE16</f>
        <v>0.34872999999999998</v>
      </c>
      <c r="AB12" s="113">
        <f>'[25]Rates in detail'!$AF16</f>
        <v>7.7949999999999992E-2</v>
      </c>
      <c r="AC12" s="343">
        <f t="shared" si="4"/>
        <v>0.97725000000000017</v>
      </c>
      <c r="AD12" s="1594"/>
      <c r="AE12" s="113">
        <f t="shared" si="5"/>
        <v>0.50167000000000017</v>
      </c>
      <c r="AF12" s="113"/>
      <c r="AG12" s="113">
        <f t="shared" si="6"/>
        <v>0.10689</v>
      </c>
      <c r="AH12" s="113">
        <f t="shared" si="6"/>
        <v>0.34872999999999998</v>
      </c>
      <c r="AI12" s="113">
        <f t="shared" si="7"/>
        <v>6.5529999999999991E-2</v>
      </c>
      <c r="AJ12" s="113">
        <f t="shared" si="8"/>
        <v>1.0228200000000003</v>
      </c>
      <c r="AK12" s="1595"/>
      <c r="AL12" s="113">
        <f>'Rates in Detail'!AC16</f>
        <v>3.5029999999999999E-2</v>
      </c>
      <c r="AM12" s="113">
        <f>'Rates in Detail'!AD16</f>
        <v>-5.0000000000000001E-4</v>
      </c>
      <c r="AN12" s="113">
        <f>'Rates in Detail'!AE16</f>
        <v>-9.2399999999999999E-3</v>
      </c>
      <c r="AO12" s="113">
        <f>'Rates in Detail'!AF16</f>
        <v>-4.9300000000000004E-3</v>
      </c>
      <c r="AP12" s="113">
        <f t="shared" si="9"/>
        <v>2.036E-2</v>
      </c>
      <c r="AQ12" s="130"/>
      <c r="AR12" s="113">
        <f>'Proposed Rates - COMBINED'!AR12</f>
        <v>0.50167000000000006</v>
      </c>
      <c r="AS12" s="113">
        <f>'Proposed Rates - COMBINED'!AS12</f>
        <v>0</v>
      </c>
      <c r="AT12" s="113">
        <f>'Proposed Rates - COMBINED'!AT12</f>
        <v>8.6959999999999996E-2</v>
      </c>
      <c r="AU12" s="113">
        <f>'Proposed Rates - COMBINED'!AU12</f>
        <v>0.46972000000000003</v>
      </c>
      <c r="AV12" s="113">
        <f>'Proposed Rates - COMBINED'!AV12</f>
        <v>0.17166999999999999</v>
      </c>
      <c r="AW12" s="113">
        <f t="shared" si="10"/>
        <v>1.2300200000000001</v>
      </c>
      <c r="AY12" s="113">
        <f t="shared" si="11"/>
        <v>0.53670000000000007</v>
      </c>
      <c r="AZ12" s="113">
        <f t="shared" si="12"/>
        <v>0</v>
      </c>
      <c r="BA12" s="113">
        <f t="shared" si="13"/>
        <v>8.6959999999999996E-2</v>
      </c>
      <c r="BB12" s="113">
        <f t="shared" si="14"/>
        <v>0.46972000000000003</v>
      </c>
      <c r="BC12" s="113">
        <f t="shared" si="15"/>
        <v>0.157</v>
      </c>
      <c r="BD12" s="113">
        <f t="shared" si="16"/>
        <v>1.2503800000000003</v>
      </c>
      <c r="BE12" s="1654"/>
    </row>
    <row r="13" spans="2:57" x14ac:dyDescent="0.3">
      <c r="B13" s="109">
        <f t="shared" si="17"/>
        <v>5</v>
      </c>
      <c r="C13" s="110" t="str">
        <f>'WA Volumes &amp; Revenues'!B19</f>
        <v>3 IFS</v>
      </c>
      <c r="D13" s="110" t="s">
        <v>270</v>
      </c>
      <c r="E13" s="110" t="s">
        <v>270</v>
      </c>
      <c r="F13" s="112">
        <f>'WA Volumes &amp; Revenues'!E19</f>
        <v>283651.99999999994</v>
      </c>
      <c r="G13" s="112">
        <f>'WA Volumes &amp; Revenues'!H19</f>
        <v>24.25</v>
      </c>
      <c r="H13" s="885">
        <f>'WA Volumes &amp; Revenues'!O19</f>
        <v>22</v>
      </c>
      <c r="I13" s="887">
        <f>'WA Volumes &amp; Revenues'!N19</f>
        <v>22</v>
      </c>
      <c r="J13" s="619">
        <f>'Rates in Detail'!E17</f>
        <v>0.46249000000000001</v>
      </c>
      <c r="K13" s="623">
        <f>'Rates in Detail'!H17</f>
        <v>0.10141</v>
      </c>
      <c r="L13" s="623">
        <f>'Rates in Detail'!F17</f>
        <v>0.26333000000000001</v>
      </c>
      <c r="M13" s="623">
        <f>'Rates in Detail'!I17</f>
        <v>-8.9999999999999802E-5</v>
      </c>
      <c r="N13" s="134">
        <f t="shared" si="1"/>
        <v>0.8271400000000001</v>
      </c>
      <c r="O13" s="619">
        <f>'Rates in Detail'!L17</f>
        <v>5.7209999999999997E-2</v>
      </c>
      <c r="P13" s="623">
        <f>'Rates in Detail'!P17</f>
        <v>-4.6899999999999997E-3</v>
      </c>
      <c r="Q13" s="623">
        <f>'Rates in Detail'!Q17</f>
        <v>0</v>
      </c>
      <c r="R13" s="249">
        <f t="shared" si="2"/>
        <v>5.2519999999999997E-2</v>
      </c>
      <c r="S13" s="619">
        <f>'Rates in Detail'!S17</f>
        <v>0</v>
      </c>
      <c r="T13" s="623">
        <f>'Rates in Detail'!T17</f>
        <v>-4.45E-3</v>
      </c>
      <c r="U13" s="623">
        <f>'Rates in Detail'!U17</f>
        <v>1.57E-3</v>
      </c>
      <c r="V13" s="255">
        <f t="shared" si="3"/>
        <v>4.9639999999999997E-2</v>
      </c>
      <c r="W13" s="612"/>
      <c r="X13" s="113">
        <f>'[25]Rates in detail'!$AC17</f>
        <v>0.46248999999999957</v>
      </c>
      <c r="Y13" s="113"/>
      <c r="Z13" s="113">
        <f>'[25]Rates in detail'!$AD17</f>
        <v>0.10689</v>
      </c>
      <c r="AA13" s="113">
        <f>'[25]Rates in detail'!$AE17</f>
        <v>0.34872999999999998</v>
      </c>
      <c r="AB13" s="113">
        <f>'[25]Rates in detail'!$AF17</f>
        <v>1.0829999999999994E-2</v>
      </c>
      <c r="AC13" s="343">
        <f t="shared" si="4"/>
        <v>0.92893999999999954</v>
      </c>
      <c r="AD13" s="1594"/>
      <c r="AE13" s="113">
        <f t="shared" si="5"/>
        <v>0.51500999999999963</v>
      </c>
      <c r="AF13" s="113"/>
      <c r="AG13" s="113">
        <f t="shared" si="6"/>
        <v>0.10689</v>
      </c>
      <c r="AH13" s="113">
        <f t="shared" si="6"/>
        <v>0.34872999999999998</v>
      </c>
      <c r="AI13" s="113">
        <f t="shared" si="7"/>
        <v>7.9499999999999935E-3</v>
      </c>
      <c r="AJ13" s="113">
        <f t="shared" si="8"/>
        <v>0.97857999999999967</v>
      </c>
      <c r="AK13" s="1595"/>
      <c r="AL13" s="113">
        <f>'Rates in Detail'!AC17</f>
        <v>3.1730000000000001E-2</v>
      </c>
      <c r="AM13" s="113">
        <f>'Rates in Detail'!AD17</f>
        <v>-4.4999999999999999E-4</v>
      </c>
      <c r="AN13" s="113">
        <f>'Rates in Detail'!AE17</f>
        <v>0</v>
      </c>
      <c r="AO13" s="113">
        <f>'Rates in Detail'!AF17</f>
        <v>-4.4600000000000004E-3</v>
      </c>
      <c r="AP13" s="113">
        <f t="shared" si="9"/>
        <v>2.6820000000000004E-2</v>
      </c>
      <c r="AQ13" s="130"/>
      <c r="AR13" s="113">
        <f>'Proposed Rates - COMBINED'!AR13</f>
        <v>0.51500999999999975</v>
      </c>
      <c r="AS13" s="113">
        <f>'Proposed Rates - COMBINED'!AS13</f>
        <v>0</v>
      </c>
      <c r="AT13" s="113">
        <f>'Proposed Rates - COMBINED'!AT13</f>
        <v>8.6959999999999996E-2</v>
      </c>
      <c r="AU13" s="113">
        <f>'Proposed Rates - COMBINED'!AU13</f>
        <v>0.46972000000000003</v>
      </c>
      <c r="AV13" s="113">
        <f>'Proposed Rates - COMBINED'!AV13</f>
        <v>0.13047999999999998</v>
      </c>
      <c r="AW13" s="113">
        <f t="shared" si="10"/>
        <v>1.2021699999999997</v>
      </c>
      <c r="AY13" s="113">
        <f t="shared" si="11"/>
        <v>0.54673999999999978</v>
      </c>
      <c r="AZ13" s="113">
        <f t="shared" si="12"/>
        <v>0</v>
      </c>
      <c r="BA13" s="113">
        <f t="shared" si="13"/>
        <v>8.6959999999999996E-2</v>
      </c>
      <c r="BB13" s="113">
        <f t="shared" si="14"/>
        <v>0.46972000000000003</v>
      </c>
      <c r="BC13" s="113">
        <f t="shared" si="15"/>
        <v>0.12556999999999999</v>
      </c>
      <c r="BD13" s="113">
        <f t="shared" si="16"/>
        <v>1.2289899999999998</v>
      </c>
      <c r="BE13" s="1654"/>
    </row>
    <row r="14" spans="2:57" x14ac:dyDescent="0.3">
      <c r="B14" s="109">
        <f t="shared" si="17"/>
        <v>6</v>
      </c>
      <c r="C14" s="1286" t="str">
        <f>'WA Volumes &amp; Revenues'!B20</f>
        <v>27R</v>
      </c>
      <c r="D14" s="110" t="s">
        <v>270</v>
      </c>
      <c r="E14" s="110" t="s">
        <v>270</v>
      </c>
      <c r="F14" s="112">
        <f>'WA Volumes &amp; Revenues'!E20</f>
        <v>461371.76933137607</v>
      </c>
      <c r="G14" s="112">
        <f>'WA Volumes &amp; Revenues'!H20</f>
        <v>776</v>
      </c>
      <c r="H14" s="888">
        <f>'WA Volumes &amp; Revenues'!O20</f>
        <v>9</v>
      </c>
      <c r="I14" s="889">
        <f>'WA Volumes &amp; Revenues'!N20</f>
        <v>9</v>
      </c>
      <c r="J14" s="619">
        <f>'Rates in Detail'!E18</f>
        <v>0.24087999999999973</v>
      </c>
      <c r="K14" s="623">
        <f>'Rates in Detail'!H18</f>
        <v>0.10141</v>
      </c>
      <c r="L14" s="623">
        <f>'Rates in Detail'!F18</f>
        <v>0.26333000000000001</v>
      </c>
      <c r="M14" s="623">
        <f>'Rates in Detail'!I18</f>
        <v>3.8710000000000001E-2</v>
      </c>
      <c r="N14" s="134">
        <f t="shared" si="1"/>
        <v>0.64432999999999985</v>
      </c>
      <c r="O14" s="619">
        <f>'Rates in Detail'!L18</f>
        <v>5.006E-2</v>
      </c>
      <c r="P14" s="623">
        <f>'Rates in Detail'!P18</f>
        <v>-4.1000000000000003E-3</v>
      </c>
      <c r="Q14" s="623">
        <f>'Rates in Detail'!Q18</f>
        <v>0</v>
      </c>
      <c r="R14" s="249">
        <f t="shared" si="2"/>
        <v>4.5960000000000001E-2</v>
      </c>
      <c r="S14" s="619">
        <f>'Rates in Detail'!S18</f>
        <v>-7.3299999999999997E-3</v>
      </c>
      <c r="T14" s="623">
        <f>'Rates in Detail'!T18</f>
        <v>-3.8899999999999998E-3</v>
      </c>
      <c r="U14" s="623">
        <f>'Rates in Detail'!U18</f>
        <v>1.3699999999999999E-3</v>
      </c>
      <c r="V14" s="255">
        <f t="shared" si="3"/>
        <v>3.6110000000000003E-2</v>
      </c>
      <c r="W14" s="612"/>
      <c r="X14" s="113">
        <f>'[25]Rates in detail'!$AC18</f>
        <v>0.24087999999999984</v>
      </c>
      <c r="Y14" s="113"/>
      <c r="Z14" s="116">
        <f>'[25]Rates in detail'!$AD18</f>
        <v>0.10689</v>
      </c>
      <c r="AA14" s="116">
        <f>'[25]Rates in detail'!$AE18</f>
        <v>0.34872999999999998</v>
      </c>
      <c r="AB14" s="116">
        <f>'[25]Rates in detail'!$AF18</f>
        <v>5.695999999999999E-2</v>
      </c>
      <c r="AC14" s="343">
        <f t="shared" si="4"/>
        <v>0.75345999999999991</v>
      </c>
      <c r="AD14" s="1594"/>
      <c r="AE14" s="113">
        <f t="shared" si="5"/>
        <v>0.28683999999999987</v>
      </c>
      <c r="AF14" s="113"/>
      <c r="AG14" s="113">
        <f t="shared" si="6"/>
        <v>0.10689</v>
      </c>
      <c r="AH14" s="113">
        <f t="shared" si="6"/>
        <v>0.34872999999999998</v>
      </c>
      <c r="AI14" s="113">
        <f t="shared" si="7"/>
        <v>4.7109999999999999E-2</v>
      </c>
      <c r="AJ14" s="113">
        <f t="shared" si="8"/>
        <v>0.78956999999999988</v>
      </c>
      <c r="AK14" s="1595"/>
      <c r="AL14" s="113">
        <f>'Rates in Detail'!AC18</f>
        <v>2.777E-2</v>
      </c>
      <c r="AM14" s="113">
        <f>'Rates in Detail'!AD18</f>
        <v>-4.0000000000000002E-4</v>
      </c>
      <c r="AN14" s="113">
        <f>'Rates in Detail'!AE18</f>
        <v>-7.3299999999999997E-3</v>
      </c>
      <c r="AO14" s="113">
        <f>'Rates in Detail'!AF18</f>
        <v>-3.8999999999999998E-3</v>
      </c>
      <c r="AP14" s="113">
        <f t="shared" si="9"/>
        <v>1.6139999999999998E-2</v>
      </c>
      <c r="AQ14" s="130"/>
      <c r="AR14" s="113">
        <f>'Proposed Rates - COMBINED'!AR14</f>
        <v>0.28684000000000004</v>
      </c>
      <c r="AS14" s="113">
        <f>'Proposed Rates - COMBINED'!AS14</f>
        <v>0</v>
      </c>
      <c r="AT14" s="113">
        <f>'Proposed Rates - COMBINED'!AT14</f>
        <v>8.6959999999999996E-2</v>
      </c>
      <c r="AU14" s="113">
        <f>'Proposed Rates - COMBINED'!AU14</f>
        <v>0.46972000000000003</v>
      </c>
      <c r="AV14" s="113">
        <f>'Proposed Rates - COMBINED'!AV14</f>
        <v>0.16095999999999999</v>
      </c>
      <c r="AW14" s="113">
        <f t="shared" si="10"/>
        <v>1.00448</v>
      </c>
      <c r="AY14" s="113">
        <f t="shared" si="11"/>
        <v>0.31461000000000006</v>
      </c>
      <c r="AZ14" s="113">
        <f t="shared" si="12"/>
        <v>0</v>
      </c>
      <c r="BA14" s="113">
        <f t="shared" si="13"/>
        <v>8.6959999999999996E-2</v>
      </c>
      <c r="BB14" s="113">
        <f t="shared" si="14"/>
        <v>0.46972000000000003</v>
      </c>
      <c r="BC14" s="113">
        <f t="shared" si="15"/>
        <v>0.14932999999999999</v>
      </c>
      <c r="BD14" s="113">
        <f t="shared" si="16"/>
        <v>1.0206200000000001</v>
      </c>
      <c r="BE14" s="1654"/>
    </row>
    <row r="15" spans="2:57" x14ac:dyDescent="0.3">
      <c r="B15" s="109">
        <f t="shared" si="17"/>
        <v>7</v>
      </c>
      <c r="C15" s="1287" t="str">
        <f>'WA Volumes &amp; Revenues'!B21</f>
        <v>41C Firm Sales</v>
      </c>
      <c r="D15" s="1287" t="s">
        <v>4</v>
      </c>
      <c r="E15" s="114">
        <v>2000</v>
      </c>
      <c r="F15" s="115">
        <f>'WA Volumes &amp; Revenues'!E21</f>
        <v>1777065.1510316674</v>
      </c>
      <c r="G15" s="115">
        <f>'WA Volumes &amp; Revenues'!H21</f>
        <v>91</v>
      </c>
      <c r="H15" s="890">
        <f>'WA Volumes &amp; Revenues'!O21</f>
        <v>250</v>
      </c>
      <c r="I15" s="891">
        <f>'WA Volumes &amp; Revenues'!N21</f>
        <v>250</v>
      </c>
      <c r="J15" s="620">
        <f>'Rates in Detail'!E19</f>
        <v>0.34474000000000016</v>
      </c>
      <c r="K15" s="622">
        <f>'Rates in Detail'!H19</f>
        <v>0</v>
      </c>
      <c r="L15" s="622">
        <f>'Rates in Detail'!F19</f>
        <v>0.26333000000000001</v>
      </c>
      <c r="M15" s="622">
        <f>'Rates in Detail'!I19</f>
        <v>4.3429999999999996E-2</v>
      </c>
      <c r="N15" s="136">
        <f t="shared" si="1"/>
        <v>0.65150000000000008</v>
      </c>
      <c r="O15" s="620">
        <f>'Rates in Detail'!L19</f>
        <v>5.0160000000000003E-2</v>
      </c>
      <c r="P15" s="622">
        <f>'Rates in Detail'!P19</f>
        <v>-4.1099999999999999E-3</v>
      </c>
      <c r="Q15" s="622">
        <f>'Rates in Detail'!Q19</f>
        <v>0</v>
      </c>
      <c r="R15" s="250">
        <f t="shared" si="2"/>
        <v>4.6050000000000001E-2</v>
      </c>
      <c r="S15" s="620">
        <f>'Rates in Detail'!S19</f>
        <v>-7.3400000000000002E-3</v>
      </c>
      <c r="T15" s="622">
        <f>'Rates in Detail'!T19</f>
        <v>-3.8999999999999998E-3</v>
      </c>
      <c r="U15" s="622">
        <f>'Rates in Detail'!U19</f>
        <v>1.3799999999999999E-3</v>
      </c>
      <c r="V15" s="256">
        <f t="shared" si="3"/>
        <v>3.619E-2</v>
      </c>
      <c r="W15" s="612"/>
      <c r="X15" s="1573">
        <f>'[25]Rates in detail'!$AC19</f>
        <v>0.3447400000000001</v>
      </c>
      <c r="Y15" s="1306"/>
      <c r="Z15" s="1570">
        <f>'[25]Rates in detail'!$AD19</f>
        <v>0</v>
      </c>
      <c r="AA15" s="1573">
        <f>'[25]Rates in detail'!$AE19</f>
        <v>0.34872999999999998</v>
      </c>
      <c r="AB15" s="1572">
        <f>'[25]Rates in detail'!$AF19</f>
        <v>6.0999999999999992E-2</v>
      </c>
      <c r="AC15" s="1568">
        <f t="shared" si="4"/>
        <v>0.75446999999999997</v>
      </c>
      <c r="AD15" s="1594"/>
      <c r="AE15" s="1573">
        <f t="shared" si="5"/>
        <v>0.39079000000000008</v>
      </c>
      <c r="AF15" s="1573"/>
      <c r="AG15" s="1571">
        <f t="shared" si="6"/>
        <v>0</v>
      </c>
      <c r="AH15" s="1573">
        <f t="shared" si="6"/>
        <v>0.34872999999999998</v>
      </c>
      <c r="AI15" s="1573">
        <f>AB15+S15+T15+U15</f>
        <v>5.1139999999999991E-2</v>
      </c>
      <c r="AJ15" s="1572">
        <f t="shared" si="8"/>
        <v>0.79066000000000003</v>
      </c>
      <c r="AK15" s="1595"/>
      <c r="AL15" s="116">
        <f>'Rates in Detail'!AC19</f>
        <v>2.7820000000000001E-2</v>
      </c>
      <c r="AM15" s="116">
        <f>'Rates in Detail'!AD19</f>
        <v>-4.0000000000000002E-4</v>
      </c>
      <c r="AN15" s="116">
        <f>'Rates in Detail'!AE19</f>
        <v>-7.3400000000000002E-3</v>
      </c>
      <c r="AO15" s="116">
        <f>'Rates in Detail'!AF19</f>
        <v>-3.9100000000000003E-3</v>
      </c>
      <c r="AP15" s="116">
        <f t="shared" si="9"/>
        <v>1.617E-2</v>
      </c>
      <c r="AQ15" s="130"/>
      <c r="AR15" s="116">
        <f>'Proposed Rates - COMBINED'!AR15</f>
        <v>0.39079000000000019</v>
      </c>
      <c r="AS15" s="116">
        <f>'Proposed Rates - COMBINED'!AS15</f>
        <v>0</v>
      </c>
      <c r="AT15" s="116">
        <f>'Proposed Rates - COMBINED'!AT15</f>
        <v>0</v>
      </c>
      <c r="AU15" s="116">
        <f>'Proposed Rates - COMBINED'!AU15</f>
        <v>0.46972000000000003</v>
      </c>
      <c r="AV15" s="116">
        <f>'Proposed Rates - COMBINED'!AV15</f>
        <v>0.15998999999999999</v>
      </c>
      <c r="AW15" s="116">
        <f t="shared" si="10"/>
        <v>1.0205000000000002</v>
      </c>
      <c r="AY15" s="116">
        <f t="shared" si="11"/>
        <v>0.4186100000000002</v>
      </c>
      <c r="AZ15" s="116">
        <f t="shared" si="12"/>
        <v>0</v>
      </c>
      <c r="BA15" s="116">
        <f t="shared" si="13"/>
        <v>0</v>
      </c>
      <c r="BB15" s="116">
        <f t="shared" si="14"/>
        <v>0.46972000000000003</v>
      </c>
      <c r="BC15" s="116">
        <f t="shared" si="15"/>
        <v>0.14834</v>
      </c>
      <c r="BD15" s="116">
        <f t="shared" si="16"/>
        <v>1.0366700000000002</v>
      </c>
      <c r="BE15" s="1654"/>
    </row>
    <row r="16" spans="2:57" x14ac:dyDescent="0.3">
      <c r="B16" s="109">
        <f t="shared" si="17"/>
        <v>8</v>
      </c>
      <c r="C16" s="110"/>
      <c r="D16" s="110" t="s">
        <v>5</v>
      </c>
      <c r="E16" s="111" t="s">
        <v>72</v>
      </c>
      <c r="F16" s="112">
        <f>'WA Volumes &amp; Revenues'!E22</f>
        <v>1974656.4658023661</v>
      </c>
      <c r="G16" s="112"/>
      <c r="H16" s="885"/>
      <c r="I16" s="887"/>
      <c r="J16" s="619">
        <f>'Rates in Detail'!E20</f>
        <v>0.30376999999999998</v>
      </c>
      <c r="K16" s="623">
        <f>'Rates in Detail'!H20</f>
        <v>0</v>
      </c>
      <c r="L16" s="623">
        <f>'Rates in Detail'!F20</f>
        <v>0.26333000000000001</v>
      </c>
      <c r="M16" s="623">
        <f>'Rates in Detail'!I20</f>
        <v>3.7170000000000002E-2</v>
      </c>
      <c r="N16" s="134">
        <f t="shared" si="1"/>
        <v>0.60426999999999997</v>
      </c>
      <c r="O16" s="619">
        <f>'Rates in Detail'!L20</f>
        <v>4.4200000000000003E-2</v>
      </c>
      <c r="P16" s="623">
        <f>'Rates in Detail'!P20</f>
        <v>-3.62E-3</v>
      </c>
      <c r="Q16" s="623">
        <f>'Rates in Detail'!Q20</f>
        <v>0</v>
      </c>
      <c r="R16" s="249">
        <f t="shared" si="2"/>
        <v>4.0580000000000005E-2</v>
      </c>
      <c r="S16" s="619">
        <f>'Rates in Detail'!S20</f>
        <v>-6.4700000000000001E-3</v>
      </c>
      <c r="T16" s="623">
        <f>'Rates in Detail'!T20</f>
        <v>-3.4399999999999999E-3</v>
      </c>
      <c r="U16" s="623">
        <f>'Rates in Detail'!U20</f>
        <v>1.2099999999999999E-3</v>
      </c>
      <c r="V16" s="255">
        <f t="shared" si="3"/>
        <v>3.1880000000000006E-2</v>
      </c>
      <c r="W16" s="612"/>
      <c r="X16" s="113">
        <f>'[25]Rates in detail'!$AC20</f>
        <v>0.30376999999999998</v>
      </c>
      <c r="Y16" s="1305"/>
      <c r="Z16" s="1305">
        <f>'[25]Rates in detail'!$AD20</f>
        <v>0</v>
      </c>
      <c r="AA16" s="113">
        <f>'[25]Rates in detail'!$AE20</f>
        <v>0.34872999999999998</v>
      </c>
      <c r="AB16" s="1526">
        <f>'[25]Rates in detail'!$AF20</f>
        <v>5.3810000000000004E-2</v>
      </c>
      <c r="AC16" s="1569">
        <f t="shared" si="4"/>
        <v>0.70630999999999999</v>
      </c>
      <c r="AD16" s="1594"/>
      <c r="AE16" s="113">
        <f t="shared" si="5"/>
        <v>0.34434999999999999</v>
      </c>
      <c r="AF16" s="113"/>
      <c r="AG16" s="1298">
        <f t="shared" si="6"/>
        <v>0</v>
      </c>
      <c r="AH16" s="113">
        <f t="shared" si="6"/>
        <v>0.34872999999999998</v>
      </c>
      <c r="AI16" s="113">
        <f t="shared" si="7"/>
        <v>4.5110000000000011E-2</v>
      </c>
      <c r="AJ16" s="1526">
        <f t="shared" si="8"/>
        <v>0.7381899999999999</v>
      </c>
      <c r="AK16" s="1595"/>
      <c r="AL16" s="113">
        <f>'Rates in Detail'!AC20</f>
        <v>2.4510000000000001E-2</v>
      </c>
      <c r="AM16" s="113">
        <f>'Rates in Detail'!AD20</f>
        <v>-3.5E-4</v>
      </c>
      <c r="AN16" s="113">
        <f>'Rates in Detail'!AE20</f>
        <v>-6.4700000000000001E-3</v>
      </c>
      <c r="AO16" s="113">
        <f>'Rates in Detail'!AF20</f>
        <v>-3.4499999999999999E-3</v>
      </c>
      <c r="AP16" s="113">
        <f t="shared" si="9"/>
        <v>1.4240000000000001E-2</v>
      </c>
      <c r="AQ16" s="130"/>
      <c r="AR16" s="113">
        <f>'Proposed Rates - COMBINED'!AR16</f>
        <v>0.34434999999999993</v>
      </c>
      <c r="AS16" s="113">
        <f>'Proposed Rates - COMBINED'!AS16</f>
        <v>0</v>
      </c>
      <c r="AT16" s="113">
        <f>'Proposed Rates - COMBINED'!AT16</f>
        <v>0</v>
      </c>
      <c r="AU16" s="113">
        <f>'Proposed Rates - COMBINED'!AU16</f>
        <v>0.46972000000000003</v>
      </c>
      <c r="AV16" s="113">
        <f>'Proposed Rates - COMBINED'!AV16</f>
        <v>0.15488999999999997</v>
      </c>
      <c r="AW16" s="113">
        <f t="shared" si="10"/>
        <v>0.96895999999999993</v>
      </c>
      <c r="AY16" s="113">
        <f t="shared" si="11"/>
        <v>0.36885999999999991</v>
      </c>
      <c r="AZ16" s="113">
        <f t="shared" si="12"/>
        <v>0</v>
      </c>
      <c r="BA16" s="113">
        <f t="shared" si="13"/>
        <v>0</v>
      </c>
      <c r="BB16" s="113">
        <f t="shared" si="14"/>
        <v>0.46972000000000003</v>
      </c>
      <c r="BC16" s="113">
        <f t="shared" si="15"/>
        <v>0.14461999999999997</v>
      </c>
      <c r="BD16" s="113">
        <f t="shared" si="16"/>
        <v>0.98319999999999985</v>
      </c>
      <c r="BE16" s="1654"/>
    </row>
    <row r="17" spans="2:57" x14ac:dyDescent="0.3">
      <c r="B17" s="109">
        <f t="shared" si="17"/>
        <v>9</v>
      </c>
      <c r="C17" s="1287" t="str">
        <f>'WA Volumes &amp; Revenues'!B23</f>
        <v>41I Firm Sales</v>
      </c>
      <c r="D17" s="1287" t="s">
        <v>4</v>
      </c>
      <c r="E17" s="114">
        <v>2000</v>
      </c>
      <c r="F17" s="115">
        <f>'WA Volumes &amp; Revenues'!E23</f>
        <v>392890.20000000007</v>
      </c>
      <c r="G17" s="115">
        <f>'WA Volumes &amp; Revenues'!H23</f>
        <v>17.833333333333332</v>
      </c>
      <c r="H17" s="890">
        <f>'WA Volumes &amp; Revenues'!O23</f>
        <v>250</v>
      </c>
      <c r="I17" s="891">
        <f>'WA Volumes &amp; Revenues'!N23</f>
        <v>250</v>
      </c>
      <c r="J17" s="620">
        <f>'Rates in Detail'!E21</f>
        <v>0.34416000000000024</v>
      </c>
      <c r="K17" s="622">
        <f>'Rates in Detail'!H21</f>
        <v>0</v>
      </c>
      <c r="L17" s="622">
        <f>'Rates in Detail'!F21</f>
        <v>0.26333000000000001</v>
      </c>
      <c r="M17" s="622">
        <f>'Rates in Detail'!I21</f>
        <v>-1.7200000000000002E-3</v>
      </c>
      <c r="N17" s="136">
        <f t="shared" si="1"/>
        <v>0.60577000000000025</v>
      </c>
      <c r="O17" s="620">
        <f>'Rates in Detail'!L21</f>
        <v>2.3040000000000001E-2</v>
      </c>
      <c r="P17" s="622">
        <f>'Rates in Detail'!P21</f>
        <v>-3.9100000000000003E-3</v>
      </c>
      <c r="Q17" s="622">
        <f>'Rates in Detail'!Q21</f>
        <v>0</v>
      </c>
      <c r="R17" s="250">
        <f t="shared" si="2"/>
        <v>1.9130000000000001E-2</v>
      </c>
      <c r="S17" s="620">
        <f>'Rates in Detail'!S21</f>
        <v>0</v>
      </c>
      <c r="T17" s="622">
        <f>'Rates in Detail'!T21</f>
        <v>-3.5200000000000001E-3</v>
      </c>
      <c r="U17" s="622">
        <f>'Rates in Detail'!U21</f>
        <v>1.24E-3</v>
      </c>
      <c r="V17" s="256">
        <f t="shared" si="3"/>
        <v>1.685E-2</v>
      </c>
      <c r="W17" s="612"/>
      <c r="X17" s="116">
        <f>'[25]Rates in detail'!$AC25</f>
        <v>0.34416000000000035</v>
      </c>
      <c r="Y17" s="116"/>
      <c r="Z17" s="116">
        <f>'[25]Rates in detail'!$AD25</f>
        <v>0</v>
      </c>
      <c r="AA17" s="116">
        <f>'[25]Rates in detail'!$AE25</f>
        <v>0.34872999999999998</v>
      </c>
      <c r="AB17" s="116">
        <f>'[25]Rates in detail'!$AF25</f>
        <v>9.1699999999999941E-3</v>
      </c>
      <c r="AC17" s="344">
        <f t="shared" si="4"/>
        <v>0.70206000000000035</v>
      </c>
      <c r="AD17" s="1594"/>
      <c r="AE17" s="1573">
        <f t="shared" si="5"/>
        <v>0.36329000000000033</v>
      </c>
      <c r="AF17" s="1573"/>
      <c r="AG17" s="1571">
        <f t="shared" si="6"/>
        <v>0</v>
      </c>
      <c r="AH17" s="1573">
        <f t="shared" si="6"/>
        <v>0.34872999999999998</v>
      </c>
      <c r="AI17" s="1573">
        <f t="shared" si="7"/>
        <v>6.8899999999999934E-3</v>
      </c>
      <c r="AJ17" s="1572">
        <f t="shared" si="8"/>
        <v>0.71891000000000027</v>
      </c>
      <c r="AK17" s="1595"/>
      <c r="AL17" s="116">
        <f>'Rates in Detail'!AC21</f>
        <v>8.7299999999999999E-3</v>
      </c>
      <c r="AM17" s="116">
        <f>'Rates in Detail'!AD21</f>
        <v>-3.5E-4</v>
      </c>
      <c r="AN17" s="116">
        <f>'Rates in Detail'!AE21</f>
        <v>0</v>
      </c>
      <c r="AO17" s="116">
        <f>'Rates in Detail'!AF21</f>
        <v>-3.3999999999999998E-3</v>
      </c>
      <c r="AP17" s="116">
        <f t="shared" si="9"/>
        <v>4.9800000000000001E-3</v>
      </c>
      <c r="AQ17" s="130"/>
      <c r="AR17" s="116">
        <f>'Proposed Rates - COMBINED'!AR17</f>
        <v>0.36329000000000033</v>
      </c>
      <c r="AS17" s="116">
        <f>'Proposed Rates - COMBINED'!AS17</f>
        <v>0</v>
      </c>
      <c r="AT17" s="116">
        <f>'Proposed Rates - COMBINED'!AT17</f>
        <v>0</v>
      </c>
      <c r="AU17" s="116">
        <f>'Proposed Rates - COMBINED'!AU17</f>
        <v>0.46972000000000003</v>
      </c>
      <c r="AV17" s="116">
        <f>'Proposed Rates - COMBINED'!AV17</f>
        <v>0.12887999999999999</v>
      </c>
      <c r="AW17" s="116">
        <f t="shared" si="10"/>
        <v>0.96189000000000036</v>
      </c>
      <c r="AY17" s="116">
        <f t="shared" si="11"/>
        <v>0.37202000000000035</v>
      </c>
      <c r="AZ17" s="116">
        <f t="shared" si="12"/>
        <v>0</v>
      </c>
      <c r="BA17" s="116">
        <f t="shared" si="13"/>
        <v>0</v>
      </c>
      <c r="BB17" s="116">
        <f t="shared" si="14"/>
        <v>0.46972000000000003</v>
      </c>
      <c r="BC17" s="116">
        <f t="shared" si="15"/>
        <v>0.12512999999999999</v>
      </c>
      <c r="BD17" s="116">
        <f t="shared" si="16"/>
        <v>0.96687000000000034</v>
      </c>
      <c r="BE17" s="1654"/>
    </row>
    <row r="18" spans="2:57" x14ac:dyDescent="0.3">
      <c r="B18" s="109">
        <f t="shared" si="17"/>
        <v>10</v>
      </c>
      <c r="C18" s="110"/>
      <c r="D18" s="110" t="s">
        <v>5</v>
      </c>
      <c r="E18" s="111" t="s">
        <v>72</v>
      </c>
      <c r="F18" s="112">
        <f>'WA Volumes &amp; Revenues'!E24</f>
        <v>621650.00000000012</v>
      </c>
      <c r="G18" s="112"/>
      <c r="H18" s="885"/>
      <c r="I18" s="887"/>
      <c r="J18" s="619">
        <f>'Rates in Detail'!E22</f>
        <v>0.30325000000000002</v>
      </c>
      <c r="K18" s="623">
        <f>'Rates in Detail'!H22</f>
        <v>0</v>
      </c>
      <c r="L18" s="623">
        <f>'Rates in Detail'!F22</f>
        <v>0.26333000000000001</v>
      </c>
      <c r="M18" s="623">
        <f>'Rates in Detail'!I22</f>
        <v>-2.6199999999999999E-3</v>
      </c>
      <c r="N18" s="134">
        <f t="shared" si="1"/>
        <v>0.56396000000000013</v>
      </c>
      <c r="O18" s="619">
        <f>'Rates in Detail'!L22</f>
        <v>2.0299999999999999E-2</v>
      </c>
      <c r="P18" s="623">
        <f>'Rates in Detail'!P22</f>
        <v>-3.4399999999999999E-3</v>
      </c>
      <c r="Q18" s="623">
        <f>'Rates in Detail'!Q22</f>
        <v>0</v>
      </c>
      <c r="R18" s="249">
        <f t="shared" si="2"/>
        <v>1.686E-2</v>
      </c>
      <c r="S18" s="619">
        <f>'Rates in Detail'!S22</f>
        <v>0</v>
      </c>
      <c r="T18" s="623">
        <f>'Rates in Detail'!T22</f>
        <v>-3.0999999999999999E-3</v>
      </c>
      <c r="U18" s="623">
        <f>'Rates in Detail'!U22</f>
        <v>1.09E-3</v>
      </c>
      <c r="V18" s="255">
        <f t="shared" si="3"/>
        <v>1.485E-2</v>
      </c>
      <c r="W18" s="612"/>
      <c r="X18" s="113">
        <f>'[25]Rates in detail'!$AC26</f>
        <v>0.30324999999999991</v>
      </c>
      <c r="Y18" s="113"/>
      <c r="Z18" s="113">
        <f>'[25]Rates in detail'!$AD26</f>
        <v>0</v>
      </c>
      <c r="AA18" s="113">
        <f>'[25]Rates in detail'!$AE26</f>
        <v>0.34872999999999998</v>
      </c>
      <c r="AB18" s="113">
        <f>'[25]Rates in detail'!$AF26</f>
        <v>8.1299999999999931E-3</v>
      </c>
      <c r="AC18" s="343">
        <f t="shared" si="4"/>
        <v>0.66010999999999986</v>
      </c>
      <c r="AD18" s="1594"/>
      <c r="AE18" s="113">
        <f t="shared" si="5"/>
        <v>0.32010999999999989</v>
      </c>
      <c r="AF18" s="113"/>
      <c r="AG18" s="1298">
        <f t="shared" si="6"/>
        <v>0</v>
      </c>
      <c r="AH18" s="113">
        <f t="shared" si="6"/>
        <v>0.34872999999999998</v>
      </c>
      <c r="AI18" s="113">
        <f t="shared" si="7"/>
        <v>6.1199999999999926E-3</v>
      </c>
      <c r="AJ18" s="1526">
        <f t="shared" si="8"/>
        <v>0.67495999999999989</v>
      </c>
      <c r="AK18" s="1595"/>
      <c r="AL18" s="113">
        <f>'Rates in Detail'!AC22</f>
        <v>7.6899999999999998E-3</v>
      </c>
      <c r="AM18" s="113">
        <f>'Rates in Detail'!AD22</f>
        <v>-2.9999999999999997E-4</v>
      </c>
      <c r="AN18" s="113">
        <f>'Rates in Detail'!AE22</f>
        <v>0</v>
      </c>
      <c r="AO18" s="113">
        <f>'Rates in Detail'!AF22</f>
        <v>-2.99E-3</v>
      </c>
      <c r="AP18" s="113">
        <f t="shared" si="9"/>
        <v>4.3999999999999994E-3</v>
      </c>
      <c r="AQ18" s="130"/>
      <c r="AR18" s="113">
        <f>'Proposed Rates - COMBINED'!AR18</f>
        <v>0.32010999999999989</v>
      </c>
      <c r="AS18" s="113">
        <f>'Proposed Rates - COMBINED'!AS18</f>
        <v>0</v>
      </c>
      <c r="AT18" s="113">
        <f>'Proposed Rates - COMBINED'!AT18</f>
        <v>0</v>
      </c>
      <c r="AU18" s="113">
        <f>'Proposed Rates - COMBINED'!AU18</f>
        <v>0.46972000000000003</v>
      </c>
      <c r="AV18" s="113">
        <f>'Proposed Rates - COMBINED'!AV18</f>
        <v>0.12747</v>
      </c>
      <c r="AW18" s="113">
        <f t="shared" si="10"/>
        <v>0.91729999999999989</v>
      </c>
      <c r="AY18" s="113">
        <f t="shared" si="11"/>
        <v>0.32779999999999987</v>
      </c>
      <c r="AZ18" s="113">
        <f t="shared" si="12"/>
        <v>0</v>
      </c>
      <c r="BA18" s="113">
        <f t="shared" si="13"/>
        <v>0</v>
      </c>
      <c r="BB18" s="113">
        <f t="shared" si="14"/>
        <v>0.46972000000000003</v>
      </c>
      <c r="BC18" s="113">
        <f t="shared" si="15"/>
        <v>0.12418</v>
      </c>
      <c r="BD18" s="113">
        <f t="shared" si="16"/>
        <v>0.92169999999999985</v>
      </c>
      <c r="BE18" s="1654"/>
    </row>
    <row r="19" spans="2:57" x14ac:dyDescent="0.3">
      <c r="B19" s="109">
        <f t="shared" si="17"/>
        <v>11</v>
      </c>
      <c r="C19" s="1287" t="str">
        <f>'WA Volumes &amp; Revenues'!B25</f>
        <v>41C Interr Sales</v>
      </c>
      <c r="D19" s="1287" t="s">
        <v>4</v>
      </c>
      <c r="E19" s="114">
        <v>2000</v>
      </c>
      <c r="F19" s="115">
        <f>'WA Volumes &amp; Revenues'!E25</f>
        <v>0</v>
      </c>
      <c r="G19" s="115">
        <f>'WA Volumes &amp; Revenues'!H25</f>
        <v>0</v>
      </c>
      <c r="H19" s="890">
        <f>'WA Volumes &amp; Revenues'!O25</f>
        <v>250</v>
      </c>
      <c r="I19" s="891">
        <f>'WA Volumes &amp; Revenues'!N25</f>
        <v>250</v>
      </c>
      <c r="J19" s="620">
        <f>'Rates in Detail'!E23</f>
        <v>0.34372999999999987</v>
      </c>
      <c r="K19" s="622">
        <f>'Rates in Detail'!H23</f>
        <v>0</v>
      </c>
      <c r="L19" s="622">
        <f>'Rates in Detail'!F23</f>
        <v>0.26333000000000001</v>
      </c>
      <c r="M19" s="622">
        <f>'Rates in Detail'!I23</f>
        <v>5.3189999999999994E-2</v>
      </c>
      <c r="N19" s="136">
        <f t="shared" si="1"/>
        <v>0.66024999999999989</v>
      </c>
      <c r="O19" s="620">
        <f>'Rates in Detail'!L23</f>
        <v>3.6089999999999997E-2</v>
      </c>
      <c r="P19" s="622">
        <f>'Rates in Detail'!P23</f>
        <v>-3.2200000000000002E-3</v>
      </c>
      <c r="Q19" s="622">
        <f>'Rates in Detail'!Q23</f>
        <v>0</v>
      </c>
      <c r="R19" s="250">
        <f t="shared" si="2"/>
        <v>3.2869999999999996E-2</v>
      </c>
      <c r="S19" s="620">
        <f>'Rates in Detail'!S23</f>
        <v>-6.8599999999999998E-3</v>
      </c>
      <c r="T19" s="622">
        <f>'Rates in Detail'!T23</f>
        <v>-3.0300000000000001E-3</v>
      </c>
      <c r="U19" s="622">
        <f>'Rates in Detail'!U23</f>
        <v>1.3799999999999999E-3</v>
      </c>
      <c r="V19" s="256">
        <f t="shared" si="3"/>
        <v>2.4359999999999996E-2</v>
      </c>
      <c r="W19" s="612"/>
      <c r="X19" s="116">
        <f>'[25]Rates in detail'!AC21</f>
        <v>0.34372999999999998</v>
      </c>
      <c r="Y19" s="116"/>
      <c r="Z19" s="116">
        <f>'[25]Rates in detail'!AD21</f>
        <v>0</v>
      </c>
      <c r="AA19" s="116">
        <f>'[25]Rates in detail'!AE21</f>
        <v>0.34872999999999998</v>
      </c>
      <c r="AB19" s="116">
        <f>'[25]Rates in detail'!AF21</f>
        <v>9.6989999999999993E-2</v>
      </c>
      <c r="AC19" s="344">
        <f t="shared" si="4"/>
        <v>0.78944999999999999</v>
      </c>
      <c r="AD19" s="1594"/>
      <c r="AE19" s="1573">
        <f t="shared" si="5"/>
        <v>0.37659999999999999</v>
      </c>
      <c r="AF19" s="1573"/>
      <c r="AG19" s="1571">
        <f t="shared" si="6"/>
        <v>0</v>
      </c>
      <c r="AH19" s="1573">
        <f t="shared" si="6"/>
        <v>0.34872999999999998</v>
      </c>
      <c r="AI19" s="1573">
        <f t="shared" si="7"/>
        <v>8.8479999999999989E-2</v>
      </c>
      <c r="AJ19" s="1572">
        <f t="shared" si="8"/>
        <v>0.81381000000000003</v>
      </c>
      <c r="AK19" s="1595"/>
      <c r="AL19" s="116">
        <f>'Rates in Detail'!AC23</f>
        <v>2.162E-2</v>
      </c>
      <c r="AM19" s="116">
        <f>'Rates in Detail'!AD23</f>
        <v>-3.1E-4</v>
      </c>
      <c r="AN19" s="116">
        <f>'Rates in Detail'!AE23</f>
        <v>-6.7799999999999996E-3</v>
      </c>
      <c r="AO19" s="116">
        <f>'Rates in Detail'!AF23</f>
        <v>-3.0400000000000002E-3</v>
      </c>
      <c r="AP19" s="116">
        <f t="shared" si="9"/>
        <v>1.149E-2</v>
      </c>
      <c r="AQ19" s="130"/>
      <c r="AR19" s="116">
        <f>'Proposed Rates - COMBINED'!AR19</f>
        <v>0.37660000000000016</v>
      </c>
      <c r="AS19" s="116">
        <f>'Proposed Rates - COMBINED'!AS19</f>
        <v>0</v>
      </c>
      <c r="AT19" s="116">
        <f>'Proposed Rates - COMBINED'!AT19</f>
        <v>0</v>
      </c>
      <c r="AU19" s="116">
        <f>'Proposed Rates - COMBINED'!AU19</f>
        <v>0.46972000000000003</v>
      </c>
      <c r="AV19" s="116">
        <f>'Proposed Rates - COMBINED'!AV19</f>
        <v>0.15708999999999998</v>
      </c>
      <c r="AW19" s="116">
        <f t="shared" si="10"/>
        <v>1.0034100000000001</v>
      </c>
      <c r="AY19" s="116">
        <f t="shared" si="11"/>
        <v>0.39822000000000013</v>
      </c>
      <c r="AZ19" s="116">
        <f t="shared" si="12"/>
        <v>0</v>
      </c>
      <c r="BA19" s="116">
        <f t="shared" si="13"/>
        <v>0</v>
      </c>
      <c r="BB19" s="116">
        <f t="shared" si="14"/>
        <v>0.46972000000000003</v>
      </c>
      <c r="BC19" s="116">
        <f t="shared" si="15"/>
        <v>0.14695999999999998</v>
      </c>
      <c r="BD19" s="116">
        <f t="shared" si="16"/>
        <v>1.0149000000000001</v>
      </c>
      <c r="BE19" s="1654"/>
    </row>
    <row r="20" spans="2:57" x14ac:dyDescent="0.3">
      <c r="B20" s="109">
        <f t="shared" si="17"/>
        <v>12</v>
      </c>
      <c r="C20" s="110"/>
      <c r="D20" s="110" t="s">
        <v>5</v>
      </c>
      <c r="E20" s="111" t="s">
        <v>72</v>
      </c>
      <c r="F20" s="112">
        <f>'WA Volumes &amp; Revenues'!E26</f>
        <v>0</v>
      </c>
      <c r="G20" s="112"/>
      <c r="H20" s="885"/>
      <c r="I20" s="887"/>
      <c r="J20" s="619">
        <f>'Rates in Detail'!E24</f>
        <v>0.30284999999999984</v>
      </c>
      <c r="K20" s="623">
        <f>'Rates in Detail'!H24</f>
        <v>0</v>
      </c>
      <c r="L20" s="623">
        <f>'Rates in Detail'!F24</f>
        <v>0.26333000000000001</v>
      </c>
      <c r="M20" s="623">
        <f>'Rates in Detail'!I24</f>
        <v>4.6990000000000004E-2</v>
      </c>
      <c r="N20" s="134">
        <f t="shared" si="1"/>
        <v>0.61316999999999988</v>
      </c>
      <c r="O20" s="619">
        <f>'Rates in Detail'!L24</f>
        <v>3.1800000000000002E-2</v>
      </c>
      <c r="P20" s="623">
        <f>'Rates in Detail'!P24</f>
        <v>-2.8400000000000001E-3</v>
      </c>
      <c r="Q20" s="623">
        <f>'Rates in Detail'!Q24</f>
        <v>0</v>
      </c>
      <c r="R20" s="249">
        <f t="shared" si="2"/>
        <v>2.8960000000000003E-2</v>
      </c>
      <c r="S20" s="619">
        <f>'Rates in Detail'!S24</f>
        <v>-6.0499999999999998E-3</v>
      </c>
      <c r="T20" s="623">
        <f>'Rates in Detail'!T24</f>
        <v>-2.6700000000000001E-3</v>
      </c>
      <c r="U20" s="623">
        <f>'Rates in Detail'!U24</f>
        <v>1.2099999999999999E-3</v>
      </c>
      <c r="V20" s="255">
        <f t="shared" si="3"/>
        <v>2.1450000000000004E-2</v>
      </c>
      <c r="W20" s="612"/>
      <c r="X20" s="113">
        <f>'[25]Rates in detail'!AC22</f>
        <v>0.30285000000000001</v>
      </c>
      <c r="Y20" s="113"/>
      <c r="Z20" s="113">
        <f>'[25]Rates in detail'!AD22</f>
        <v>0</v>
      </c>
      <c r="AA20" s="113">
        <f>'[25]Rates in detail'!AE22</f>
        <v>0.34872999999999998</v>
      </c>
      <c r="AB20" s="113">
        <f>'[25]Rates in detail'!AF22</f>
        <v>8.9839999999999989E-2</v>
      </c>
      <c r="AC20" s="343">
        <f t="shared" si="4"/>
        <v>0.74142000000000008</v>
      </c>
      <c r="AD20" s="1594"/>
      <c r="AE20" s="113">
        <f t="shared" si="5"/>
        <v>0.33180999999999999</v>
      </c>
      <c r="AF20" s="113"/>
      <c r="AG20" s="1298">
        <f t="shared" si="6"/>
        <v>0</v>
      </c>
      <c r="AH20" s="113">
        <f t="shared" si="6"/>
        <v>0.34872999999999998</v>
      </c>
      <c r="AI20" s="113">
        <f t="shared" si="7"/>
        <v>8.2329999999999987E-2</v>
      </c>
      <c r="AJ20" s="1526">
        <f t="shared" si="8"/>
        <v>0.76286999999999994</v>
      </c>
      <c r="AK20" s="1595"/>
      <c r="AL20" s="113">
        <f>'Rates in Detail'!AC24</f>
        <v>1.9050000000000001E-2</v>
      </c>
      <c r="AM20" s="113">
        <f>'Rates in Detail'!AD24</f>
        <v>-2.7E-4</v>
      </c>
      <c r="AN20" s="113">
        <f>'Rates in Detail'!AE24</f>
        <v>-5.9699999999999996E-3</v>
      </c>
      <c r="AO20" s="113">
        <f>'Rates in Detail'!AF24</f>
        <v>-2.6800000000000001E-3</v>
      </c>
      <c r="AP20" s="113">
        <f t="shared" si="9"/>
        <v>1.0130000000000002E-2</v>
      </c>
      <c r="AQ20" s="130"/>
      <c r="AR20" s="113">
        <f>'Proposed Rates - COMBINED'!AR20</f>
        <v>0.33180999999999994</v>
      </c>
      <c r="AS20" s="113">
        <f>'Proposed Rates - COMBINED'!AS20</f>
        <v>0</v>
      </c>
      <c r="AT20" s="113">
        <f>'Proposed Rates - COMBINED'!AT20</f>
        <v>0</v>
      </c>
      <c r="AU20" s="113">
        <f>'Proposed Rates - COMBINED'!AU20</f>
        <v>0.46972000000000003</v>
      </c>
      <c r="AV20" s="113">
        <f>'Proposed Rates - COMBINED'!AV20</f>
        <v>0.15226999999999999</v>
      </c>
      <c r="AW20" s="113">
        <f t="shared" si="10"/>
        <v>0.95379999999999998</v>
      </c>
      <c r="AY20" s="113">
        <f t="shared" si="11"/>
        <v>0.35085999999999995</v>
      </c>
      <c r="AZ20" s="113">
        <f t="shared" si="12"/>
        <v>0</v>
      </c>
      <c r="BA20" s="113">
        <f t="shared" si="13"/>
        <v>0</v>
      </c>
      <c r="BB20" s="113">
        <f t="shared" si="14"/>
        <v>0.46972000000000003</v>
      </c>
      <c r="BC20" s="113">
        <f t="shared" si="15"/>
        <v>0.14334999999999998</v>
      </c>
      <c r="BD20" s="113">
        <f t="shared" si="16"/>
        <v>0.96392999999999995</v>
      </c>
      <c r="BE20" s="1654"/>
    </row>
    <row r="21" spans="2:57" x14ac:dyDescent="0.3">
      <c r="B21" s="109">
        <f t="shared" si="17"/>
        <v>13</v>
      </c>
      <c r="C21" s="1287" t="str">
        <f>'WA Volumes &amp; Revenues'!B27</f>
        <v>41I Interr Sales</v>
      </c>
      <c r="D21" s="1287" t="s">
        <v>4</v>
      </c>
      <c r="E21" s="114">
        <v>2000</v>
      </c>
      <c r="F21" s="115">
        <f>'WA Volumes &amp; Revenues'!E27</f>
        <v>0</v>
      </c>
      <c r="G21" s="115">
        <f>'WA Volumes &amp; Revenues'!H27</f>
        <v>0</v>
      </c>
      <c r="H21" s="890">
        <f>'WA Volumes &amp; Revenues'!O27</f>
        <v>250</v>
      </c>
      <c r="I21" s="891">
        <f>'WA Volumes &amp; Revenues'!N27</f>
        <v>250</v>
      </c>
      <c r="J21" s="620">
        <f>'Rates in Detail'!E25</f>
        <v>0.34372999999999987</v>
      </c>
      <c r="K21" s="622">
        <f>'Rates in Detail'!H25</f>
        <v>0</v>
      </c>
      <c r="L21" s="622">
        <f>'Rates in Detail'!F25</f>
        <v>0.26333000000000001</v>
      </c>
      <c r="M21" s="622">
        <f>'Rates in Detail'!I25</f>
        <v>8.7499999999999991E-3</v>
      </c>
      <c r="N21" s="136">
        <f t="shared" si="1"/>
        <v>0.61580999999999997</v>
      </c>
      <c r="O21" s="620">
        <f>'Rates in Detail'!L25</f>
        <v>1.576E-2</v>
      </c>
      <c r="P21" s="622">
        <f>'Rates in Detail'!P25</f>
        <v>-3.2200000000000002E-3</v>
      </c>
      <c r="Q21" s="622">
        <f>'Rates in Detail'!Q25</f>
        <v>0</v>
      </c>
      <c r="R21" s="250">
        <f t="shared" si="2"/>
        <v>1.2539999999999999E-2</v>
      </c>
      <c r="S21" s="620">
        <f>'Rates in Detail'!S25</f>
        <v>0</v>
      </c>
      <c r="T21" s="622">
        <f>'Rates in Detail'!T25</f>
        <v>-2.8700000000000002E-3</v>
      </c>
      <c r="U21" s="622">
        <f>'Rates in Detail'!U25</f>
        <v>1.2999999999999999E-3</v>
      </c>
      <c r="V21" s="256">
        <f t="shared" si="3"/>
        <v>1.0969999999999997E-2</v>
      </c>
      <c r="W21" s="612"/>
      <c r="X21" s="1573">
        <f>'[25]Rates in detail'!AC27</f>
        <v>0.34372999999999987</v>
      </c>
      <c r="Y21" s="116"/>
      <c r="Z21" s="116">
        <f>'[25]Rates in detail'!AD27</f>
        <v>0</v>
      </c>
      <c r="AA21" s="116">
        <f>'[25]Rates in detail'!AE27</f>
        <v>0.34872999999999998</v>
      </c>
      <c r="AB21" s="116">
        <f>'[25]Rates in detail'!AF27</f>
        <v>4.6149999999999997E-2</v>
      </c>
      <c r="AC21" s="344">
        <f t="shared" si="4"/>
        <v>0.73860999999999988</v>
      </c>
      <c r="AD21" s="1594"/>
      <c r="AE21" s="1573">
        <f t="shared" si="5"/>
        <v>0.35626999999999986</v>
      </c>
      <c r="AF21" s="1573"/>
      <c r="AG21" s="1571">
        <f t="shared" si="6"/>
        <v>0</v>
      </c>
      <c r="AH21" s="1573">
        <f t="shared" si="6"/>
        <v>0.34872999999999998</v>
      </c>
      <c r="AI21" s="1573">
        <f t="shared" si="7"/>
        <v>4.4580000000000002E-2</v>
      </c>
      <c r="AJ21" s="1572">
        <f t="shared" si="8"/>
        <v>0.7495799999999998</v>
      </c>
      <c r="AK21" s="1595"/>
      <c r="AL21" s="116">
        <f>'Rates in Detail'!AC25</f>
        <v>7.1300000000000001E-3</v>
      </c>
      <c r="AM21" s="116">
        <f>'Rates in Detail'!AD25</f>
        <v>-2.7999999999999998E-4</v>
      </c>
      <c r="AN21" s="116">
        <f>'Rates in Detail'!AE25</f>
        <v>0</v>
      </c>
      <c r="AO21" s="116">
        <f>'Rates in Detail'!AF25</f>
        <v>-2.7699999999999999E-3</v>
      </c>
      <c r="AP21" s="116">
        <f t="shared" si="9"/>
        <v>4.0800000000000003E-3</v>
      </c>
      <c r="AQ21" s="130"/>
      <c r="AR21" s="116">
        <f>'Proposed Rates - COMBINED'!AR21</f>
        <v>0.35626999999999992</v>
      </c>
      <c r="AS21" s="116">
        <f>'Proposed Rates - COMBINED'!AS21</f>
        <v>0</v>
      </c>
      <c r="AT21" s="116">
        <f>'Proposed Rates - COMBINED'!AT21</f>
        <v>0</v>
      </c>
      <c r="AU21" s="116">
        <f>'Proposed Rates - COMBINED'!AU21</f>
        <v>0.46972000000000003</v>
      </c>
      <c r="AV21" s="116">
        <f>'Proposed Rates - COMBINED'!AV21</f>
        <v>0.12733</v>
      </c>
      <c r="AW21" s="116">
        <f t="shared" si="10"/>
        <v>0.95331999999999995</v>
      </c>
      <c r="AY21" s="116">
        <f t="shared" si="11"/>
        <v>0.36339999999999995</v>
      </c>
      <c r="AZ21" s="116">
        <f t="shared" si="12"/>
        <v>0</v>
      </c>
      <c r="BA21" s="116">
        <f t="shared" si="13"/>
        <v>0</v>
      </c>
      <c r="BB21" s="116">
        <f t="shared" si="14"/>
        <v>0.46972000000000003</v>
      </c>
      <c r="BC21" s="116">
        <f t="shared" si="15"/>
        <v>0.12428</v>
      </c>
      <c r="BD21" s="116">
        <f t="shared" si="16"/>
        <v>0.95740000000000003</v>
      </c>
      <c r="BE21" s="1654"/>
    </row>
    <row r="22" spans="2:57" x14ac:dyDescent="0.3">
      <c r="B22" s="109">
        <f t="shared" si="17"/>
        <v>14</v>
      </c>
      <c r="C22" s="110"/>
      <c r="D22" s="110" t="s">
        <v>5</v>
      </c>
      <c r="E22" s="111" t="s">
        <v>72</v>
      </c>
      <c r="F22" s="112">
        <f>'WA Volumes &amp; Revenues'!E28</f>
        <v>0</v>
      </c>
      <c r="G22" s="112"/>
      <c r="H22" s="885"/>
      <c r="I22" s="887"/>
      <c r="J22" s="619">
        <f>'Rates in Detail'!E26</f>
        <v>0.30284999999999984</v>
      </c>
      <c r="K22" s="623">
        <f>'Rates in Detail'!H26</f>
        <v>0</v>
      </c>
      <c r="L22" s="623">
        <f>'Rates in Detail'!F26</f>
        <v>0.26333000000000001</v>
      </c>
      <c r="M22" s="623">
        <f>'Rates in Detail'!I26</f>
        <v>7.8399999999999997E-3</v>
      </c>
      <c r="N22" s="134">
        <f t="shared" si="1"/>
        <v>0.57401999999999986</v>
      </c>
      <c r="O22" s="619">
        <f>'Rates in Detail'!L26</f>
        <v>1.388E-2</v>
      </c>
      <c r="P22" s="623">
        <f>'Rates in Detail'!P26</f>
        <v>-2.8400000000000001E-3</v>
      </c>
      <c r="Q22" s="623">
        <f>'Rates in Detail'!Q26</f>
        <v>0</v>
      </c>
      <c r="R22" s="249">
        <f t="shared" si="2"/>
        <v>1.1039999999999999E-2</v>
      </c>
      <c r="S22" s="619">
        <f>'Rates in Detail'!S26</f>
        <v>0</v>
      </c>
      <c r="T22" s="623">
        <f>'Rates in Detail'!T26</f>
        <v>-2.5300000000000001E-3</v>
      </c>
      <c r="U22" s="623">
        <f>'Rates in Detail'!U26</f>
        <v>1.15E-3</v>
      </c>
      <c r="V22" s="255">
        <f t="shared" si="3"/>
        <v>9.6600000000000002E-3</v>
      </c>
      <c r="W22" s="612"/>
      <c r="X22" s="113">
        <f>'[25]Rates in detail'!AC28</f>
        <v>0.30284999999999995</v>
      </c>
      <c r="Y22" s="113"/>
      <c r="Z22" s="113">
        <f>'[25]Rates in detail'!AD28</f>
        <v>0</v>
      </c>
      <c r="AA22" s="113">
        <f>'[25]Rates in detail'!AE28</f>
        <v>0.34872999999999998</v>
      </c>
      <c r="AB22" s="113">
        <f>'[25]Rates in detail'!AF28</f>
        <v>4.5039999999999997E-2</v>
      </c>
      <c r="AC22" s="343">
        <f t="shared" si="4"/>
        <v>0.69661999999999991</v>
      </c>
      <c r="AD22" s="1594"/>
      <c r="AE22" s="113">
        <f t="shared" si="5"/>
        <v>0.31388999999999995</v>
      </c>
      <c r="AF22" s="113"/>
      <c r="AG22" s="1298">
        <f t="shared" si="6"/>
        <v>0</v>
      </c>
      <c r="AH22" s="113">
        <f t="shared" si="6"/>
        <v>0.34872999999999998</v>
      </c>
      <c r="AI22" s="113">
        <f t="shared" si="7"/>
        <v>4.3659999999999997E-2</v>
      </c>
      <c r="AJ22" s="1526">
        <f t="shared" si="8"/>
        <v>0.70628000000000002</v>
      </c>
      <c r="AK22" s="1595"/>
      <c r="AL22" s="113">
        <f>'Rates in Detail'!AC26</f>
        <v>6.28E-3</v>
      </c>
      <c r="AM22" s="113">
        <f>'Rates in Detail'!AD26</f>
        <v>-2.5000000000000001E-4</v>
      </c>
      <c r="AN22" s="113">
        <f>'Rates in Detail'!AE26</f>
        <v>0</v>
      </c>
      <c r="AO22" s="113">
        <f>'Rates in Detail'!AF26</f>
        <v>-2.4399999999999999E-3</v>
      </c>
      <c r="AP22" s="113">
        <f t="shared" si="9"/>
        <v>3.5899999999999999E-3</v>
      </c>
      <c r="AQ22" s="130"/>
      <c r="AR22" s="113">
        <f>'Proposed Rates - COMBINED'!AR22</f>
        <v>0.31389</v>
      </c>
      <c r="AS22" s="113">
        <f>'Proposed Rates - COMBINED'!AS22</f>
        <v>0</v>
      </c>
      <c r="AT22" s="113">
        <f>'Proposed Rates - COMBINED'!AT22</f>
        <v>0</v>
      </c>
      <c r="AU22" s="113">
        <f>'Proposed Rates - COMBINED'!AU22</f>
        <v>0.46972000000000003</v>
      </c>
      <c r="AV22" s="113">
        <f>'Proposed Rates - COMBINED'!AV22</f>
        <v>0.12603</v>
      </c>
      <c r="AW22" s="113">
        <f t="shared" si="10"/>
        <v>0.90964</v>
      </c>
      <c r="AY22" s="113">
        <f t="shared" si="11"/>
        <v>0.32017000000000001</v>
      </c>
      <c r="AZ22" s="113">
        <f t="shared" si="12"/>
        <v>0</v>
      </c>
      <c r="BA22" s="113">
        <f t="shared" si="13"/>
        <v>0</v>
      </c>
      <c r="BB22" s="113">
        <f t="shared" si="14"/>
        <v>0.46972000000000003</v>
      </c>
      <c r="BC22" s="113">
        <f t="shared" si="15"/>
        <v>0.12334000000000001</v>
      </c>
      <c r="BD22" s="113">
        <f t="shared" si="16"/>
        <v>0.91322999999999999</v>
      </c>
      <c r="BE22" s="1654"/>
    </row>
    <row r="23" spans="2:57" x14ac:dyDescent="0.3">
      <c r="B23" s="109">
        <f t="shared" si="17"/>
        <v>15</v>
      </c>
      <c r="C23" s="1287" t="str">
        <f>'WA Volumes &amp; Revenues'!B29</f>
        <v>41C Firm Transpt</v>
      </c>
      <c r="D23" s="1287" t="s">
        <v>4</v>
      </c>
      <c r="E23" s="114">
        <v>2000</v>
      </c>
      <c r="F23" s="115">
        <f>'WA Volumes &amp; Revenues'!E29</f>
        <v>168721</v>
      </c>
      <c r="G23" s="115">
        <f>'WA Volumes &amp; Revenues'!H29</f>
        <v>7.916666666666667</v>
      </c>
      <c r="H23" s="890">
        <f>'WA Volumes &amp; Revenues'!O29</f>
        <v>500</v>
      </c>
      <c r="I23" s="891">
        <f>'WA Volumes &amp; Revenues'!N29</f>
        <v>500</v>
      </c>
      <c r="J23" s="620">
        <f>'Rates in Detail'!E27</f>
        <v>0.34791</v>
      </c>
      <c r="K23" s="622">
        <f>'Rates in Detail'!H27</f>
        <v>0</v>
      </c>
      <c r="L23" s="622">
        <f>'Rates in Detail'!F27</f>
        <v>0</v>
      </c>
      <c r="M23" s="622">
        <f>'Rates in Detail'!I27</f>
        <v>1.5499999999999999E-3</v>
      </c>
      <c r="N23" s="136">
        <f t="shared" si="1"/>
        <v>0.34945999999999999</v>
      </c>
      <c r="O23" s="620">
        <f>'Rates in Detail'!L27</f>
        <v>2.562E-2</v>
      </c>
      <c r="P23" s="622">
        <f>'Rates in Detail'!P27</f>
        <v>-4.3499999999999997E-3</v>
      </c>
      <c r="Q23" s="622">
        <f>'Rates in Detail'!Q27</f>
        <v>0</v>
      </c>
      <c r="R23" s="250">
        <f t="shared" si="2"/>
        <v>2.1270000000000001E-2</v>
      </c>
      <c r="S23" s="620">
        <f>'Rates in Detail'!S27</f>
        <v>0</v>
      </c>
      <c r="T23" s="622">
        <f>'Rates in Detail'!T27</f>
        <v>-3.9100000000000003E-3</v>
      </c>
      <c r="U23" s="622">
        <f>'Rates in Detail'!U27</f>
        <v>1.3799999999999999E-3</v>
      </c>
      <c r="V23" s="256">
        <f t="shared" si="3"/>
        <v>1.874E-2</v>
      </c>
      <c r="W23" s="612"/>
      <c r="X23" s="1573">
        <f>'[25]Rates in detail'!AC23</f>
        <v>0.34791</v>
      </c>
      <c r="Y23" s="1527"/>
      <c r="Z23" s="116">
        <f>'[25]Rates in detail'!AD23</f>
        <v>0</v>
      </c>
      <c r="AA23" s="116">
        <f>'[25]Rates in detail'!AE23</f>
        <v>0</v>
      </c>
      <c r="AB23" s="116">
        <f>'[25]Rates in detail'!AF23</f>
        <v>4.3499999999999997E-3</v>
      </c>
      <c r="AC23" s="344">
        <f t="shared" si="4"/>
        <v>0.35226000000000002</v>
      </c>
      <c r="AD23" s="1594"/>
      <c r="AE23" s="1573">
        <f t="shared" si="5"/>
        <v>0.36917999999999995</v>
      </c>
      <c r="AF23" s="1573"/>
      <c r="AG23" s="1571">
        <f t="shared" si="6"/>
        <v>0</v>
      </c>
      <c r="AH23" s="1573">
        <f t="shared" si="6"/>
        <v>0</v>
      </c>
      <c r="AI23" s="1573">
        <f t="shared" si="7"/>
        <v>1.8199999999999994E-3</v>
      </c>
      <c r="AJ23" s="1572">
        <f t="shared" si="8"/>
        <v>0.37099999999999994</v>
      </c>
      <c r="AK23" s="1595"/>
      <c r="AL23" s="116">
        <f>'Rates in Detail'!AC27</f>
        <v>9.7099999999999999E-3</v>
      </c>
      <c r="AM23" s="116">
        <f>'Rates in Detail'!AD27</f>
        <v>-3.8000000000000002E-4</v>
      </c>
      <c r="AN23" s="116">
        <f>'Rates in Detail'!AE27</f>
        <v>0</v>
      </c>
      <c r="AO23" s="116">
        <f>'Rates in Detail'!AF27</f>
        <v>-3.7799999999999999E-3</v>
      </c>
      <c r="AP23" s="116">
        <f t="shared" si="9"/>
        <v>5.5499999999999994E-3</v>
      </c>
      <c r="AQ23" s="130"/>
      <c r="AR23" s="116">
        <f>'Proposed Rates - COMBINED'!AR23</f>
        <v>0.36917999999999995</v>
      </c>
      <c r="AS23" s="116">
        <f>'Proposed Rates - COMBINED'!AS23</f>
        <v>0</v>
      </c>
      <c r="AT23" s="116">
        <f>'Proposed Rates - COMBINED'!AT23</f>
        <v>0</v>
      </c>
      <c r="AU23" s="116">
        <f>'Proposed Rates - COMBINED'!AU23</f>
        <v>0</v>
      </c>
      <c r="AV23" s="116">
        <f>'Proposed Rates - COMBINED'!AV23</f>
        <v>6.1000000000000004E-3</v>
      </c>
      <c r="AW23" s="116">
        <f t="shared" si="10"/>
        <v>0.37527999999999995</v>
      </c>
      <c r="AY23" s="116">
        <f t="shared" si="11"/>
        <v>0.37888999999999995</v>
      </c>
      <c r="AZ23" s="116">
        <f t="shared" si="12"/>
        <v>0</v>
      </c>
      <c r="BA23" s="116">
        <f t="shared" si="13"/>
        <v>0</v>
      </c>
      <c r="BB23" s="116">
        <f t="shared" si="14"/>
        <v>0</v>
      </c>
      <c r="BC23" s="116">
        <f t="shared" si="15"/>
        <v>1.9400000000000008E-3</v>
      </c>
      <c r="BD23" s="116">
        <f t="shared" si="16"/>
        <v>0.38082999999999995</v>
      </c>
      <c r="BE23" s="1654"/>
    </row>
    <row r="24" spans="2:57" x14ac:dyDescent="0.3">
      <c r="B24" s="109">
        <f t="shared" si="17"/>
        <v>16</v>
      </c>
      <c r="C24" s="110"/>
      <c r="D24" s="110" t="s">
        <v>5</v>
      </c>
      <c r="E24" s="111" t="s">
        <v>72</v>
      </c>
      <c r="F24" s="112">
        <f>'WA Volumes &amp; Revenues'!E30</f>
        <v>272866</v>
      </c>
      <c r="G24" s="112"/>
      <c r="H24" s="885"/>
      <c r="I24" s="887"/>
      <c r="J24" s="619">
        <f>'Rates in Detail'!E28</f>
        <v>0.30653000000000008</v>
      </c>
      <c r="K24" s="623">
        <f>'Rates in Detail'!H28</f>
        <v>0</v>
      </c>
      <c r="L24" s="623">
        <f>'Rates in Detail'!F28</f>
        <v>0</v>
      </c>
      <c r="M24" s="623">
        <f>'Rates in Detail'!I28</f>
        <v>1.3600000000000001E-3</v>
      </c>
      <c r="N24" s="134">
        <f t="shared" si="1"/>
        <v>0.30789000000000011</v>
      </c>
      <c r="O24" s="619">
        <f>'Rates in Detail'!L28</f>
        <v>2.257E-2</v>
      </c>
      <c r="P24" s="623">
        <f>'Rates in Detail'!P28</f>
        <v>-3.8300000000000001E-3</v>
      </c>
      <c r="Q24" s="623">
        <f>'Rates in Detail'!Q28</f>
        <v>0</v>
      </c>
      <c r="R24" s="249">
        <f t="shared" si="2"/>
        <v>1.874E-2</v>
      </c>
      <c r="S24" s="619">
        <f>'Rates in Detail'!S28</f>
        <v>0</v>
      </c>
      <c r="T24" s="623">
        <f>'Rates in Detail'!T28</f>
        <v>-3.4399999999999999E-3</v>
      </c>
      <c r="U24" s="623">
        <f>'Rates in Detail'!U28</f>
        <v>1.2099999999999999E-3</v>
      </c>
      <c r="V24" s="255">
        <f t="shared" si="3"/>
        <v>1.651E-2</v>
      </c>
      <c r="W24" s="612"/>
      <c r="X24" s="113">
        <f>'[25]Rates in detail'!AC24</f>
        <v>0.30653000000000008</v>
      </c>
      <c r="Y24" s="1526"/>
      <c r="Z24" s="113">
        <f>'[25]Rates in detail'!AD24</f>
        <v>0</v>
      </c>
      <c r="AA24" s="113">
        <f>'[25]Rates in detail'!AE24</f>
        <v>0</v>
      </c>
      <c r="AB24" s="113">
        <f>'[25]Rates in detail'!AF24</f>
        <v>3.8400000000000001E-3</v>
      </c>
      <c r="AC24" s="343">
        <f t="shared" si="4"/>
        <v>0.31037000000000009</v>
      </c>
      <c r="AD24" s="1594"/>
      <c r="AE24" s="113">
        <f t="shared" si="5"/>
        <v>0.32527000000000006</v>
      </c>
      <c r="AF24" s="113"/>
      <c r="AG24" s="1298">
        <f t="shared" si="6"/>
        <v>0</v>
      </c>
      <c r="AH24" s="113">
        <f t="shared" si="6"/>
        <v>0</v>
      </c>
      <c r="AI24" s="113">
        <f t="shared" si="7"/>
        <v>1.6100000000000001E-3</v>
      </c>
      <c r="AJ24" s="1526">
        <f t="shared" si="8"/>
        <v>0.32688000000000006</v>
      </c>
      <c r="AK24" s="1595"/>
      <c r="AL24" s="113">
        <f>'Rates in Detail'!AC28</f>
        <v>8.5500000000000003E-3</v>
      </c>
      <c r="AM24" s="113">
        <f>'Rates in Detail'!AD28</f>
        <v>-3.4000000000000002E-4</v>
      </c>
      <c r="AN24" s="113">
        <f>'Rates in Detail'!AE28</f>
        <v>0</v>
      </c>
      <c r="AO24" s="113">
        <f>'Rates in Detail'!AF28</f>
        <v>-3.3300000000000001E-3</v>
      </c>
      <c r="AP24" s="113">
        <f t="shared" si="9"/>
        <v>4.8800000000000007E-3</v>
      </c>
      <c r="AQ24" s="130"/>
      <c r="AR24" s="113">
        <f>'Proposed Rates - COMBINED'!AR24</f>
        <v>0.32527000000000006</v>
      </c>
      <c r="AS24" s="113">
        <f>'Proposed Rates - COMBINED'!AS24</f>
        <v>0</v>
      </c>
      <c r="AT24" s="113">
        <f>'Proposed Rates - COMBINED'!AT24</f>
        <v>0</v>
      </c>
      <c r="AU24" s="113">
        <f>'Proposed Rates - COMBINED'!AU24</f>
        <v>0</v>
      </c>
      <c r="AV24" s="113">
        <f>'Proposed Rates - COMBINED'!AV24</f>
        <v>5.3699999999999998E-3</v>
      </c>
      <c r="AW24" s="113">
        <f t="shared" si="10"/>
        <v>0.33064000000000004</v>
      </c>
      <c r="AY24" s="113">
        <f t="shared" si="11"/>
        <v>0.33382000000000006</v>
      </c>
      <c r="AZ24" s="113">
        <f t="shared" si="12"/>
        <v>0</v>
      </c>
      <c r="BA24" s="113">
        <f t="shared" si="13"/>
        <v>0</v>
      </c>
      <c r="BB24" s="113">
        <f t="shared" si="14"/>
        <v>0</v>
      </c>
      <c r="BC24" s="113">
        <f t="shared" si="15"/>
        <v>1.6999999999999997E-3</v>
      </c>
      <c r="BD24" s="113">
        <f t="shared" si="16"/>
        <v>0.33552000000000004</v>
      </c>
      <c r="BE24" s="1654"/>
    </row>
    <row r="25" spans="2:57" x14ac:dyDescent="0.3">
      <c r="B25" s="109">
        <f t="shared" si="17"/>
        <v>17</v>
      </c>
      <c r="C25" s="1287" t="str">
        <f>'WA Volumes &amp; Revenues'!B31</f>
        <v>41I Firm Transpt</v>
      </c>
      <c r="D25" s="1287" t="s">
        <v>4</v>
      </c>
      <c r="E25" s="114">
        <v>2000</v>
      </c>
      <c r="F25" s="115">
        <f>'WA Volumes &amp; Revenues'!E31</f>
        <v>0</v>
      </c>
      <c r="G25" s="115">
        <f>'WA Volumes &amp; Revenues'!H31</f>
        <v>0</v>
      </c>
      <c r="H25" s="890">
        <f>'WA Volumes &amp; Revenues'!O31</f>
        <v>500</v>
      </c>
      <c r="I25" s="891">
        <f>'WA Volumes &amp; Revenues'!N31</f>
        <v>500</v>
      </c>
      <c r="J25" s="620">
        <f>'Rates in Detail'!E29</f>
        <v>0.34791</v>
      </c>
      <c r="K25" s="622">
        <f>'Rates in Detail'!H29</f>
        <v>0</v>
      </c>
      <c r="L25" s="622">
        <f>'Rates in Detail'!F29</f>
        <v>0</v>
      </c>
      <c r="M25" s="622">
        <f>'Rates in Detail'!I29</f>
        <v>1.5499999999999999E-3</v>
      </c>
      <c r="N25" s="136">
        <f t="shared" si="1"/>
        <v>0.34945999999999999</v>
      </c>
      <c r="O25" s="620">
        <f>'Rates in Detail'!L29</f>
        <v>1.5949999999999999E-2</v>
      </c>
      <c r="P25" s="622">
        <f>'Rates in Detail'!P29</f>
        <v>-3.2599999999999999E-3</v>
      </c>
      <c r="Q25" s="622">
        <f>'Rates in Detail'!Q29</f>
        <v>0</v>
      </c>
      <c r="R25" s="250">
        <f t="shared" si="2"/>
        <v>1.269E-2</v>
      </c>
      <c r="S25" s="620">
        <f>'Rates in Detail'!S29</f>
        <v>0</v>
      </c>
      <c r="T25" s="622">
        <f>'Rates in Detail'!T29</f>
        <v>-2.8999999999999998E-3</v>
      </c>
      <c r="U25" s="622">
        <f>'Rates in Detail'!U29</f>
        <v>1.32E-3</v>
      </c>
      <c r="V25" s="256">
        <f t="shared" si="3"/>
        <v>1.111E-2</v>
      </c>
      <c r="W25" s="612"/>
      <c r="X25" s="116">
        <f>'[25]Rates in detail'!AC23</f>
        <v>0.34791</v>
      </c>
      <c r="Y25" s="116"/>
      <c r="Z25" s="116">
        <f>'[25]Rates in detail'!AD23</f>
        <v>0</v>
      </c>
      <c r="AA25" s="116">
        <f>'[25]Rates in detail'!AE23</f>
        <v>0</v>
      </c>
      <c r="AB25" s="116">
        <f>'[25]Rates in detail'!AF23</f>
        <v>4.3499999999999997E-3</v>
      </c>
      <c r="AC25" s="344">
        <f t="shared" si="4"/>
        <v>0.35226000000000002</v>
      </c>
      <c r="AD25" s="1594"/>
      <c r="AE25" s="1573">
        <f t="shared" si="5"/>
        <v>0.36060000000000003</v>
      </c>
      <c r="AF25" s="1573"/>
      <c r="AG25" s="1571">
        <f t="shared" si="6"/>
        <v>0</v>
      </c>
      <c r="AH25" s="1573">
        <f t="shared" si="6"/>
        <v>0</v>
      </c>
      <c r="AI25" s="1573">
        <f t="shared" si="7"/>
        <v>2.7699999999999999E-3</v>
      </c>
      <c r="AJ25" s="1572">
        <f t="shared" si="8"/>
        <v>0.36337000000000003</v>
      </c>
      <c r="AK25" s="1595"/>
      <c r="AL25" s="116">
        <f>'Rates in Detail'!AC29</f>
        <v>7.2100000000000003E-3</v>
      </c>
      <c r="AM25" s="116">
        <f>'Rates in Detail'!AD29</f>
        <v>-2.9E-4</v>
      </c>
      <c r="AN25" s="116">
        <f>'Rates in Detail'!AE29</f>
        <v>0</v>
      </c>
      <c r="AO25" s="116">
        <f>'Rates in Detail'!AF29</f>
        <v>-2.81E-3</v>
      </c>
      <c r="AP25" s="116">
        <f t="shared" si="9"/>
        <v>4.1099999999999999E-3</v>
      </c>
      <c r="AQ25" s="130"/>
      <c r="AR25" s="116">
        <f>'Proposed Rates - COMBINED'!AR25</f>
        <v>0.36060000000000003</v>
      </c>
      <c r="AS25" s="116">
        <f>'Proposed Rates - COMBINED'!AS25</f>
        <v>0</v>
      </c>
      <c r="AT25" s="116">
        <f>'Proposed Rates - COMBINED'!AT25</f>
        <v>0</v>
      </c>
      <c r="AU25" s="116">
        <f>'Proposed Rates - COMBINED'!AU25</f>
        <v>0</v>
      </c>
      <c r="AV25" s="116">
        <f>'Proposed Rates - COMBINED'!AV25</f>
        <v>6.2700000000000004E-3</v>
      </c>
      <c r="AW25" s="116">
        <f t="shared" si="10"/>
        <v>0.36687000000000003</v>
      </c>
      <c r="AY25" s="116">
        <f t="shared" si="11"/>
        <v>0.36781000000000003</v>
      </c>
      <c r="AZ25" s="116">
        <f t="shared" si="12"/>
        <v>0</v>
      </c>
      <c r="BA25" s="116">
        <f t="shared" si="13"/>
        <v>0</v>
      </c>
      <c r="BB25" s="116">
        <f t="shared" si="14"/>
        <v>0</v>
      </c>
      <c r="BC25" s="116">
        <f t="shared" si="15"/>
        <v>3.1700000000000005E-3</v>
      </c>
      <c r="BD25" s="116">
        <f t="shared" si="16"/>
        <v>0.37098000000000003</v>
      </c>
      <c r="BE25" s="1654"/>
    </row>
    <row r="26" spans="2:57" x14ac:dyDescent="0.3">
      <c r="B26" s="109">
        <f t="shared" si="17"/>
        <v>18</v>
      </c>
      <c r="C26" s="110"/>
      <c r="D26" s="110" t="s">
        <v>5</v>
      </c>
      <c r="E26" s="111" t="s">
        <v>72</v>
      </c>
      <c r="F26" s="112">
        <f>'WA Volumes &amp; Revenues'!E32</f>
        <v>0</v>
      </c>
      <c r="G26" s="112"/>
      <c r="H26" s="885"/>
      <c r="I26" s="887"/>
      <c r="J26" s="619">
        <f>'Rates in Detail'!E30</f>
        <v>0.30653000000000008</v>
      </c>
      <c r="K26" s="623">
        <f>'Rates in Detail'!H30</f>
        <v>0</v>
      </c>
      <c r="L26" s="623">
        <f>'Rates in Detail'!F30</f>
        <v>0</v>
      </c>
      <c r="M26" s="623">
        <f>'Rates in Detail'!I30</f>
        <v>1.3600000000000001E-3</v>
      </c>
      <c r="N26" s="134">
        <f t="shared" si="1"/>
        <v>0.30789000000000011</v>
      </c>
      <c r="O26" s="619">
        <f>'Rates in Detail'!L30</f>
        <v>1.405E-2</v>
      </c>
      <c r="P26" s="623">
        <f>'Rates in Detail'!P30</f>
        <v>-2.8700000000000002E-3</v>
      </c>
      <c r="Q26" s="623">
        <f>'Rates in Detail'!Q30</f>
        <v>0</v>
      </c>
      <c r="R26" s="249">
        <f t="shared" si="2"/>
        <v>1.1179999999999999E-2</v>
      </c>
      <c r="S26" s="619">
        <f>'Rates in Detail'!S30</f>
        <v>0</v>
      </c>
      <c r="T26" s="623">
        <f>'Rates in Detail'!T30</f>
        <v>-2.5600000000000002E-3</v>
      </c>
      <c r="U26" s="623">
        <f>'Rates in Detail'!U30</f>
        <v>1.16E-3</v>
      </c>
      <c r="V26" s="255">
        <f t="shared" si="3"/>
        <v>9.7799999999999988E-3</v>
      </c>
      <c r="W26" s="612"/>
      <c r="X26" s="113">
        <f>'[25]Rates in detail'!AC24</f>
        <v>0.30653000000000008</v>
      </c>
      <c r="Y26" s="113"/>
      <c r="Z26" s="113">
        <f>'[25]Rates in detail'!AD24</f>
        <v>0</v>
      </c>
      <c r="AA26" s="113">
        <f>'[25]Rates in detail'!AE24</f>
        <v>0</v>
      </c>
      <c r="AB26" s="113">
        <f>'[25]Rates in detail'!AF24</f>
        <v>3.8400000000000001E-3</v>
      </c>
      <c r="AC26" s="343">
        <f t="shared" si="4"/>
        <v>0.31037000000000009</v>
      </c>
      <c r="AD26" s="1594"/>
      <c r="AE26" s="113">
        <f t="shared" si="5"/>
        <v>0.3177100000000001</v>
      </c>
      <c r="AF26" s="116"/>
      <c r="AG26" s="1307">
        <f t="shared" si="6"/>
        <v>0</v>
      </c>
      <c r="AH26" s="116">
        <f t="shared" si="6"/>
        <v>0</v>
      </c>
      <c r="AI26" s="116">
        <f t="shared" si="7"/>
        <v>2.4399999999999999E-3</v>
      </c>
      <c r="AJ26" s="1527">
        <f t="shared" si="8"/>
        <v>0.3201500000000001</v>
      </c>
      <c r="AK26" s="1595"/>
      <c r="AL26" s="113">
        <f>'Rates in Detail'!AC30</f>
        <v>6.3499999999999997E-3</v>
      </c>
      <c r="AM26" s="113">
        <f>'Rates in Detail'!AD30</f>
        <v>-2.5000000000000001E-4</v>
      </c>
      <c r="AN26" s="113">
        <f>'Rates in Detail'!AE30</f>
        <v>0</v>
      </c>
      <c r="AO26" s="113">
        <f>'Rates in Detail'!AF30</f>
        <v>-2.47E-3</v>
      </c>
      <c r="AP26" s="113">
        <f t="shared" si="9"/>
        <v>3.6299999999999995E-3</v>
      </c>
      <c r="AQ26" s="130"/>
      <c r="AR26" s="113">
        <f>'Proposed Rates - COMBINED'!AR26</f>
        <v>0.3177100000000001</v>
      </c>
      <c r="AS26" s="113">
        <f>'Proposed Rates - COMBINED'!AS26</f>
        <v>0</v>
      </c>
      <c r="AT26" s="113">
        <f>'Proposed Rates - COMBINED'!AT26</f>
        <v>0</v>
      </c>
      <c r="AU26" s="113">
        <f>'Proposed Rates - COMBINED'!AU26</f>
        <v>0</v>
      </c>
      <c r="AV26" s="113">
        <f>'Proposed Rates - COMBINED'!AV26</f>
        <v>5.5300000000000002E-3</v>
      </c>
      <c r="AW26" s="113">
        <f t="shared" si="10"/>
        <v>0.32324000000000008</v>
      </c>
      <c r="AY26" s="113">
        <f t="shared" si="11"/>
        <v>0.32406000000000013</v>
      </c>
      <c r="AZ26" s="113">
        <f t="shared" si="12"/>
        <v>0</v>
      </c>
      <c r="BA26" s="113">
        <f t="shared" si="13"/>
        <v>0</v>
      </c>
      <c r="BB26" s="113">
        <f t="shared" si="14"/>
        <v>0</v>
      </c>
      <c r="BC26" s="113">
        <f t="shared" si="15"/>
        <v>2.81E-3</v>
      </c>
      <c r="BD26" s="113">
        <f t="shared" si="16"/>
        <v>0.3268700000000001</v>
      </c>
      <c r="BE26" s="1654"/>
    </row>
    <row r="27" spans="2:57" x14ac:dyDescent="0.3">
      <c r="B27" s="109">
        <f t="shared" si="17"/>
        <v>19</v>
      </c>
      <c r="C27" s="1287" t="str">
        <f>'WA Volumes &amp; Revenues'!B33</f>
        <v>42C Firm Sales</v>
      </c>
      <c r="D27" s="1287" t="s">
        <v>4</v>
      </c>
      <c r="E27" s="114">
        <v>10000</v>
      </c>
      <c r="F27" s="115">
        <f>'WA Volumes &amp; Revenues'!E33</f>
        <v>350769.66174469434</v>
      </c>
      <c r="G27" s="115">
        <f>'WA Volumes &amp; Revenues'!H33</f>
        <v>5</v>
      </c>
      <c r="H27" s="890">
        <f>'WA Volumes &amp; Revenues'!O33</f>
        <v>1300</v>
      </c>
      <c r="I27" s="891">
        <f>'WA Volumes &amp; Revenues'!N33</f>
        <v>1300</v>
      </c>
      <c r="J27" s="620">
        <f>'Rates in Detail'!E31</f>
        <v>0.15245999999999996</v>
      </c>
      <c r="K27" s="622">
        <f>'Rates in Detail'!H31</f>
        <v>0</v>
      </c>
      <c r="L27" s="622">
        <f>'Rates in Detail'!F31</f>
        <v>0.26333000000000001</v>
      </c>
      <c r="M27" s="622">
        <f>'Rates in Detail'!I31</f>
        <v>1.9560000000000001E-2</v>
      </c>
      <c r="N27" s="136">
        <f t="shared" si="1"/>
        <v>0.43535000000000001</v>
      </c>
      <c r="O27" s="620">
        <f>'Rates in Detail'!L31</f>
        <v>3.7769999999999998E-2</v>
      </c>
      <c r="P27" s="622">
        <f>'Rates in Detail'!P31</f>
        <v>-3.0899999999999999E-3</v>
      </c>
      <c r="Q27" s="622">
        <f>'Rates in Detail'!Q31</f>
        <v>0</v>
      </c>
      <c r="R27" s="250">
        <f t="shared" si="2"/>
        <v>3.4679999999999996E-2</v>
      </c>
      <c r="S27" s="620">
        <f>'Rates in Detail'!S31</f>
        <v>-5.5300000000000002E-3</v>
      </c>
      <c r="T27" s="622">
        <f>'Rates in Detail'!T31</f>
        <v>-2.9399999999999999E-3</v>
      </c>
      <c r="U27" s="622">
        <f>'Rates in Detail'!U31</f>
        <v>1.0399999999999999E-3</v>
      </c>
      <c r="V27" s="256">
        <f t="shared" si="3"/>
        <v>2.7249999999999996E-2</v>
      </c>
      <c r="W27" s="612"/>
      <c r="X27" s="116">
        <f>'[25]Rates in detail'!AC29</f>
        <v>0.15245999999999993</v>
      </c>
      <c r="Y27" s="116"/>
      <c r="Z27" s="116">
        <f>'[25]Rates in detail'!AD29</f>
        <v>0</v>
      </c>
      <c r="AA27" s="116">
        <f>'[25]Rates in detail'!AE29</f>
        <v>0.34872999999999998</v>
      </c>
      <c r="AB27" s="116">
        <f>'[25]Rates in detail'!AF29</f>
        <v>3.4449999999999995E-2</v>
      </c>
      <c r="AC27" s="344">
        <f t="shared" si="4"/>
        <v>0.53563999999999989</v>
      </c>
      <c r="AD27" s="1594"/>
      <c r="AE27" s="1573">
        <f t="shared" si="5"/>
        <v>0.18713999999999992</v>
      </c>
      <c r="AF27" s="1573"/>
      <c r="AG27" s="1573">
        <f t="shared" si="6"/>
        <v>0</v>
      </c>
      <c r="AH27" s="1573">
        <f t="shared" si="6"/>
        <v>0.34872999999999998</v>
      </c>
      <c r="AI27" s="1573">
        <f t="shared" si="7"/>
        <v>2.7019999999999995E-2</v>
      </c>
      <c r="AJ27" s="1573">
        <f t="shared" si="8"/>
        <v>0.56288999999999989</v>
      </c>
      <c r="AK27" s="1595"/>
      <c r="AL27" s="116">
        <f>'Rates in Detail'!AC31</f>
        <v>2.095E-2</v>
      </c>
      <c r="AM27" s="116">
        <f>'Rates in Detail'!AD31</f>
        <v>-2.9999999999999997E-4</v>
      </c>
      <c r="AN27" s="116">
        <f>'Rates in Detail'!AE31</f>
        <v>-5.5300000000000002E-3</v>
      </c>
      <c r="AO27" s="116">
        <f>'Rates in Detail'!AF31</f>
        <v>-2.9399999999999999E-3</v>
      </c>
      <c r="AP27" s="116">
        <f t="shared" si="9"/>
        <v>1.2179999999999998E-2</v>
      </c>
      <c r="AQ27" s="130"/>
      <c r="AR27" s="116">
        <f>'Proposed Rates - COMBINED'!AR27</f>
        <v>0.18713999999999981</v>
      </c>
      <c r="AS27" s="116">
        <f>'Proposed Rates - COMBINED'!AS27</f>
        <v>0</v>
      </c>
      <c r="AT27" s="116">
        <f>'Proposed Rates - COMBINED'!AT27</f>
        <v>0</v>
      </c>
      <c r="AU27" s="116">
        <f>'Proposed Rates - COMBINED'!AU27</f>
        <v>0.46972000000000003</v>
      </c>
      <c r="AV27" s="116">
        <f>'Proposed Rates - COMBINED'!AV27</f>
        <v>0.13845999999999997</v>
      </c>
      <c r="AW27" s="116">
        <f t="shared" si="10"/>
        <v>0.7953199999999998</v>
      </c>
      <c r="AY27" s="116">
        <f t="shared" si="11"/>
        <v>0.2080899999999998</v>
      </c>
      <c r="AZ27" s="116">
        <f t="shared" si="12"/>
        <v>0</v>
      </c>
      <c r="BA27" s="116">
        <f t="shared" si="13"/>
        <v>0</v>
      </c>
      <c r="BB27" s="116">
        <f t="shared" si="14"/>
        <v>0.46972000000000003</v>
      </c>
      <c r="BC27" s="116">
        <f t="shared" si="15"/>
        <v>0.12968999999999997</v>
      </c>
      <c r="BD27" s="116">
        <f t="shared" si="16"/>
        <v>0.80749999999999977</v>
      </c>
      <c r="BE27" s="1654"/>
    </row>
    <row r="28" spans="2:57" x14ac:dyDescent="0.3">
      <c r="B28" s="109">
        <f t="shared" si="17"/>
        <v>20</v>
      </c>
      <c r="C28" s="1287"/>
      <c r="D28" s="1287" t="s">
        <v>5</v>
      </c>
      <c r="E28" s="114">
        <v>20000</v>
      </c>
      <c r="F28" s="115">
        <f>'WA Volumes &amp; Revenues'!E34</f>
        <v>303088.75426472601</v>
      </c>
      <c r="G28" s="115"/>
      <c r="H28" s="890"/>
      <c r="I28" s="891"/>
      <c r="J28" s="620">
        <f>'Rates in Detail'!E32</f>
        <v>0.1364699999999997</v>
      </c>
      <c r="K28" s="622">
        <f>'Rates in Detail'!H32</f>
        <v>0</v>
      </c>
      <c r="L28" s="622">
        <f>'Rates in Detail'!F32</f>
        <v>0.26333000000000001</v>
      </c>
      <c r="M28" s="622">
        <f>'Rates in Detail'!I32</f>
        <v>1.6539999999999999E-2</v>
      </c>
      <c r="N28" s="136">
        <f t="shared" si="1"/>
        <v>0.41633999999999971</v>
      </c>
      <c r="O28" s="620">
        <f>'Rates in Detail'!L32</f>
        <v>3.381E-2</v>
      </c>
      <c r="P28" s="622">
        <f>'Rates in Detail'!P32</f>
        <v>-2.7699999999999999E-3</v>
      </c>
      <c r="Q28" s="622">
        <f>'Rates in Detail'!Q32</f>
        <v>0</v>
      </c>
      <c r="R28" s="250">
        <f t="shared" si="2"/>
        <v>3.1039999999999998E-2</v>
      </c>
      <c r="S28" s="620">
        <f>'Rates in Detail'!S32</f>
        <v>-4.9500000000000004E-3</v>
      </c>
      <c r="T28" s="622">
        <f>'Rates in Detail'!T32</f>
        <v>-2.63E-3</v>
      </c>
      <c r="U28" s="622">
        <f>'Rates in Detail'!U32</f>
        <v>9.3000000000000005E-4</v>
      </c>
      <c r="V28" s="256">
        <f t="shared" si="3"/>
        <v>2.4389999999999998E-2</v>
      </c>
      <c r="W28" s="612"/>
      <c r="X28" s="116">
        <f>'[25]Rates in detail'!AC30</f>
        <v>0.13646999999999959</v>
      </c>
      <c r="Y28" s="116"/>
      <c r="Z28" s="116">
        <f>'[25]Rates in detail'!AD30</f>
        <v>0</v>
      </c>
      <c r="AA28" s="116">
        <f>'[25]Rates in detail'!AE30</f>
        <v>0.34872999999999998</v>
      </c>
      <c r="AB28" s="116">
        <f>'[25]Rates in detail'!AF30</f>
        <v>3.0869999999999995E-2</v>
      </c>
      <c r="AC28" s="344">
        <f t="shared" si="4"/>
        <v>0.51606999999999958</v>
      </c>
      <c r="AD28" s="1594"/>
      <c r="AE28" s="116">
        <f t="shared" si="5"/>
        <v>0.1675099999999996</v>
      </c>
      <c r="AF28" s="116"/>
      <c r="AG28" s="116">
        <f t="shared" si="6"/>
        <v>0</v>
      </c>
      <c r="AH28" s="116">
        <f t="shared" si="6"/>
        <v>0.34872999999999998</v>
      </c>
      <c r="AI28" s="116">
        <f t="shared" si="7"/>
        <v>2.4219999999999995E-2</v>
      </c>
      <c r="AJ28" s="116">
        <f t="shared" si="8"/>
        <v>0.54045999999999961</v>
      </c>
      <c r="AK28" s="1595"/>
      <c r="AL28" s="116">
        <f>'Rates in Detail'!AC32</f>
        <v>1.8749999999999999E-2</v>
      </c>
      <c r="AM28" s="116">
        <f>'Rates in Detail'!AD32</f>
        <v>-2.7E-4</v>
      </c>
      <c r="AN28" s="116">
        <f>'Rates in Detail'!AE32</f>
        <v>-4.9500000000000004E-3</v>
      </c>
      <c r="AO28" s="116">
        <f>'Rates in Detail'!AF32</f>
        <v>-2.64E-3</v>
      </c>
      <c r="AP28" s="116">
        <f t="shared" si="9"/>
        <v>1.089E-2</v>
      </c>
      <c r="AQ28" s="130"/>
      <c r="AR28" s="116">
        <f>'Proposed Rates - COMBINED'!AR28</f>
        <v>0.16750999999999963</v>
      </c>
      <c r="AS28" s="116">
        <f>'Proposed Rates - COMBINED'!AS28</f>
        <v>0</v>
      </c>
      <c r="AT28" s="116">
        <f>'Proposed Rates - COMBINED'!AT28</f>
        <v>0</v>
      </c>
      <c r="AU28" s="116">
        <f>'Proposed Rates - COMBINED'!AU28</f>
        <v>0.46972000000000003</v>
      </c>
      <c r="AV28" s="116">
        <f>'Proposed Rates - COMBINED'!AV28</f>
        <v>0.13621999999999998</v>
      </c>
      <c r="AW28" s="116">
        <f t="shared" si="10"/>
        <v>0.77344999999999964</v>
      </c>
      <c r="AY28" s="116">
        <f t="shared" si="11"/>
        <v>0.18625999999999962</v>
      </c>
      <c r="AZ28" s="116">
        <f t="shared" si="12"/>
        <v>0</v>
      </c>
      <c r="BA28" s="116">
        <f t="shared" si="13"/>
        <v>0</v>
      </c>
      <c r="BB28" s="116">
        <f t="shared" si="14"/>
        <v>0.46972000000000003</v>
      </c>
      <c r="BC28" s="116">
        <f t="shared" si="15"/>
        <v>0.12835999999999997</v>
      </c>
      <c r="BD28" s="116">
        <f t="shared" si="16"/>
        <v>0.78433999999999959</v>
      </c>
      <c r="BE28" s="1654"/>
    </row>
    <row r="29" spans="2:57" x14ac:dyDescent="0.3">
      <c r="B29" s="109">
        <f t="shared" si="17"/>
        <v>21</v>
      </c>
      <c r="C29" s="1287"/>
      <c r="D29" s="1287" t="s">
        <v>6</v>
      </c>
      <c r="E29" s="114">
        <v>20000</v>
      </c>
      <c r="F29" s="115">
        <f>'WA Volumes &amp; Revenues'!E35</f>
        <v>59441.942130257296</v>
      </c>
      <c r="G29" s="115"/>
      <c r="H29" s="890"/>
      <c r="I29" s="891"/>
      <c r="J29" s="620">
        <f>'Rates in Detail'!E33</f>
        <v>0.1046699999999999</v>
      </c>
      <c r="K29" s="622">
        <f>'Rates in Detail'!H33</f>
        <v>0</v>
      </c>
      <c r="L29" s="622">
        <f>'Rates in Detail'!F33</f>
        <v>0.26333000000000001</v>
      </c>
      <c r="M29" s="622">
        <f>'Rates in Detail'!I33</f>
        <v>1.052E-2</v>
      </c>
      <c r="N29" s="136">
        <f t="shared" si="1"/>
        <v>0.37851999999999986</v>
      </c>
      <c r="O29" s="620">
        <f>'Rates in Detail'!L33</f>
        <v>2.5930000000000002E-2</v>
      </c>
      <c r="P29" s="622">
        <f>'Rates in Detail'!P33</f>
        <v>-2.1199999999999999E-3</v>
      </c>
      <c r="Q29" s="622">
        <f>'Rates in Detail'!Q33</f>
        <v>0</v>
      </c>
      <c r="R29" s="250">
        <f t="shared" si="2"/>
        <v>2.3810000000000001E-2</v>
      </c>
      <c r="S29" s="620">
        <f>'Rates in Detail'!S33</f>
        <v>-3.8E-3</v>
      </c>
      <c r="T29" s="622">
        <f>'Rates in Detail'!T33</f>
        <v>-2.0200000000000001E-3</v>
      </c>
      <c r="U29" s="622">
        <f>'Rates in Detail'!U33</f>
        <v>7.1000000000000002E-4</v>
      </c>
      <c r="V29" s="256">
        <f t="shared" si="3"/>
        <v>1.8699999999999998E-2</v>
      </c>
      <c r="W29" s="612"/>
      <c r="X29" s="116">
        <f>'[25]Rates in detail'!AC31</f>
        <v>0.10466999999999993</v>
      </c>
      <c r="Y29" s="116"/>
      <c r="Z29" s="116">
        <f>'[25]Rates in detail'!AD31</f>
        <v>0</v>
      </c>
      <c r="AA29" s="116">
        <f>'[25]Rates in detail'!AE31</f>
        <v>0.34872999999999998</v>
      </c>
      <c r="AB29" s="116">
        <f>'[25]Rates in detail'!AF31</f>
        <v>2.3759999999999996E-2</v>
      </c>
      <c r="AC29" s="344">
        <f t="shared" si="4"/>
        <v>0.47715999999999992</v>
      </c>
      <c r="AD29" s="1594"/>
      <c r="AE29" s="116">
        <f t="shared" si="5"/>
        <v>0.12847999999999993</v>
      </c>
      <c r="AF29" s="116"/>
      <c r="AG29" s="116">
        <f t="shared" si="6"/>
        <v>0</v>
      </c>
      <c r="AH29" s="116">
        <f t="shared" si="6"/>
        <v>0.34872999999999998</v>
      </c>
      <c r="AI29" s="116">
        <f t="shared" si="7"/>
        <v>1.8649999999999993E-2</v>
      </c>
      <c r="AJ29" s="116">
        <f t="shared" si="8"/>
        <v>0.49585999999999991</v>
      </c>
      <c r="AK29" s="1595"/>
      <c r="AL29" s="116">
        <f>'Rates in Detail'!AC33</f>
        <v>1.438E-2</v>
      </c>
      <c r="AM29" s="116">
        <f>'Rates in Detail'!AD33</f>
        <v>-2.1000000000000001E-4</v>
      </c>
      <c r="AN29" s="116">
        <f>'Rates in Detail'!AE33</f>
        <v>-3.8E-3</v>
      </c>
      <c r="AO29" s="116">
        <f>'Rates in Detail'!AF33</f>
        <v>-2.0200000000000001E-3</v>
      </c>
      <c r="AP29" s="116">
        <f t="shared" si="9"/>
        <v>8.3499999999999998E-3</v>
      </c>
      <c r="AQ29" s="130"/>
      <c r="AR29" s="116">
        <f>'Proposed Rates - COMBINED'!AR29</f>
        <v>0.12847999999999993</v>
      </c>
      <c r="AS29" s="116">
        <f>'Proposed Rates - COMBINED'!AS29</f>
        <v>0</v>
      </c>
      <c r="AT29" s="116">
        <f>'Proposed Rates - COMBINED'!AT29</f>
        <v>0</v>
      </c>
      <c r="AU29" s="116">
        <f>'Proposed Rates - COMBINED'!AU29</f>
        <v>0.46972000000000003</v>
      </c>
      <c r="AV29" s="116">
        <f>'Proposed Rates - COMBINED'!AV29</f>
        <v>0.13175999999999999</v>
      </c>
      <c r="AW29" s="116">
        <f t="shared" si="10"/>
        <v>0.72995999999999994</v>
      </c>
      <c r="AY29" s="116">
        <f t="shared" si="11"/>
        <v>0.14285999999999993</v>
      </c>
      <c r="AZ29" s="116">
        <f t="shared" si="12"/>
        <v>0</v>
      </c>
      <c r="BA29" s="116">
        <f t="shared" si="13"/>
        <v>0</v>
      </c>
      <c r="BB29" s="116">
        <f t="shared" si="14"/>
        <v>0.46972000000000003</v>
      </c>
      <c r="BC29" s="116">
        <f t="shared" si="15"/>
        <v>0.12572999999999998</v>
      </c>
      <c r="BD29" s="116">
        <f t="shared" si="16"/>
        <v>0.73830999999999991</v>
      </c>
      <c r="BE29" s="1654"/>
    </row>
    <row r="30" spans="2:57" x14ac:dyDescent="0.3">
      <c r="B30" s="109">
        <f t="shared" si="17"/>
        <v>22</v>
      </c>
      <c r="C30" s="1287"/>
      <c r="D30" s="1287" t="s">
        <v>7</v>
      </c>
      <c r="E30" s="114">
        <v>100000</v>
      </c>
      <c r="F30" s="115">
        <f>'WA Volumes &amp; Revenues'!E36</f>
        <v>3614.6071898605187</v>
      </c>
      <c r="G30" s="115"/>
      <c r="H30" s="890"/>
      <c r="I30" s="891"/>
      <c r="J30" s="620">
        <f>'Rates in Detail'!E34</f>
        <v>8.3729999999999999E-2</v>
      </c>
      <c r="K30" s="622">
        <f>'Rates in Detail'!H34</f>
        <v>0</v>
      </c>
      <c r="L30" s="622">
        <f>'Rates in Detail'!F34</f>
        <v>0.26333000000000001</v>
      </c>
      <c r="M30" s="622">
        <f>'Rates in Detail'!I34</f>
        <v>6.550000000000002E-3</v>
      </c>
      <c r="N30" s="136">
        <f t="shared" si="1"/>
        <v>0.35361000000000004</v>
      </c>
      <c r="O30" s="620">
        <f>'Rates in Detail'!L34</f>
        <v>2.0740000000000001E-2</v>
      </c>
      <c r="P30" s="622">
        <f>'Rates in Detail'!P34</f>
        <v>-1.6999999999999999E-3</v>
      </c>
      <c r="Q30" s="622">
        <f>'Rates in Detail'!Q34</f>
        <v>0</v>
      </c>
      <c r="R30" s="250">
        <f t="shared" si="2"/>
        <v>1.9040000000000001E-2</v>
      </c>
      <c r="S30" s="620">
        <f>'Rates in Detail'!S34</f>
        <v>-3.0400000000000002E-3</v>
      </c>
      <c r="T30" s="622">
        <f>'Rates in Detail'!T34</f>
        <v>-1.6100000000000001E-3</v>
      </c>
      <c r="U30" s="622">
        <f>'Rates in Detail'!U34</f>
        <v>5.6999999999999998E-4</v>
      </c>
      <c r="V30" s="256">
        <f t="shared" si="3"/>
        <v>1.4959999999999999E-2</v>
      </c>
      <c r="W30" s="612"/>
      <c r="X30" s="116">
        <f>'[25]Rates in detail'!AC32</f>
        <v>8.3730000000000249E-2</v>
      </c>
      <c r="Y30" s="116"/>
      <c r="Z30" s="116">
        <f>'[25]Rates in detail'!AD32</f>
        <v>0</v>
      </c>
      <c r="AA30" s="116">
        <f>'[25]Rates in detail'!AE32</f>
        <v>0.34872999999999998</v>
      </c>
      <c r="AB30" s="116">
        <f>'[25]Rates in detail'!AF32</f>
        <v>1.9089999999999992E-2</v>
      </c>
      <c r="AC30" s="344">
        <f t="shared" si="4"/>
        <v>0.45155000000000023</v>
      </c>
      <c r="AD30" s="1594"/>
      <c r="AE30" s="116">
        <f t="shared" si="5"/>
        <v>0.10277000000000026</v>
      </c>
      <c r="AF30" s="116"/>
      <c r="AG30" s="116">
        <f t="shared" si="6"/>
        <v>0</v>
      </c>
      <c r="AH30" s="116">
        <f t="shared" si="6"/>
        <v>0.34872999999999998</v>
      </c>
      <c r="AI30" s="116">
        <f t="shared" si="7"/>
        <v>1.500999999999999E-2</v>
      </c>
      <c r="AJ30" s="116">
        <f t="shared" si="8"/>
        <v>0.4665100000000002</v>
      </c>
      <c r="AK30" s="1595"/>
      <c r="AL30" s="116">
        <f>'Rates in Detail'!AC34</f>
        <v>1.1509999999999999E-2</v>
      </c>
      <c r="AM30" s="116">
        <f>'Rates in Detail'!AD34</f>
        <v>-1.6000000000000001E-4</v>
      </c>
      <c r="AN30" s="116">
        <f>'Rates in Detail'!AE34</f>
        <v>-3.0400000000000002E-3</v>
      </c>
      <c r="AO30" s="116">
        <f>'Rates in Detail'!AF34</f>
        <v>-1.6199999999999999E-3</v>
      </c>
      <c r="AP30" s="116">
        <f t="shared" si="9"/>
        <v>6.689999999999998E-3</v>
      </c>
      <c r="AQ30" s="130"/>
      <c r="AR30" s="116">
        <f>'Proposed Rates - COMBINED'!AR30</f>
        <v>0.10277000000000025</v>
      </c>
      <c r="AS30" s="116">
        <f>'Proposed Rates - COMBINED'!AS30</f>
        <v>0</v>
      </c>
      <c r="AT30" s="116">
        <f>'Proposed Rates - COMBINED'!AT30</f>
        <v>0</v>
      </c>
      <c r="AU30" s="116">
        <f>'Proposed Rates - COMBINED'!AU30</f>
        <v>0.46972000000000003</v>
      </c>
      <c r="AV30" s="116">
        <f>'Proposed Rates - COMBINED'!AV30</f>
        <v>0.12883</v>
      </c>
      <c r="AW30" s="116">
        <f t="shared" si="10"/>
        <v>0.70132000000000028</v>
      </c>
      <c r="AY30" s="116">
        <f t="shared" si="11"/>
        <v>0.11428000000000024</v>
      </c>
      <c r="AZ30" s="116">
        <f t="shared" si="12"/>
        <v>0</v>
      </c>
      <c r="BA30" s="116">
        <f t="shared" si="13"/>
        <v>0</v>
      </c>
      <c r="BB30" s="116">
        <f t="shared" si="14"/>
        <v>0.46972000000000003</v>
      </c>
      <c r="BC30" s="116">
        <f t="shared" si="15"/>
        <v>0.12401</v>
      </c>
      <c r="BD30" s="116">
        <f t="shared" si="16"/>
        <v>0.70801000000000025</v>
      </c>
      <c r="BE30" s="1654"/>
    </row>
    <row r="31" spans="2:57" x14ac:dyDescent="0.3">
      <c r="B31" s="109">
        <f t="shared" si="17"/>
        <v>23</v>
      </c>
      <c r="C31" s="1287"/>
      <c r="D31" s="1287" t="s">
        <v>8</v>
      </c>
      <c r="E31" s="114">
        <v>600000</v>
      </c>
      <c r="F31" s="115">
        <f>'WA Volumes &amp; Revenues'!E37</f>
        <v>0</v>
      </c>
      <c r="G31" s="115"/>
      <c r="H31" s="890"/>
      <c r="I31" s="891"/>
      <c r="J31" s="620">
        <f>'Rates in Detail'!E35</f>
        <v>5.5809999999999992E-2</v>
      </c>
      <c r="K31" s="622">
        <f>'Rates in Detail'!H35</f>
        <v>0</v>
      </c>
      <c r="L31" s="622">
        <f>'Rates in Detail'!F35</f>
        <v>0.26333000000000001</v>
      </c>
      <c r="M31" s="622">
        <f>'Rates in Detail'!I35</f>
        <v>1.239999999999998E-3</v>
      </c>
      <c r="N31" s="136">
        <f t="shared" si="1"/>
        <v>0.32038</v>
      </c>
      <c r="O31" s="620">
        <f>'Rates in Detail'!L35</f>
        <v>1.383E-2</v>
      </c>
      <c r="P31" s="622">
        <f>'Rates in Detail'!P35</f>
        <v>-1.1299999999999999E-3</v>
      </c>
      <c r="Q31" s="622">
        <f>'Rates in Detail'!Q35</f>
        <v>0</v>
      </c>
      <c r="R31" s="250">
        <f t="shared" si="2"/>
        <v>1.2699999999999999E-2</v>
      </c>
      <c r="S31" s="620">
        <f>'Rates in Detail'!S35</f>
        <v>-2.0200000000000001E-3</v>
      </c>
      <c r="T31" s="622">
        <f>'Rates in Detail'!T35</f>
        <v>-1.08E-3</v>
      </c>
      <c r="U31" s="622">
        <f>'Rates in Detail'!U35</f>
        <v>3.8000000000000002E-4</v>
      </c>
      <c r="V31" s="256">
        <f t="shared" si="3"/>
        <v>9.9799999999999993E-3</v>
      </c>
      <c r="W31" s="612"/>
      <c r="X31" s="116">
        <f>'[25]Rates in detail'!AC33</f>
        <v>5.5809999999999971E-2</v>
      </c>
      <c r="Y31" s="116"/>
      <c r="Z31" s="116">
        <f>'[25]Rates in detail'!AD33</f>
        <v>0</v>
      </c>
      <c r="AA31" s="116">
        <f>'[25]Rates in detail'!AE33</f>
        <v>0.34872999999999998</v>
      </c>
      <c r="AB31" s="116">
        <f>'[25]Rates in detail'!AF33</f>
        <v>1.2869999999999994E-2</v>
      </c>
      <c r="AC31" s="344">
        <f t="shared" si="4"/>
        <v>0.41740999999999995</v>
      </c>
      <c r="AD31" s="1594"/>
      <c r="AE31" s="116">
        <f t="shared" si="5"/>
        <v>6.850999999999996E-2</v>
      </c>
      <c r="AF31" s="116"/>
      <c r="AG31" s="116">
        <f t="shared" si="6"/>
        <v>0</v>
      </c>
      <c r="AH31" s="116">
        <f t="shared" si="6"/>
        <v>0.34872999999999998</v>
      </c>
      <c r="AI31" s="116">
        <f t="shared" si="7"/>
        <v>1.0149999999999996E-2</v>
      </c>
      <c r="AJ31" s="116">
        <f t="shared" si="8"/>
        <v>0.42738999999999994</v>
      </c>
      <c r="AK31" s="1595"/>
      <c r="AL31" s="116">
        <f>'Rates in Detail'!AC35</f>
        <v>7.6699999999999997E-3</v>
      </c>
      <c r="AM31" s="116">
        <f>'Rates in Detail'!AD35</f>
        <v>-1.1E-4</v>
      </c>
      <c r="AN31" s="116">
        <f>'Rates in Detail'!AE35</f>
        <v>-2.0200000000000001E-3</v>
      </c>
      <c r="AO31" s="116">
        <f>'Rates in Detail'!AF35</f>
        <v>-1.08E-3</v>
      </c>
      <c r="AP31" s="116">
        <f t="shared" si="9"/>
        <v>4.4599999999999996E-3</v>
      </c>
      <c r="AQ31" s="130"/>
      <c r="AR31" s="116">
        <f>'Proposed Rates - COMBINED'!AR31</f>
        <v>6.8510000000000001E-2</v>
      </c>
      <c r="AS31" s="116">
        <f>'Proposed Rates - COMBINED'!AS31</f>
        <v>0</v>
      </c>
      <c r="AT31" s="116">
        <f>'Proposed Rates - COMBINED'!AT31</f>
        <v>0</v>
      </c>
      <c r="AU31" s="116">
        <f>'Proposed Rates - COMBINED'!AU31</f>
        <v>0.46972000000000003</v>
      </c>
      <c r="AV31" s="116">
        <f>'Proposed Rates - COMBINED'!AV31</f>
        <v>0.12491999999999999</v>
      </c>
      <c r="AW31" s="116">
        <f t="shared" si="10"/>
        <v>0.66315000000000002</v>
      </c>
      <c r="AY31" s="116">
        <f t="shared" si="11"/>
        <v>7.6179999999999998E-2</v>
      </c>
      <c r="AZ31" s="116">
        <f t="shared" si="12"/>
        <v>0</v>
      </c>
      <c r="BA31" s="116">
        <f t="shared" si="13"/>
        <v>0</v>
      </c>
      <c r="BB31" s="116">
        <f t="shared" si="14"/>
        <v>0.46972000000000003</v>
      </c>
      <c r="BC31" s="116">
        <f t="shared" si="15"/>
        <v>0.12170999999999998</v>
      </c>
      <c r="BD31" s="116">
        <f t="shared" si="16"/>
        <v>0.66761000000000004</v>
      </c>
      <c r="BE31" s="1654"/>
    </row>
    <row r="32" spans="2:57" x14ac:dyDescent="0.3">
      <c r="B32" s="109">
        <f t="shared" si="17"/>
        <v>24</v>
      </c>
      <c r="C32" s="110"/>
      <c r="D32" s="110" t="s">
        <v>9</v>
      </c>
      <c r="E32" s="111" t="s">
        <v>72</v>
      </c>
      <c r="F32" s="112">
        <f>'WA Volumes &amp; Revenues'!E38</f>
        <v>0</v>
      </c>
      <c r="G32" s="112"/>
      <c r="H32" s="885"/>
      <c r="I32" s="887"/>
      <c r="J32" s="619">
        <f>'Rates in Detail'!E36</f>
        <v>2.0920000000000029E-2</v>
      </c>
      <c r="K32" s="623">
        <f>'Rates in Detail'!H36</f>
        <v>0</v>
      </c>
      <c r="L32" s="623">
        <f>'Rates in Detail'!F36</f>
        <v>0.26333000000000001</v>
      </c>
      <c r="M32" s="623">
        <f>'Rates in Detail'!I36</f>
        <v>-5.3500000000000006E-3</v>
      </c>
      <c r="N32" s="134">
        <f t="shared" si="1"/>
        <v>0.27890000000000004</v>
      </c>
      <c r="O32" s="619">
        <f>'Rates in Detail'!L36</f>
        <v>5.1799999999999997E-3</v>
      </c>
      <c r="P32" s="623">
        <f>'Rates in Detail'!P36</f>
        <v>-4.2000000000000002E-4</v>
      </c>
      <c r="Q32" s="623">
        <f>'Rates in Detail'!Q36</f>
        <v>0</v>
      </c>
      <c r="R32" s="249">
        <f t="shared" si="2"/>
        <v>4.7599999999999995E-3</v>
      </c>
      <c r="S32" s="619">
        <f>'Rates in Detail'!S36</f>
        <v>-7.6000000000000004E-4</v>
      </c>
      <c r="T32" s="623">
        <f>'Rates in Detail'!T36</f>
        <v>-4.0000000000000002E-4</v>
      </c>
      <c r="U32" s="623">
        <f>'Rates in Detail'!U36</f>
        <v>1.3999999999999999E-4</v>
      </c>
      <c r="V32" s="255">
        <f t="shared" si="3"/>
        <v>3.739999999999999E-3</v>
      </c>
      <c r="W32" s="612"/>
      <c r="X32" s="113">
        <f>'[25]Rates in detail'!AC34</f>
        <v>2.0920000000000077E-2</v>
      </c>
      <c r="Y32" s="113"/>
      <c r="Z32" s="113">
        <f>'[25]Rates in detail'!AD34</f>
        <v>0</v>
      </c>
      <c r="AA32" s="113">
        <f>'[25]Rates in detail'!AE34</f>
        <v>0.34872999999999998</v>
      </c>
      <c r="AB32" s="113">
        <f>'[25]Rates in detail'!AF34</f>
        <v>5.0699999999999929E-3</v>
      </c>
      <c r="AC32" s="343">
        <f t="shared" si="4"/>
        <v>0.37472000000000005</v>
      </c>
      <c r="AD32" s="1594"/>
      <c r="AE32" s="113">
        <f t="shared" si="5"/>
        <v>2.5680000000000078E-2</v>
      </c>
      <c r="AF32" s="113"/>
      <c r="AG32" s="113">
        <f t="shared" si="6"/>
        <v>0</v>
      </c>
      <c r="AH32" s="113">
        <f t="shared" si="6"/>
        <v>0.34872999999999998</v>
      </c>
      <c r="AI32" s="113">
        <f t="shared" si="7"/>
        <v>4.0499999999999928E-3</v>
      </c>
      <c r="AJ32" s="113">
        <f t="shared" si="8"/>
        <v>0.37846000000000007</v>
      </c>
      <c r="AK32" s="1595"/>
      <c r="AL32" s="113">
        <f>'Rates in Detail'!AC36</f>
        <v>2.8800000000000002E-3</v>
      </c>
      <c r="AM32" s="113">
        <f>'Rates in Detail'!AD36</f>
        <v>-4.0000000000000003E-5</v>
      </c>
      <c r="AN32" s="113">
        <f>'Rates in Detail'!AE36</f>
        <v>-7.6000000000000004E-4</v>
      </c>
      <c r="AO32" s="113">
        <f>'Rates in Detail'!AF36</f>
        <v>-4.0000000000000002E-4</v>
      </c>
      <c r="AP32" s="113">
        <f t="shared" si="9"/>
        <v>1.6800000000000003E-3</v>
      </c>
      <c r="AQ32" s="130"/>
      <c r="AR32" s="113">
        <f>'Proposed Rates - COMBINED'!AR32</f>
        <v>2.5680000000000106E-2</v>
      </c>
      <c r="AS32" s="113">
        <f>'Proposed Rates - COMBINED'!AS32</f>
        <v>0</v>
      </c>
      <c r="AT32" s="113">
        <f>'Proposed Rates - COMBINED'!AT32</f>
        <v>0</v>
      </c>
      <c r="AU32" s="113">
        <f>'Proposed Rates - COMBINED'!AU32</f>
        <v>0.46972000000000003</v>
      </c>
      <c r="AV32" s="113">
        <f>'Proposed Rates - COMBINED'!AV32</f>
        <v>0.12000999999999999</v>
      </c>
      <c r="AW32" s="113">
        <f t="shared" si="10"/>
        <v>0.61541000000000012</v>
      </c>
      <c r="AY32" s="113">
        <f t="shared" si="11"/>
        <v>2.8560000000000106E-2</v>
      </c>
      <c r="AZ32" s="113">
        <f t="shared" si="12"/>
        <v>0</v>
      </c>
      <c r="BA32" s="113">
        <f t="shared" si="13"/>
        <v>0</v>
      </c>
      <c r="BB32" s="113">
        <f t="shared" si="14"/>
        <v>0.46972000000000003</v>
      </c>
      <c r="BC32" s="113">
        <f t="shared" si="15"/>
        <v>0.11880999999999999</v>
      </c>
      <c r="BD32" s="113">
        <f t="shared" si="16"/>
        <v>0.61709000000000014</v>
      </c>
      <c r="BE32" s="1654"/>
    </row>
    <row r="33" spans="2:57" x14ac:dyDescent="0.3">
      <c r="B33" s="109">
        <f t="shared" si="17"/>
        <v>25</v>
      </c>
      <c r="C33" s="1287" t="str">
        <f>'WA Volumes &amp; Revenues'!B39</f>
        <v>42I Firm Sales</v>
      </c>
      <c r="D33" s="1287" t="s">
        <v>4</v>
      </c>
      <c r="E33" s="114">
        <v>10000</v>
      </c>
      <c r="F33" s="115">
        <f>'WA Volumes &amp; Revenues'!E39</f>
        <v>1093724.2000000002</v>
      </c>
      <c r="G33" s="115">
        <f>'WA Volumes &amp; Revenues'!H39</f>
        <v>11.916666666666666</v>
      </c>
      <c r="H33" s="890">
        <f>'WA Volumes &amp; Revenues'!O39</f>
        <v>1300</v>
      </c>
      <c r="I33" s="891">
        <f>'WA Volumes &amp; Revenues'!N39</f>
        <v>1300</v>
      </c>
      <c r="J33" s="620">
        <f>'Rates in Detail'!E37</f>
        <v>0.14721000000000001</v>
      </c>
      <c r="K33" s="622">
        <f>'Rates in Detail'!H37</f>
        <v>0</v>
      </c>
      <c r="L33" s="622">
        <f>'Rates in Detail'!F37</f>
        <v>0.26333000000000001</v>
      </c>
      <c r="M33" s="622">
        <f>'Rates in Detail'!I37</f>
        <v>-4.6100000000000012E-3</v>
      </c>
      <c r="N33" s="136">
        <f t="shared" si="1"/>
        <v>0.40593000000000001</v>
      </c>
      <c r="O33" s="620">
        <f>'Rates in Detail'!L37</f>
        <v>1.6219999999999998E-2</v>
      </c>
      <c r="P33" s="622">
        <f>'Rates in Detail'!P37</f>
        <v>-2.7499999999999998E-3</v>
      </c>
      <c r="Q33" s="622">
        <f>'Rates in Detail'!Q37</f>
        <v>0</v>
      </c>
      <c r="R33" s="250">
        <f t="shared" si="2"/>
        <v>1.3469999999999999E-2</v>
      </c>
      <c r="S33" s="620">
        <f>'Rates in Detail'!S37</f>
        <v>0</v>
      </c>
      <c r="T33" s="622">
        <f>'Rates in Detail'!T37</f>
        <v>-2.47E-3</v>
      </c>
      <c r="U33" s="622">
        <f>'Rates in Detail'!U37</f>
        <v>8.7000000000000001E-4</v>
      </c>
      <c r="V33" s="256">
        <f t="shared" si="3"/>
        <v>1.1869999999999999E-2</v>
      </c>
      <c r="W33" s="612"/>
      <c r="X33" s="116">
        <f>'[25]Rates in detail'!AC35</f>
        <v>0.14720999999999995</v>
      </c>
      <c r="Y33" s="116"/>
      <c r="Z33" s="116">
        <f>'[25]Rates in detail'!AD35</f>
        <v>0</v>
      </c>
      <c r="AA33" s="116">
        <f>'[25]Rates in detail'!AE35</f>
        <v>0.34872999999999998</v>
      </c>
      <c r="AB33" s="116">
        <f>'[25]Rates in detail'!AF35</f>
        <v>5.6599999999999932E-3</v>
      </c>
      <c r="AC33" s="344">
        <f t="shared" si="4"/>
        <v>0.50159999999999993</v>
      </c>
      <c r="AD33" s="1594"/>
      <c r="AE33" s="1573">
        <f t="shared" si="5"/>
        <v>0.16067999999999996</v>
      </c>
      <c r="AF33" s="1573"/>
      <c r="AG33" s="1573">
        <f t="shared" si="6"/>
        <v>0</v>
      </c>
      <c r="AH33" s="1573">
        <f t="shared" si="6"/>
        <v>0.34872999999999998</v>
      </c>
      <c r="AI33" s="1573">
        <f t="shared" si="7"/>
        <v>4.0599999999999933E-3</v>
      </c>
      <c r="AJ33" s="1573">
        <f t="shared" si="8"/>
        <v>0.51346999999999987</v>
      </c>
      <c r="AK33" s="1595"/>
      <c r="AL33" s="116">
        <f>'Rates in Detail'!AC37</f>
        <v>6.1399999999999996E-3</v>
      </c>
      <c r="AM33" s="116">
        <f>'Rates in Detail'!AD37</f>
        <v>-2.4000000000000001E-4</v>
      </c>
      <c r="AN33" s="116">
        <f>'Rates in Detail'!AE37</f>
        <v>0</v>
      </c>
      <c r="AO33" s="116">
        <f>'Rates in Detail'!AF37</f>
        <v>-2.3900000000000002E-3</v>
      </c>
      <c r="AP33" s="116">
        <f t="shared" si="9"/>
        <v>3.5099999999999997E-3</v>
      </c>
      <c r="AQ33" s="130"/>
      <c r="AR33" s="116">
        <f>'Proposed Rates - COMBINED'!AR33</f>
        <v>0.16067999999999999</v>
      </c>
      <c r="AS33" s="116">
        <f>'Proposed Rates - COMBINED'!AS33</f>
        <v>0</v>
      </c>
      <c r="AT33" s="116">
        <f>'Proposed Rates - COMBINED'!AT33</f>
        <v>0</v>
      </c>
      <c r="AU33" s="116">
        <f>'Proposed Rates - COMBINED'!AU33</f>
        <v>0.46972000000000003</v>
      </c>
      <c r="AV33" s="116">
        <f>'Proposed Rates - COMBINED'!AV33</f>
        <v>0.12069999999999999</v>
      </c>
      <c r="AW33" s="116">
        <f t="shared" si="10"/>
        <v>0.7511000000000001</v>
      </c>
      <c r="AY33" s="116">
        <f t="shared" si="11"/>
        <v>0.16682</v>
      </c>
      <c r="AZ33" s="116">
        <f t="shared" si="12"/>
        <v>0</v>
      </c>
      <c r="BA33" s="116">
        <f t="shared" si="13"/>
        <v>0</v>
      </c>
      <c r="BB33" s="116">
        <f t="shared" si="14"/>
        <v>0.46972000000000003</v>
      </c>
      <c r="BC33" s="116">
        <f t="shared" si="15"/>
        <v>0.11806999999999998</v>
      </c>
      <c r="BD33" s="116">
        <f t="shared" si="16"/>
        <v>0.75461</v>
      </c>
      <c r="BE33" s="1654"/>
    </row>
    <row r="34" spans="2:57" x14ac:dyDescent="0.3">
      <c r="B34" s="109">
        <f t="shared" si="17"/>
        <v>26</v>
      </c>
      <c r="C34" s="1287"/>
      <c r="D34" s="1287" t="s">
        <v>5</v>
      </c>
      <c r="E34" s="114">
        <v>20000</v>
      </c>
      <c r="F34" s="115">
        <f>'WA Volumes &amp; Revenues'!E40</f>
        <v>655939.80000000005</v>
      </c>
      <c r="G34" s="115"/>
      <c r="H34" s="890"/>
      <c r="I34" s="891"/>
      <c r="J34" s="620">
        <f>'Rates in Detail'!E38</f>
        <v>0.13177</v>
      </c>
      <c r="K34" s="622">
        <f>'Rates in Detail'!H38</f>
        <v>0</v>
      </c>
      <c r="L34" s="622">
        <f>'Rates in Detail'!F38</f>
        <v>0.26333000000000001</v>
      </c>
      <c r="M34" s="622">
        <f>'Rates in Detail'!I38</f>
        <v>-5.1100000000000008E-3</v>
      </c>
      <c r="N34" s="136">
        <f t="shared" si="1"/>
        <v>0.38999</v>
      </c>
      <c r="O34" s="620">
        <f>'Rates in Detail'!L38</f>
        <v>1.452E-2</v>
      </c>
      <c r="P34" s="622">
        <f>'Rates in Detail'!P38</f>
        <v>-2.4599999999999999E-3</v>
      </c>
      <c r="Q34" s="622">
        <f>'Rates in Detail'!Q38</f>
        <v>0</v>
      </c>
      <c r="R34" s="250">
        <f t="shared" si="2"/>
        <v>1.206E-2</v>
      </c>
      <c r="S34" s="620">
        <f>'Rates in Detail'!S38</f>
        <v>0</v>
      </c>
      <c r="T34" s="622">
        <f>'Rates in Detail'!T38</f>
        <v>-2.2200000000000002E-3</v>
      </c>
      <c r="U34" s="622">
        <f>'Rates in Detail'!U38</f>
        <v>7.7999999999999999E-4</v>
      </c>
      <c r="V34" s="256">
        <f t="shared" si="3"/>
        <v>1.0619999999999999E-2</v>
      </c>
      <c r="W34" s="612"/>
      <c r="X34" s="116">
        <f>'[25]Rates in detail'!AC36</f>
        <v>0.13177000000000003</v>
      </c>
      <c r="Y34" s="116"/>
      <c r="Z34" s="116">
        <f>'[25]Rates in detail'!AD36</f>
        <v>0</v>
      </c>
      <c r="AA34" s="116">
        <f>'[25]Rates in detail'!AE36</f>
        <v>0.34872999999999998</v>
      </c>
      <c r="AB34" s="116">
        <f>'[25]Rates in detail'!AF36</f>
        <v>5.1199999999999943E-3</v>
      </c>
      <c r="AC34" s="344">
        <f t="shared" si="4"/>
        <v>0.48562000000000005</v>
      </c>
      <c r="AD34" s="1594"/>
      <c r="AE34" s="116">
        <f t="shared" si="5"/>
        <v>0.14383000000000004</v>
      </c>
      <c r="AF34" s="116"/>
      <c r="AG34" s="116">
        <f t="shared" si="6"/>
        <v>0</v>
      </c>
      <c r="AH34" s="116">
        <f t="shared" si="6"/>
        <v>0.34872999999999998</v>
      </c>
      <c r="AI34" s="116">
        <f t="shared" si="7"/>
        <v>3.679999999999994E-3</v>
      </c>
      <c r="AJ34" s="116">
        <f t="shared" si="8"/>
        <v>0.49624000000000001</v>
      </c>
      <c r="AK34" s="1595"/>
      <c r="AL34" s="116">
        <f>'Rates in Detail'!AC38</f>
        <v>5.4999999999999997E-3</v>
      </c>
      <c r="AM34" s="116">
        <f>'Rates in Detail'!AD38</f>
        <v>-2.2000000000000001E-4</v>
      </c>
      <c r="AN34" s="116">
        <f>'Rates in Detail'!AE38</f>
        <v>0</v>
      </c>
      <c r="AO34" s="116">
        <f>'Rates in Detail'!AF38</f>
        <v>-2.14E-3</v>
      </c>
      <c r="AP34" s="116">
        <f t="shared" si="9"/>
        <v>3.14E-3</v>
      </c>
      <c r="AQ34" s="130"/>
      <c r="AR34" s="116">
        <f>'Proposed Rates - COMBINED'!AR34</f>
        <v>0.14383000000000007</v>
      </c>
      <c r="AS34" s="116">
        <f>'Proposed Rates - COMBINED'!AS34</f>
        <v>0</v>
      </c>
      <c r="AT34" s="116">
        <f>'Proposed Rates - COMBINED'!AT34</f>
        <v>0</v>
      </c>
      <c r="AU34" s="116">
        <f>'Proposed Rates - COMBINED'!AU34</f>
        <v>0.46972000000000003</v>
      </c>
      <c r="AV34" s="116">
        <f>'Proposed Rates - COMBINED'!AV34</f>
        <v>0.12030999999999999</v>
      </c>
      <c r="AW34" s="116">
        <f t="shared" si="10"/>
        <v>0.73386000000000007</v>
      </c>
      <c r="AY34" s="116">
        <f t="shared" si="11"/>
        <v>0.14933000000000007</v>
      </c>
      <c r="AZ34" s="116">
        <f t="shared" si="12"/>
        <v>0</v>
      </c>
      <c r="BA34" s="116">
        <f t="shared" si="13"/>
        <v>0</v>
      </c>
      <c r="BB34" s="116">
        <f t="shared" si="14"/>
        <v>0.46972000000000003</v>
      </c>
      <c r="BC34" s="116">
        <f t="shared" si="15"/>
        <v>0.11794999999999999</v>
      </c>
      <c r="BD34" s="116">
        <f t="shared" si="16"/>
        <v>0.7370000000000001</v>
      </c>
      <c r="BE34" s="1654"/>
    </row>
    <row r="35" spans="2:57" x14ac:dyDescent="0.3">
      <c r="B35" s="109">
        <f t="shared" si="17"/>
        <v>27</v>
      </c>
      <c r="C35" s="1287"/>
      <c r="D35" s="1287" t="s">
        <v>6</v>
      </c>
      <c r="E35" s="114">
        <v>20000</v>
      </c>
      <c r="F35" s="115">
        <f>'WA Volumes &amp; Revenues'!E41</f>
        <v>81241.3</v>
      </c>
      <c r="G35" s="115"/>
      <c r="H35" s="890"/>
      <c r="I35" s="891"/>
      <c r="J35" s="620">
        <f>'Rates in Detail'!E39</f>
        <v>0.10104999999999985</v>
      </c>
      <c r="K35" s="622">
        <f>'Rates in Detail'!H39</f>
        <v>0</v>
      </c>
      <c r="L35" s="622">
        <f>'Rates in Detail'!F39</f>
        <v>0.26333000000000001</v>
      </c>
      <c r="M35" s="622">
        <f>'Rates in Detail'!I39</f>
        <v>-6.0700000000000007E-3</v>
      </c>
      <c r="N35" s="136">
        <f t="shared" si="1"/>
        <v>0.35830999999999985</v>
      </c>
      <c r="O35" s="620">
        <f>'Rates in Detail'!L39</f>
        <v>1.1129999999999999E-2</v>
      </c>
      <c r="P35" s="622">
        <f>'Rates in Detail'!P39</f>
        <v>-1.89E-3</v>
      </c>
      <c r="Q35" s="622">
        <f>'Rates in Detail'!Q39</f>
        <v>0</v>
      </c>
      <c r="R35" s="250">
        <f t="shared" si="2"/>
        <v>9.2399999999999999E-3</v>
      </c>
      <c r="S35" s="620">
        <f>'Rates in Detail'!S39</f>
        <v>0</v>
      </c>
      <c r="T35" s="622">
        <f>'Rates in Detail'!T39</f>
        <v>-1.6999999999999999E-3</v>
      </c>
      <c r="U35" s="622">
        <f>'Rates in Detail'!U39</f>
        <v>5.9999999999999995E-4</v>
      </c>
      <c r="V35" s="256">
        <f t="shared" si="3"/>
        <v>8.1399999999999997E-3</v>
      </c>
      <c r="W35" s="612"/>
      <c r="X35" s="116">
        <f>'[25]Rates in detail'!AC37</f>
        <v>0.10104999999999983</v>
      </c>
      <c r="Y35" s="116"/>
      <c r="Z35" s="116">
        <f>'[25]Rates in detail'!AD37</f>
        <v>0</v>
      </c>
      <c r="AA35" s="116">
        <f>'[25]Rates in detail'!AE37</f>
        <v>0.34872999999999998</v>
      </c>
      <c r="AB35" s="116">
        <f>'[25]Rates in detail'!AF37</f>
        <v>4.0199999999999932E-3</v>
      </c>
      <c r="AC35" s="344">
        <f t="shared" si="4"/>
        <v>0.45379999999999981</v>
      </c>
      <c r="AD35" s="1594"/>
      <c r="AE35" s="116">
        <f t="shared" si="5"/>
        <v>0.11028999999999983</v>
      </c>
      <c r="AF35" s="116"/>
      <c r="AG35" s="116">
        <f t="shared" si="6"/>
        <v>0</v>
      </c>
      <c r="AH35" s="116">
        <f t="shared" si="6"/>
        <v>0.34872999999999998</v>
      </c>
      <c r="AI35" s="116">
        <f t="shared" si="7"/>
        <v>2.9199999999999929E-3</v>
      </c>
      <c r="AJ35" s="116">
        <f t="shared" si="8"/>
        <v>0.4619399999999998</v>
      </c>
      <c r="AK35" s="1595"/>
      <c r="AL35" s="116">
        <f>'Rates in Detail'!AC39</f>
        <v>4.2199999999999998E-3</v>
      </c>
      <c r="AM35" s="116">
        <f>'Rates in Detail'!AD39</f>
        <v>-1.7000000000000001E-4</v>
      </c>
      <c r="AN35" s="116">
        <f>'Rates in Detail'!AE39</f>
        <v>0</v>
      </c>
      <c r="AO35" s="116">
        <f>'Rates in Detail'!AF39</f>
        <v>-1.64E-3</v>
      </c>
      <c r="AP35" s="116">
        <f t="shared" si="9"/>
        <v>2.4099999999999998E-3</v>
      </c>
      <c r="AQ35" s="130"/>
      <c r="AR35" s="116">
        <f>'Proposed Rates - COMBINED'!AR35</f>
        <v>0.11028999999999979</v>
      </c>
      <c r="AS35" s="116">
        <f>'Proposed Rates - COMBINED'!AS35</f>
        <v>0</v>
      </c>
      <c r="AT35" s="116">
        <f>'Proposed Rates - COMBINED'!AT35</f>
        <v>0</v>
      </c>
      <c r="AU35" s="116">
        <f>'Proposed Rates - COMBINED'!AU35</f>
        <v>0.46972000000000003</v>
      </c>
      <c r="AV35" s="116">
        <f>'Proposed Rates - COMBINED'!AV35</f>
        <v>0.11955999999999999</v>
      </c>
      <c r="AW35" s="116">
        <f t="shared" si="10"/>
        <v>0.6995699999999998</v>
      </c>
      <c r="AY35" s="116">
        <f t="shared" si="11"/>
        <v>0.11450999999999979</v>
      </c>
      <c r="AZ35" s="116">
        <f t="shared" si="12"/>
        <v>0</v>
      </c>
      <c r="BA35" s="116">
        <f t="shared" si="13"/>
        <v>0</v>
      </c>
      <c r="BB35" s="116">
        <f t="shared" si="14"/>
        <v>0.46972000000000003</v>
      </c>
      <c r="BC35" s="116">
        <f t="shared" si="15"/>
        <v>0.11774999999999998</v>
      </c>
      <c r="BD35" s="116">
        <f t="shared" si="16"/>
        <v>0.70197999999999983</v>
      </c>
      <c r="BE35" s="1654"/>
    </row>
    <row r="36" spans="2:57" x14ac:dyDescent="0.3">
      <c r="B36" s="109">
        <f t="shared" si="17"/>
        <v>28</v>
      </c>
      <c r="C36" s="1287"/>
      <c r="D36" s="1287" t="s">
        <v>7</v>
      </c>
      <c r="E36" s="114">
        <v>100000</v>
      </c>
      <c r="F36" s="115">
        <f>'WA Volumes &amp; Revenues'!E42</f>
        <v>9320.1</v>
      </c>
      <c r="G36" s="115"/>
      <c r="H36" s="890"/>
      <c r="I36" s="891"/>
      <c r="J36" s="620">
        <f>'Rates in Detail'!E40</f>
        <v>8.0839999999999995E-2</v>
      </c>
      <c r="K36" s="622">
        <f>'Rates in Detail'!H40</f>
        <v>0</v>
      </c>
      <c r="L36" s="622">
        <f>'Rates in Detail'!F40</f>
        <v>0.26333000000000001</v>
      </c>
      <c r="M36" s="622">
        <f>'Rates in Detail'!I40</f>
        <v>-6.7300000000000007E-3</v>
      </c>
      <c r="N36" s="136">
        <f t="shared" si="1"/>
        <v>0.33743999999999996</v>
      </c>
      <c r="O36" s="620">
        <f>'Rates in Detail'!L40</f>
        <v>8.9099999999999995E-3</v>
      </c>
      <c r="P36" s="622">
        <f>'Rates in Detail'!P40</f>
        <v>-1.5100000000000001E-3</v>
      </c>
      <c r="Q36" s="622">
        <f>'Rates in Detail'!Q40</f>
        <v>0</v>
      </c>
      <c r="R36" s="250">
        <f t="shared" si="2"/>
        <v>7.3999999999999995E-3</v>
      </c>
      <c r="S36" s="620">
        <f>'Rates in Detail'!S40</f>
        <v>0</v>
      </c>
      <c r="T36" s="622">
        <f>'Rates in Detail'!T40</f>
        <v>-1.3600000000000001E-3</v>
      </c>
      <c r="U36" s="622">
        <f>'Rates in Detail'!U40</f>
        <v>4.8000000000000001E-4</v>
      </c>
      <c r="V36" s="256">
        <f t="shared" si="3"/>
        <v>6.5199999999999998E-3</v>
      </c>
      <c r="W36" s="612"/>
      <c r="X36" s="116">
        <f>'[25]Rates in detail'!AC38</f>
        <v>8.0840000000000162E-2</v>
      </c>
      <c r="Y36" s="116"/>
      <c r="Z36" s="116">
        <f>'[25]Rates in detail'!AD38</f>
        <v>0</v>
      </c>
      <c r="AA36" s="116">
        <f>'[25]Rates in detail'!AE38</f>
        <v>0.34872999999999998</v>
      </c>
      <c r="AB36" s="116">
        <f>'[25]Rates in detail'!AF38</f>
        <v>3.2899999999999935E-3</v>
      </c>
      <c r="AC36" s="344">
        <f t="shared" si="4"/>
        <v>0.43286000000000013</v>
      </c>
      <c r="AD36" s="1594"/>
      <c r="AE36" s="116">
        <f t="shared" si="5"/>
        <v>8.8240000000000166E-2</v>
      </c>
      <c r="AF36" s="116"/>
      <c r="AG36" s="116">
        <f t="shared" si="6"/>
        <v>0</v>
      </c>
      <c r="AH36" s="116">
        <f t="shared" si="6"/>
        <v>0.34872999999999998</v>
      </c>
      <c r="AI36" s="116">
        <f t="shared" si="7"/>
        <v>2.4099999999999933E-3</v>
      </c>
      <c r="AJ36" s="116">
        <f t="shared" si="8"/>
        <v>0.4393800000000001</v>
      </c>
      <c r="AK36" s="1595"/>
      <c r="AL36" s="116">
        <f>'Rates in Detail'!AC40</f>
        <v>3.3700000000000002E-3</v>
      </c>
      <c r="AM36" s="116">
        <f>'Rates in Detail'!AD40</f>
        <v>-1.2999999999999999E-4</v>
      </c>
      <c r="AN36" s="116">
        <f>'Rates in Detail'!AE40</f>
        <v>0</v>
      </c>
      <c r="AO36" s="116">
        <f>'Rates in Detail'!AF40</f>
        <v>-1.31E-3</v>
      </c>
      <c r="AP36" s="116">
        <f t="shared" si="9"/>
        <v>1.9300000000000003E-3</v>
      </c>
      <c r="AQ36" s="130"/>
      <c r="AR36" s="116">
        <f>'Proposed Rates - COMBINED'!AR36</f>
        <v>8.8240000000000055E-2</v>
      </c>
      <c r="AS36" s="116">
        <f>'Proposed Rates - COMBINED'!AS36</f>
        <v>0</v>
      </c>
      <c r="AT36" s="116">
        <f>'Proposed Rates - COMBINED'!AT36</f>
        <v>0</v>
      </c>
      <c r="AU36" s="116">
        <f>'Proposed Rates - COMBINED'!AU36</f>
        <v>0.46972000000000003</v>
      </c>
      <c r="AV36" s="116">
        <f>'Proposed Rates - COMBINED'!AV36</f>
        <v>0.11905999999999999</v>
      </c>
      <c r="AW36" s="116">
        <f t="shared" si="10"/>
        <v>0.67702000000000007</v>
      </c>
      <c r="AY36" s="116">
        <f t="shared" si="11"/>
        <v>9.1610000000000053E-2</v>
      </c>
      <c r="AZ36" s="116">
        <f t="shared" si="12"/>
        <v>0</v>
      </c>
      <c r="BA36" s="116">
        <f t="shared" si="13"/>
        <v>0</v>
      </c>
      <c r="BB36" s="116">
        <f t="shared" si="14"/>
        <v>0.46972000000000003</v>
      </c>
      <c r="BC36" s="116">
        <f t="shared" si="15"/>
        <v>0.11761999999999999</v>
      </c>
      <c r="BD36" s="116">
        <f t="shared" si="16"/>
        <v>0.67895000000000005</v>
      </c>
      <c r="BE36" s="1654"/>
    </row>
    <row r="37" spans="2:57" x14ac:dyDescent="0.3">
      <c r="B37" s="109">
        <f t="shared" si="17"/>
        <v>29</v>
      </c>
      <c r="C37" s="1287"/>
      <c r="D37" s="1287" t="s">
        <v>8</v>
      </c>
      <c r="E37" s="114">
        <v>600000</v>
      </c>
      <c r="F37" s="115">
        <f>'WA Volumes &amp; Revenues'!E43</f>
        <v>0</v>
      </c>
      <c r="G37" s="115"/>
      <c r="H37" s="890"/>
      <c r="I37" s="891"/>
      <c r="J37" s="620">
        <f>'Rates in Detail'!E41</f>
        <v>5.391E-2</v>
      </c>
      <c r="K37" s="622">
        <f>'Rates in Detail'!H41</f>
        <v>0</v>
      </c>
      <c r="L37" s="622">
        <f>'Rates in Detail'!F41</f>
        <v>0.26333000000000001</v>
      </c>
      <c r="M37" s="622">
        <f>'Rates in Detail'!I41</f>
        <v>-7.5900000000000004E-3</v>
      </c>
      <c r="N37" s="136">
        <f t="shared" si="1"/>
        <v>0.30965000000000004</v>
      </c>
      <c r="O37" s="620">
        <f>'Rates in Detail'!L41</f>
        <v>5.94E-3</v>
      </c>
      <c r="P37" s="622">
        <f>'Rates in Detail'!P41</f>
        <v>-1.01E-3</v>
      </c>
      <c r="Q37" s="622">
        <f>'Rates in Detail'!Q41</f>
        <v>0</v>
      </c>
      <c r="R37" s="250">
        <f t="shared" si="2"/>
        <v>4.9300000000000004E-3</v>
      </c>
      <c r="S37" s="620">
        <f>'Rates in Detail'!S41</f>
        <v>0</v>
      </c>
      <c r="T37" s="622">
        <f>'Rates in Detail'!T41</f>
        <v>-9.1E-4</v>
      </c>
      <c r="U37" s="622">
        <f>'Rates in Detail'!U41</f>
        <v>3.2000000000000003E-4</v>
      </c>
      <c r="V37" s="256">
        <f t="shared" si="3"/>
        <v>4.3400000000000001E-3</v>
      </c>
      <c r="W37" s="612"/>
      <c r="X37" s="116">
        <f>'[25]Rates in detail'!AC39</f>
        <v>5.3910000000000194E-2</v>
      </c>
      <c r="Y37" s="116"/>
      <c r="Z37" s="116">
        <f>'[25]Rates in detail'!AD39</f>
        <v>0</v>
      </c>
      <c r="AA37" s="116">
        <f>'[25]Rates in detail'!AE39</f>
        <v>0.34872999999999998</v>
      </c>
      <c r="AB37" s="116">
        <f>'[25]Rates in detail'!AF39</f>
        <v>2.339999999999994E-3</v>
      </c>
      <c r="AC37" s="344">
        <f t="shared" si="4"/>
        <v>0.40498000000000017</v>
      </c>
      <c r="AD37" s="1594"/>
      <c r="AE37" s="116">
        <f t="shared" si="5"/>
        <v>5.8840000000000198E-2</v>
      </c>
      <c r="AF37" s="116"/>
      <c r="AG37" s="116">
        <f t="shared" si="6"/>
        <v>0</v>
      </c>
      <c r="AH37" s="116">
        <f t="shared" si="6"/>
        <v>0.34872999999999998</v>
      </c>
      <c r="AI37" s="116">
        <f t="shared" si="7"/>
        <v>1.749999999999994E-3</v>
      </c>
      <c r="AJ37" s="116">
        <f t="shared" si="8"/>
        <v>0.40932000000000018</v>
      </c>
      <c r="AK37" s="1595"/>
      <c r="AL37" s="116">
        <f>'Rates in Detail'!AC41</f>
        <v>2.2499999999999998E-3</v>
      </c>
      <c r="AM37" s="116">
        <f>'Rates in Detail'!AD41</f>
        <v>-9.0000000000000006E-5</v>
      </c>
      <c r="AN37" s="116">
        <f>'Rates in Detail'!AE41</f>
        <v>0</v>
      </c>
      <c r="AO37" s="116">
        <f>'Rates in Detail'!AF41</f>
        <v>-8.8000000000000003E-4</v>
      </c>
      <c r="AP37" s="116">
        <f t="shared" si="9"/>
        <v>1.2799999999999999E-3</v>
      </c>
      <c r="AQ37" s="130"/>
      <c r="AR37" s="116">
        <f>'Proposed Rates - COMBINED'!AR37</f>
        <v>5.8840000000000184E-2</v>
      </c>
      <c r="AS37" s="116">
        <f>'Proposed Rates - COMBINED'!AS37</f>
        <v>0</v>
      </c>
      <c r="AT37" s="116">
        <f>'Proposed Rates - COMBINED'!AT37</f>
        <v>0</v>
      </c>
      <c r="AU37" s="116">
        <f>'Proposed Rates - COMBINED'!AU37</f>
        <v>0.46972000000000003</v>
      </c>
      <c r="AV37" s="116">
        <f>'Proposed Rates - COMBINED'!AV37</f>
        <v>0.11839999999999999</v>
      </c>
      <c r="AW37" s="116">
        <f t="shared" si="10"/>
        <v>0.6469600000000002</v>
      </c>
      <c r="AY37" s="116">
        <f t="shared" si="11"/>
        <v>6.1090000000000186E-2</v>
      </c>
      <c r="AZ37" s="116">
        <f t="shared" si="12"/>
        <v>0</v>
      </c>
      <c r="BA37" s="116">
        <f t="shared" si="13"/>
        <v>0</v>
      </c>
      <c r="BB37" s="116">
        <f t="shared" si="14"/>
        <v>0.46972000000000003</v>
      </c>
      <c r="BC37" s="116">
        <f t="shared" si="15"/>
        <v>0.11742999999999999</v>
      </c>
      <c r="BD37" s="116">
        <f t="shared" si="16"/>
        <v>0.64824000000000026</v>
      </c>
      <c r="BE37" s="1654"/>
    </row>
    <row r="38" spans="2:57" x14ac:dyDescent="0.3">
      <c r="B38" s="109">
        <f t="shared" si="17"/>
        <v>30</v>
      </c>
      <c r="C38" s="110"/>
      <c r="D38" s="110" t="s">
        <v>9</v>
      </c>
      <c r="E38" s="111" t="s">
        <v>72</v>
      </c>
      <c r="F38" s="112">
        <f>'WA Volumes &amp; Revenues'!E44</f>
        <v>0</v>
      </c>
      <c r="G38" s="112"/>
      <c r="H38" s="885"/>
      <c r="I38" s="887"/>
      <c r="J38" s="619">
        <f>'Rates in Detail'!E42</f>
        <v>2.0199999999999999E-2</v>
      </c>
      <c r="K38" s="623">
        <f>'Rates in Detail'!H42</f>
        <v>0</v>
      </c>
      <c r="L38" s="623">
        <f>'Rates in Detail'!F42</f>
        <v>0.26333000000000001</v>
      </c>
      <c r="M38" s="623">
        <f>'Rates in Detail'!I42</f>
        <v>-8.6700000000000006E-3</v>
      </c>
      <c r="N38" s="134">
        <f t="shared" si="1"/>
        <v>0.27485999999999999</v>
      </c>
      <c r="O38" s="619">
        <f>'Rates in Detail'!L42</f>
        <v>2.2300000000000002E-3</v>
      </c>
      <c r="P38" s="623">
        <f>'Rates in Detail'!P42</f>
        <v>-3.8000000000000002E-4</v>
      </c>
      <c r="Q38" s="623">
        <f>'Rates in Detail'!Q42</f>
        <v>0</v>
      </c>
      <c r="R38" s="249">
        <f t="shared" si="2"/>
        <v>1.8500000000000001E-3</v>
      </c>
      <c r="S38" s="619">
        <f>'Rates in Detail'!S42</f>
        <v>0</v>
      </c>
      <c r="T38" s="623">
        <f>'Rates in Detail'!T42</f>
        <v>-3.4000000000000002E-4</v>
      </c>
      <c r="U38" s="623">
        <f>'Rates in Detail'!U42</f>
        <v>1.2E-4</v>
      </c>
      <c r="V38" s="255">
        <f t="shared" si="3"/>
        <v>1.6300000000000002E-3</v>
      </c>
      <c r="W38" s="612"/>
      <c r="X38" s="113">
        <f>'[25]Rates in detail'!AC40</f>
        <v>2.0199999999999919E-2</v>
      </c>
      <c r="Y38" s="113"/>
      <c r="Z38" s="113">
        <f>'[25]Rates in detail'!AD40</f>
        <v>0</v>
      </c>
      <c r="AA38" s="113">
        <f>'[25]Rates in detail'!AE40</f>
        <v>0.34872999999999998</v>
      </c>
      <c r="AB38" s="113">
        <f>'[25]Rates in detail'!AF40</f>
        <v>1.1399999999999937E-3</v>
      </c>
      <c r="AC38" s="343">
        <f t="shared" si="4"/>
        <v>0.3700699999999999</v>
      </c>
      <c r="AD38" s="1594"/>
      <c r="AE38" s="113">
        <f t="shared" si="5"/>
        <v>2.204999999999992E-2</v>
      </c>
      <c r="AF38" s="113"/>
      <c r="AG38" s="113">
        <f t="shared" si="6"/>
        <v>0</v>
      </c>
      <c r="AH38" s="113">
        <f t="shared" si="6"/>
        <v>0.34872999999999998</v>
      </c>
      <c r="AI38" s="113">
        <f t="shared" si="7"/>
        <v>9.1999999999999363E-4</v>
      </c>
      <c r="AJ38" s="113">
        <f t="shared" si="8"/>
        <v>0.37169999999999986</v>
      </c>
      <c r="AK38" s="1595"/>
      <c r="AL38" s="113">
        <f>'Rates in Detail'!AC42</f>
        <v>8.4000000000000003E-4</v>
      </c>
      <c r="AM38" s="113">
        <f>'Rates in Detail'!AD42</f>
        <v>-3.0000000000000001E-5</v>
      </c>
      <c r="AN38" s="113">
        <f>'Rates in Detail'!AE42</f>
        <v>0</v>
      </c>
      <c r="AO38" s="113">
        <f>'Rates in Detail'!AF42</f>
        <v>-3.3E-4</v>
      </c>
      <c r="AP38" s="113">
        <f t="shared" si="9"/>
        <v>4.8000000000000007E-4</v>
      </c>
      <c r="AQ38" s="130"/>
      <c r="AR38" s="113">
        <f>'Proposed Rates - COMBINED'!AR38</f>
        <v>2.2049999999999861E-2</v>
      </c>
      <c r="AS38" s="113">
        <f>'Proposed Rates - COMBINED'!AS38</f>
        <v>0</v>
      </c>
      <c r="AT38" s="113">
        <f>'Proposed Rates - COMBINED'!AT38</f>
        <v>0</v>
      </c>
      <c r="AU38" s="113">
        <f>'Proposed Rates - COMBINED'!AU38</f>
        <v>0.46972000000000003</v>
      </c>
      <c r="AV38" s="113">
        <f>'Proposed Rates - COMBINED'!AV38</f>
        <v>0.11756999999999999</v>
      </c>
      <c r="AW38" s="113">
        <f t="shared" si="10"/>
        <v>0.60933999999999988</v>
      </c>
      <c r="AY38" s="113">
        <f t="shared" si="11"/>
        <v>2.2889999999999862E-2</v>
      </c>
      <c r="AZ38" s="113">
        <f t="shared" si="12"/>
        <v>0</v>
      </c>
      <c r="BA38" s="113">
        <f t="shared" si="13"/>
        <v>0</v>
      </c>
      <c r="BB38" s="113">
        <f t="shared" si="14"/>
        <v>0.46972000000000003</v>
      </c>
      <c r="BC38" s="113">
        <f t="shared" si="15"/>
        <v>0.11720999999999999</v>
      </c>
      <c r="BD38" s="113">
        <f t="shared" si="16"/>
        <v>0.60981999999999992</v>
      </c>
      <c r="BE38" s="1654"/>
    </row>
    <row r="39" spans="2:57" x14ac:dyDescent="0.3">
      <c r="B39" s="109">
        <f t="shared" si="17"/>
        <v>31</v>
      </c>
      <c r="C39" s="1287" t="str">
        <f>'WA Volumes &amp; Revenues'!B45</f>
        <v>42C Firm Transpt</v>
      </c>
      <c r="D39" s="1287" t="s">
        <v>4</v>
      </c>
      <c r="E39" s="114">
        <v>10000</v>
      </c>
      <c r="F39" s="115">
        <f>'WA Volumes &amp; Revenues'!E45</f>
        <v>480000</v>
      </c>
      <c r="G39" s="115">
        <f>'WA Volumes &amp; Revenues'!H45</f>
        <v>4</v>
      </c>
      <c r="H39" s="890">
        <f>'WA Volumes &amp; Revenues'!O45</f>
        <v>1550</v>
      </c>
      <c r="I39" s="891">
        <f>'WA Volumes &amp; Revenues'!N45</f>
        <v>1550</v>
      </c>
      <c r="J39" s="620">
        <f>'Rates in Detail'!E43</f>
        <v>0.13791999999999999</v>
      </c>
      <c r="K39" s="622">
        <f>'Rates in Detail'!H43</f>
        <v>0</v>
      </c>
      <c r="L39" s="622">
        <f>'Rates in Detail'!F43</f>
        <v>0</v>
      </c>
      <c r="M39" s="622">
        <f>'Rates in Detail'!I43</f>
        <v>5.9999999999999995E-4</v>
      </c>
      <c r="N39" s="136">
        <f t="shared" si="1"/>
        <v>0.13851999999999998</v>
      </c>
      <c r="O39" s="620">
        <f>'Rates in Detail'!L43</f>
        <v>1.295E-2</v>
      </c>
      <c r="P39" s="622">
        <f>'Rates in Detail'!P43</f>
        <v>-1.75E-3</v>
      </c>
      <c r="Q39" s="622">
        <f>'Rates in Detail'!Q43</f>
        <v>0</v>
      </c>
      <c r="R39" s="250">
        <f t="shared" si="2"/>
        <v>1.12E-2</v>
      </c>
      <c r="S39" s="620">
        <f>'Rates in Detail'!S43</f>
        <v>0</v>
      </c>
      <c r="T39" s="622">
        <f>'Rates in Detail'!T43</f>
        <v>-1.5900000000000001E-3</v>
      </c>
      <c r="U39" s="622">
        <f>'Rates in Detail'!U43</f>
        <v>5.5999999999999995E-4</v>
      </c>
      <c r="V39" s="256">
        <f t="shared" si="3"/>
        <v>1.017E-2</v>
      </c>
      <c r="W39" s="612"/>
      <c r="X39" s="116">
        <f>'[25]Rates in detail'!AC41</f>
        <v>0.13791999999999999</v>
      </c>
      <c r="Y39" s="116"/>
      <c r="Z39" s="116">
        <f>'[25]Rates in detail'!AD41</f>
        <v>0</v>
      </c>
      <c r="AA39" s="116">
        <f>'[25]Rates in detail'!AE41</f>
        <v>0</v>
      </c>
      <c r="AB39" s="116">
        <f>'[25]Rates in detail'!AF41</f>
        <v>1.5200000000000001E-3</v>
      </c>
      <c r="AC39" s="344">
        <f t="shared" si="4"/>
        <v>0.13943999999999998</v>
      </c>
      <c r="AD39" s="1594"/>
      <c r="AE39" s="1573">
        <f t="shared" si="5"/>
        <v>0.14911999999999997</v>
      </c>
      <c r="AF39" s="1573"/>
      <c r="AG39" s="1573">
        <f t="shared" si="6"/>
        <v>0</v>
      </c>
      <c r="AH39" s="1573">
        <f t="shared" si="6"/>
        <v>0</v>
      </c>
      <c r="AI39" s="1573">
        <f t="shared" si="7"/>
        <v>4.8999999999999998E-4</v>
      </c>
      <c r="AJ39" s="1573">
        <f t="shared" si="8"/>
        <v>0.14960999999999997</v>
      </c>
      <c r="AK39" s="1595"/>
      <c r="AL39" s="116">
        <f>'Rates in Detail'!AC43</f>
        <v>5.94E-3</v>
      </c>
      <c r="AM39" s="116">
        <f>'Rates in Detail'!AD43</f>
        <v>-1.6000000000000001E-4</v>
      </c>
      <c r="AN39" s="116">
        <f>'Rates in Detail'!AE43</f>
        <v>0</v>
      </c>
      <c r="AO39" s="116">
        <f>'Rates in Detail'!AF43</f>
        <v>-1.56E-3</v>
      </c>
      <c r="AP39" s="116">
        <f t="shared" si="9"/>
        <v>4.2199999999999998E-3</v>
      </c>
      <c r="AQ39" s="130"/>
      <c r="AR39" s="116">
        <f>'Proposed Rates - COMBINED'!AR39</f>
        <v>0.14911999999999997</v>
      </c>
      <c r="AS39" s="116">
        <f>'Proposed Rates - COMBINED'!AS39</f>
        <v>0</v>
      </c>
      <c r="AT39" s="116">
        <f>'Proposed Rates - COMBINED'!AT39</f>
        <v>0</v>
      </c>
      <c r="AU39" s="116">
        <f>'Proposed Rates - COMBINED'!AU39</f>
        <v>0</v>
      </c>
      <c r="AV39" s="116">
        <f>'Proposed Rates - COMBINED'!AV39</f>
        <v>4.2000000000000002E-4</v>
      </c>
      <c r="AW39" s="116">
        <f t="shared" si="10"/>
        <v>0.14953999999999998</v>
      </c>
      <c r="AY39" s="116">
        <f t="shared" si="11"/>
        <v>0.15505999999999998</v>
      </c>
      <c r="AZ39" s="116">
        <f t="shared" si="12"/>
        <v>0</v>
      </c>
      <c r="BA39" s="116">
        <f t="shared" si="13"/>
        <v>0</v>
      </c>
      <c r="BB39" s="116">
        <f t="shared" si="14"/>
        <v>0</v>
      </c>
      <c r="BC39" s="116">
        <f t="shared" si="15"/>
        <v>-1.2999999999999999E-3</v>
      </c>
      <c r="BD39" s="116">
        <f t="shared" si="16"/>
        <v>0.15375999999999998</v>
      </c>
      <c r="BE39" s="1654"/>
    </row>
    <row r="40" spans="2:57" x14ac:dyDescent="0.3">
      <c r="B40" s="109">
        <f t="shared" si="17"/>
        <v>32</v>
      </c>
      <c r="C40" s="1287"/>
      <c r="D40" s="1287" t="s">
        <v>5</v>
      </c>
      <c r="E40" s="114">
        <v>20000</v>
      </c>
      <c r="F40" s="115">
        <f>'WA Volumes &amp; Revenues'!E46</f>
        <v>807846</v>
      </c>
      <c r="G40" s="115"/>
      <c r="H40" s="890"/>
      <c r="I40" s="891"/>
      <c r="J40" s="620">
        <f>'Rates in Detail'!E44</f>
        <v>0.12346999999999998</v>
      </c>
      <c r="K40" s="622">
        <f>'Rates in Detail'!H44</f>
        <v>0</v>
      </c>
      <c r="L40" s="622">
        <f>'Rates in Detail'!F44</f>
        <v>0</v>
      </c>
      <c r="M40" s="622">
        <f>'Rates in Detail'!I44</f>
        <v>5.2999999999999998E-4</v>
      </c>
      <c r="N40" s="136">
        <f t="shared" si="1"/>
        <v>0.12399999999999999</v>
      </c>
      <c r="O40" s="620">
        <f>'Rates in Detail'!L44</f>
        <v>1.159E-2</v>
      </c>
      <c r="P40" s="622">
        <f>'Rates in Detail'!P44</f>
        <v>-1.57E-3</v>
      </c>
      <c r="Q40" s="622">
        <f>'Rates in Detail'!Q44</f>
        <v>0</v>
      </c>
      <c r="R40" s="250">
        <f t="shared" si="2"/>
        <v>1.0019999999999999E-2</v>
      </c>
      <c r="S40" s="620">
        <f>'Rates in Detail'!S44</f>
        <v>0</v>
      </c>
      <c r="T40" s="622">
        <f>'Rates in Detail'!T44</f>
        <v>-1.4300000000000001E-3</v>
      </c>
      <c r="U40" s="622">
        <f>'Rates in Detail'!U44</f>
        <v>5.0000000000000001E-4</v>
      </c>
      <c r="V40" s="256">
        <f t="shared" si="3"/>
        <v>9.0899999999999991E-3</v>
      </c>
      <c r="W40" s="612"/>
      <c r="X40" s="116">
        <f>'[25]Rates in detail'!AC42</f>
        <v>0.12346999999999998</v>
      </c>
      <c r="Y40" s="116"/>
      <c r="Z40" s="116">
        <f>'[25]Rates in detail'!AD42</f>
        <v>0</v>
      </c>
      <c r="AA40" s="116">
        <f>'[25]Rates in detail'!AE42</f>
        <v>0</v>
      </c>
      <c r="AB40" s="116">
        <f>'[25]Rates in detail'!AF42</f>
        <v>1.3600000000000001E-3</v>
      </c>
      <c r="AC40" s="344">
        <f t="shared" si="4"/>
        <v>0.12482999999999998</v>
      </c>
      <c r="AD40" s="1594"/>
      <c r="AE40" s="116">
        <f t="shared" si="5"/>
        <v>0.13349</v>
      </c>
      <c r="AF40" s="116"/>
      <c r="AG40" s="116">
        <f t="shared" si="6"/>
        <v>0</v>
      </c>
      <c r="AH40" s="116">
        <f t="shared" si="6"/>
        <v>0</v>
      </c>
      <c r="AI40" s="116">
        <f t="shared" si="7"/>
        <v>4.3000000000000004E-4</v>
      </c>
      <c r="AJ40" s="116">
        <f t="shared" si="8"/>
        <v>0.13392000000000001</v>
      </c>
      <c r="AK40" s="1595"/>
      <c r="AL40" s="116">
        <f>'Rates in Detail'!AC44</f>
        <v>5.3099999999999996E-3</v>
      </c>
      <c r="AM40" s="116">
        <f>'Rates in Detail'!AD44</f>
        <v>-1.3999999999999999E-4</v>
      </c>
      <c r="AN40" s="116">
        <f>'Rates in Detail'!AE44</f>
        <v>0</v>
      </c>
      <c r="AO40" s="116">
        <f>'Rates in Detail'!AF44</f>
        <v>-1.39E-3</v>
      </c>
      <c r="AP40" s="116">
        <f t="shared" si="9"/>
        <v>3.7799999999999995E-3</v>
      </c>
      <c r="AQ40" s="130"/>
      <c r="AR40" s="116">
        <f>'Proposed Rates - COMBINED'!AR40</f>
        <v>0.13349</v>
      </c>
      <c r="AS40" s="116">
        <f>'Proposed Rates - COMBINED'!AS40</f>
        <v>0</v>
      </c>
      <c r="AT40" s="116">
        <f>'Proposed Rates - COMBINED'!AT40</f>
        <v>0</v>
      </c>
      <c r="AU40" s="116">
        <f>'Proposed Rates - COMBINED'!AU40</f>
        <v>0</v>
      </c>
      <c r="AV40" s="116">
        <f>'Proposed Rates - COMBINED'!AV40</f>
        <v>3.6999999999999999E-4</v>
      </c>
      <c r="AW40" s="116">
        <f t="shared" si="10"/>
        <v>0.13386000000000001</v>
      </c>
      <c r="AY40" s="116">
        <f t="shared" si="11"/>
        <v>0.13880000000000001</v>
      </c>
      <c r="AZ40" s="116">
        <f t="shared" si="12"/>
        <v>0</v>
      </c>
      <c r="BA40" s="116">
        <f t="shared" si="13"/>
        <v>0</v>
      </c>
      <c r="BB40" s="116">
        <f t="shared" si="14"/>
        <v>0</v>
      </c>
      <c r="BC40" s="116">
        <f t="shared" si="15"/>
        <v>-1.16E-3</v>
      </c>
      <c r="BD40" s="116">
        <f t="shared" si="16"/>
        <v>0.13764000000000001</v>
      </c>
      <c r="BE40" s="1654"/>
    </row>
    <row r="41" spans="2:57" x14ac:dyDescent="0.3">
      <c r="B41" s="109">
        <f t="shared" si="17"/>
        <v>33</v>
      </c>
      <c r="C41" s="1287"/>
      <c r="D41" s="1287" t="s">
        <v>6</v>
      </c>
      <c r="E41" s="114">
        <v>20000</v>
      </c>
      <c r="F41" s="115">
        <f>'WA Volumes &amp; Revenues'!E47</f>
        <v>583779</v>
      </c>
      <c r="G41" s="115"/>
      <c r="H41" s="890"/>
      <c r="I41" s="891"/>
      <c r="J41" s="620">
        <f>'Rates in Detail'!E45</f>
        <v>9.4670000000000004E-2</v>
      </c>
      <c r="K41" s="622">
        <f>'Rates in Detail'!H45</f>
        <v>0</v>
      </c>
      <c r="L41" s="622">
        <f>'Rates in Detail'!F45</f>
        <v>0</v>
      </c>
      <c r="M41" s="622">
        <f>'Rates in Detail'!I45</f>
        <v>4.1000000000000005E-4</v>
      </c>
      <c r="N41" s="136">
        <f t="shared" si="1"/>
        <v>9.5079999999999998E-2</v>
      </c>
      <c r="O41" s="620">
        <f>'Rates in Detail'!L45</f>
        <v>8.8900000000000003E-3</v>
      </c>
      <c r="P41" s="622">
        <f>'Rates in Detail'!P45</f>
        <v>-1.1999999999999999E-3</v>
      </c>
      <c r="Q41" s="622">
        <f>'Rates in Detail'!Q45</f>
        <v>0</v>
      </c>
      <c r="R41" s="250">
        <f t="shared" si="2"/>
        <v>7.6900000000000007E-3</v>
      </c>
      <c r="S41" s="620">
        <f>'Rates in Detail'!S45</f>
        <v>0</v>
      </c>
      <c r="T41" s="622">
        <f>'Rates in Detail'!T45</f>
        <v>-1.09E-3</v>
      </c>
      <c r="U41" s="622">
        <f>'Rates in Detail'!U45</f>
        <v>3.8999999999999999E-4</v>
      </c>
      <c r="V41" s="256">
        <f t="shared" ref="V41:V72" si="18">SUM(R41:U41)</f>
        <v>6.9900000000000006E-3</v>
      </c>
      <c r="W41" s="612"/>
      <c r="X41" s="116">
        <f>'[25]Rates in detail'!AC43</f>
        <v>9.4670000000000004E-2</v>
      </c>
      <c r="Y41" s="116"/>
      <c r="Z41" s="116">
        <f>'[25]Rates in detail'!AD43</f>
        <v>0</v>
      </c>
      <c r="AA41" s="116">
        <f>'[25]Rates in detail'!AE43</f>
        <v>0</v>
      </c>
      <c r="AB41" s="116">
        <f>'[25]Rates in detail'!AF43</f>
        <v>1.0399999999999999E-3</v>
      </c>
      <c r="AC41" s="344">
        <f t="shared" si="4"/>
        <v>9.5710000000000003E-2</v>
      </c>
      <c r="AD41" s="1594"/>
      <c r="AE41" s="116">
        <f t="shared" si="5"/>
        <v>0.10235999999999999</v>
      </c>
      <c r="AF41" s="116"/>
      <c r="AG41" s="116">
        <f t="shared" si="6"/>
        <v>0</v>
      </c>
      <c r="AH41" s="116">
        <f t="shared" si="6"/>
        <v>0</v>
      </c>
      <c r="AI41" s="116">
        <f t="shared" si="7"/>
        <v>3.3999999999999986E-4</v>
      </c>
      <c r="AJ41" s="116">
        <f t="shared" si="8"/>
        <v>0.10269999999999999</v>
      </c>
      <c r="AK41" s="1595"/>
      <c r="AL41" s="116">
        <f>'Rates in Detail'!AC45</f>
        <v>4.0699999999999998E-3</v>
      </c>
      <c r="AM41" s="116">
        <f>'Rates in Detail'!AD45</f>
        <v>-1.1E-4</v>
      </c>
      <c r="AN41" s="116">
        <f>'Rates in Detail'!AE45</f>
        <v>0</v>
      </c>
      <c r="AO41" s="116">
        <f>'Rates in Detail'!AF45</f>
        <v>-1.07E-3</v>
      </c>
      <c r="AP41" s="116">
        <f t="shared" si="9"/>
        <v>2.8900000000000002E-3</v>
      </c>
      <c r="AQ41" s="130"/>
      <c r="AR41" s="116">
        <f>'Proposed Rates - COMBINED'!AR41</f>
        <v>0.10235999999999999</v>
      </c>
      <c r="AS41" s="116">
        <f>'Proposed Rates - COMBINED'!AS41</f>
        <v>0</v>
      </c>
      <c r="AT41" s="116">
        <f>'Proposed Rates - COMBINED'!AT41</f>
        <v>0</v>
      </c>
      <c r="AU41" s="116">
        <f>'Proposed Rates - COMBINED'!AU41</f>
        <v>0</v>
      </c>
      <c r="AV41" s="116">
        <f>'Proposed Rates - COMBINED'!AV41</f>
        <v>2.7999999999999998E-4</v>
      </c>
      <c r="AW41" s="116">
        <f t="shared" si="10"/>
        <v>0.10264</v>
      </c>
      <c r="AY41" s="116">
        <f t="shared" si="11"/>
        <v>0.10643</v>
      </c>
      <c r="AZ41" s="116">
        <f t="shared" si="12"/>
        <v>0</v>
      </c>
      <c r="BA41" s="116">
        <f t="shared" si="13"/>
        <v>0</v>
      </c>
      <c r="BB41" s="116">
        <f t="shared" si="14"/>
        <v>0</v>
      </c>
      <c r="BC41" s="116">
        <f t="shared" si="15"/>
        <v>-9.0000000000000008E-4</v>
      </c>
      <c r="BD41" s="116">
        <f t="shared" si="16"/>
        <v>0.10553</v>
      </c>
      <c r="BE41" s="1654"/>
    </row>
    <row r="42" spans="2:57" x14ac:dyDescent="0.3">
      <c r="B42" s="109">
        <f t="shared" si="17"/>
        <v>34</v>
      </c>
      <c r="C42" s="1287"/>
      <c r="D42" s="1287" t="s">
        <v>7</v>
      </c>
      <c r="E42" s="114">
        <v>100000</v>
      </c>
      <c r="F42" s="115">
        <f>'WA Volumes &amp; Revenues'!E48</f>
        <v>598933</v>
      </c>
      <c r="G42" s="115"/>
      <c r="H42" s="890"/>
      <c r="I42" s="891"/>
      <c r="J42" s="620">
        <f>'Rates in Detail'!E46</f>
        <v>7.5750000000000012E-2</v>
      </c>
      <c r="K42" s="622">
        <f>'Rates in Detail'!H46</f>
        <v>0</v>
      </c>
      <c r="L42" s="622">
        <f>'Rates in Detail'!F46</f>
        <v>0</v>
      </c>
      <c r="M42" s="622">
        <f>'Rates in Detail'!I46</f>
        <v>3.1999999999999997E-4</v>
      </c>
      <c r="N42" s="136">
        <f t="shared" si="1"/>
        <v>7.6070000000000013E-2</v>
      </c>
      <c r="O42" s="620">
        <f>'Rates in Detail'!L46</f>
        <v>7.11E-3</v>
      </c>
      <c r="P42" s="622">
        <f>'Rates in Detail'!P46</f>
        <v>-9.6000000000000002E-4</v>
      </c>
      <c r="Q42" s="622">
        <f>'Rates in Detail'!Q46</f>
        <v>0</v>
      </c>
      <c r="R42" s="250">
        <f t="shared" si="2"/>
        <v>6.1500000000000001E-3</v>
      </c>
      <c r="S42" s="620">
        <f>'Rates in Detail'!S46</f>
        <v>0</v>
      </c>
      <c r="T42" s="622">
        <f>'Rates in Detail'!T46</f>
        <v>-8.8000000000000003E-4</v>
      </c>
      <c r="U42" s="622">
        <f>'Rates in Detail'!U46</f>
        <v>3.1E-4</v>
      </c>
      <c r="V42" s="256">
        <f t="shared" si="18"/>
        <v>5.5800000000000008E-3</v>
      </c>
      <c r="W42" s="612"/>
      <c r="X42" s="116">
        <f>'[25]Rates in detail'!AC44</f>
        <v>7.5750000000000012E-2</v>
      </c>
      <c r="Y42" s="116"/>
      <c r="Z42" s="116">
        <f>'[25]Rates in detail'!AD44</f>
        <v>0</v>
      </c>
      <c r="AA42" s="116">
        <f>'[25]Rates in detail'!AE44</f>
        <v>0</v>
      </c>
      <c r="AB42" s="116">
        <f>'[25]Rates in detail'!AF44</f>
        <v>8.4000000000000003E-4</v>
      </c>
      <c r="AC42" s="344">
        <f t="shared" si="4"/>
        <v>7.6590000000000005E-2</v>
      </c>
      <c r="AD42" s="1594"/>
      <c r="AE42" s="116">
        <f t="shared" si="5"/>
        <v>8.1900000000000014E-2</v>
      </c>
      <c r="AF42" s="116"/>
      <c r="AG42" s="116">
        <f t="shared" si="6"/>
        <v>0</v>
      </c>
      <c r="AH42" s="116">
        <f t="shared" si="6"/>
        <v>0</v>
      </c>
      <c r="AI42" s="116">
        <f t="shared" si="7"/>
        <v>2.7E-4</v>
      </c>
      <c r="AJ42" s="116">
        <f t="shared" si="8"/>
        <v>8.2170000000000021E-2</v>
      </c>
      <c r="AK42" s="1595"/>
      <c r="AL42" s="116">
        <f>'Rates in Detail'!AC46</f>
        <v>3.2599999999999999E-3</v>
      </c>
      <c r="AM42" s="116">
        <f>'Rates in Detail'!AD46</f>
        <v>-9.0000000000000006E-5</v>
      </c>
      <c r="AN42" s="116">
        <f>'Rates in Detail'!AE46</f>
        <v>0</v>
      </c>
      <c r="AO42" s="116">
        <f>'Rates in Detail'!AF46</f>
        <v>-8.4999999999999995E-4</v>
      </c>
      <c r="AP42" s="116">
        <f t="shared" si="9"/>
        <v>2.32E-3</v>
      </c>
      <c r="AQ42" s="130"/>
      <c r="AR42" s="116">
        <f>'Proposed Rates - COMBINED'!AR42</f>
        <v>8.1900000000000014E-2</v>
      </c>
      <c r="AS42" s="116">
        <f>'Proposed Rates - COMBINED'!AS42</f>
        <v>0</v>
      </c>
      <c r="AT42" s="116">
        <f>'Proposed Rates - COMBINED'!AT42</f>
        <v>0</v>
      </c>
      <c r="AU42" s="116">
        <f>'Proposed Rates - COMBINED'!AU42</f>
        <v>0</v>
      </c>
      <c r="AV42" s="116">
        <f>'Proposed Rates - COMBINED'!AV42</f>
        <v>2.3000000000000001E-4</v>
      </c>
      <c r="AW42" s="116">
        <f t="shared" si="10"/>
        <v>8.2130000000000009E-2</v>
      </c>
      <c r="AY42" s="116">
        <f t="shared" si="11"/>
        <v>8.5160000000000013E-2</v>
      </c>
      <c r="AZ42" s="116">
        <f t="shared" si="12"/>
        <v>0</v>
      </c>
      <c r="BA42" s="116">
        <f t="shared" si="13"/>
        <v>0</v>
      </c>
      <c r="BB42" s="116">
        <f t="shared" si="14"/>
        <v>0</v>
      </c>
      <c r="BC42" s="116">
        <f t="shared" si="15"/>
        <v>-7.0999999999999991E-4</v>
      </c>
      <c r="BD42" s="116">
        <f t="shared" si="16"/>
        <v>8.4450000000000011E-2</v>
      </c>
      <c r="BE42" s="1654"/>
    </row>
    <row r="43" spans="2:57" x14ac:dyDescent="0.3">
      <c r="B43" s="109">
        <f t="shared" si="17"/>
        <v>35</v>
      </c>
      <c r="C43" s="1287"/>
      <c r="D43" s="1287" t="s">
        <v>8</v>
      </c>
      <c r="E43" s="114">
        <v>600000</v>
      </c>
      <c r="F43" s="115">
        <f>'WA Volumes &amp; Revenues'!E49</f>
        <v>0</v>
      </c>
      <c r="G43" s="115"/>
      <c r="H43" s="890"/>
      <c r="I43" s="891"/>
      <c r="J43" s="620">
        <f>'Rates in Detail'!E47</f>
        <v>5.0500000000000003E-2</v>
      </c>
      <c r="K43" s="622">
        <f>'Rates in Detail'!H47</f>
        <v>0</v>
      </c>
      <c r="L43" s="622">
        <f>'Rates in Detail'!F47</f>
        <v>0</v>
      </c>
      <c r="M43" s="622">
        <f>'Rates in Detail'!I47</f>
        <v>2.1000000000000001E-4</v>
      </c>
      <c r="N43" s="136">
        <f t="shared" si="1"/>
        <v>5.0710000000000005E-2</v>
      </c>
      <c r="O43" s="620">
        <f>'Rates in Detail'!L47</f>
        <v>4.7400000000000003E-3</v>
      </c>
      <c r="P43" s="622">
        <f>'Rates in Detail'!P47</f>
        <v>-6.4000000000000005E-4</v>
      </c>
      <c r="Q43" s="622">
        <f>'Rates in Detail'!Q47</f>
        <v>0</v>
      </c>
      <c r="R43" s="250">
        <f t="shared" si="2"/>
        <v>4.1000000000000003E-3</v>
      </c>
      <c r="S43" s="620">
        <f>'Rates in Detail'!S47</f>
        <v>0</v>
      </c>
      <c r="T43" s="622">
        <f>'Rates in Detail'!T47</f>
        <v>-5.8E-4</v>
      </c>
      <c r="U43" s="622">
        <f>'Rates in Detail'!U47</f>
        <v>2.1000000000000001E-4</v>
      </c>
      <c r="V43" s="256">
        <f t="shared" si="18"/>
        <v>3.7300000000000007E-3</v>
      </c>
      <c r="W43" s="612"/>
      <c r="X43" s="116">
        <f>'[25]Rates in detail'!AC45</f>
        <v>5.0500000000000003E-2</v>
      </c>
      <c r="Y43" s="116"/>
      <c r="Z43" s="116">
        <f>'[25]Rates in detail'!AD45</f>
        <v>0</v>
      </c>
      <c r="AA43" s="116">
        <f>'[25]Rates in detail'!AE45</f>
        <v>0</v>
      </c>
      <c r="AB43" s="116">
        <f>'[25]Rates in detail'!AF45</f>
        <v>5.5999999999999995E-4</v>
      </c>
      <c r="AC43" s="344">
        <f t="shared" si="4"/>
        <v>5.1060000000000001E-2</v>
      </c>
      <c r="AD43" s="1594"/>
      <c r="AE43" s="116">
        <f t="shared" si="5"/>
        <v>5.4600000000000003E-2</v>
      </c>
      <c r="AF43" s="116"/>
      <c r="AG43" s="116">
        <f t="shared" si="6"/>
        <v>0</v>
      </c>
      <c r="AH43" s="116">
        <f t="shared" si="6"/>
        <v>0</v>
      </c>
      <c r="AI43" s="116">
        <f t="shared" si="7"/>
        <v>1.8999999999999996E-4</v>
      </c>
      <c r="AJ43" s="116">
        <f t="shared" si="8"/>
        <v>5.4790000000000005E-2</v>
      </c>
      <c r="AK43" s="1595"/>
      <c r="AL43" s="116">
        <f>'Rates in Detail'!AC47</f>
        <v>2.1700000000000001E-3</v>
      </c>
      <c r="AM43" s="116">
        <f>'Rates in Detail'!AD47</f>
        <v>-6.0000000000000002E-5</v>
      </c>
      <c r="AN43" s="116">
        <f>'Rates in Detail'!AE47</f>
        <v>0</v>
      </c>
      <c r="AO43" s="116">
        <f>'Rates in Detail'!AF47</f>
        <v>-5.6999999999999998E-4</v>
      </c>
      <c r="AP43" s="116">
        <f t="shared" si="9"/>
        <v>1.5399999999999999E-3</v>
      </c>
      <c r="AQ43" s="130"/>
      <c r="AR43" s="116">
        <f>'Proposed Rates - COMBINED'!AR43</f>
        <v>5.4600000000000003E-2</v>
      </c>
      <c r="AS43" s="116">
        <f>'Proposed Rates - COMBINED'!AS43</f>
        <v>0</v>
      </c>
      <c r="AT43" s="116">
        <f>'Proposed Rates - COMBINED'!AT43</f>
        <v>0</v>
      </c>
      <c r="AU43" s="116">
        <f>'Proposed Rates - COMBINED'!AU43</f>
        <v>0</v>
      </c>
      <c r="AV43" s="116">
        <f>'Proposed Rates - COMBINED'!AV43</f>
        <v>1.4999999999999999E-4</v>
      </c>
      <c r="AW43" s="116">
        <f t="shared" si="10"/>
        <v>5.475E-2</v>
      </c>
      <c r="AY43" s="116">
        <f t="shared" si="11"/>
        <v>5.6770000000000001E-2</v>
      </c>
      <c r="AZ43" s="116">
        <f t="shared" si="12"/>
        <v>0</v>
      </c>
      <c r="BA43" s="116">
        <f t="shared" si="13"/>
        <v>0</v>
      </c>
      <c r="BB43" s="116">
        <f t="shared" si="14"/>
        <v>0</v>
      </c>
      <c r="BC43" s="116">
        <f t="shared" si="15"/>
        <v>-4.8000000000000007E-4</v>
      </c>
      <c r="BD43" s="116">
        <f t="shared" si="16"/>
        <v>5.629E-2</v>
      </c>
      <c r="BE43" s="1654"/>
    </row>
    <row r="44" spans="2:57" x14ac:dyDescent="0.3">
      <c r="B44" s="109">
        <f t="shared" si="17"/>
        <v>36</v>
      </c>
      <c r="C44" s="110"/>
      <c r="D44" s="110" t="s">
        <v>9</v>
      </c>
      <c r="E44" s="111" t="s">
        <v>72</v>
      </c>
      <c r="F44" s="112">
        <f>'WA Volumes &amp; Revenues'!E50</f>
        <v>0</v>
      </c>
      <c r="G44" s="112"/>
      <c r="H44" s="885"/>
      <c r="I44" s="887"/>
      <c r="J44" s="619">
        <f>'Rates in Detail'!E48</f>
        <v>1.8929999999999999E-2</v>
      </c>
      <c r="K44" s="623">
        <f>'Rates in Detail'!H48</f>
        <v>0</v>
      </c>
      <c r="L44" s="623">
        <f>'Rates in Detail'!F48</f>
        <v>0</v>
      </c>
      <c r="M44" s="623">
        <f>'Rates in Detail'!I48</f>
        <v>7.9999999999999993E-5</v>
      </c>
      <c r="N44" s="134">
        <f t="shared" si="1"/>
        <v>1.9009999999999999E-2</v>
      </c>
      <c r="O44" s="619">
        <f>'Rates in Detail'!L48</f>
        <v>1.7799999999999999E-3</v>
      </c>
      <c r="P44" s="623">
        <f>'Rates in Detail'!P48</f>
        <v>-2.4000000000000001E-4</v>
      </c>
      <c r="Q44" s="623">
        <f>'Rates in Detail'!Q48</f>
        <v>0</v>
      </c>
      <c r="R44" s="249">
        <f t="shared" si="2"/>
        <v>1.5399999999999999E-3</v>
      </c>
      <c r="S44" s="619">
        <f>'Rates in Detail'!S48</f>
        <v>0</v>
      </c>
      <c r="T44" s="623">
        <f>'Rates in Detail'!T48</f>
        <v>-2.2000000000000001E-4</v>
      </c>
      <c r="U44" s="623">
        <f>'Rates in Detail'!U48</f>
        <v>8.0000000000000007E-5</v>
      </c>
      <c r="V44" s="255">
        <f t="shared" si="18"/>
        <v>1.4E-3</v>
      </c>
      <c r="W44" s="612"/>
      <c r="X44" s="113">
        <f>'[25]Rates in detail'!AC46</f>
        <v>1.8929999999999999E-2</v>
      </c>
      <c r="Y44" s="113"/>
      <c r="Z44" s="113">
        <f>'[25]Rates in detail'!AD46</f>
        <v>0</v>
      </c>
      <c r="AA44" s="113">
        <f>'[25]Rates in detail'!AE46</f>
        <v>0</v>
      </c>
      <c r="AB44" s="113">
        <f>'[25]Rates in detail'!AF46</f>
        <v>2.1000000000000001E-4</v>
      </c>
      <c r="AC44" s="343">
        <f t="shared" si="4"/>
        <v>1.9139999999999997E-2</v>
      </c>
      <c r="AD44" s="1594"/>
      <c r="AE44" s="113">
        <f t="shared" si="5"/>
        <v>2.0469999999999999E-2</v>
      </c>
      <c r="AF44" s="113"/>
      <c r="AG44" s="113">
        <f t="shared" si="6"/>
        <v>0</v>
      </c>
      <c r="AH44" s="113">
        <f t="shared" si="6"/>
        <v>0</v>
      </c>
      <c r="AI44" s="113">
        <f t="shared" si="7"/>
        <v>7.0000000000000007E-5</v>
      </c>
      <c r="AJ44" s="113">
        <f t="shared" si="8"/>
        <v>2.0539999999999999E-2</v>
      </c>
      <c r="AK44" s="1595"/>
      <c r="AL44" s="113">
        <f>'Rates in Detail'!AC48</f>
        <v>8.0999999999999996E-4</v>
      </c>
      <c r="AM44" s="113">
        <f>'Rates in Detail'!AD48</f>
        <v>-2.0000000000000002E-5</v>
      </c>
      <c r="AN44" s="113">
        <f>'Rates in Detail'!AE48</f>
        <v>0</v>
      </c>
      <c r="AO44" s="113">
        <f>'Rates in Detail'!AF48</f>
        <v>-2.1000000000000001E-4</v>
      </c>
      <c r="AP44" s="113">
        <f t="shared" si="9"/>
        <v>5.7999999999999989E-4</v>
      </c>
      <c r="AQ44" s="130"/>
      <c r="AR44" s="113">
        <f>'Proposed Rates - COMBINED'!AR44</f>
        <v>2.0469999999999999E-2</v>
      </c>
      <c r="AS44" s="113">
        <f>'Proposed Rates - COMBINED'!AS44</f>
        <v>0</v>
      </c>
      <c r="AT44" s="113">
        <f>'Proposed Rates - COMBINED'!AT44</f>
        <v>0</v>
      </c>
      <c r="AU44" s="113">
        <f>'Proposed Rates - COMBINED'!AU44</f>
        <v>0</v>
      </c>
      <c r="AV44" s="113">
        <f>'Proposed Rates - COMBINED'!AV44</f>
        <v>6.0000000000000002E-5</v>
      </c>
      <c r="AW44" s="113">
        <f t="shared" si="10"/>
        <v>2.053E-2</v>
      </c>
      <c r="AY44" s="113">
        <f t="shared" si="11"/>
        <v>2.128E-2</v>
      </c>
      <c r="AZ44" s="113">
        <f t="shared" si="12"/>
        <v>0</v>
      </c>
      <c r="BA44" s="113">
        <f t="shared" si="13"/>
        <v>0</v>
      </c>
      <c r="BB44" s="113">
        <f t="shared" si="14"/>
        <v>0</v>
      </c>
      <c r="BC44" s="113">
        <f t="shared" si="15"/>
        <v>-1.7000000000000001E-4</v>
      </c>
      <c r="BD44" s="113">
        <f t="shared" si="16"/>
        <v>2.111E-2</v>
      </c>
      <c r="BE44" s="1654"/>
    </row>
    <row r="45" spans="2:57" x14ac:dyDescent="0.3">
      <c r="B45" s="109">
        <f t="shared" si="17"/>
        <v>37</v>
      </c>
      <c r="C45" s="1287" t="str">
        <f>'WA Volumes &amp; Revenues'!B51</f>
        <v>42I Firm Transpt</v>
      </c>
      <c r="D45" s="1287" t="s">
        <v>4</v>
      </c>
      <c r="E45" s="114">
        <v>10000</v>
      </c>
      <c r="F45" s="115">
        <f>'WA Volumes &amp; Revenues'!E51</f>
        <v>924395</v>
      </c>
      <c r="G45" s="115">
        <f>'WA Volumes &amp; Revenues'!H51</f>
        <v>8.9166666666666661</v>
      </c>
      <c r="H45" s="890">
        <f>'WA Volumes &amp; Revenues'!O51</f>
        <v>1550</v>
      </c>
      <c r="I45" s="891">
        <f>'WA Volumes &amp; Revenues'!N51</f>
        <v>1550</v>
      </c>
      <c r="J45" s="620">
        <f>'Rates in Detail'!E49</f>
        <v>0.13941000000000001</v>
      </c>
      <c r="K45" s="622">
        <f>'Rates in Detail'!H49</f>
        <v>0</v>
      </c>
      <c r="L45" s="622">
        <f>'Rates in Detail'!F49</f>
        <v>0</v>
      </c>
      <c r="M45" s="622">
        <f>'Rates in Detail'!I49</f>
        <v>5.8999999999999992E-4</v>
      </c>
      <c r="N45" s="136">
        <f t="shared" si="1"/>
        <v>0.14000000000000001</v>
      </c>
      <c r="O45" s="620">
        <f>'Rates in Detail'!L49</f>
        <v>1.044E-2</v>
      </c>
      <c r="P45" s="622">
        <f>'Rates in Detail'!P49</f>
        <v>-1.7700000000000001E-3</v>
      </c>
      <c r="Q45" s="622">
        <f>'Rates in Detail'!Q49</f>
        <v>0</v>
      </c>
      <c r="R45" s="250">
        <f t="shared" si="2"/>
        <v>8.6699999999999989E-3</v>
      </c>
      <c r="S45" s="620">
        <f>'Rates in Detail'!S49</f>
        <v>0</v>
      </c>
      <c r="T45" s="622">
        <f>'Rates in Detail'!T49</f>
        <v>-1.5900000000000001E-3</v>
      </c>
      <c r="U45" s="622">
        <f>'Rates in Detail'!U49</f>
        <v>5.5999999999999995E-4</v>
      </c>
      <c r="V45" s="256">
        <f t="shared" si="18"/>
        <v>7.6399999999999984E-3</v>
      </c>
      <c r="W45" s="612"/>
      <c r="X45" s="116">
        <f>'[25]Rates in detail'!AC47</f>
        <v>0.13941000000000001</v>
      </c>
      <c r="Y45" s="116"/>
      <c r="Z45" s="116">
        <f>'[25]Rates in detail'!AD47</f>
        <v>0</v>
      </c>
      <c r="AA45" s="116">
        <f>'[25]Rates in detail'!AE47</f>
        <v>0</v>
      </c>
      <c r="AB45" s="116">
        <f>'[25]Rates in detail'!AF47</f>
        <v>1.6199999999999999E-3</v>
      </c>
      <c r="AC45" s="344">
        <f t="shared" si="4"/>
        <v>0.14103000000000002</v>
      </c>
      <c r="AD45" s="1594"/>
      <c r="AE45" s="1573">
        <f t="shared" si="5"/>
        <v>0.14808000000000002</v>
      </c>
      <c r="AF45" s="1573"/>
      <c r="AG45" s="1573">
        <f t="shared" si="6"/>
        <v>0</v>
      </c>
      <c r="AH45" s="1573">
        <f t="shared" si="6"/>
        <v>0</v>
      </c>
      <c r="AI45" s="1573">
        <f t="shared" si="7"/>
        <v>5.8999999999999981E-4</v>
      </c>
      <c r="AJ45" s="1573">
        <f t="shared" si="8"/>
        <v>0.14867000000000002</v>
      </c>
      <c r="AK45" s="1595"/>
      <c r="AL45" s="116">
        <f>'Rates in Detail'!AC49</f>
        <v>3.96E-3</v>
      </c>
      <c r="AM45" s="116">
        <f>'Rates in Detail'!AD49</f>
        <v>-1.6000000000000001E-4</v>
      </c>
      <c r="AN45" s="116">
        <f>'Rates in Detail'!AE49</f>
        <v>0</v>
      </c>
      <c r="AO45" s="116">
        <f>'Rates in Detail'!AF49</f>
        <v>-1.5399999999999999E-3</v>
      </c>
      <c r="AP45" s="116">
        <f t="shared" si="9"/>
        <v>2.2599999999999999E-3</v>
      </c>
      <c r="AQ45" s="130"/>
      <c r="AR45" s="116">
        <f>'Proposed Rates - COMBINED'!AR45</f>
        <v>0.14808000000000002</v>
      </c>
      <c r="AS45" s="116">
        <f>'Proposed Rates - COMBINED'!AS45</f>
        <v>0</v>
      </c>
      <c r="AT45" s="116">
        <f>'Proposed Rates - COMBINED'!AT45</f>
        <v>0</v>
      </c>
      <c r="AU45" s="116">
        <f>'Proposed Rates - COMBINED'!AU45</f>
        <v>0</v>
      </c>
      <c r="AV45" s="116">
        <f>'Proposed Rates - COMBINED'!AV45</f>
        <v>5.1999999999999995E-4</v>
      </c>
      <c r="AW45" s="116">
        <f t="shared" si="10"/>
        <v>0.14860000000000001</v>
      </c>
      <c r="AY45" s="116">
        <f t="shared" si="11"/>
        <v>0.15204000000000001</v>
      </c>
      <c r="AZ45" s="116">
        <f t="shared" si="12"/>
        <v>0</v>
      </c>
      <c r="BA45" s="116">
        <f t="shared" si="13"/>
        <v>0</v>
      </c>
      <c r="BB45" s="116">
        <f t="shared" si="14"/>
        <v>0</v>
      </c>
      <c r="BC45" s="116">
        <f t="shared" si="15"/>
        <v>-1.1800000000000001E-3</v>
      </c>
      <c r="BD45" s="116">
        <f t="shared" si="16"/>
        <v>0.15086000000000002</v>
      </c>
      <c r="BE45" s="1654"/>
    </row>
    <row r="46" spans="2:57" x14ac:dyDescent="0.3">
      <c r="B46" s="109">
        <f t="shared" si="17"/>
        <v>38</v>
      </c>
      <c r="C46" s="1287"/>
      <c r="D46" s="1287" t="s">
        <v>5</v>
      </c>
      <c r="E46" s="114">
        <v>20000</v>
      </c>
      <c r="F46" s="115">
        <f>'WA Volumes &amp; Revenues'!E52</f>
        <v>1036796</v>
      </c>
      <c r="G46" s="115"/>
      <c r="H46" s="890"/>
      <c r="I46" s="891"/>
      <c r="J46" s="620">
        <f>'Rates in Detail'!E50</f>
        <v>0.12478999999999997</v>
      </c>
      <c r="K46" s="622">
        <f>'Rates in Detail'!H50</f>
        <v>0</v>
      </c>
      <c r="L46" s="622">
        <f>'Rates in Detail'!F50</f>
        <v>0</v>
      </c>
      <c r="M46" s="622">
        <f>'Rates in Detail'!I50</f>
        <v>5.2000000000000006E-4</v>
      </c>
      <c r="N46" s="136">
        <f t="shared" si="1"/>
        <v>0.12530999999999998</v>
      </c>
      <c r="O46" s="620">
        <f>'Rates in Detail'!L50</f>
        <v>9.3500000000000007E-3</v>
      </c>
      <c r="P46" s="622">
        <f>'Rates in Detail'!P50</f>
        <v>-1.5900000000000001E-3</v>
      </c>
      <c r="Q46" s="622">
        <f>'Rates in Detail'!Q50</f>
        <v>0</v>
      </c>
      <c r="R46" s="250">
        <f t="shared" si="2"/>
        <v>7.7600000000000004E-3</v>
      </c>
      <c r="S46" s="620">
        <f>'Rates in Detail'!S50</f>
        <v>0</v>
      </c>
      <c r="T46" s="622">
        <f>'Rates in Detail'!T50</f>
        <v>-1.4300000000000001E-3</v>
      </c>
      <c r="U46" s="622">
        <f>'Rates in Detail'!U50</f>
        <v>5.0000000000000001E-4</v>
      </c>
      <c r="V46" s="256">
        <f t="shared" si="18"/>
        <v>6.830000000000001E-3</v>
      </c>
      <c r="W46" s="612"/>
      <c r="X46" s="116">
        <f>'[25]Rates in detail'!AC48</f>
        <v>0.12478999999999996</v>
      </c>
      <c r="Y46" s="116"/>
      <c r="Z46" s="116">
        <f>'[25]Rates in detail'!AD48</f>
        <v>0</v>
      </c>
      <c r="AA46" s="116">
        <f>'[25]Rates in detail'!AE48</f>
        <v>0</v>
      </c>
      <c r="AB46" s="116">
        <f>'[25]Rates in detail'!AF48</f>
        <v>1.4499999999999999E-3</v>
      </c>
      <c r="AC46" s="344">
        <f t="shared" si="4"/>
        <v>0.12623999999999996</v>
      </c>
      <c r="AD46" s="1594"/>
      <c r="AE46" s="116">
        <f t="shared" si="5"/>
        <v>0.13254999999999995</v>
      </c>
      <c r="AF46" s="116"/>
      <c r="AG46" s="116">
        <f t="shared" si="6"/>
        <v>0</v>
      </c>
      <c r="AH46" s="116">
        <f t="shared" si="6"/>
        <v>0</v>
      </c>
      <c r="AI46" s="116">
        <f t="shared" si="7"/>
        <v>5.1999999999999985E-4</v>
      </c>
      <c r="AJ46" s="116">
        <f t="shared" si="8"/>
        <v>0.13306999999999994</v>
      </c>
      <c r="AK46" s="1595"/>
      <c r="AL46" s="116">
        <f>'Rates in Detail'!AC50</f>
        <v>3.5400000000000002E-3</v>
      </c>
      <c r="AM46" s="116">
        <f>'Rates in Detail'!AD50</f>
        <v>-1.3999999999999999E-4</v>
      </c>
      <c r="AN46" s="116">
        <f>'Rates in Detail'!AE50</f>
        <v>0</v>
      </c>
      <c r="AO46" s="116">
        <f>'Rates in Detail'!AF50</f>
        <v>-1.3799999999999999E-3</v>
      </c>
      <c r="AP46" s="116">
        <f t="shared" si="9"/>
        <v>2.0200000000000001E-3</v>
      </c>
      <c r="AQ46" s="130"/>
      <c r="AR46" s="116">
        <f>'Proposed Rates - COMBINED'!AR46</f>
        <v>0.13254999999999995</v>
      </c>
      <c r="AS46" s="116">
        <f>'Proposed Rates - COMBINED'!AS46</f>
        <v>0</v>
      </c>
      <c r="AT46" s="116">
        <f>'Proposed Rates - COMBINED'!AT46</f>
        <v>0</v>
      </c>
      <c r="AU46" s="116">
        <f>'Proposed Rates - COMBINED'!AU46</f>
        <v>0</v>
      </c>
      <c r="AV46" s="116">
        <f>'Proposed Rates - COMBINED'!AV46</f>
        <v>4.6000000000000001E-4</v>
      </c>
      <c r="AW46" s="116">
        <f t="shared" si="10"/>
        <v>0.13300999999999993</v>
      </c>
      <c r="AY46" s="116">
        <f t="shared" si="11"/>
        <v>0.13608999999999993</v>
      </c>
      <c r="AZ46" s="116">
        <f t="shared" si="12"/>
        <v>0</v>
      </c>
      <c r="BA46" s="116">
        <f t="shared" si="13"/>
        <v>0</v>
      </c>
      <c r="BB46" s="116">
        <f t="shared" si="14"/>
        <v>0</v>
      </c>
      <c r="BC46" s="116">
        <f t="shared" si="15"/>
        <v>-1.0599999999999997E-3</v>
      </c>
      <c r="BD46" s="116">
        <f t="shared" si="16"/>
        <v>0.13502999999999993</v>
      </c>
      <c r="BE46" s="1654"/>
    </row>
    <row r="47" spans="2:57" x14ac:dyDescent="0.3">
      <c r="B47" s="109">
        <f t="shared" si="17"/>
        <v>39</v>
      </c>
      <c r="C47" s="1287"/>
      <c r="D47" s="1287" t="s">
        <v>6</v>
      </c>
      <c r="E47" s="114">
        <v>20000</v>
      </c>
      <c r="F47" s="115">
        <f>'WA Volumes &amp; Revenues'!E53</f>
        <v>937215</v>
      </c>
      <c r="G47" s="115"/>
      <c r="H47" s="890"/>
      <c r="I47" s="891"/>
      <c r="J47" s="620">
        <f>'Rates in Detail'!E51</f>
        <v>9.5690000000000011E-2</v>
      </c>
      <c r="K47" s="622">
        <f>'Rates in Detail'!H51</f>
        <v>0</v>
      </c>
      <c r="L47" s="622">
        <f>'Rates in Detail'!F51</f>
        <v>0</v>
      </c>
      <c r="M47" s="622">
        <f>'Rates in Detail'!I51</f>
        <v>4.1000000000000005E-4</v>
      </c>
      <c r="N47" s="136">
        <f t="shared" si="1"/>
        <v>9.6100000000000005E-2</v>
      </c>
      <c r="O47" s="620">
        <f>'Rates in Detail'!L51</f>
        <v>7.1700000000000002E-3</v>
      </c>
      <c r="P47" s="622">
        <f>'Rates in Detail'!P51</f>
        <v>-1.2199999999999999E-3</v>
      </c>
      <c r="Q47" s="622">
        <f>'Rates in Detail'!Q51</f>
        <v>0</v>
      </c>
      <c r="R47" s="250">
        <f t="shared" si="2"/>
        <v>5.9500000000000004E-3</v>
      </c>
      <c r="S47" s="620">
        <f>'Rates in Detail'!S51</f>
        <v>0</v>
      </c>
      <c r="T47" s="622">
        <f>'Rates in Detail'!T51</f>
        <v>-1.09E-3</v>
      </c>
      <c r="U47" s="622">
        <f>'Rates in Detail'!U51</f>
        <v>3.8999999999999999E-4</v>
      </c>
      <c r="V47" s="256">
        <f t="shared" si="18"/>
        <v>5.2500000000000003E-3</v>
      </c>
      <c r="W47" s="612"/>
      <c r="X47" s="116">
        <f>'[25]Rates in detail'!AC49</f>
        <v>9.5690000000000011E-2</v>
      </c>
      <c r="Y47" s="116"/>
      <c r="Z47" s="116">
        <f>'[25]Rates in detail'!AD49</f>
        <v>0</v>
      </c>
      <c r="AA47" s="116">
        <f>'[25]Rates in detail'!AE49</f>
        <v>0</v>
      </c>
      <c r="AB47" s="116">
        <f>'[25]Rates in detail'!AF49</f>
        <v>1.1100000000000001E-3</v>
      </c>
      <c r="AC47" s="344">
        <f t="shared" si="4"/>
        <v>9.6800000000000011E-2</v>
      </c>
      <c r="AD47" s="1594"/>
      <c r="AE47" s="116">
        <f t="shared" si="5"/>
        <v>0.10164000000000001</v>
      </c>
      <c r="AF47" s="116"/>
      <c r="AG47" s="116">
        <f t="shared" si="6"/>
        <v>0</v>
      </c>
      <c r="AH47" s="116">
        <f t="shared" si="6"/>
        <v>0</v>
      </c>
      <c r="AI47" s="116">
        <f t="shared" si="7"/>
        <v>4.1000000000000005E-4</v>
      </c>
      <c r="AJ47" s="116">
        <f t="shared" si="8"/>
        <v>0.10205</v>
      </c>
      <c r="AK47" s="1595"/>
      <c r="AL47" s="116">
        <f>'Rates in Detail'!AC51</f>
        <v>2.7200000000000002E-3</v>
      </c>
      <c r="AM47" s="116">
        <f>'Rates in Detail'!AD51</f>
        <v>-1.1E-4</v>
      </c>
      <c r="AN47" s="116">
        <f>'Rates in Detail'!AE51</f>
        <v>0</v>
      </c>
      <c r="AO47" s="116">
        <f>'Rates in Detail'!AF51</f>
        <v>-1.06E-3</v>
      </c>
      <c r="AP47" s="116">
        <f t="shared" si="9"/>
        <v>1.5500000000000004E-3</v>
      </c>
      <c r="AQ47" s="130"/>
      <c r="AR47" s="116">
        <f>'Proposed Rates - COMBINED'!AR47</f>
        <v>0.10164000000000001</v>
      </c>
      <c r="AS47" s="116">
        <f>'Proposed Rates - COMBINED'!AS47</f>
        <v>0</v>
      </c>
      <c r="AT47" s="116">
        <f>'Proposed Rates - COMBINED'!AT47</f>
        <v>0</v>
      </c>
      <c r="AU47" s="116">
        <f>'Proposed Rates - COMBINED'!AU47</f>
        <v>0</v>
      </c>
      <c r="AV47" s="116">
        <f>'Proposed Rates - COMBINED'!AV47</f>
        <v>3.5E-4</v>
      </c>
      <c r="AW47" s="116">
        <f t="shared" si="10"/>
        <v>0.10199000000000001</v>
      </c>
      <c r="AY47" s="116">
        <f t="shared" si="11"/>
        <v>0.10436000000000001</v>
      </c>
      <c r="AZ47" s="116">
        <f t="shared" si="12"/>
        <v>0</v>
      </c>
      <c r="BA47" s="116">
        <f t="shared" si="13"/>
        <v>0</v>
      </c>
      <c r="BB47" s="116">
        <f t="shared" si="14"/>
        <v>0</v>
      </c>
      <c r="BC47" s="116">
        <f t="shared" si="15"/>
        <v>-8.1999999999999998E-4</v>
      </c>
      <c r="BD47" s="116">
        <f t="shared" si="16"/>
        <v>0.10354000000000001</v>
      </c>
      <c r="BE47" s="1654"/>
    </row>
    <row r="48" spans="2:57" x14ac:dyDescent="0.3">
      <c r="B48" s="109">
        <f t="shared" si="17"/>
        <v>40</v>
      </c>
      <c r="C48" s="1287"/>
      <c r="D48" s="1287" t="s">
        <v>7</v>
      </c>
      <c r="E48" s="114">
        <v>100000</v>
      </c>
      <c r="F48" s="115">
        <f>'WA Volumes &amp; Revenues'!E54</f>
        <v>2390318</v>
      </c>
      <c r="G48" s="115"/>
      <c r="H48" s="890"/>
      <c r="I48" s="891"/>
      <c r="J48" s="620">
        <f>'Rates in Detail'!E52</f>
        <v>7.6560000000000017E-2</v>
      </c>
      <c r="K48" s="622">
        <f>'Rates in Detail'!H52</f>
        <v>0</v>
      </c>
      <c r="L48" s="622">
        <f>'Rates in Detail'!F52</f>
        <v>0</v>
      </c>
      <c r="M48" s="622">
        <f>'Rates in Detail'!I52</f>
        <v>3.1999999999999997E-4</v>
      </c>
      <c r="N48" s="136">
        <f t="shared" si="1"/>
        <v>7.6880000000000018E-2</v>
      </c>
      <c r="O48" s="620">
        <f>'Rates in Detail'!L52</f>
        <v>5.7299999999999999E-3</v>
      </c>
      <c r="P48" s="622">
        <f>'Rates in Detail'!P52</f>
        <v>-9.7000000000000005E-4</v>
      </c>
      <c r="Q48" s="622">
        <f>'Rates in Detail'!Q52</f>
        <v>0</v>
      </c>
      <c r="R48" s="250">
        <f t="shared" si="2"/>
        <v>4.7599999999999995E-3</v>
      </c>
      <c r="S48" s="620">
        <f>'Rates in Detail'!S52</f>
        <v>0</v>
      </c>
      <c r="T48" s="622">
        <f>'Rates in Detail'!T52</f>
        <v>-8.7000000000000001E-4</v>
      </c>
      <c r="U48" s="622">
        <f>'Rates in Detail'!U52</f>
        <v>3.1E-4</v>
      </c>
      <c r="V48" s="256">
        <f t="shared" si="18"/>
        <v>4.1999999999999997E-3</v>
      </c>
      <c r="W48" s="612"/>
      <c r="X48" s="116">
        <f>'[25]Rates in detail'!AC50</f>
        <v>7.6560000000000017E-2</v>
      </c>
      <c r="Y48" s="116"/>
      <c r="Z48" s="116">
        <f>'[25]Rates in detail'!AD50</f>
        <v>0</v>
      </c>
      <c r="AA48" s="116">
        <f>'[25]Rates in detail'!AE50</f>
        <v>0</v>
      </c>
      <c r="AB48" s="116">
        <f>'[25]Rates in detail'!AF50</f>
        <v>8.8999999999999995E-4</v>
      </c>
      <c r="AC48" s="344">
        <f t="shared" si="4"/>
        <v>7.7450000000000019E-2</v>
      </c>
      <c r="AD48" s="1594"/>
      <c r="AE48" s="116">
        <f t="shared" si="5"/>
        <v>8.1320000000000017E-2</v>
      </c>
      <c r="AF48" s="116"/>
      <c r="AG48" s="116">
        <f t="shared" si="6"/>
        <v>0</v>
      </c>
      <c r="AH48" s="116">
        <f t="shared" si="6"/>
        <v>0</v>
      </c>
      <c r="AI48" s="116">
        <f t="shared" si="7"/>
        <v>3.2999999999999994E-4</v>
      </c>
      <c r="AJ48" s="116">
        <f t="shared" si="8"/>
        <v>8.1650000000000014E-2</v>
      </c>
      <c r="AK48" s="1595"/>
      <c r="AL48" s="116">
        <f>'Rates in Detail'!AC52</f>
        <v>2.1700000000000001E-3</v>
      </c>
      <c r="AM48" s="116">
        <f>'Rates in Detail'!AD52</f>
        <v>-9.0000000000000006E-5</v>
      </c>
      <c r="AN48" s="116">
        <f>'Rates in Detail'!AE52</f>
        <v>0</v>
      </c>
      <c r="AO48" s="116">
        <f>'Rates in Detail'!AF52</f>
        <v>-8.4999999999999995E-4</v>
      </c>
      <c r="AP48" s="116">
        <f t="shared" si="9"/>
        <v>1.2300000000000002E-3</v>
      </c>
      <c r="AQ48" s="130"/>
      <c r="AR48" s="116">
        <f>'Proposed Rates - COMBINED'!AR48</f>
        <v>8.1320000000000017E-2</v>
      </c>
      <c r="AS48" s="116">
        <f>'Proposed Rates - COMBINED'!AS48</f>
        <v>0</v>
      </c>
      <c r="AT48" s="116">
        <f>'Proposed Rates - COMBINED'!AT48</f>
        <v>0</v>
      </c>
      <c r="AU48" s="116">
        <f>'Proposed Rates - COMBINED'!AU48</f>
        <v>0</v>
      </c>
      <c r="AV48" s="116">
        <f>'Proposed Rates - COMBINED'!AV48</f>
        <v>2.7999999999999998E-4</v>
      </c>
      <c r="AW48" s="116">
        <f t="shared" si="10"/>
        <v>8.160000000000002E-2</v>
      </c>
      <c r="AY48" s="116">
        <f t="shared" si="11"/>
        <v>8.3490000000000023E-2</v>
      </c>
      <c r="AZ48" s="116">
        <f t="shared" si="12"/>
        <v>0</v>
      </c>
      <c r="BA48" s="116">
        <f t="shared" si="13"/>
        <v>0</v>
      </c>
      <c r="BB48" s="116">
        <f t="shared" si="14"/>
        <v>0</v>
      </c>
      <c r="BC48" s="116">
        <f t="shared" si="15"/>
        <v>-6.6E-4</v>
      </c>
      <c r="BD48" s="116">
        <f t="shared" si="16"/>
        <v>8.2830000000000029E-2</v>
      </c>
      <c r="BE48" s="1654"/>
    </row>
    <row r="49" spans="2:57" x14ac:dyDescent="0.3">
      <c r="B49" s="109">
        <f t="shared" si="17"/>
        <v>41</v>
      </c>
      <c r="C49" s="1287"/>
      <c r="D49" s="1287" t="s">
        <v>8</v>
      </c>
      <c r="E49" s="114">
        <v>600000</v>
      </c>
      <c r="F49" s="115">
        <f>'WA Volumes &amp; Revenues'!E55</f>
        <v>1492257</v>
      </c>
      <c r="G49" s="115"/>
      <c r="H49" s="890"/>
      <c r="I49" s="891"/>
      <c r="J49" s="620">
        <f>'Rates in Detail'!E53</f>
        <v>5.1040000000000002E-2</v>
      </c>
      <c r="K49" s="622">
        <f>'Rates in Detail'!H53</f>
        <v>0</v>
      </c>
      <c r="L49" s="622">
        <f>'Rates in Detail'!F53</f>
        <v>0</v>
      </c>
      <c r="M49" s="622">
        <f>'Rates in Detail'!I53</f>
        <v>2.1000000000000001E-4</v>
      </c>
      <c r="N49" s="136">
        <f t="shared" si="1"/>
        <v>5.1250000000000004E-2</v>
      </c>
      <c r="O49" s="620">
        <f>'Rates in Detail'!L53</f>
        <v>3.82E-3</v>
      </c>
      <c r="P49" s="622">
        <f>'Rates in Detail'!P53</f>
        <v>-6.4999999999999997E-4</v>
      </c>
      <c r="Q49" s="622">
        <f>'Rates in Detail'!Q53</f>
        <v>0</v>
      </c>
      <c r="R49" s="250">
        <f t="shared" si="2"/>
        <v>3.1700000000000001E-3</v>
      </c>
      <c r="S49" s="620">
        <f>'Rates in Detail'!S53</f>
        <v>0</v>
      </c>
      <c r="T49" s="622">
        <f>'Rates in Detail'!T53</f>
        <v>-5.8E-4</v>
      </c>
      <c r="U49" s="622">
        <f>'Rates in Detail'!U53</f>
        <v>2.1000000000000001E-4</v>
      </c>
      <c r="V49" s="256">
        <f t="shared" si="18"/>
        <v>2.8000000000000004E-3</v>
      </c>
      <c r="W49" s="612"/>
      <c r="X49" s="116">
        <f>'[25]Rates in detail'!AC51</f>
        <v>5.1040000000000002E-2</v>
      </c>
      <c r="Y49" s="116"/>
      <c r="Z49" s="116">
        <f>'[25]Rates in detail'!AD51</f>
        <v>0</v>
      </c>
      <c r="AA49" s="116">
        <f>'[25]Rates in detail'!AE51</f>
        <v>0</v>
      </c>
      <c r="AB49" s="116">
        <f>'[25]Rates in detail'!AF51</f>
        <v>5.9000000000000003E-4</v>
      </c>
      <c r="AC49" s="344">
        <f t="shared" si="4"/>
        <v>5.1630000000000002E-2</v>
      </c>
      <c r="AD49" s="1594"/>
      <c r="AE49" s="116">
        <f t="shared" si="5"/>
        <v>5.4210000000000001E-2</v>
      </c>
      <c r="AF49" s="116"/>
      <c r="AG49" s="116">
        <f t="shared" si="6"/>
        <v>0</v>
      </c>
      <c r="AH49" s="116">
        <f t="shared" si="6"/>
        <v>0</v>
      </c>
      <c r="AI49" s="116">
        <f t="shared" si="7"/>
        <v>2.2000000000000003E-4</v>
      </c>
      <c r="AJ49" s="116">
        <f t="shared" si="8"/>
        <v>5.4429999999999999E-2</v>
      </c>
      <c r="AK49" s="1595"/>
      <c r="AL49" s="116">
        <f>'Rates in Detail'!AC53</f>
        <v>1.4499999999999999E-3</v>
      </c>
      <c r="AM49" s="116">
        <f>'Rates in Detail'!AD53</f>
        <v>-6.0000000000000002E-5</v>
      </c>
      <c r="AN49" s="116">
        <f>'Rates in Detail'!AE53</f>
        <v>0</v>
      </c>
      <c r="AO49" s="116">
        <f>'Rates in Detail'!AF53</f>
        <v>-5.5999999999999995E-4</v>
      </c>
      <c r="AP49" s="116">
        <f t="shared" si="9"/>
        <v>8.3000000000000001E-4</v>
      </c>
      <c r="AQ49" s="130"/>
      <c r="AR49" s="116">
        <f>'Proposed Rates - COMBINED'!AR49</f>
        <v>5.4210000000000001E-2</v>
      </c>
      <c r="AS49" s="116">
        <f>'Proposed Rates - COMBINED'!AS49</f>
        <v>0</v>
      </c>
      <c r="AT49" s="116">
        <f>'Proposed Rates - COMBINED'!AT49</f>
        <v>0</v>
      </c>
      <c r="AU49" s="116">
        <f>'Proposed Rates - COMBINED'!AU49</f>
        <v>0</v>
      </c>
      <c r="AV49" s="116">
        <f>'Proposed Rates - COMBINED'!AV49</f>
        <v>1.9000000000000001E-4</v>
      </c>
      <c r="AW49" s="116">
        <f t="shared" si="10"/>
        <v>5.4400000000000004E-2</v>
      </c>
      <c r="AY49" s="116">
        <f t="shared" si="11"/>
        <v>5.5660000000000001E-2</v>
      </c>
      <c r="AZ49" s="116">
        <f t="shared" si="12"/>
        <v>0</v>
      </c>
      <c r="BA49" s="116">
        <f t="shared" si="13"/>
        <v>0</v>
      </c>
      <c r="BB49" s="116">
        <f t="shared" si="14"/>
        <v>0</v>
      </c>
      <c r="BC49" s="116">
        <f t="shared" si="15"/>
        <v>-4.2999999999999999E-4</v>
      </c>
      <c r="BD49" s="116">
        <f t="shared" si="16"/>
        <v>5.5230000000000001E-2</v>
      </c>
      <c r="BE49" s="1654"/>
    </row>
    <row r="50" spans="2:57" x14ac:dyDescent="0.3">
      <c r="B50" s="109">
        <f t="shared" si="17"/>
        <v>42</v>
      </c>
      <c r="C50" s="110"/>
      <c r="D50" s="110" t="s">
        <v>9</v>
      </c>
      <c r="E50" s="111" t="s">
        <v>72</v>
      </c>
      <c r="F50" s="112">
        <f>'WA Volumes &amp; Revenues'!E56</f>
        <v>0</v>
      </c>
      <c r="G50" s="112"/>
      <c r="H50" s="885"/>
      <c r="I50" s="887"/>
      <c r="J50" s="619">
        <f>'Rates in Detail'!E54</f>
        <v>1.9140000000000001E-2</v>
      </c>
      <c r="K50" s="623">
        <f>'Rates in Detail'!H54</f>
        <v>0</v>
      </c>
      <c r="L50" s="623">
        <f>'Rates in Detail'!F54</f>
        <v>0</v>
      </c>
      <c r="M50" s="623">
        <f>'Rates in Detail'!I54</f>
        <v>7.9999999999999993E-5</v>
      </c>
      <c r="N50" s="134">
        <f t="shared" si="1"/>
        <v>1.9220000000000001E-2</v>
      </c>
      <c r="O50" s="619">
        <f>'Rates in Detail'!L54</f>
        <v>1.4300000000000001E-3</v>
      </c>
      <c r="P50" s="623">
        <f>'Rates in Detail'!P54</f>
        <v>-2.4000000000000001E-4</v>
      </c>
      <c r="Q50" s="623">
        <f>'Rates in Detail'!Q54</f>
        <v>0</v>
      </c>
      <c r="R50" s="249">
        <f t="shared" si="2"/>
        <v>1.1900000000000001E-3</v>
      </c>
      <c r="S50" s="619">
        <f>'Rates in Detail'!S54</f>
        <v>0</v>
      </c>
      <c r="T50" s="623">
        <f>'Rates in Detail'!T54</f>
        <v>-2.2000000000000001E-4</v>
      </c>
      <c r="U50" s="623">
        <f>'Rates in Detail'!U54</f>
        <v>8.0000000000000007E-5</v>
      </c>
      <c r="V50" s="255">
        <f t="shared" si="18"/>
        <v>1.0500000000000002E-3</v>
      </c>
      <c r="W50" s="612"/>
      <c r="X50" s="113">
        <f>'[25]Rates in detail'!AC52</f>
        <v>1.9140000000000001E-2</v>
      </c>
      <c r="Y50" s="113"/>
      <c r="Z50" s="113">
        <f>'[25]Rates in detail'!AD52</f>
        <v>0</v>
      </c>
      <c r="AA50" s="113">
        <f>'[25]Rates in detail'!AE52</f>
        <v>0</v>
      </c>
      <c r="AB50" s="113">
        <f>'[25]Rates in detail'!AF52</f>
        <v>2.2000000000000001E-4</v>
      </c>
      <c r="AC50" s="343">
        <f t="shared" si="4"/>
        <v>1.9360000000000002E-2</v>
      </c>
      <c r="AD50" s="1594"/>
      <c r="AE50" s="113">
        <f t="shared" si="5"/>
        <v>2.0330000000000001E-2</v>
      </c>
      <c r="AF50" s="113"/>
      <c r="AG50" s="113">
        <f t="shared" si="6"/>
        <v>0</v>
      </c>
      <c r="AH50" s="113">
        <f t="shared" si="6"/>
        <v>0</v>
      </c>
      <c r="AI50" s="113">
        <f t="shared" si="7"/>
        <v>8.0000000000000007E-5</v>
      </c>
      <c r="AJ50" s="113">
        <f t="shared" si="8"/>
        <v>2.0410000000000001E-2</v>
      </c>
      <c r="AK50" s="1595"/>
      <c r="AL50" s="113">
        <f>'Rates in Detail'!AC54</f>
        <v>5.4000000000000001E-4</v>
      </c>
      <c r="AM50" s="113">
        <f>'Rates in Detail'!AD54</f>
        <v>-2.0000000000000002E-5</v>
      </c>
      <c r="AN50" s="113">
        <f>'Rates in Detail'!AE54</f>
        <v>0</v>
      </c>
      <c r="AO50" s="113">
        <f>'Rates in Detail'!AF54</f>
        <v>-2.1000000000000001E-4</v>
      </c>
      <c r="AP50" s="113">
        <f t="shared" si="9"/>
        <v>3.0999999999999995E-4</v>
      </c>
      <c r="AQ50" s="130"/>
      <c r="AR50" s="113">
        <f>'Proposed Rates - COMBINED'!AR50</f>
        <v>2.0330000000000001E-2</v>
      </c>
      <c r="AS50" s="113">
        <f>'Proposed Rates - COMBINED'!AS50</f>
        <v>0</v>
      </c>
      <c r="AT50" s="113">
        <f>'Proposed Rates - COMBINED'!AT50</f>
        <v>0</v>
      </c>
      <c r="AU50" s="113">
        <f>'Proposed Rates - COMBINED'!AU50</f>
        <v>0</v>
      </c>
      <c r="AV50" s="113">
        <f>'Proposed Rates - COMBINED'!AV50</f>
        <v>6.9999999999999994E-5</v>
      </c>
      <c r="AW50" s="113">
        <f t="shared" si="10"/>
        <v>2.0400000000000001E-2</v>
      </c>
      <c r="AY50" s="113">
        <f t="shared" si="11"/>
        <v>2.087E-2</v>
      </c>
      <c r="AZ50" s="113">
        <f t="shared" si="12"/>
        <v>0</v>
      </c>
      <c r="BA50" s="113">
        <f t="shared" si="13"/>
        <v>0</v>
      </c>
      <c r="BB50" s="113">
        <f t="shared" si="14"/>
        <v>0</v>
      </c>
      <c r="BC50" s="113">
        <f t="shared" si="15"/>
        <v>-1.6000000000000001E-4</v>
      </c>
      <c r="BD50" s="113">
        <f t="shared" si="16"/>
        <v>2.0709999999999999E-2</v>
      </c>
      <c r="BE50" s="1654"/>
    </row>
    <row r="51" spans="2:57" x14ac:dyDescent="0.3">
      <c r="B51" s="109">
        <f t="shared" si="17"/>
        <v>43</v>
      </c>
      <c r="C51" s="1287" t="str">
        <f>'WA Volumes &amp; Revenues'!B57</f>
        <v>42C Interr Sales</v>
      </c>
      <c r="D51" s="1287" t="s">
        <v>4</v>
      </c>
      <c r="E51" s="114">
        <v>10000</v>
      </c>
      <c r="F51" s="115">
        <f>'WA Volumes &amp; Revenues'!E57</f>
        <v>240000</v>
      </c>
      <c r="G51" s="115">
        <f>'WA Volumes &amp; Revenues'!H57</f>
        <v>2</v>
      </c>
      <c r="H51" s="890">
        <f>'WA Volumes &amp; Revenues'!O57</f>
        <v>1300</v>
      </c>
      <c r="I51" s="891">
        <f>'WA Volumes &amp; Revenues'!N57</f>
        <v>1300</v>
      </c>
      <c r="J51" s="620">
        <f>'Rates in Detail'!E55</f>
        <v>0.13682000000000002</v>
      </c>
      <c r="K51" s="622">
        <f>'Rates in Detail'!H55</f>
        <v>0</v>
      </c>
      <c r="L51" s="622">
        <f>'Rates in Detail'!F55</f>
        <v>0.26333000000000001</v>
      </c>
      <c r="M51" s="622">
        <f>'Rates in Detail'!I55</f>
        <v>2.334E-2</v>
      </c>
      <c r="N51" s="136">
        <f t="shared" si="1"/>
        <v>0.42349000000000003</v>
      </c>
      <c r="O51" s="620">
        <f>'Rates in Detail'!L55</f>
        <v>2.2440000000000002E-2</v>
      </c>
      <c r="P51" s="622">
        <f>'Rates in Detail'!P55</f>
        <v>-1.8400000000000001E-3</v>
      </c>
      <c r="Q51" s="622">
        <f>'Rates in Detail'!Q55</f>
        <v>0</v>
      </c>
      <c r="R51" s="250">
        <f t="shared" si="2"/>
        <v>2.06E-2</v>
      </c>
      <c r="S51" s="620">
        <f>'Rates in Detail'!S55</f>
        <v>-3.2799999999999999E-3</v>
      </c>
      <c r="T51" s="622">
        <f>'Rates in Detail'!T55</f>
        <v>-1.75E-3</v>
      </c>
      <c r="U51" s="622">
        <f>'Rates in Detail'!U55</f>
        <v>6.2E-4</v>
      </c>
      <c r="V51" s="256">
        <f t="shared" si="18"/>
        <v>1.6190000000000003E-2</v>
      </c>
      <c r="W51" s="612"/>
      <c r="X51" s="116">
        <f>'[25]Rates in detail'!AC53</f>
        <v>0.13682000000000011</v>
      </c>
      <c r="Y51" s="116"/>
      <c r="Z51" s="116">
        <f>'[25]Rates in detail'!AD53</f>
        <v>0</v>
      </c>
      <c r="AA51" s="116">
        <f>'[25]Rates in detail'!AE53</f>
        <v>0.34872999999999998</v>
      </c>
      <c r="AB51" s="116">
        <f>'[25]Rates in detail'!AF53</f>
        <v>6.1979999999999993E-2</v>
      </c>
      <c r="AC51" s="344">
        <f t="shared" si="4"/>
        <v>0.54753000000000007</v>
      </c>
      <c r="AD51" s="1594"/>
      <c r="AE51" s="1573">
        <f t="shared" si="5"/>
        <v>0.15742000000000012</v>
      </c>
      <c r="AF51" s="1573"/>
      <c r="AG51" s="1573">
        <f t="shared" si="6"/>
        <v>0</v>
      </c>
      <c r="AH51" s="1573">
        <f t="shared" si="6"/>
        <v>0.34872999999999998</v>
      </c>
      <c r="AI51" s="1573">
        <f t="shared" si="7"/>
        <v>5.7569999999999996E-2</v>
      </c>
      <c r="AJ51" s="1573">
        <f t="shared" si="8"/>
        <v>0.56372000000000011</v>
      </c>
      <c r="AK51" s="1595"/>
      <c r="AL51" s="116">
        <f>'Rates in Detail'!AC55</f>
        <v>1.2449999999999999E-2</v>
      </c>
      <c r="AM51" s="116">
        <f>'Rates in Detail'!AD55</f>
        <v>-1.8000000000000001E-4</v>
      </c>
      <c r="AN51" s="116">
        <f>'Rates in Detail'!AE55</f>
        <v>-3.2799999999999999E-3</v>
      </c>
      <c r="AO51" s="116">
        <f>'Rates in Detail'!AF55</f>
        <v>-1.75E-3</v>
      </c>
      <c r="AP51" s="116">
        <f t="shared" si="9"/>
        <v>7.2399999999999999E-3</v>
      </c>
      <c r="AQ51" s="130"/>
      <c r="AR51" s="116">
        <f>'Proposed Rates - COMBINED'!AR51</f>
        <v>0.15742000000000009</v>
      </c>
      <c r="AS51" s="116">
        <f>'Proposed Rates - COMBINED'!AS51</f>
        <v>0</v>
      </c>
      <c r="AT51" s="116">
        <f>'Proposed Rates - COMBINED'!AT51</f>
        <v>0</v>
      </c>
      <c r="AU51" s="116">
        <f>'Proposed Rates - COMBINED'!AU51</f>
        <v>0.46972000000000003</v>
      </c>
      <c r="AV51" s="116">
        <f>'Proposed Rates - COMBINED'!AV51</f>
        <v>0.13400999999999999</v>
      </c>
      <c r="AW51" s="116">
        <f t="shared" si="10"/>
        <v>0.7611500000000001</v>
      </c>
      <c r="AY51" s="116">
        <f t="shared" si="11"/>
        <v>0.16987000000000008</v>
      </c>
      <c r="AZ51" s="116">
        <f t="shared" si="12"/>
        <v>0</v>
      </c>
      <c r="BA51" s="116">
        <f t="shared" si="13"/>
        <v>0</v>
      </c>
      <c r="BB51" s="116">
        <f t="shared" si="14"/>
        <v>0.46972000000000003</v>
      </c>
      <c r="BC51" s="116">
        <f t="shared" si="15"/>
        <v>0.1288</v>
      </c>
      <c r="BD51" s="116">
        <f t="shared" si="16"/>
        <v>0.76839000000000013</v>
      </c>
      <c r="BE51" s="1654"/>
    </row>
    <row r="52" spans="2:57" x14ac:dyDescent="0.3">
      <c r="B52" s="109">
        <f t="shared" si="17"/>
        <v>44</v>
      </c>
      <c r="C52" s="1287"/>
      <c r="D52" s="1287" t="s">
        <v>5</v>
      </c>
      <c r="E52" s="114">
        <v>20000</v>
      </c>
      <c r="F52" s="115">
        <f>'WA Volumes &amp; Revenues'!E58</f>
        <v>467511</v>
      </c>
      <c r="G52" s="115"/>
      <c r="H52" s="890"/>
      <c r="I52" s="891"/>
      <c r="J52" s="620">
        <f>'Rates in Detail'!E56</f>
        <v>0.12246999999999988</v>
      </c>
      <c r="K52" s="622">
        <f>'Rates in Detail'!H56</f>
        <v>0</v>
      </c>
      <c r="L52" s="622">
        <f>'Rates in Detail'!F56</f>
        <v>0.26333000000000001</v>
      </c>
      <c r="M52" s="622">
        <f>'Rates in Detail'!I56</f>
        <v>2.0999999999999998E-2</v>
      </c>
      <c r="N52" s="136">
        <f t="shared" si="1"/>
        <v>0.40679999999999994</v>
      </c>
      <c r="O52" s="620">
        <f>'Rates in Detail'!L56</f>
        <v>2.009E-2</v>
      </c>
      <c r="P52" s="622">
        <f>'Rates in Detail'!P56</f>
        <v>-1.64E-3</v>
      </c>
      <c r="Q52" s="622">
        <f>'Rates in Detail'!Q56</f>
        <v>0</v>
      </c>
      <c r="R52" s="250">
        <f t="shared" si="2"/>
        <v>1.8450000000000001E-2</v>
      </c>
      <c r="S52" s="620">
        <f>'Rates in Detail'!S56</f>
        <v>-2.9399999999999999E-3</v>
      </c>
      <c r="T52" s="622">
        <f>'Rates in Detail'!T56</f>
        <v>-1.56E-3</v>
      </c>
      <c r="U52" s="622">
        <f>'Rates in Detail'!U56</f>
        <v>5.5000000000000003E-4</v>
      </c>
      <c r="V52" s="256">
        <f t="shared" si="18"/>
        <v>1.4500000000000001E-2</v>
      </c>
      <c r="W52" s="612"/>
      <c r="X52" s="116">
        <f>'[25]Rates in detail'!AC54</f>
        <v>0.12246999999999986</v>
      </c>
      <c r="Y52" s="116"/>
      <c r="Z52" s="116">
        <f>'[25]Rates in detail'!AD54</f>
        <v>0</v>
      </c>
      <c r="AA52" s="116">
        <f>'[25]Rates in detail'!AE54</f>
        <v>0.34872999999999998</v>
      </c>
      <c r="AB52" s="116">
        <f>'[25]Rates in detail'!AF54</f>
        <v>5.9329999999999994E-2</v>
      </c>
      <c r="AC52" s="344">
        <f t="shared" si="4"/>
        <v>0.53052999999999984</v>
      </c>
      <c r="AD52" s="1594"/>
      <c r="AE52" s="116">
        <f t="shared" si="5"/>
        <v>0.14091999999999985</v>
      </c>
      <c r="AF52" s="116"/>
      <c r="AG52" s="116">
        <f t="shared" si="6"/>
        <v>0</v>
      </c>
      <c r="AH52" s="116">
        <f t="shared" si="6"/>
        <v>0.34872999999999998</v>
      </c>
      <c r="AI52" s="116">
        <f t="shared" si="7"/>
        <v>5.5379999999999999E-2</v>
      </c>
      <c r="AJ52" s="116">
        <f t="shared" si="8"/>
        <v>0.54502999999999979</v>
      </c>
      <c r="AK52" s="1595"/>
      <c r="AL52" s="116">
        <f>'Rates in Detail'!AC56</f>
        <v>1.1140000000000001E-2</v>
      </c>
      <c r="AM52" s="116">
        <f>'Rates in Detail'!AD56</f>
        <v>-1.6000000000000001E-4</v>
      </c>
      <c r="AN52" s="116">
        <f>'Rates in Detail'!AE56</f>
        <v>-2.9399999999999999E-3</v>
      </c>
      <c r="AO52" s="116">
        <f>'Rates in Detail'!AF56</f>
        <v>-1.57E-3</v>
      </c>
      <c r="AP52" s="116">
        <f t="shared" si="9"/>
        <v>6.4700000000000001E-3</v>
      </c>
      <c r="AQ52" s="130"/>
      <c r="AR52" s="116">
        <f>'Proposed Rates - COMBINED'!AR52</f>
        <v>0.14091999999999985</v>
      </c>
      <c r="AS52" s="116">
        <f>'Proposed Rates - COMBINED'!AS52</f>
        <v>0</v>
      </c>
      <c r="AT52" s="116">
        <f>'Proposed Rates - COMBINED'!AT52</f>
        <v>0</v>
      </c>
      <c r="AU52" s="116">
        <f>'Proposed Rates - COMBINED'!AU52</f>
        <v>0.46972000000000003</v>
      </c>
      <c r="AV52" s="116">
        <f>'Proposed Rates - COMBINED'!AV52</f>
        <v>0.13216999999999998</v>
      </c>
      <c r="AW52" s="116">
        <f t="shared" si="10"/>
        <v>0.74280999999999986</v>
      </c>
      <c r="AY52" s="116">
        <f t="shared" si="11"/>
        <v>0.15205999999999986</v>
      </c>
      <c r="AZ52" s="116">
        <f t="shared" si="12"/>
        <v>0</v>
      </c>
      <c r="BA52" s="116">
        <f t="shared" si="13"/>
        <v>0</v>
      </c>
      <c r="BB52" s="116">
        <f t="shared" si="14"/>
        <v>0.46972000000000003</v>
      </c>
      <c r="BC52" s="116">
        <f t="shared" si="15"/>
        <v>0.12749999999999997</v>
      </c>
      <c r="BD52" s="116">
        <f t="shared" si="16"/>
        <v>0.74927999999999984</v>
      </c>
      <c r="BE52" s="1654"/>
    </row>
    <row r="53" spans="2:57" x14ac:dyDescent="0.3">
      <c r="B53" s="109">
        <f t="shared" si="17"/>
        <v>45</v>
      </c>
      <c r="C53" s="1287"/>
      <c r="D53" s="1287" t="s">
        <v>6</v>
      </c>
      <c r="E53" s="114">
        <v>20000</v>
      </c>
      <c r="F53" s="115">
        <f>'WA Volumes &amp; Revenues'!E59</f>
        <v>218004</v>
      </c>
      <c r="G53" s="115"/>
      <c r="H53" s="890"/>
      <c r="I53" s="891"/>
      <c r="J53" s="620">
        <f>'Rates in Detail'!E57</f>
        <v>9.3909999999999993E-2</v>
      </c>
      <c r="K53" s="622">
        <f>'Rates in Detail'!H57</f>
        <v>0</v>
      </c>
      <c r="L53" s="622">
        <f>'Rates in Detail'!F57</f>
        <v>0.26333000000000001</v>
      </c>
      <c r="M53" s="622">
        <f>'Rates in Detail'!I57</f>
        <v>1.6370000000000003E-2</v>
      </c>
      <c r="N53" s="136">
        <f t="shared" si="1"/>
        <v>0.37361</v>
      </c>
      <c r="O53" s="620">
        <f>'Rates in Detail'!L57</f>
        <v>1.54E-2</v>
      </c>
      <c r="P53" s="622">
        <f>'Rates in Detail'!P57</f>
        <v>-1.2600000000000001E-3</v>
      </c>
      <c r="Q53" s="622">
        <f>'Rates in Detail'!Q57</f>
        <v>0</v>
      </c>
      <c r="R53" s="250">
        <f t="shared" si="2"/>
        <v>1.414E-2</v>
      </c>
      <c r="S53" s="620">
        <f>'Rates in Detail'!S57</f>
        <v>-2.2499999999999998E-3</v>
      </c>
      <c r="T53" s="622">
        <f>'Rates in Detail'!T57</f>
        <v>-1.1999999999999999E-3</v>
      </c>
      <c r="U53" s="622">
        <f>'Rates in Detail'!U57</f>
        <v>4.2000000000000002E-4</v>
      </c>
      <c r="V53" s="256">
        <f t="shared" si="18"/>
        <v>1.111E-2</v>
      </c>
      <c r="W53" s="612"/>
      <c r="X53" s="116">
        <f>'[25]Rates in detail'!AC55</f>
        <v>9.3910000000000105E-2</v>
      </c>
      <c r="Y53" s="116"/>
      <c r="Z53" s="116">
        <f>'[25]Rates in detail'!AD55</f>
        <v>0</v>
      </c>
      <c r="AA53" s="116">
        <f>'[25]Rates in detail'!AE55</f>
        <v>0.34872999999999998</v>
      </c>
      <c r="AB53" s="116">
        <f>'[25]Rates in detail'!AF55</f>
        <v>5.4059999999999997E-2</v>
      </c>
      <c r="AC53" s="344">
        <f t="shared" si="4"/>
        <v>0.49670000000000009</v>
      </c>
      <c r="AD53" s="1594"/>
      <c r="AE53" s="116">
        <f t="shared" si="5"/>
        <v>0.1080500000000001</v>
      </c>
      <c r="AF53" s="116"/>
      <c r="AG53" s="116">
        <f t="shared" si="6"/>
        <v>0</v>
      </c>
      <c r="AH53" s="116">
        <f t="shared" si="6"/>
        <v>0.34872999999999998</v>
      </c>
      <c r="AI53" s="116">
        <f t="shared" si="7"/>
        <v>5.1029999999999992E-2</v>
      </c>
      <c r="AJ53" s="116">
        <f t="shared" si="8"/>
        <v>0.50781000000000009</v>
      </c>
      <c r="AK53" s="1595"/>
      <c r="AL53" s="116">
        <f>'Rates in Detail'!AC57</f>
        <v>8.5400000000000007E-3</v>
      </c>
      <c r="AM53" s="116">
        <f>'Rates in Detail'!AD57</f>
        <v>-1.2E-4</v>
      </c>
      <c r="AN53" s="116">
        <f>'Rates in Detail'!AE57</f>
        <v>-2.2499999999999998E-3</v>
      </c>
      <c r="AO53" s="116">
        <f>'Rates in Detail'!AF57</f>
        <v>-1.1999999999999999E-3</v>
      </c>
      <c r="AP53" s="116">
        <f t="shared" si="9"/>
        <v>4.9700000000000005E-3</v>
      </c>
      <c r="AQ53" s="130"/>
      <c r="AR53" s="116">
        <f>'Proposed Rates - COMBINED'!AR53</f>
        <v>0.10805000000000012</v>
      </c>
      <c r="AS53" s="116">
        <f>'Proposed Rates - COMBINED'!AS53</f>
        <v>0</v>
      </c>
      <c r="AT53" s="116">
        <f>'Proposed Rates - COMBINED'!AT53</f>
        <v>0</v>
      </c>
      <c r="AU53" s="116">
        <f>'Proposed Rates - COMBINED'!AU53</f>
        <v>0.46972000000000003</v>
      </c>
      <c r="AV53" s="116">
        <f>'Proposed Rates - COMBINED'!AV53</f>
        <v>0.12850999999999999</v>
      </c>
      <c r="AW53" s="116">
        <f t="shared" si="10"/>
        <v>0.70628000000000013</v>
      </c>
      <c r="AY53" s="116">
        <f t="shared" si="11"/>
        <v>0.11659000000000012</v>
      </c>
      <c r="AZ53" s="116">
        <f t="shared" si="12"/>
        <v>0</v>
      </c>
      <c r="BA53" s="116">
        <f t="shared" si="13"/>
        <v>0</v>
      </c>
      <c r="BB53" s="116">
        <f t="shared" si="14"/>
        <v>0.46972000000000003</v>
      </c>
      <c r="BC53" s="116">
        <f t="shared" si="15"/>
        <v>0.12493999999999998</v>
      </c>
      <c r="BD53" s="116">
        <f t="shared" si="16"/>
        <v>0.71125000000000005</v>
      </c>
      <c r="BE53" s="1654"/>
    </row>
    <row r="54" spans="2:57" x14ac:dyDescent="0.3">
      <c r="B54" s="109">
        <f t="shared" si="17"/>
        <v>46</v>
      </c>
      <c r="C54" s="1287"/>
      <c r="D54" s="1287" t="s">
        <v>7</v>
      </c>
      <c r="E54" s="114">
        <v>100000</v>
      </c>
      <c r="F54" s="115">
        <f>'WA Volumes &amp; Revenues'!E60</f>
        <v>18208</v>
      </c>
      <c r="G54" s="115"/>
      <c r="H54" s="890"/>
      <c r="I54" s="891"/>
      <c r="J54" s="620">
        <f>'Rates in Detail'!E58</f>
        <v>7.5130000000000044E-2</v>
      </c>
      <c r="K54" s="622">
        <f>'Rates in Detail'!H58</f>
        <v>0</v>
      </c>
      <c r="L54" s="622">
        <f>'Rates in Detail'!F58</f>
        <v>0.26333000000000001</v>
      </c>
      <c r="M54" s="622">
        <f>'Rates in Detail'!I58</f>
        <v>1.3339999999999999E-2</v>
      </c>
      <c r="N54" s="136">
        <f t="shared" si="1"/>
        <v>0.35180000000000006</v>
      </c>
      <c r="O54" s="620">
        <f>'Rates in Detail'!L58</f>
        <v>1.2319999999999999E-2</v>
      </c>
      <c r="P54" s="622">
        <f>'Rates in Detail'!P58</f>
        <v>-1.01E-3</v>
      </c>
      <c r="Q54" s="622">
        <f>'Rates in Detail'!Q58</f>
        <v>0</v>
      </c>
      <c r="R54" s="250">
        <f t="shared" si="2"/>
        <v>1.1309999999999999E-2</v>
      </c>
      <c r="S54" s="620">
        <f>'Rates in Detail'!S58</f>
        <v>-1.8E-3</v>
      </c>
      <c r="T54" s="622">
        <f>'Rates in Detail'!T58</f>
        <v>-9.6000000000000002E-4</v>
      </c>
      <c r="U54" s="622">
        <f>'Rates in Detail'!U58</f>
        <v>3.4000000000000002E-4</v>
      </c>
      <c r="V54" s="256">
        <f t="shared" si="18"/>
        <v>8.8899999999999986E-3</v>
      </c>
      <c r="W54" s="612"/>
      <c r="X54" s="116">
        <f>'[25]Rates in detail'!AC56</f>
        <v>7.5130000000000058E-2</v>
      </c>
      <c r="Y54" s="116"/>
      <c r="Z54" s="116">
        <f>'[25]Rates in detail'!AD56</f>
        <v>0</v>
      </c>
      <c r="AA54" s="116">
        <f>'[25]Rates in detail'!AE56</f>
        <v>0.34872999999999998</v>
      </c>
      <c r="AB54" s="116">
        <f>'[25]Rates in detail'!AF56</f>
        <v>5.0589999999999996E-2</v>
      </c>
      <c r="AC54" s="344">
        <f t="shared" si="4"/>
        <v>0.47445000000000004</v>
      </c>
      <c r="AD54" s="1594"/>
      <c r="AE54" s="116">
        <f t="shared" si="5"/>
        <v>8.6440000000000058E-2</v>
      </c>
      <c r="AF54" s="116"/>
      <c r="AG54" s="116">
        <f t="shared" si="6"/>
        <v>0</v>
      </c>
      <c r="AH54" s="116">
        <f t="shared" si="6"/>
        <v>0.34872999999999998</v>
      </c>
      <c r="AI54" s="116">
        <f t="shared" si="7"/>
        <v>4.8169999999999991E-2</v>
      </c>
      <c r="AJ54" s="116">
        <f t="shared" si="8"/>
        <v>0.48334000000000005</v>
      </c>
      <c r="AK54" s="1595"/>
      <c r="AL54" s="116">
        <f>'Rates in Detail'!AC58</f>
        <v>6.8300000000000001E-3</v>
      </c>
      <c r="AM54" s="116">
        <f>'Rates in Detail'!AD58</f>
        <v>-1E-4</v>
      </c>
      <c r="AN54" s="116">
        <f>'Rates in Detail'!AE58</f>
        <v>-1.8E-3</v>
      </c>
      <c r="AO54" s="116">
        <f>'Rates in Detail'!AF58</f>
        <v>-9.6000000000000002E-4</v>
      </c>
      <c r="AP54" s="116">
        <f t="shared" si="9"/>
        <v>3.9700000000000004E-3</v>
      </c>
      <c r="AQ54" s="130"/>
      <c r="AR54" s="116">
        <f>'Proposed Rates - COMBINED'!AR54</f>
        <v>8.6439999999999934E-2</v>
      </c>
      <c r="AS54" s="116">
        <f>'Proposed Rates - COMBINED'!AS54</f>
        <v>0</v>
      </c>
      <c r="AT54" s="116">
        <f>'Proposed Rates - COMBINED'!AT54</f>
        <v>0</v>
      </c>
      <c r="AU54" s="116">
        <f>'Proposed Rates - COMBINED'!AU54</f>
        <v>0.46972000000000003</v>
      </c>
      <c r="AV54" s="116">
        <f>'Proposed Rates - COMBINED'!AV54</f>
        <v>0.12608</v>
      </c>
      <c r="AW54" s="116">
        <f t="shared" si="10"/>
        <v>0.68223999999999996</v>
      </c>
      <c r="AY54" s="116">
        <f t="shared" si="11"/>
        <v>9.3269999999999936E-2</v>
      </c>
      <c r="AZ54" s="116">
        <f t="shared" si="12"/>
        <v>0</v>
      </c>
      <c r="BA54" s="116">
        <f t="shared" si="13"/>
        <v>0</v>
      </c>
      <c r="BB54" s="116">
        <f t="shared" si="14"/>
        <v>0.46972000000000003</v>
      </c>
      <c r="BC54" s="116">
        <f t="shared" si="15"/>
        <v>0.12322</v>
      </c>
      <c r="BD54" s="116">
        <f t="shared" si="16"/>
        <v>0.68620999999999999</v>
      </c>
      <c r="BE54" s="1654"/>
    </row>
    <row r="55" spans="2:57" x14ac:dyDescent="0.3">
      <c r="B55" s="109">
        <f t="shared" si="17"/>
        <v>47</v>
      </c>
      <c r="C55" s="1287"/>
      <c r="D55" s="1287" t="s">
        <v>8</v>
      </c>
      <c r="E55" s="114">
        <v>600000</v>
      </c>
      <c r="F55" s="115">
        <f>'WA Volumes &amp; Revenues'!E61</f>
        <v>0</v>
      </c>
      <c r="G55" s="115"/>
      <c r="H55" s="890"/>
      <c r="I55" s="891"/>
      <c r="J55" s="620">
        <f>'Rates in Detail'!E59</f>
        <v>5.0089999999999968E-2</v>
      </c>
      <c r="K55" s="622">
        <f>'Rates in Detail'!H59</f>
        <v>0</v>
      </c>
      <c r="L55" s="622">
        <f>'Rates in Detail'!F59</f>
        <v>0.26333000000000001</v>
      </c>
      <c r="M55" s="622">
        <f>'Rates in Detail'!I59</f>
        <v>9.2699999999999987E-3</v>
      </c>
      <c r="N55" s="136">
        <f t="shared" si="1"/>
        <v>0.32268999999999998</v>
      </c>
      <c r="O55" s="620">
        <f>'Rates in Detail'!L59</f>
        <v>8.2199999999999999E-3</v>
      </c>
      <c r="P55" s="622">
        <f>'Rates in Detail'!P59</f>
        <v>-6.7000000000000002E-4</v>
      </c>
      <c r="Q55" s="622">
        <f>'Rates in Detail'!Q59</f>
        <v>0</v>
      </c>
      <c r="R55" s="250">
        <f t="shared" si="2"/>
        <v>7.5499999999999994E-3</v>
      </c>
      <c r="S55" s="620">
        <f>'Rates in Detail'!S59</f>
        <v>-1.1999999999999999E-3</v>
      </c>
      <c r="T55" s="622">
        <f>'Rates in Detail'!T59</f>
        <v>-6.4000000000000005E-4</v>
      </c>
      <c r="U55" s="622">
        <f>'Rates in Detail'!U59</f>
        <v>2.3000000000000001E-4</v>
      </c>
      <c r="V55" s="256">
        <f t="shared" si="18"/>
        <v>5.94E-3</v>
      </c>
      <c r="W55" s="612"/>
      <c r="X55" s="116">
        <f>'[25]Rates in detail'!AC57</f>
        <v>5.0089999999999982E-2</v>
      </c>
      <c r="Y55" s="116"/>
      <c r="Z55" s="116">
        <f>'[25]Rates in detail'!AD57</f>
        <v>0</v>
      </c>
      <c r="AA55" s="116">
        <f>'[25]Rates in detail'!AE57</f>
        <v>0.34872999999999998</v>
      </c>
      <c r="AB55" s="116">
        <f>'[25]Rates in detail'!AF57</f>
        <v>4.5969999999999997E-2</v>
      </c>
      <c r="AC55" s="344">
        <f t="shared" si="4"/>
        <v>0.44478999999999996</v>
      </c>
      <c r="AD55" s="1594"/>
      <c r="AE55" s="116">
        <f t="shared" si="5"/>
        <v>5.7639999999999983E-2</v>
      </c>
      <c r="AF55" s="116"/>
      <c r="AG55" s="116">
        <f t="shared" si="6"/>
        <v>0</v>
      </c>
      <c r="AH55" s="116">
        <f t="shared" si="6"/>
        <v>0.34872999999999998</v>
      </c>
      <c r="AI55" s="116">
        <f t="shared" si="7"/>
        <v>4.4359999999999997E-2</v>
      </c>
      <c r="AJ55" s="116">
        <f t="shared" si="8"/>
        <v>0.45072999999999996</v>
      </c>
      <c r="AK55" s="1595"/>
      <c r="AL55" s="116">
        <f>'Rates in Detail'!AC59</f>
        <v>4.5599999999999998E-3</v>
      </c>
      <c r="AM55" s="116">
        <f>'Rates in Detail'!AD59</f>
        <v>-6.9999999999999994E-5</v>
      </c>
      <c r="AN55" s="116">
        <f>'Rates in Detail'!AE59</f>
        <v>-1.1999999999999999E-3</v>
      </c>
      <c r="AO55" s="116">
        <f>'Rates in Detail'!AF59</f>
        <v>-6.4000000000000005E-4</v>
      </c>
      <c r="AP55" s="116">
        <f t="shared" si="9"/>
        <v>2.6500000000000004E-3</v>
      </c>
      <c r="AQ55" s="130"/>
      <c r="AR55" s="116">
        <f>'Proposed Rates - COMBINED'!AR55</f>
        <v>5.7640000000000066E-2</v>
      </c>
      <c r="AS55" s="116">
        <f>'Proposed Rates - COMBINED'!AS55</f>
        <v>0</v>
      </c>
      <c r="AT55" s="116">
        <f>'Proposed Rates - COMBINED'!AT55</f>
        <v>0</v>
      </c>
      <c r="AU55" s="116">
        <f>'Proposed Rates - COMBINED'!AU55</f>
        <v>0.46972000000000003</v>
      </c>
      <c r="AV55" s="116">
        <f>'Proposed Rates - COMBINED'!AV55</f>
        <v>0.12286999999999999</v>
      </c>
      <c r="AW55" s="116">
        <f t="shared" si="10"/>
        <v>0.65023000000000009</v>
      </c>
      <c r="AY55" s="116">
        <f t="shared" si="11"/>
        <v>6.2200000000000068E-2</v>
      </c>
      <c r="AZ55" s="116">
        <f t="shared" si="12"/>
        <v>0</v>
      </c>
      <c r="BA55" s="116">
        <f t="shared" si="13"/>
        <v>0</v>
      </c>
      <c r="BB55" s="116">
        <f t="shared" si="14"/>
        <v>0.46972000000000003</v>
      </c>
      <c r="BC55" s="116">
        <f t="shared" si="15"/>
        <v>0.12096</v>
      </c>
      <c r="BD55" s="116">
        <f t="shared" si="16"/>
        <v>0.65288000000000002</v>
      </c>
      <c r="BE55" s="1654"/>
    </row>
    <row r="56" spans="2:57" x14ac:dyDescent="0.3">
      <c r="B56" s="109">
        <f t="shared" si="17"/>
        <v>48</v>
      </c>
      <c r="C56" s="110"/>
      <c r="D56" s="110" t="s">
        <v>9</v>
      </c>
      <c r="E56" s="111" t="s">
        <v>72</v>
      </c>
      <c r="F56" s="112">
        <f>'WA Volumes &amp; Revenues'!E62</f>
        <v>0</v>
      </c>
      <c r="G56" s="112"/>
      <c r="H56" s="885"/>
      <c r="I56" s="887"/>
      <c r="J56" s="619">
        <f>'Rates in Detail'!E60</f>
        <v>1.8790000000000001E-2</v>
      </c>
      <c r="K56" s="623">
        <f>'Rates in Detail'!H60</f>
        <v>0</v>
      </c>
      <c r="L56" s="623">
        <f>'Rates in Detail'!F60</f>
        <v>0.26333000000000001</v>
      </c>
      <c r="M56" s="623">
        <f>'Rates in Detail'!I60</f>
        <v>4.1999999999999989E-3</v>
      </c>
      <c r="N56" s="134">
        <f t="shared" si="1"/>
        <v>0.28632000000000002</v>
      </c>
      <c r="O56" s="619">
        <f>'Rates in Detail'!L60</f>
        <v>3.0799999999999998E-3</v>
      </c>
      <c r="P56" s="623">
        <f>'Rates in Detail'!P60</f>
        <v>-2.5000000000000001E-4</v>
      </c>
      <c r="Q56" s="623">
        <f>'Rates in Detail'!Q60</f>
        <v>0</v>
      </c>
      <c r="R56" s="249">
        <f t="shared" si="2"/>
        <v>2.8300000000000001E-3</v>
      </c>
      <c r="S56" s="619">
        <f>'Rates in Detail'!S60</f>
        <v>-4.4999999999999999E-4</v>
      </c>
      <c r="T56" s="623">
        <f>'Rates in Detail'!T60</f>
        <v>-2.4000000000000001E-4</v>
      </c>
      <c r="U56" s="623">
        <f>'Rates in Detail'!U60</f>
        <v>8.0000000000000007E-5</v>
      </c>
      <c r="V56" s="255">
        <f t="shared" si="18"/>
        <v>2.2200000000000002E-3</v>
      </c>
      <c r="W56" s="612"/>
      <c r="X56" s="113">
        <f>'[25]Rates in detail'!AC58</f>
        <v>1.8789999999999946E-2</v>
      </c>
      <c r="Y56" s="113"/>
      <c r="Z56" s="113">
        <f>'[25]Rates in detail'!AD58</f>
        <v>0</v>
      </c>
      <c r="AA56" s="113">
        <f>'[25]Rates in detail'!AE58</f>
        <v>0.34872999999999998</v>
      </c>
      <c r="AB56" s="113">
        <f>'[25]Rates in detail'!AF58</f>
        <v>4.0209999999999996E-2</v>
      </c>
      <c r="AC56" s="343">
        <f t="shared" si="4"/>
        <v>0.40772999999999993</v>
      </c>
      <c r="AD56" s="1594"/>
      <c r="AE56" s="113">
        <f t="shared" si="5"/>
        <v>2.1619999999999945E-2</v>
      </c>
      <c r="AF56" s="113"/>
      <c r="AG56" s="113">
        <f t="shared" si="6"/>
        <v>0</v>
      </c>
      <c r="AH56" s="113">
        <f t="shared" si="6"/>
        <v>0.34872999999999998</v>
      </c>
      <c r="AI56" s="113">
        <f t="shared" si="7"/>
        <v>3.9599999999999996E-2</v>
      </c>
      <c r="AJ56" s="113">
        <f t="shared" si="8"/>
        <v>0.40994999999999993</v>
      </c>
      <c r="AK56" s="1595"/>
      <c r="AL56" s="113">
        <f>'Rates in Detail'!AC60</f>
        <v>1.7099999999999999E-3</v>
      </c>
      <c r="AM56" s="113">
        <f>'Rates in Detail'!AD60</f>
        <v>-2.0000000000000002E-5</v>
      </c>
      <c r="AN56" s="113">
        <f>'Rates in Detail'!AE60</f>
        <v>-4.4999999999999999E-4</v>
      </c>
      <c r="AO56" s="113">
        <f>'Rates in Detail'!AF60</f>
        <v>-2.4000000000000001E-4</v>
      </c>
      <c r="AP56" s="113">
        <f t="shared" si="9"/>
        <v>9.999999999999998E-4</v>
      </c>
      <c r="AQ56" s="130"/>
      <c r="AR56" s="113">
        <f>'Proposed Rates - COMBINED'!AR56</f>
        <v>2.1619999999999931E-2</v>
      </c>
      <c r="AS56" s="113">
        <f>'Proposed Rates - COMBINED'!AS56</f>
        <v>0</v>
      </c>
      <c r="AT56" s="113">
        <f>'Proposed Rates - COMBINED'!AT56</f>
        <v>0</v>
      </c>
      <c r="AU56" s="113">
        <f>'Proposed Rates - COMBINED'!AU56</f>
        <v>0.46972000000000003</v>
      </c>
      <c r="AV56" s="113">
        <f>'Proposed Rates - COMBINED'!AV56</f>
        <v>0.11883999999999999</v>
      </c>
      <c r="AW56" s="113">
        <f t="shared" si="10"/>
        <v>0.61017999999999994</v>
      </c>
      <c r="AY56" s="113">
        <f t="shared" si="11"/>
        <v>2.3329999999999931E-2</v>
      </c>
      <c r="AZ56" s="113">
        <f t="shared" si="12"/>
        <v>0</v>
      </c>
      <c r="BA56" s="113">
        <f t="shared" si="13"/>
        <v>0</v>
      </c>
      <c r="BB56" s="113">
        <f t="shared" si="14"/>
        <v>0.46972000000000003</v>
      </c>
      <c r="BC56" s="113">
        <f t="shared" si="15"/>
        <v>0.11812999999999999</v>
      </c>
      <c r="BD56" s="113">
        <f t="shared" si="16"/>
        <v>0.61117999999999995</v>
      </c>
      <c r="BE56" s="1654"/>
    </row>
    <row r="57" spans="2:57" x14ac:dyDescent="0.3">
      <c r="B57" s="109">
        <f t="shared" si="17"/>
        <v>49</v>
      </c>
      <c r="C57" s="1287" t="str">
        <f>'WA Volumes &amp; Revenues'!B63</f>
        <v>42I Interr Sales</v>
      </c>
      <c r="D57" s="1287" t="s">
        <v>4</v>
      </c>
      <c r="E57" s="114">
        <v>10000</v>
      </c>
      <c r="F57" s="115">
        <f>'WA Volumes &amp; Revenues'!E63</f>
        <v>156740</v>
      </c>
      <c r="G57" s="115">
        <f>'WA Volumes &amp; Revenues'!H63</f>
        <v>1.9166666666666701</v>
      </c>
      <c r="H57" s="890">
        <f>'WA Volumes &amp; Revenues'!O63</f>
        <v>1300</v>
      </c>
      <c r="I57" s="891">
        <f>'WA Volumes &amp; Revenues'!N63</f>
        <v>1300</v>
      </c>
      <c r="J57" s="620">
        <f>'Rates in Detail'!E61</f>
        <v>0.14583999999999989</v>
      </c>
      <c r="K57" s="622">
        <f>'Rates in Detail'!H61</f>
        <v>0</v>
      </c>
      <c r="L57" s="622">
        <f>'Rates in Detail'!F61</f>
        <v>0.26333000000000001</v>
      </c>
      <c r="M57" s="622">
        <f>'Rates in Detail'!I61</f>
        <v>6.9699999999999996E-3</v>
      </c>
      <c r="N57" s="136">
        <f t="shared" si="1"/>
        <v>0.4161399999999999</v>
      </c>
      <c r="O57" s="620">
        <f>'Rates in Detail'!L61</f>
        <v>1.495E-2</v>
      </c>
      <c r="P57" s="622">
        <f>'Rates in Detail'!P61</f>
        <v>-2.5400000000000002E-3</v>
      </c>
      <c r="Q57" s="622">
        <f>'Rates in Detail'!Q61</f>
        <v>0</v>
      </c>
      <c r="R57" s="250">
        <f t="shared" si="2"/>
        <v>1.2409999999999999E-2</v>
      </c>
      <c r="S57" s="620">
        <f>'Rates in Detail'!S61</f>
        <v>0</v>
      </c>
      <c r="T57" s="622">
        <f>'Rates in Detail'!T61</f>
        <v>-2.2799999999999999E-3</v>
      </c>
      <c r="U57" s="622">
        <f>'Rates in Detail'!U61</f>
        <v>8.0000000000000004E-4</v>
      </c>
      <c r="V57" s="256">
        <f t="shared" si="18"/>
        <v>1.093E-2</v>
      </c>
      <c r="W57" s="612"/>
      <c r="X57" s="116">
        <f>'[25]Rates in detail'!AC59</f>
        <v>0.14583999999999986</v>
      </c>
      <c r="Y57" s="116"/>
      <c r="Z57" s="116">
        <f>'[25]Rates in detail'!AD59</f>
        <v>0</v>
      </c>
      <c r="AA57" s="116">
        <f>'[25]Rates in detail'!AE59</f>
        <v>0.34872999999999998</v>
      </c>
      <c r="AB57" s="116">
        <f>'[25]Rates in detail'!AF59</f>
        <v>4.3349999999999993E-2</v>
      </c>
      <c r="AC57" s="344">
        <f t="shared" si="4"/>
        <v>0.53791999999999984</v>
      </c>
      <c r="AD57" s="1594"/>
      <c r="AE57" s="1573">
        <f t="shared" si="5"/>
        <v>0.15824999999999986</v>
      </c>
      <c r="AF57" s="1573"/>
      <c r="AG57" s="1573">
        <f t="shared" si="6"/>
        <v>0</v>
      </c>
      <c r="AH57" s="1573">
        <f t="shared" si="6"/>
        <v>0.34872999999999998</v>
      </c>
      <c r="AI57" s="1573">
        <f t="shared" si="7"/>
        <v>4.1869999999999997E-2</v>
      </c>
      <c r="AJ57" s="1573">
        <f t="shared" si="8"/>
        <v>0.54884999999999984</v>
      </c>
      <c r="AK57" s="1595"/>
      <c r="AL57" s="116">
        <f>'Rates in Detail'!AC61</f>
        <v>5.6600000000000001E-3</v>
      </c>
      <c r="AM57" s="116">
        <f>'Rates in Detail'!AD61</f>
        <v>-2.2000000000000001E-4</v>
      </c>
      <c r="AN57" s="116">
        <f>'Rates in Detail'!AE61</f>
        <v>0</v>
      </c>
      <c r="AO57" s="116">
        <f>'Rates in Detail'!AF61</f>
        <v>-2.2100000000000002E-3</v>
      </c>
      <c r="AP57" s="116">
        <f t="shared" si="9"/>
        <v>3.2300000000000002E-3</v>
      </c>
      <c r="AQ57" s="130"/>
      <c r="AR57" s="116">
        <f>'Proposed Rates - COMBINED'!AR57</f>
        <v>0.15824999999999989</v>
      </c>
      <c r="AS57" s="116">
        <f>'Proposed Rates - COMBINED'!AS57</f>
        <v>0</v>
      </c>
      <c r="AT57" s="116">
        <f>'Proposed Rates - COMBINED'!AT57</f>
        <v>0</v>
      </c>
      <c r="AU57" s="116">
        <f>'Proposed Rates - COMBINED'!AU57</f>
        <v>0.46972000000000003</v>
      </c>
      <c r="AV57" s="116">
        <f>'Proposed Rates - COMBINED'!AV57</f>
        <v>0.11985</v>
      </c>
      <c r="AW57" s="116">
        <f t="shared" si="10"/>
        <v>0.74781999999999993</v>
      </c>
      <c r="AY57" s="116">
        <f t="shared" si="11"/>
        <v>0.16390999999999989</v>
      </c>
      <c r="AZ57" s="116">
        <f t="shared" si="12"/>
        <v>0</v>
      </c>
      <c r="BA57" s="116">
        <f t="shared" si="13"/>
        <v>0</v>
      </c>
      <c r="BB57" s="116">
        <f t="shared" si="14"/>
        <v>0.46972000000000003</v>
      </c>
      <c r="BC57" s="116">
        <f t="shared" si="15"/>
        <v>0.11742</v>
      </c>
      <c r="BD57" s="116">
        <f t="shared" si="16"/>
        <v>0.75104999999999988</v>
      </c>
      <c r="BE57" s="1654"/>
    </row>
    <row r="58" spans="2:57" x14ac:dyDescent="0.3">
      <c r="B58" s="109">
        <f t="shared" si="17"/>
        <v>50</v>
      </c>
      <c r="C58" s="1287"/>
      <c r="D58" s="1287" t="s">
        <v>5</v>
      </c>
      <c r="E58" s="114">
        <v>20000</v>
      </c>
      <c r="F58" s="115">
        <f>'WA Volumes &amp; Revenues'!E64</f>
        <v>159690</v>
      </c>
      <c r="G58" s="115"/>
      <c r="H58" s="890"/>
      <c r="I58" s="891"/>
      <c r="J58" s="620">
        <f>'Rates in Detail'!E62</f>
        <v>0.13054999999999992</v>
      </c>
      <c r="K58" s="622">
        <f>'Rates in Detail'!H62</f>
        <v>0</v>
      </c>
      <c r="L58" s="622">
        <f>'Rates in Detail'!F62</f>
        <v>0.26333000000000001</v>
      </c>
      <c r="M58" s="622">
        <f>'Rates in Detail'!I62</f>
        <v>6.3499999999999997E-3</v>
      </c>
      <c r="N58" s="136">
        <f t="shared" si="1"/>
        <v>0.40022999999999992</v>
      </c>
      <c r="O58" s="620">
        <f>'Rates in Detail'!L62</f>
        <v>1.338E-2</v>
      </c>
      <c r="P58" s="622">
        <f>'Rates in Detail'!P62</f>
        <v>-2.2699999999999999E-3</v>
      </c>
      <c r="Q58" s="622">
        <f>'Rates in Detail'!Q62</f>
        <v>0</v>
      </c>
      <c r="R58" s="250">
        <f t="shared" si="2"/>
        <v>1.111E-2</v>
      </c>
      <c r="S58" s="620">
        <f>'Rates in Detail'!S62</f>
        <v>0</v>
      </c>
      <c r="T58" s="622">
        <f>'Rates in Detail'!T62</f>
        <v>-2.0400000000000001E-3</v>
      </c>
      <c r="U58" s="622">
        <f>'Rates in Detail'!U62</f>
        <v>7.2000000000000005E-4</v>
      </c>
      <c r="V58" s="256">
        <f t="shared" si="18"/>
        <v>9.7900000000000001E-3</v>
      </c>
      <c r="W58" s="612"/>
      <c r="X58" s="116">
        <f>'[25]Rates in detail'!AC60</f>
        <v>0.13054999999999992</v>
      </c>
      <c r="Y58" s="116"/>
      <c r="Z58" s="116">
        <f>'[25]Rates in detail'!AD60</f>
        <v>0</v>
      </c>
      <c r="AA58" s="116">
        <f>'[25]Rates in detail'!AE60</f>
        <v>0.34872999999999998</v>
      </c>
      <c r="AB58" s="116">
        <f>'[25]Rates in detail'!AF60</f>
        <v>4.2649999999999993E-2</v>
      </c>
      <c r="AC58" s="344">
        <f t="shared" si="4"/>
        <v>0.52192999999999989</v>
      </c>
      <c r="AD58" s="1594"/>
      <c r="AE58" s="116">
        <f t="shared" si="5"/>
        <v>0.14165999999999992</v>
      </c>
      <c r="AF58" s="116"/>
      <c r="AG58" s="116">
        <f t="shared" si="6"/>
        <v>0</v>
      </c>
      <c r="AH58" s="116">
        <f t="shared" si="6"/>
        <v>0.34872999999999998</v>
      </c>
      <c r="AI58" s="116">
        <f t="shared" si="7"/>
        <v>4.1329999999999992E-2</v>
      </c>
      <c r="AJ58" s="116">
        <f t="shared" si="8"/>
        <v>0.53171999999999986</v>
      </c>
      <c r="AK58" s="1595"/>
      <c r="AL58" s="116">
        <f>'Rates in Detail'!AC62</f>
        <v>5.0699999999999999E-3</v>
      </c>
      <c r="AM58" s="116">
        <f>'Rates in Detail'!AD62</f>
        <v>-2.0000000000000001E-4</v>
      </c>
      <c r="AN58" s="116">
        <f>'Rates in Detail'!AE62</f>
        <v>0</v>
      </c>
      <c r="AO58" s="116">
        <f>'Rates in Detail'!AF62</f>
        <v>-1.97E-3</v>
      </c>
      <c r="AP58" s="116">
        <f t="shared" si="9"/>
        <v>2.9000000000000002E-3</v>
      </c>
      <c r="AQ58" s="130"/>
      <c r="AR58" s="116">
        <f>'Proposed Rates - COMBINED'!AR58</f>
        <v>0.14165999999999995</v>
      </c>
      <c r="AS58" s="116">
        <f>'Proposed Rates - COMBINED'!AS58</f>
        <v>0</v>
      </c>
      <c r="AT58" s="116">
        <f>'Proposed Rates - COMBINED'!AT58</f>
        <v>0</v>
      </c>
      <c r="AU58" s="116">
        <f>'Proposed Rates - COMBINED'!AU58</f>
        <v>0.46972000000000003</v>
      </c>
      <c r="AV58" s="116">
        <f>'Proposed Rates - COMBINED'!AV58</f>
        <v>0.11947999999999999</v>
      </c>
      <c r="AW58" s="116">
        <f t="shared" si="10"/>
        <v>0.73086000000000007</v>
      </c>
      <c r="AY58" s="116">
        <f t="shared" si="11"/>
        <v>0.14672999999999994</v>
      </c>
      <c r="AZ58" s="116">
        <f t="shared" si="12"/>
        <v>0</v>
      </c>
      <c r="BA58" s="116">
        <f t="shared" si="13"/>
        <v>0</v>
      </c>
      <c r="BB58" s="116">
        <f t="shared" si="14"/>
        <v>0.46972000000000003</v>
      </c>
      <c r="BC58" s="116">
        <f t="shared" si="15"/>
        <v>0.11730999999999998</v>
      </c>
      <c r="BD58" s="116">
        <f t="shared" si="16"/>
        <v>0.73375999999999997</v>
      </c>
      <c r="BE58" s="1654"/>
    </row>
    <row r="59" spans="2:57" x14ac:dyDescent="0.3">
      <c r="B59" s="109">
        <f t="shared" si="17"/>
        <v>51</v>
      </c>
      <c r="C59" s="1287"/>
      <c r="D59" s="1287" t="s">
        <v>6</v>
      </c>
      <c r="E59" s="114">
        <v>20000</v>
      </c>
      <c r="F59" s="115">
        <f>'WA Volumes &amp; Revenues'!E65</f>
        <v>0</v>
      </c>
      <c r="G59" s="115"/>
      <c r="H59" s="890"/>
      <c r="I59" s="891"/>
      <c r="J59" s="620">
        <f>'Rates in Detail'!E63</f>
        <v>0.10011</v>
      </c>
      <c r="K59" s="622">
        <f>'Rates in Detail'!H63</f>
        <v>0</v>
      </c>
      <c r="L59" s="622">
        <f>'Rates in Detail'!F63</f>
        <v>0.26333000000000001</v>
      </c>
      <c r="M59" s="622">
        <f>'Rates in Detail'!I63</f>
        <v>5.1399999999999996E-3</v>
      </c>
      <c r="N59" s="136">
        <f t="shared" si="1"/>
        <v>0.36857999999999996</v>
      </c>
      <c r="O59" s="620">
        <f>'Rates in Detail'!L63</f>
        <v>1.026E-2</v>
      </c>
      <c r="P59" s="622">
        <f>'Rates in Detail'!P63</f>
        <v>-1.74E-3</v>
      </c>
      <c r="Q59" s="622">
        <f>'Rates in Detail'!Q63</f>
        <v>0</v>
      </c>
      <c r="R59" s="250">
        <f t="shared" si="2"/>
        <v>8.5199999999999998E-3</v>
      </c>
      <c r="S59" s="620">
        <f>'Rates in Detail'!S63</f>
        <v>0</v>
      </c>
      <c r="T59" s="622">
        <f>'Rates in Detail'!T63</f>
        <v>-1.56E-3</v>
      </c>
      <c r="U59" s="622">
        <f>'Rates in Detail'!U63</f>
        <v>5.5000000000000003E-4</v>
      </c>
      <c r="V59" s="256">
        <f t="shared" si="18"/>
        <v>7.5100000000000002E-3</v>
      </c>
      <c r="W59" s="612"/>
      <c r="X59" s="116">
        <f>'[25]Rates in detail'!AC61</f>
        <v>0.10011</v>
      </c>
      <c r="Y59" s="116"/>
      <c r="Z59" s="116">
        <f>'[25]Rates in detail'!AD61</f>
        <v>0</v>
      </c>
      <c r="AA59" s="116">
        <f>'[25]Rates in detail'!AE61</f>
        <v>0.34872999999999998</v>
      </c>
      <c r="AB59" s="116">
        <f>'[25]Rates in detail'!AF61</f>
        <v>4.1269999999999994E-2</v>
      </c>
      <c r="AC59" s="344">
        <f t="shared" si="4"/>
        <v>0.49010999999999999</v>
      </c>
      <c r="AD59" s="1594"/>
      <c r="AE59" s="116">
        <f t="shared" si="5"/>
        <v>0.10863</v>
      </c>
      <c r="AF59" s="116"/>
      <c r="AG59" s="116">
        <f t="shared" si="6"/>
        <v>0</v>
      </c>
      <c r="AH59" s="116">
        <f t="shared" si="6"/>
        <v>0.34872999999999998</v>
      </c>
      <c r="AI59" s="116">
        <f t="shared" si="7"/>
        <v>4.0259999999999997E-2</v>
      </c>
      <c r="AJ59" s="116">
        <f t="shared" si="8"/>
        <v>0.49762000000000001</v>
      </c>
      <c r="AK59" s="1595"/>
      <c r="AL59" s="116">
        <f>'Rates in Detail'!AC63</f>
        <v>3.8899999999999998E-3</v>
      </c>
      <c r="AM59" s="116">
        <f>'Rates in Detail'!AD63</f>
        <v>-1.4999999999999999E-4</v>
      </c>
      <c r="AN59" s="116">
        <f>'Rates in Detail'!AE63</f>
        <v>0</v>
      </c>
      <c r="AO59" s="116">
        <f>'Rates in Detail'!AF63</f>
        <v>-1.5100000000000001E-3</v>
      </c>
      <c r="AP59" s="116">
        <f t="shared" si="9"/>
        <v>2.2299999999999998E-3</v>
      </c>
      <c r="AQ59" s="130"/>
      <c r="AR59" s="116">
        <f>'Proposed Rates - COMBINED'!AR59</f>
        <v>0.10863000000000012</v>
      </c>
      <c r="AS59" s="116">
        <f>'Proposed Rates - COMBINED'!AS59</f>
        <v>0</v>
      </c>
      <c r="AT59" s="116">
        <f>'Proposed Rates - COMBINED'!AT59</f>
        <v>0</v>
      </c>
      <c r="AU59" s="116">
        <f>'Proposed Rates - COMBINED'!AU59</f>
        <v>0.46972000000000003</v>
      </c>
      <c r="AV59" s="116">
        <f>'Proposed Rates - COMBINED'!AV59</f>
        <v>0.11878</v>
      </c>
      <c r="AW59" s="116">
        <f t="shared" si="10"/>
        <v>0.69713000000000014</v>
      </c>
      <c r="AY59" s="116">
        <f t="shared" si="11"/>
        <v>0.11252000000000012</v>
      </c>
      <c r="AZ59" s="116">
        <f t="shared" si="12"/>
        <v>0</v>
      </c>
      <c r="BA59" s="116">
        <f t="shared" si="13"/>
        <v>0</v>
      </c>
      <c r="BB59" s="116">
        <f t="shared" si="14"/>
        <v>0.46972000000000003</v>
      </c>
      <c r="BC59" s="116">
        <f t="shared" si="15"/>
        <v>0.11712</v>
      </c>
      <c r="BD59" s="116">
        <f t="shared" si="16"/>
        <v>0.69936000000000009</v>
      </c>
      <c r="BE59" s="1654"/>
    </row>
    <row r="60" spans="2:57" x14ac:dyDescent="0.3">
      <c r="B60" s="109">
        <f t="shared" si="17"/>
        <v>52</v>
      </c>
      <c r="C60" s="1287"/>
      <c r="D60" s="1287" t="s">
        <v>7</v>
      </c>
      <c r="E60" s="114">
        <v>100000</v>
      </c>
      <c r="F60" s="115">
        <f>'WA Volumes &amp; Revenues'!E66</f>
        <v>0</v>
      </c>
      <c r="G60" s="115"/>
      <c r="H60" s="890"/>
      <c r="I60" s="891"/>
      <c r="J60" s="620">
        <f>'Rates in Detail'!E64</f>
        <v>8.0089999999999995E-2</v>
      </c>
      <c r="K60" s="622">
        <f>'Rates in Detail'!H64</f>
        <v>0</v>
      </c>
      <c r="L60" s="622">
        <f>'Rates in Detail'!F64</f>
        <v>0.26333000000000001</v>
      </c>
      <c r="M60" s="622">
        <f>'Rates in Detail'!I64</f>
        <v>4.3499999999999997E-3</v>
      </c>
      <c r="N60" s="136">
        <f t="shared" si="1"/>
        <v>0.34777000000000002</v>
      </c>
      <c r="O60" s="620">
        <f>'Rates in Detail'!L64</f>
        <v>8.2100000000000003E-3</v>
      </c>
      <c r="P60" s="622">
        <f>'Rates in Detail'!P64</f>
        <v>-1.39E-3</v>
      </c>
      <c r="Q60" s="622">
        <f>'Rates in Detail'!Q64</f>
        <v>0</v>
      </c>
      <c r="R60" s="250">
        <f t="shared" si="2"/>
        <v>6.8200000000000005E-3</v>
      </c>
      <c r="S60" s="620">
        <f>'Rates in Detail'!S64</f>
        <v>0</v>
      </c>
      <c r="T60" s="622">
        <f>'Rates in Detail'!T64</f>
        <v>-1.25E-3</v>
      </c>
      <c r="U60" s="622">
        <f>'Rates in Detail'!U64</f>
        <v>4.4000000000000002E-4</v>
      </c>
      <c r="V60" s="256">
        <f t="shared" si="18"/>
        <v>6.0100000000000006E-3</v>
      </c>
      <c r="W60" s="612"/>
      <c r="X60" s="116">
        <f>'[25]Rates in detail'!AC62</f>
        <v>8.00899999999998E-2</v>
      </c>
      <c r="Y60" s="116"/>
      <c r="Z60" s="116">
        <f>'[25]Rates in detail'!AD62</f>
        <v>0</v>
      </c>
      <c r="AA60" s="116">
        <f>'[25]Rates in detail'!AE62</f>
        <v>0.34872999999999998</v>
      </c>
      <c r="AB60" s="116">
        <f>'[25]Rates in detail'!AF62</f>
        <v>4.0369999999999996E-2</v>
      </c>
      <c r="AC60" s="344">
        <f t="shared" si="4"/>
        <v>0.46918999999999977</v>
      </c>
      <c r="AD60" s="1594"/>
      <c r="AE60" s="116">
        <f t="shared" si="5"/>
        <v>8.6909999999999793E-2</v>
      </c>
      <c r="AF60" s="116"/>
      <c r="AG60" s="116">
        <f t="shared" si="6"/>
        <v>0</v>
      </c>
      <c r="AH60" s="116">
        <f t="shared" si="6"/>
        <v>0.34872999999999998</v>
      </c>
      <c r="AI60" s="116">
        <f t="shared" si="7"/>
        <v>3.9559999999999998E-2</v>
      </c>
      <c r="AJ60" s="116">
        <f t="shared" si="8"/>
        <v>0.47519999999999979</v>
      </c>
      <c r="AK60" s="1595"/>
      <c r="AL60" s="116">
        <f>'Rates in Detail'!AC64</f>
        <v>3.1099999999999999E-3</v>
      </c>
      <c r="AM60" s="116">
        <f>'Rates in Detail'!AD64</f>
        <v>-1.2E-4</v>
      </c>
      <c r="AN60" s="116">
        <f>'Rates in Detail'!AE64</f>
        <v>0</v>
      </c>
      <c r="AO60" s="116">
        <f>'Rates in Detail'!AF64</f>
        <v>-1.2099999999999999E-3</v>
      </c>
      <c r="AP60" s="116">
        <f t="shared" si="9"/>
        <v>1.7800000000000001E-3</v>
      </c>
      <c r="AQ60" s="130"/>
      <c r="AR60" s="116">
        <f>'Proposed Rates - COMBINED'!AR60</f>
        <v>8.6909999999999682E-2</v>
      </c>
      <c r="AS60" s="116">
        <f>'Proposed Rates - COMBINED'!AS60</f>
        <v>0</v>
      </c>
      <c r="AT60" s="116">
        <f>'Proposed Rates - COMBINED'!AT60</f>
        <v>0</v>
      </c>
      <c r="AU60" s="116">
        <f>'Proposed Rates - COMBINED'!AU60</f>
        <v>0.46972000000000003</v>
      </c>
      <c r="AV60" s="116">
        <f>'Proposed Rates - COMBINED'!AV60</f>
        <v>0.11829999999999999</v>
      </c>
      <c r="AW60" s="116">
        <f t="shared" si="10"/>
        <v>0.6749299999999997</v>
      </c>
      <c r="AY60" s="116">
        <f t="shared" si="11"/>
        <v>9.0019999999999684E-2</v>
      </c>
      <c r="AZ60" s="116">
        <f t="shared" si="12"/>
        <v>0</v>
      </c>
      <c r="BA60" s="116">
        <f t="shared" si="13"/>
        <v>0</v>
      </c>
      <c r="BB60" s="116">
        <f t="shared" si="14"/>
        <v>0.46972000000000003</v>
      </c>
      <c r="BC60" s="116">
        <f t="shared" si="15"/>
        <v>0.11696999999999999</v>
      </c>
      <c r="BD60" s="116">
        <f t="shared" si="16"/>
        <v>0.6767099999999997</v>
      </c>
      <c r="BE60" s="1654"/>
    </row>
    <row r="61" spans="2:57" x14ac:dyDescent="0.3">
      <c r="B61" s="109">
        <f t="shared" si="17"/>
        <v>53</v>
      </c>
      <c r="C61" s="1287"/>
      <c r="D61" s="1287" t="s">
        <v>8</v>
      </c>
      <c r="E61" s="114">
        <v>600000</v>
      </c>
      <c r="F61" s="115">
        <f>'WA Volumes &amp; Revenues'!E67</f>
        <v>0</v>
      </c>
      <c r="G61" s="115"/>
      <c r="H61" s="890"/>
      <c r="I61" s="891"/>
      <c r="J61" s="620">
        <f>'Rates in Detail'!E65</f>
        <v>5.339E-2</v>
      </c>
      <c r="K61" s="622">
        <f>'Rates in Detail'!H65</f>
        <v>0</v>
      </c>
      <c r="L61" s="622">
        <f>'Rates in Detail'!F65</f>
        <v>0.26333000000000001</v>
      </c>
      <c r="M61" s="622">
        <f>'Rates in Detail'!I65</f>
        <v>3.2999999999999995E-3</v>
      </c>
      <c r="N61" s="136">
        <f t="shared" si="1"/>
        <v>0.32002000000000003</v>
      </c>
      <c r="O61" s="620">
        <f>'Rates in Detail'!L65</f>
        <v>5.47E-3</v>
      </c>
      <c r="P61" s="622">
        <f>'Rates in Detail'!P65</f>
        <v>-9.3000000000000005E-4</v>
      </c>
      <c r="Q61" s="622">
        <f>'Rates in Detail'!Q65</f>
        <v>0</v>
      </c>
      <c r="R61" s="250">
        <f t="shared" si="2"/>
        <v>4.5399999999999998E-3</v>
      </c>
      <c r="S61" s="620">
        <f>'Rates in Detail'!S65</f>
        <v>0</v>
      </c>
      <c r="T61" s="622">
        <f>'Rates in Detail'!T65</f>
        <v>-8.3000000000000001E-4</v>
      </c>
      <c r="U61" s="622">
        <f>'Rates in Detail'!U65</f>
        <v>2.9E-4</v>
      </c>
      <c r="V61" s="256">
        <f t="shared" si="18"/>
        <v>4.0000000000000001E-3</v>
      </c>
      <c r="W61" s="612"/>
      <c r="X61" s="116">
        <f>'[25]Rates in detail'!AC63</f>
        <v>5.3390000000000028E-2</v>
      </c>
      <c r="Y61" s="116"/>
      <c r="Z61" s="116">
        <f>'[25]Rates in detail'!AD63</f>
        <v>0</v>
      </c>
      <c r="AA61" s="116">
        <f>'[25]Rates in detail'!AE63</f>
        <v>0.34872999999999998</v>
      </c>
      <c r="AB61" s="116">
        <f>'[25]Rates in detail'!AF63</f>
        <v>3.9159999999999993E-2</v>
      </c>
      <c r="AC61" s="344">
        <f t="shared" si="4"/>
        <v>0.44128000000000001</v>
      </c>
      <c r="AD61" s="1594"/>
      <c r="AE61" s="116">
        <f t="shared" si="5"/>
        <v>5.793000000000003E-2</v>
      </c>
      <c r="AF61" s="116"/>
      <c r="AG61" s="116">
        <f t="shared" si="6"/>
        <v>0</v>
      </c>
      <c r="AH61" s="116">
        <f t="shared" si="6"/>
        <v>0.34872999999999998</v>
      </c>
      <c r="AI61" s="116">
        <f t="shared" si="7"/>
        <v>3.8619999999999995E-2</v>
      </c>
      <c r="AJ61" s="116">
        <f t="shared" si="8"/>
        <v>0.44528000000000001</v>
      </c>
      <c r="AK61" s="1595"/>
      <c r="AL61" s="116">
        <f>'Rates in Detail'!AC65</f>
        <v>2.0699999999999998E-3</v>
      </c>
      <c r="AM61" s="116">
        <f>'Rates in Detail'!AD65</f>
        <v>-8.0000000000000007E-5</v>
      </c>
      <c r="AN61" s="116">
        <f>'Rates in Detail'!AE65</f>
        <v>0</v>
      </c>
      <c r="AO61" s="116">
        <f>'Rates in Detail'!AF65</f>
        <v>-8.0999999999999996E-4</v>
      </c>
      <c r="AP61" s="116">
        <f t="shared" si="9"/>
        <v>1.1799999999999996E-3</v>
      </c>
      <c r="AQ61" s="130"/>
      <c r="AR61" s="116">
        <f>'Proposed Rates - COMBINED'!AR61</f>
        <v>5.7930000000000009E-2</v>
      </c>
      <c r="AS61" s="116">
        <f>'Proposed Rates - COMBINED'!AS61</f>
        <v>0</v>
      </c>
      <c r="AT61" s="116">
        <f>'Proposed Rates - COMBINED'!AT61</f>
        <v>0</v>
      </c>
      <c r="AU61" s="116">
        <f>'Proposed Rates - COMBINED'!AU61</f>
        <v>0.46972000000000003</v>
      </c>
      <c r="AV61" s="116">
        <f>'Proposed Rates - COMBINED'!AV61</f>
        <v>0.11768999999999999</v>
      </c>
      <c r="AW61" s="116">
        <f t="shared" si="10"/>
        <v>0.64534000000000002</v>
      </c>
      <c r="AY61" s="116">
        <f t="shared" si="11"/>
        <v>6.0000000000000012E-2</v>
      </c>
      <c r="AZ61" s="116">
        <f t="shared" si="12"/>
        <v>0</v>
      </c>
      <c r="BA61" s="116">
        <f t="shared" si="13"/>
        <v>0</v>
      </c>
      <c r="BB61" s="116">
        <f t="shared" si="14"/>
        <v>0.46972000000000003</v>
      </c>
      <c r="BC61" s="116">
        <f t="shared" si="15"/>
        <v>0.11679999999999999</v>
      </c>
      <c r="BD61" s="116">
        <f t="shared" si="16"/>
        <v>0.64652000000000009</v>
      </c>
      <c r="BE61" s="1654"/>
    </row>
    <row r="62" spans="2:57" x14ac:dyDescent="0.3">
      <c r="B62" s="109">
        <f t="shared" si="17"/>
        <v>54</v>
      </c>
      <c r="C62" s="110"/>
      <c r="D62" s="110" t="s">
        <v>9</v>
      </c>
      <c r="E62" s="111" t="s">
        <v>72</v>
      </c>
      <c r="F62" s="112">
        <f>'WA Volumes &amp; Revenues'!E68</f>
        <v>0</v>
      </c>
      <c r="G62" s="112"/>
      <c r="H62" s="885"/>
      <c r="I62" s="887"/>
      <c r="J62" s="619">
        <f>'Rates in Detail'!E66</f>
        <v>2.002E-2</v>
      </c>
      <c r="K62" s="623">
        <f>'Rates in Detail'!H66</f>
        <v>0</v>
      </c>
      <c r="L62" s="623">
        <f>'Rates in Detail'!F66</f>
        <v>0.26333000000000001</v>
      </c>
      <c r="M62" s="623">
        <f>'Rates in Detail'!I66</f>
        <v>1.9499999999999995E-3</v>
      </c>
      <c r="N62" s="134">
        <f t="shared" si="1"/>
        <v>0.2853</v>
      </c>
      <c r="O62" s="619">
        <f>'Rates in Detail'!L66</f>
        <v>2.0500000000000002E-3</v>
      </c>
      <c r="P62" s="623">
        <f>'Rates in Detail'!P66</f>
        <v>-3.5E-4</v>
      </c>
      <c r="Q62" s="623">
        <f>'Rates in Detail'!Q66</f>
        <v>0</v>
      </c>
      <c r="R62" s="249">
        <f t="shared" si="2"/>
        <v>1.7000000000000001E-3</v>
      </c>
      <c r="S62" s="619">
        <f>'Rates in Detail'!S66</f>
        <v>0</v>
      </c>
      <c r="T62" s="623">
        <f>'Rates in Detail'!T66</f>
        <v>-3.1E-4</v>
      </c>
      <c r="U62" s="623">
        <f>'Rates in Detail'!U66</f>
        <v>1.1E-4</v>
      </c>
      <c r="V62" s="255">
        <f t="shared" si="18"/>
        <v>1.5000000000000002E-3</v>
      </c>
      <c r="W62" s="612"/>
      <c r="X62" s="113">
        <f>'[25]Rates in detail'!AC64</f>
        <v>2.0019999999999948E-2</v>
      </c>
      <c r="Y62" s="113"/>
      <c r="Z62" s="113">
        <f>'[25]Rates in detail'!AD64</f>
        <v>0</v>
      </c>
      <c r="AA62" s="113">
        <f>'[25]Rates in detail'!AE64</f>
        <v>0.34872999999999998</v>
      </c>
      <c r="AB62" s="113">
        <f>'[25]Rates in detail'!AF64</f>
        <v>3.7649999999999996E-2</v>
      </c>
      <c r="AC62" s="343">
        <f t="shared" si="4"/>
        <v>0.40639999999999993</v>
      </c>
      <c r="AD62" s="1594"/>
      <c r="AE62" s="113">
        <f t="shared" si="5"/>
        <v>2.1719999999999948E-2</v>
      </c>
      <c r="AF62" s="113"/>
      <c r="AG62" s="113">
        <f t="shared" si="6"/>
        <v>0</v>
      </c>
      <c r="AH62" s="113">
        <f t="shared" si="6"/>
        <v>0.34872999999999998</v>
      </c>
      <c r="AI62" s="113">
        <f t="shared" si="7"/>
        <v>3.7449999999999997E-2</v>
      </c>
      <c r="AJ62" s="113">
        <f t="shared" si="8"/>
        <v>0.40789999999999993</v>
      </c>
      <c r="AK62" s="1595"/>
      <c r="AL62" s="113">
        <f>'Rates in Detail'!AC66</f>
        <v>7.7999999999999999E-4</v>
      </c>
      <c r="AM62" s="113">
        <f>'Rates in Detail'!AD66</f>
        <v>-3.0000000000000001E-5</v>
      </c>
      <c r="AN62" s="113">
        <f>'Rates in Detail'!AE66</f>
        <v>0</v>
      </c>
      <c r="AO62" s="113">
        <f>'Rates in Detail'!AF66</f>
        <v>-2.9999999999999997E-4</v>
      </c>
      <c r="AP62" s="113">
        <f t="shared" si="9"/>
        <v>4.5000000000000004E-4</v>
      </c>
      <c r="AQ62" s="130"/>
      <c r="AR62" s="113">
        <f>'Proposed Rates - COMBINED'!AR62</f>
        <v>2.1719999999999975E-2</v>
      </c>
      <c r="AS62" s="113">
        <f>'Proposed Rates - COMBINED'!AS62</f>
        <v>0</v>
      </c>
      <c r="AT62" s="113">
        <f>'Proposed Rates - COMBINED'!AT62</f>
        <v>0</v>
      </c>
      <c r="AU62" s="113">
        <f>'Proposed Rates - COMBINED'!AU62</f>
        <v>0.46972000000000003</v>
      </c>
      <c r="AV62" s="113">
        <f>'Proposed Rates - COMBINED'!AV62</f>
        <v>0.11689999999999999</v>
      </c>
      <c r="AW62" s="113">
        <f t="shared" si="10"/>
        <v>0.60833999999999999</v>
      </c>
      <c r="AY62" s="113">
        <f t="shared" si="11"/>
        <v>2.2499999999999975E-2</v>
      </c>
      <c r="AZ62" s="113">
        <f t="shared" si="12"/>
        <v>0</v>
      </c>
      <c r="BA62" s="113">
        <f t="shared" si="13"/>
        <v>0</v>
      </c>
      <c r="BB62" s="113">
        <f t="shared" si="14"/>
        <v>0.46972000000000003</v>
      </c>
      <c r="BC62" s="113">
        <f t="shared" si="15"/>
        <v>0.11656999999999999</v>
      </c>
      <c r="BD62" s="113">
        <f t="shared" si="16"/>
        <v>0.60878999999999994</v>
      </c>
      <c r="BE62" s="1654"/>
    </row>
    <row r="63" spans="2:57" x14ac:dyDescent="0.3">
      <c r="B63" s="109">
        <f t="shared" si="17"/>
        <v>55</v>
      </c>
      <c r="C63" s="1287" t="str">
        <f>'WA Volumes &amp; Revenues'!B69</f>
        <v>42C Inter Transpt</v>
      </c>
      <c r="D63" s="1287" t="s">
        <v>4</v>
      </c>
      <c r="E63" s="114">
        <v>10000</v>
      </c>
      <c r="F63" s="115">
        <f>'WA Volumes &amp; Revenues'!E69</f>
        <v>0</v>
      </c>
      <c r="G63" s="115">
        <f>'WA Volumes &amp; Revenues'!H69</f>
        <v>0</v>
      </c>
      <c r="H63" s="890">
        <f>'WA Volumes &amp; Revenues'!O69</f>
        <v>1550</v>
      </c>
      <c r="I63" s="891">
        <f>'WA Volumes &amp; Revenues'!N69</f>
        <v>1550</v>
      </c>
      <c r="J63" s="620">
        <f>'Rates in Detail'!E67</f>
        <v>0.13402999999999998</v>
      </c>
      <c r="K63" s="622">
        <f>'Rates in Detail'!H67</f>
        <v>0</v>
      </c>
      <c r="L63" s="622">
        <f>'Rates in Detail'!F67</f>
        <v>0</v>
      </c>
      <c r="M63" s="622">
        <f>'Rates in Detail'!I67</f>
        <v>5.6999999999999998E-4</v>
      </c>
      <c r="N63" s="136">
        <f t="shared" si="1"/>
        <v>0.13459999999999997</v>
      </c>
      <c r="O63" s="620">
        <f>'Rates in Detail'!L67</f>
        <v>6.1399999999999996E-3</v>
      </c>
      <c r="P63" s="622">
        <f>'Rates in Detail'!P67</f>
        <v>-1.2600000000000001E-3</v>
      </c>
      <c r="Q63" s="622">
        <f>'Rates in Detail'!Q67</f>
        <v>0</v>
      </c>
      <c r="R63" s="250">
        <f t="shared" si="2"/>
        <v>4.8799999999999998E-3</v>
      </c>
      <c r="S63" s="620">
        <f>'Rates in Detail'!S67</f>
        <v>0</v>
      </c>
      <c r="T63" s="622">
        <f>'Rates in Detail'!T67</f>
        <v>-1.1199999999999999E-3</v>
      </c>
      <c r="U63" s="622">
        <f>'Rates in Detail'!U67</f>
        <v>5.1000000000000004E-4</v>
      </c>
      <c r="V63" s="256">
        <f t="shared" si="18"/>
        <v>4.2699999999999995E-3</v>
      </c>
      <c r="W63" s="612"/>
      <c r="X63" s="116">
        <f>'[25]Rates in detail'!AC65</f>
        <v>0.13402999999999998</v>
      </c>
      <c r="Y63" s="116"/>
      <c r="Z63" s="116">
        <f>'[25]Rates in detail'!AD65</f>
        <v>0</v>
      </c>
      <c r="AA63" s="116">
        <f>'[25]Rates in detail'!AE65</f>
        <v>0</v>
      </c>
      <c r="AB63" s="116">
        <f>'[25]Rates in detail'!AF65</f>
        <v>1.6000000000000001E-3</v>
      </c>
      <c r="AC63" s="344">
        <f t="shared" si="4"/>
        <v>0.13562999999999997</v>
      </c>
      <c r="AD63" s="1594"/>
      <c r="AE63" s="1573">
        <f t="shared" si="5"/>
        <v>0.13890999999999998</v>
      </c>
      <c r="AF63" s="1573"/>
      <c r="AG63" s="1573">
        <f t="shared" si="6"/>
        <v>0</v>
      </c>
      <c r="AH63" s="1573">
        <f t="shared" si="6"/>
        <v>0</v>
      </c>
      <c r="AI63" s="1573">
        <f t="shared" si="7"/>
        <v>9.9000000000000021E-4</v>
      </c>
      <c r="AJ63" s="1573">
        <f t="shared" si="8"/>
        <v>0.13989999999999997</v>
      </c>
      <c r="AK63" s="1595"/>
      <c r="AL63" s="116">
        <f>'Rates in Detail'!AC67</f>
        <v>2.7799999999999999E-3</v>
      </c>
      <c r="AM63" s="116">
        <f>'Rates in Detail'!AD67</f>
        <v>-1.1E-4</v>
      </c>
      <c r="AN63" s="116">
        <f>'Rates in Detail'!AE67</f>
        <v>0</v>
      </c>
      <c r="AO63" s="116">
        <f>'Rates in Detail'!AF67</f>
        <v>-1.08E-3</v>
      </c>
      <c r="AP63" s="116">
        <f t="shared" si="9"/>
        <v>1.5900000000000001E-3</v>
      </c>
      <c r="AQ63" s="130"/>
      <c r="AR63" s="116">
        <f>'Proposed Rates - COMBINED'!AR63</f>
        <v>0.13890999999999998</v>
      </c>
      <c r="AS63" s="116">
        <f>'Proposed Rates - COMBINED'!AS63</f>
        <v>0</v>
      </c>
      <c r="AT63" s="116">
        <f>'Proposed Rates - COMBINED'!AT63</f>
        <v>0</v>
      </c>
      <c r="AU63" s="116">
        <f>'Proposed Rates - COMBINED'!AU63</f>
        <v>0</v>
      </c>
      <c r="AV63" s="116">
        <f>'Proposed Rates - COMBINED'!AV63</f>
        <v>2.4499999999999999E-3</v>
      </c>
      <c r="AW63" s="116">
        <f t="shared" si="10"/>
        <v>0.14135999999999999</v>
      </c>
      <c r="AY63" s="116">
        <f t="shared" si="11"/>
        <v>0.14168999999999998</v>
      </c>
      <c r="AZ63" s="116">
        <f t="shared" si="12"/>
        <v>0</v>
      </c>
      <c r="BA63" s="116">
        <f t="shared" si="13"/>
        <v>0</v>
      </c>
      <c r="BB63" s="116">
        <f t="shared" si="14"/>
        <v>0</v>
      </c>
      <c r="BC63" s="116">
        <f t="shared" si="15"/>
        <v>1.2599999999999998E-3</v>
      </c>
      <c r="BD63" s="116">
        <f t="shared" si="16"/>
        <v>0.14294999999999999</v>
      </c>
      <c r="BE63" s="1654"/>
    </row>
    <row r="64" spans="2:57" x14ac:dyDescent="0.3">
      <c r="B64" s="109">
        <f t="shared" si="17"/>
        <v>56</v>
      </c>
      <c r="C64" s="1287"/>
      <c r="D64" s="1287" t="s">
        <v>5</v>
      </c>
      <c r="E64" s="114">
        <v>20000</v>
      </c>
      <c r="F64" s="115">
        <f>'WA Volumes &amp; Revenues'!E70</f>
        <v>0</v>
      </c>
      <c r="G64" s="115"/>
      <c r="H64" s="890"/>
      <c r="I64" s="891"/>
      <c r="J64" s="620">
        <f>'Rates in Detail'!E68</f>
        <v>0.11997999999999999</v>
      </c>
      <c r="K64" s="622">
        <f>'Rates in Detail'!H68</f>
        <v>0</v>
      </c>
      <c r="L64" s="622">
        <f>'Rates in Detail'!F68</f>
        <v>0</v>
      </c>
      <c r="M64" s="622">
        <f>'Rates in Detail'!I68</f>
        <v>5.1000000000000004E-4</v>
      </c>
      <c r="N64" s="136">
        <f t="shared" si="1"/>
        <v>0.12048999999999999</v>
      </c>
      <c r="O64" s="620">
        <f>'Rates in Detail'!L68</f>
        <v>5.4999999999999997E-3</v>
      </c>
      <c r="P64" s="622">
        <f>'Rates in Detail'!P68</f>
        <v>-1.1199999999999999E-3</v>
      </c>
      <c r="Q64" s="622">
        <f>'Rates in Detail'!Q68</f>
        <v>0</v>
      </c>
      <c r="R64" s="250">
        <f t="shared" si="2"/>
        <v>4.3800000000000002E-3</v>
      </c>
      <c r="S64" s="620">
        <f>'Rates in Detail'!S68</f>
        <v>0</v>
      </c>
      <c r="T64" s="622">
        <f>'Rates in Detail'!T68</f>
        <v>-1E-3</v>
      </c>
      <c r="U64" s="622">
        <f>'Rates in Detail'!U68</f>
        <v>4.4999999999999999E-4</v>
      </c>
      <c r="V64" s="256">
        <f t="shared" si="18"/>
        <v>3.8300000000000001E-3</v>
      </c>
      <c r="W64" s="612"/>
      <c r="X64" s="116">
        <f>'[25]Rates in detail'!AC66</f>
        <v>0.11997999999999999</v>
      </c>
      <c r="Y64" s="116"/>
      <c r="Z64" s="116">
        <f>'[25]Rates in detail'!AD66</f>
        <v>0</v>
      </c>
      <c r="AA64" s="116">
        <f>'[25]Rates in detail'!AE66</f>
        <v>0</v>
      </c>
      <c r="AB64" s="116">
        <f>'[25]Rates in detail'!AF66</f>
        <v>1.4300000000000001E-3</v>
      </c>
      <c r="AC64" s="344">
        <f t="shared" si="4"/>
        <v>0.12140999999999999</v>
      </c>
      <c r="AD64" s="1594"/>
      <c r="AE64" s="116">
        <f t="shared" si="5"/>
        <v>0.12435999999999998</v>
      </c>
      <c r="AF64" s="116"/>
      <c r="AG64" s="116">
        <f t="shared" si="6"/>
        <v>0</v>
      </c>
      <c r="AH64" s="116">
        <f t="shared" si="6"/>
        <v>0</v>
      </c>
      <c r="AI64" s="116">
        <f t="shared" si="7"/>
        <v>8.8000000000000003E-4</v>
      </c>
      <c r="AJ64" s="116">
        <f t="shared" si="8"/>
        <v>0.12523999999999999</v>
      </c>
      <c r="AK64" s="1595"/>
      <c r="AL64" s="116">
        <f>'Rates in Detail'!AC68</f>
        <v>2.49E-3</v>
      </c>
      <c r="AM64" s="116">
        <f>'Rates in Detail'!AD68</f>
        <v>-1E-4</v>
      </c>
      <c r="AN64" s="116">
        <f>'Rates in Detail'!AE68</f>
        <v>0</v>
      </c>
      <c r="AO64" s="116">
        <f>'Rates in Detail'!AF68</f>
        <v>-9.7000000000000005E-4</v>
      </c>
      <c r="AP64" s="116">
        <f t="shared" si="9"/>
        <v>1.4200000000000003E-3</v>
      </c>
      <c r="AQ64" s="130"/>
      <c r="AR64" s="116">
        <f>'Proposed Rates - COMBINED'!AR64</f>
        <v>0.12436</v>
      </c>
      <c r="AS64" s="116">
        <f>'Proposed Rates - COMBINED'!AS64</f>
        <v>0</v>
      </c>
      <c r="AT64" s="116">
        <f>'Proposed Rates - COMBINED'!AT64</f>
        <v>0</v>
      </c>
      <c r="AU64" s="116">
        <f>'Proposed Rates - COMBINED'!AU64</f>
        <v>0</v>
      </c>
      <c r="AV64" s="116">
        <f>'Proposed Rates - COMBINED'!AV64</f>
        <v>2.1900000000000001E-3</v>
      </c>
      <c r="AW64" s="116">
        <f t="shared" si="10"/>
        <v>0.12655</v>
      </c>
      <c r="AY64" s="116">
        <f t="shared" si="11"/>
        <v>0.12684999999999999</v>
      </c>
      <c r="AZ64" s="116">
        <f t="shared" si="12"/>
        <v>0</v>
      </c>
      <c r="BA64" s="116">
        <f t="shared" si="13"/>
        <v>0</v>
      </c>
      <c r="BB64" s="116">
        <f t="shared" si="14"/>
        <v>0</v>
      </c>
      <c r="BC64" s="116">
        <f t="shared" si="15"/>
        <v>1.1200000000000001E-3</v>
      </c>
      <c r="BD64" s="116">
        <f t="shared" si="16"/>
        <v>0.12797</v>
      </c>
      <c r="BE64" s="1654"/>
    </row>
    <row r="65" spans="2:57" x14ac:dyDescent="0.3">
      <c r="B65" s="109">
        <f t="shared" si="17"/>
        <v>57</v>
      </c>
      <c r="C65" s="1287"/>
      <c r="D65" s="1287" t="s">
        <v>6</v>
      </c>
      <c r="E65" s="114">
        <v>20000</v>
      </c>
      <c r="F65" s="115">
        <f>'WA Volumes &amp; Revenues'!E71</f>
        <v>0</v>
      </c>
      <c r="G65" s="115"/>
      <c r="H65" s="890"/>
      <c r="I65" s="891"/>
      <c r="J65" s="620">
        <f>'Rates in Detail'!E69</f>
        <v>9.1999999999999998E-2</v>
      </c>
      <c r="K65" s="622">
        <f>'Rates in Detail'!H69</f>
        <v>0</v>
      </c>
      <c r="L65" s="622">
        <f>'Rates in Detail'!F69</f>
        <v>0</v>
      </c>
      <c r="M65" s="622">
        <f>'Rates in Detail'!I69</f>
        <v>3.7999999999999997E-4</v>
      </c>
      <c r="N65" s="136">
        <f t="shared" si="1"/>
        <v>9.2380000000000004E-2</v>
      </c>
      <c r="O65" s="620">
        <f>'Rates in Detail'!L69</f>
        <v>4.2199999999999998E-3</v>
      </c>
      <c r="P65" s="622">
        <f>'Rates in Detail'!P69</f>
        <v>-8.5999999999999998E-4</v>
      </c>
      <c r="Q65" s="622">
        <f>'Rates in Detail'!Q69</f>
        <v>0</v>
      </c>
      <c r="R65" s="250">
        <f t="shared" si="2"/>
        <v>3.3599999999999997E-3</v>
      </c>
      <c r="S65" s="620">
        <f>'Rates in Detail'!S69</f>
        <v>0</v>
      </c>
      <c r="T65" s="622">
        <f>'Rates in Detail'!T69</f>
        <v>-7.6999999999999996E-4</v>
      </c>
      <c r="U65" s="622">
        <f>'Rates in Detail'!U69</f>
        <v>3.5E-4</v>
      </c>
      <c r="V65" s="256">
        <f t="shared" si="18"/>
        <v>2.9399999999999999E-3</v>
      </c>
      <c r="W65" s="612"/>
      <c r="X65" s="116">
        <f>'[25]Rates in detail'!AC67</f>
        <v>9.1999999999999998E-2</v>
      </c>
      <c r="Y65" s="116"/>
      <c r="Z65" s="116">
        <f>'[25]Rates in detail'!AD67</f>
        <v>0</v>
      </c>
      <c r="AA65" s="116">
        <f>'[25]Rates in detail'!AE67</f>
        <v>0</v>
      </c>
      <c r="AB65" s="116">
        <f>'[25]Rates in detail'!AF67</f>
        <v>1.1000000000000001E-3</v>
      </c>
      <c r="AC65" s="344">
        <f t="shared" si="4"/>
        <v>9.3100000000000002E-2</v>
      </c>
      <c r="AD65" s="1594"/>
      <c r="AE65" s="116">
        <f t="shared" si="5"/>
        <v>9.536E-2</v>
      </c>
      <c r="AF65" s="116"/>
      <c r="AG65" s="116">
        <f t="shared" si="6"/>
        <v>0</v>
      </c>
      <c r="AH65" s="116">
        <f t="shared" si="6"/>
        <v>0</v>
      </c>
      <c r="AI65" s="116">
        <f t="shared" si="7"/>
        <v>6.8000000000000005E-4</v>
      </c>
      <c r="AJ65" s="116">
        <f t="shared" si="8"/>
        <v>9.604E-2</v>
      </c>
      <c r="AK65" s="1595"/>
      <c r="AL65" s="116">
        <f>'Rates in Detail'!AC69</f>
        <v>1.91E-3</v>
      </c>
      <c r="AM65" s="116">
        <f>'Rates in Detail'!AD69</f>
        <v>-8.0000000000000007E-5</v>
      </c>
      <c r="AN65" s="116">
        <f>'Rates in Detail'!AE69</f>
        <v>0</v>
      </c>
      <c r="AO65" s="116">
        <f>'Rates in Detail'!AF69</f>
        <v>-7.3999999999999999E-4</v>
      </c>
      <c r="AP65" s="116">
        <f t="shared" si="9"/>
        <v>1.09E-3</v>
      </c>
      <c r="AQ65" s="130"/>
      <c r="AR65" s="116">
        <f>'Proposed Rates - COMBINED'!AR65</f>
        <v>9.536E-2</v>
      </c>
      <c r="AS65" s="116">
        <f>'Proposed Rates - COMBINED'!AS65</f>
        <v>0</v>
      </c>
      <c r="AT65" s="116">
        <f>'Proposed Rates - COMBINED'!AT65</f>
        <v>0</v>
      </c>
      <c r="AU65" s="116">
        <f>'Proposed Rates - COMBINED'!AU65</f>
        <v>0</v>
      </c>
      <c r="AV65" s="116">
        <f>'Proposed Rates - COMBINED'!AV65</f>
        <v>1.6800000000000001E-3</v>
      </c>
      <c r="AW65" s="116">
        <f t="shared" si="10"/>
        <v>9.7040000000000001E-2</v>
      </c>
      <c r="AY65" s="116">
        <f t="shared" si="11"/>
        <v>9.7269999999999995E-2</v>
      </c>
      <c r="AZ65" s="116">
        <f t="shared" si="12"/>
        <v>0</v>
      </c>
      <c r="BA65" s="116">
        <f t="shared" si="13"/>
        <v>0</v>
      </c>
      <c r="BB65" s="116">
        <f t="shared" si="14"/>
        <v>0</v>
      </c>
      <c r="BC65" s="116">
        <f t="shared" si="15"/>
        <v>8.6000000000000009E-4</v>
      </c>
      <c r="BD65" s="116">
        <f t="shared" si="16"/>
        <v>9.8129999999999995E-2</v>
      </c>
      <c r="BE65" s="1654"/>
    </row>
    <row r="66" spans="2:57" x14ac:dyDescent="0.3">
      <c r="B66" s="109">
        <f t="shared" si="17"/>
        <v>58</v>
      </c>
      <c r="C66" s="1287"/>
      <c r="D66" s="1287" t="s">
        <v>7</v>
      </c>
      <c r="E66" s="114">
        <v>100000</v>
      </c>
      <c r="F66" s="115">
        <f>'WA Volumes &amp; Revenues'!E72</f>
        <v>0</v>
      </c>
      <c r="G66" s="115"/>
      <c r="H66" s="890"/>
      <c r="I66" s="891"/>
      <c r="J66" s="620">
        <f>'Rates in Detail'!E70</f>
        <v>7.3609999999999995E-2</v>
      </c>
      <c r="K66" s="622">
        <f>'Rates in Detail'!H70</f>
        <v>0</v>
      </c>
      <c r="L66" s="622">
        <f>'Rates in Detail'!F70</f>
        <v>0</v>
      </c>
      <c r="M66" s="622">
        <f>'Rates in Detail'!I70</f>
        <v>3.0999999999999995E-4</v>
      </c>
      <c r="N66" s="136">
        <f t="shared" si="1"/>
        <v>7.392E-2</v>
      </c>
      <c r="O66" s="620">
        <f>'Rates in Detail'!L70</f>
        <v>3.3700000000000002E-3</v>
      </c>
      <c r="P66" s="622">
        <f>'Rates in Detail'!P70</f>
        <v>-6.8999999999999997E-4</v>
      </c>
      <c r="Q66" s="622">
        <f>'Rates in Detail'!Q70</f>
        <v>0</v>
      </c>
      <c r="R66" s="250">
        <f t="shared" si="2"/>
        <v>2.6800000000000001E-3</v>
      </c>
      <c r="S66" s="620">
        <f>'Rates in Detail'!S70</f>
        <v>0</v>
      </c>
      <c r="T66" s="622">
        <f>'Rates in Detail'!T70</f>
        <v>-6.0999999999999997E-4</v>
      </c>
      <c r="U66" s="622">
        <f>'Rates in Detail'!U70</f>
        <v>2.7999999999999998E-4</v>
      </c>
      <c r="V66" s="256">
        <f t="shared" si="18"/>
        <v>2.3500000000000001E-3</v>
      </c>
      <c r="W66" s="612"/>
      <c r="X66" s="116">
        <f>'[25]Rates in detail'!AC68</f>
        <v>7.3609999999999995E-2</v>
      </c>
      <c r="Y66" s="116"/>
      <c r="Z66" s="116">
        <f>'[25]Rates in detail'!AD68</f>
        <v>0</v>
      </c>
      <c r="AA66" s="116">
        <f>'[25]Rates in detail'!AE68</f>
        <v>0</v>
      </c>
      <c r="AB66" s="116">
        <f>'[25]Rates in detail'!AF68</f>
        <v>8.8000000000000003E-4</v>
      </c>
      <c r="AC66" s="344">
        <f t="shared" si="4"/>
        <v>7.4490000000000001E-2</v>
      </c>
      <c r="AD66" s="1594"/>
      <c r="AE66" s="116">
        <f t="shared" si="5"/>
        <v>7.6289999999999997E-2</v>
      </c>
      <c r="AF66" s="116"/>
      <c r="AG66" s="116">
        <f t="shared" si="6"/>
        <v>0</v>
      </c>
      <c r="AH66" s="116">
        <f t="shared" si="6"/>
        <v>0</v>
      </c>
      <c r="AI66" s="116">
        <f t="shared" si="7"/>
        <v>5.5000000000000003E-4</v>
      </c>
      <c r="AJ66" s="116">
        <f t="shared" si="8"/>
        <v>7.6839999999999992E-2</v>
      </c>
      <c r="AK66" s="1595"/>
      <c r="AL66" s="116">
        <f>'Rates in Detail'!AC70</f>
        <v>1.5299999999999999E-3</v>
      </c>
      <c r="AM66" s="116">
        <f>'Rates in Detail'!AD70</f>
        <v>-6.0000000000000002E-5</v>
      </c>
      <c r="AN66" s="116">
        <f>'Rates in Detail'!AE70</f>
        <v>0</v>
      </c>
      <c r="AO66" s="116">
        <f>'Rates in Detail'!AF70</f>
        <v>-5.9000000000000003E-4</v>
      </c>
      <c r="AP66" s="116">
        <f t="shared" si="9"/>
        <v>8.7999999999999992E-4</v>
      </c>
      <c r="AQ66" s="130"/>
      <c r="AR66" s="116">
        <f>'Proposed Rates - COMBINED'!AR66</f>
        <v>7.6289999999999997E-2</v>
      </c>
      <c r="AS66" s="116">
        <f>'Proposed Rates - COMBINED'!AS66</f>
        <v>0</v>
      </c>
      <c r="AT66" s="116">
        <f>'Proposed Rates - COMBINED'!AT66</f>
        <v>0</v>
      </c>
      <c r="AU66" s="116">
        <f>'Proposed Rates - COMBINED'!AU66</f>
        <v>0</v>
      </c>
      <c r="AV66" s="116">
        <f>'Proposed Rates - COMBINED'!AV66</f>
        <v>1.34E-3</v>
      </c>
      <c r="AW66" s="116">
        <f t="shared" si="10"/>
        <v>7.7629999999999991E-2</v>
      </c>
      <c r="AY66" s="116">
        <f t="shared" si="11"/>
        <v>7.782E-2</v>
      </c>
      <c r="AZ66" s="116">
        <f t="shared" si="12"/>
        <v>0</v>
      </c>
      <c r="BA66" s="116">
        <f t="shared" si="13"/>
        <v>0</v>
      </c>
      <c r="BB66" s="116">
        <f t="shared" si="14"/>
        <v>0</v>
      </c>
      <c r="BC66" s="116">
        <f t="shared" si="15"/>
        <v>6.8999999999999997E-4</v>
      </c>
      <c r="BD66" s="116">
        <f t="shared" si="16"/>
        <v>7.8509999999999996E-2</v>
      </c>
      <c r="BE66" s="1654"/>
    </row>
    <row r="67" spans="2:57" x14ac:dyDescent="0.3">
      <c r="B67" s="109">
        <f t="shared" si="17"/>
        <v>59</v>
      </c>
      <c r="C67" s="1287"/>
      <c r="D67" s="1287" t="s">
        <v>8</v>
      </c>
      <c r="E67" s="114">
        <v>600000</v>
      </c>
      <c r="F67" s="115">
        <f>'WA Volumes &amp; Revenues'!E73</f>
        <v>0</v>
      </c>
      <c r="G67" s="115"/>
      <c r="H67" s="890"/>
      <c r="I67" s="891"/>
      <c r="J67" s="620">
        <f>'Rates in Detail'!E71</f>
        <v>4.9079999999999999E-2</v>
      </c>
      <c r="K67" s="622">
        <f>'Rates in Detail'!H71</f>
        <v>0</v>
      </c>
      <c r="L67" s="622">
        <f>'Rates in Detail'!F71</f>
        <v>0</v>
      </c>
      <c r="M67" s="622">
        <f>'Rates in Detail'!I71</f>
        <v>2.0999999999999998E-4</v>
      </c>
      <c r="N67" s="136">
        <f t="shared" si="1"/>
        <v>4.929E-2</v>
      </c>
      <c r="O67" s="620">
        <f>'Rates in Detail'!L71</f>
        <v>2.2499999999999998E-3</v>
      </c>
      <c r="P67" s="622">
        <f>'Rates in Detail'!P71</f>
        <v>-4.6000000000000001E-4</v>
      </c>
      <c r="Q67" s="622">
        <f>'Rates in Detail'!Q71</f>
        <v>0</v>
      </c>
      <c r="R67" s="250">
        <f t="shared" si="2"/>
        <v>1.7899999999999999E-3</v>
      </c>
      <c r="S67" s="620">
        <f>'Rates in Detail'!S71</f>
        <v>0</v>
      </c>
      <c r="T67" s="622">
        <f>'Rates in Detail'!T71</f>
        <v>-4.0999999999999999E-4</v>
      </c>
      <c r="U67" s="622">
        <f>'Rates in Detail'!U71</f>
        <v>1.9000000000000001E-4</v>
      </c>
      <c r="V67" s="256">
        <f t="shared" si="18"/>
        <v>1.57E-3</v>
      </c>
      <c r="W67" s="612"/>
      <c r="X67" s="116">
        <f>'[25]Rates in detail'!AC69</f>
        <v>4.9079999999999999E-2</v>
      </c>
      <c r="Y67" s="116"/>
      <c r="Z67" s="116">
        <f>'[25]Rates in detail'!AD69</f>
        <v>0</v>
      </c>
      <c r="AA67" s="116">
        <f>'[25]Rates in detail'!AE69</f>
        <v>0</v>
      </c>
      <c r="AB67" s="116">
        <f>'[25]Rates in detail'!AF69</f>
        <v>5.9000000000000003E-4</v>
      </c>
      <c r="AC67" s="344">
        <f t="shared" si="4"/>
        <v>4.9669999999999999E-2</v>
      </c>
      <c r="AD67" s="1594"/>
      <c r="AE67" s="116">
        <f t="shared" si="5"/>
        <v>5.0869999999999999E-2</v>
      </c>
      <c r="AF67" s="116"/>
      <c r="AG67" s="116">
        <f t="shared" si="6"/>
        <v>0</v>
      </c>
      <c r="AH67" s="116">
        <f t="shared" si="6"/>
        <v>0</v>
      </c>
      <c r="AI67" s="116">
        <f t="shared" si="7"/>
        <v>3.7000000000000005E-4</v>
      </c>
      <c r="AJ67" s="116">
        <f t="shared" si="8"/>
        <v>5.1240000000000001E-2</v>
      </c>
      <c r="AK67" s="1595"/>
      <c r="AL67" s="116">
        <f>'Rates in Detail'!AC71</f>
        <v>1.0200000000000001E-3</v>
      </c>
      <c r="AM67" s="116">
        <f>'Rates in Detail'!AD71</f>
        <v>-4.0000000000000003E-5</v>
      </c>
      <c r="AN67" s="116">
        <f>'Rates in Detail'!AE71</f>
        <v>0</v>
      </c>
      <c r="AO67" s="116">
        <f>'Rates in Detail'!AF71</f>
        <v>-4.0000000000000002E-4</v>
      </c>
      <c r="AP67" s="116">
        <f t="shared" si="9"/>
        <v>5.8E-4</v>
      </c>
      <c r="AQ67" s="130"/>
      <c r="AR67" s="116">
        <f>'Proposed Rates - COMBINED'!AR67</f>
        <v>5.0869999999999999E-2</v>
      </c>
      <c r="AS67" s="116">
        <f>'Proposed Rates - COMBINED'!AS67</f>
        <v>0</v>
      </c>
      <c r="AT67" s="116">
        <f>'Proposed Rates - COMBINED'!AT67</f>
        <v>0</v>
      </c>
      <c r="AU67" s="116">
        <f>'Proposed Rates - COMBINED'!AU67</f>
        <v>0</v>
      </c>
      <c r="AV67" s="116">
        <f>'Proposed Rates - COMBINED'!AV67</f>
        <v>8.9999999999999998E-4</v>
      </c>
      <c r="AW67" s="116">
        <f t="shared" si="10"/>
        <v>5.1769999999999997E-2</v>
      </c>
      <c r="AY67" s="116">
        <f t="shared" si="11"/>
        <v>5.1889999999999999E-2</v>
      </c>
      <c r="AZ67" s="116">
        <f t="shared" si="12"/>
        <v>0</v>
      </c>
      <c r="BA67" s="116">
        <f t="shared" si="13"/>
        <v>0</v>
      </c>
      <c r="BB67" s="116">
        <f t="shared" si="14"/>
        <v>0</v>
      </c>
      <c r="BC67" s="116">
        <f t="shared" si="15"/>
        <v>4.5999999999999996E-4</v>
      </c>
      <c r="BD67" s="116">
        <f t="shared" si="16"/>
        <v>5.2350000000000001E-2</v>
      </c>
      <c r="BE67" s="1654"/>
    </row>
    <row r="68" spans="2:57" x14ac:dyDescent="0.3">
      <c r="B68" s="109">
        <f t="shared" si="17"/>
        <v>60</v>
      </c>
      <c r="C68" s="110"/>
      <c r="D68" s="110" t="s">
        <v>9</v>
      </c>
      <c r="E68" s="111" t="s">
        <v>72</v>
      </c>
      <c r="F68" s="112">
        <f>'WA Volumes &amp; Revenues'!E74</f>
        <v>0</v>
      </c>
      <c r="G68" s="112"/>
      <c r="H68" s="885"/>
      <c r="I68" s="887"/>
      <c r="J68" s="619">
        <f>'Rates in Detail'!E72</f>
        <v>1.839E-2</v>
      </c>
      <c r="K68" s="623">
        <f>'Rates in Detail'!H72</f>
        <v>0</v>
      </c>
      <c r="L68" s="623">
        <f>'Rates in Detail'!F72</f>
        <v>0</v>
      </c>
      <c r="M68" s="623">
        <f>'Rates in Detail'!I72</f>
        <v>6.9999999999999994E-5</v>
      </c>
      <c r="N68" s="134">
        <f t="shared" si="1"/>
        <v>1.8460000000000001E-2</v>
      </c>
      <c r="O68" s="619">
        <f>'Rates in Detail'!L72</f>
        <v>8.4000000000000003E-4</v>
      </c>
      <c r="P68" s="623">
        <f>'Rates in Detail'!P72</f>
        <v>-1.7000000000000001E-4</v>
      </c>
      <c r="Q68" s="623">
        <f>'Rates in Detail'!Q72</f>
        <v>0</v>
      </c>
      <c r="R68" s="249">
        <f t="shared" si="2"/>
        <v>6.7000000000000002E-4</v>
      </c>
      <c r="S68" s="619">
        <f>'Rates in Detail'!S72</f>
        <v>0</v>
      </c>
      <c r="T68" s="623">
        <f>'Rates in Detail'!T72</f>
        <v>-1.4999999999999999E-4</v>
      </c>
      <c r="U68" s="623">
        <f>'Rates in Detail'!U72</f>
        <v>6.9999999999999994E-5</v>
      </c>
      <c r="V68" s="255">
        <f t="shared" si="18"/>
        <v>5.9000000000000003E-4</v>
      </c>
      <c r="W68" s="612"/>
      <c r="X68" s="113">
        <f>'[25]Rates in detail'!AC70</f>
        <v>1.839E-2</v>
      </c>
      <c r="Y68" s="113"/>
      <c r="Z68" s="113">
        <f>'[25]Rates in detail'!AD70</f>
        <v>0</v>
      </c>
      <c r="AA68" s="113">
        <f>'[25]Rates in detail'!AE70</f>
        <v>0</v>
      </c>
      <c r="AB68" s="113">
        <f>'[25]Rates in detail'!AF70</f>
        <v>2.2000000000000001E-4</v>
      </c>
      <c r="AC68" s="343">
        <f t="shared" si="4"/>
        <v>1.8610000000000002E-2</v>
      </c>
      <c r="AD68" s="1594"/>
      <c r="AE68" s="113">
        <f t="shared" si="5"/>
        <v>1.9060000000000001E-2</v>
      </c>
      <c r="AF68" s="113"/>
      <c r="AG68" s="113">
        <f t="shared" si="6"/>
        <v>0</v>
      </c>
      <c r="AH68" s="113">
        <f t="shared" si="6"/>
        <v>0</v>
      </c>
      <c r="AI68" s="113">
        <f t="shared" si="7"/>
        <v>1.4000000000000001E-4</v>
      </c>
      <c r="AJ68" s="113">
        <f t="shared" si="8"/>
        <v>1.9200000000000002E-2</v>
      </c>
      <c r="AK68" s="1595"/>
      <c r="AL68" s="113">
        <f>'Rates in Detail'!AC72</f>
        <v>3.8000000000000002E-4</v>
      </c>
      <c r="AM68" s="113">
        <f>'Rates in Detail'!AD72</f>
        <v>-2.0000000000000002E-5</v>
      </c>
      <c r="AN68" s="113">
        <f>'Rates in Detail'!AE72</f>
        <v>0</v>
      </c>
      <c r="AO68" s="113">
        <f>'Rates in Detail'!AF72</f>
        <v>-1.4999999999999999E-4</v>
      </c>
      <c r="AP68" s="113">
        <f t="shared" si="9"/>
        <v>2.1000000000000004E-4</v>
      </c>
      <c r="AQ68" s="130"/>
      <c r="AR68" s="113">
        <f>'Proposed Rates - COMBINED'!AR68</f>
        <v>1.9060000000000001E-2</v>
      </c>
      <c r="AS68" s="113">
        <f>'Proposed Rates - COMBINED'!AS68</f>
        <v>0</v>
      </c>
      <c r="AT68" s="113">
        <f>'Proposed Rates - COMBINED'!AT68</f>
        <v>0</v>
      </c>
      <c r="AU68" s="113">
        <f>'Proposed Rates - COMBINED'!AU68</f>
        <v>0</v>
      </c>
      <c r="AV68" s="113">
        <f>'Proposed Rates - COMBINED'!AV68</f>
        <v>3.4000000000000002E-4</v>
      </c>
      <c r="AW68" s="113">
        <f t="shared" si="10"/>
        <v>1.9400000000000001E-2</v>
      </c>
      <c r="AY68" s="113">
        <f t="shared" si="11"/>
        <v>1.9439999999999999E-2</v>
      </c>
      <c r="AZ68" s="113">
        <f t="shared" si="12"/>
        <v>0</v>
      </c>
      <c r="BA68" s="113">
        <f t="shared" si="13"/>
        <v>0</v>
      </c>
      <c r="BB68" s="113">
        <f t="shared" si="14"/>
        <v>0</v>
      </c>
      <c r="BC68" s="113">
        <f t="shared" si="15"/>
        <v>1.7000000000000004E-4</v>
      </c>
      <c r="BD68" s="113">
        <f t="shared" si="16"/>
        <v>1.9609999999999999E-2</v>
      </c>
      <c r="BE68" s="1654"/>
    </row>
    <row r="69" spans="2:57" x14ac:dyDescent="0.3">
      <c r="B69" s="109">
        <f t="shared" si="17"/>
        <v>61</v>
      </c>
      <c r="C69" s="1287" t="str">
        <f>'WA Volumes &amp; Revenues'!B75</f>
        <v>42I Inter Transpt</v>
      </c>
      <c r="D69" s="1287" t="s">
        <v>4</v>
      </c>
      <c r="E69" s="114">
        <v>10000</v>
      </c>
      <c r="F69" s="115">
        <f>'WA Volumes &amp; Revenues'!E75</f>
        <v>844078</v>
      </c>
      <c r="G69" s="115">
        <f>'WA Volumes &amp; Revenues'!H75</f>
        <v>7</v>
      </c>
      <c r="H69" s="890">
        <f>'WA Volumes &amp; Revenues'!O75</f>
        <v>1550</v>
      </c>
      <c r="I69" s="891">
        <f>'WA Volumes &amp; Revenues'!N75</f>
        <v>1550</v>
      </c>
      <c r="J69" s="620">
        <f>'Rates in Detail'!E73</f>
        <v>0.13402999999999998</v>
      </c>
      <c r="K69" s="622">
        <f>'Rates in Detail'!H73</f>
        <v>0</v>
      </c>
      <c r="L69" s="622">
        <f>'Rates in Detail'!F73</f>
        <v>0</v>
      </c>
      <c r="M69" s="622">
        <f>'Rates in Detail'!I73</f>
        <v>5.6999999999999998E-4</v>
      </c>
      <c r="N69" s="136">
        <f t="shared" si="1"/>
        <v>0.13459999999999997</v>
      </c>
      <c r="O69" s="620">
        <f>'Rates in Detail'!L73</f>
        <v>8.7899999999999992E-3</v>
      </c>
      <c r="P69" s="622">
        <f>'Rates in Detail'!P73</f>
        <v>-1.49E-3</v>
      </c>
      <c r="Q69" s="622">
        <f>'Rates in Detail'!Q73</f>
        <v>0</v>
      </c>
      <c r="R69" s="250">
        <f t="shared" si="2"/>
        <v>7.2999999999999992E-3</v>
      </c>
      <c r="S69" s="620">
        <f>'Rates in Detail'!S73</f>
        <v>0</v>
      </c>
      <c r="T69" s="622">
        <f>'Rates in Detail'!T73</f>
        <v>-1.34E-3</v>
      </c>
      <c r="U69" s="622">
        <f>'Rates in Detail'!U73</f>
        <v>4.6999999999999999E-4</v>
      </c>
      <c r="V69" s="256">
        <f t="shared" si="18"/>
        <v>6.4299999999999991E-3</v>
      </c>
      <c r="W69" s="612"/>
      <c r="X69" s="116">
        <f>'[25]Rates in detail'!AC65</f>
        <v>0.13402999999999998</v>
      </c>
      <c r="Y69" s="116"/>
      <c r="Z69" s="116">
        <f>'[25]Rates in detail'!AD65</f>
        <v>0</v>
      </c>
      <c r="AA69" s="116">
        <f>'[25]Rates in detail'!AE65</f>
        <v>0</v>
      </c>
      <c r="AB69" s="116">
        <f>'[25]Rates in detail'!AF65</f>
        <v>1.6000000000000001E-3</v>
      </c>
      <c r="AC69" s="344">
        <f t="shared" si="4"/>
        <v>0.13562999999999997</v>
      </c>
      <c r="AD69" s="1594"/>
      <c r="AE69" s="1573">
        <f t="shared" si="5"/>
        <v>0.14132999999999998</v>
      </c>
      <c r="AF69" s="1573"/>
      <c r="AG69" s="1573">
        <f t="shared" si="6"/>
        <v>0</v>
      </c>
      <c r="AH69" s="1573">
        <f t="shared" si="6"/>
        <v>0</v>
      </c>
      <c r="AI69" s="1573">
        <f t="shared" si="7"/>
        <v>7.2999999999999996E-4</v>
      </c>
      <c r="AJ69" s="1573">
        <f t="shared" si="8"/>
        <v>0.14205999999999999</v>
      </c>
      <c r="AK69" s="1595"/>
      <c r="AL69" s="116">
        <f>'Rates in Detail'!AC73</f>
        <v>3.3300000000000001E-3</v>
      </c>
      <c r="AM69" s="116">
        <f>'Rates in Detail'!AD73</f>
        <v>-1.2999999999999999E-4</v>
      </c>
      <c r="AN69" s="116">
        <f>'Rates in Detail'!AE73</f>
        <v>0</v>
      </c>
      <c r="AO69" s="116">
        <f>'Rates in Detail'!AF73</f>
        <v>-1.2999999999999999E-3</v>
      </c>
      <c r="AP69" s="116">
        <f t="shared" si="9"/>
        <v>1.9000000000000002E-3</v>
      </c>
      <c r="AQ69" s="130"/>
      <c r="AR69" s="116">
        <f>'Proposed Rates - COMBINED'!AR69</f>
        <v>0.14132999999999998</v>
      </c>
      <c r="AS69" s="116">
        <f>'Proposed Rates - COMBINED'!AS69</f>
        <v>0</v>
      </c>
      <c r="AT69" s="116">
        <f>'Proposed Rates - COMBINED'!AT69</f>
        <v>0</v>
      </c>
      <c r="AU69" s="116">
        <f>'Proposed Rates - COMBINED'!AU69</f>
        <v>0</v>
      </c>
      <c r="AV69" s="116">
        <f>'Proposed Rates - COMBINED'!AV69</f>
        <v>4.8999999999999998E-4</v>
      </c>
      <c r="AW69" s="116">
        <f t="shared" si="10"/>
        <v>0.14181999999999997</v>
      </c>
      <c r="AY69" s="116">
        <f t="shared" si="11"/>
        <v>0.14465999999999998</v>
      </c>
      <c r="AZ69" s="116">
        <f t="shared" si="12"/>
        <v>0</v>
      </c>
      <c r="BA69" s="116">
        <f t="shared" si="13"/>
        <v>0</v>
      </c>
      <c r="BB69" s="116">
        <f t="shared" si="14"/>
        <v>0</v>
      </c>
      <c r="BC69" s="116">
        <f t="shared" si="15"/>
        <v>-9.3999999999999986E-4</v>
      </c>
      <c r="BD69" s="116">
        <f t="shared" si="16"/>
        <v>0.14371999999999999</v>
      </c>
      <c r="BE69" s="1654"/>
    </row>
    <row r="70" spans="2:57" x14ac:dyDescent="0.3">
      <c r="B70" s="109">
        <f t="shared" si="17"/>
        <v>62</v>
      </c>
      <c r="C70" s="1287"/>
      <c r="D70" s="1287" t="s">
        <v>5</v>
      </c>
      <c r="E70" s="114">
        <v>20000</v>
      </c>
      <c r="F70" s="115">
        <f>'WA Volumes &amp; Revenues'!E76</f>
        <v>1445175</v>
      </c>
      <c r="G70" s="115"/>
      <c r="H70" s="890"/>
      <c r="I70" s="891"/>
      <c r="J70" s="620">
        <f>'Rates in Detail'!E74</f>
        <v>0.11997999999999999</v>
      </c>
      <c r="K70" s="622">
        <f>'Rates in Detail'!H74</f>
        <v>0</v>
      </c>
      <c r="L70" s="622">
        <f>'Rates in Detail'!F74</f>
        <v>0</v>
      </c>
      <c r="M70" s="622">
        <f>'Rates in Detail'!I74</f>
        <v>5.1000000000000004E-4</v>
      </c>
      <c r="N70" s="136">
        <f t="shared" si="1"/>
        <v>0.12048999999999999</v>
      </c>
      <c r="O70" s="620">
        <f>'Rates in Detail'!L74</f>
        <v>7.8600000000000007E-3</v>
      </c>
      <c r="P70" s="622">
        <f>'Rates in Detail'!P74</f>
        <v>-1.33E-3</v>
      </c>
      <c r="Q70" s="622">
        <f>'Rates in Detail'!Q74</f>
        <v>0</v>
      </c>
      <c r="R70" s="250">
        <f t="shared" si="2"/>
        <v>6.5300000000000011E-3</v>
      </c>
      <c r="S70" s="620">
        <f>'Rates in Detail'!S74</f>
        <v>0</v>
      </c>
      <c r="T70" s="622">
        <f>'Rates in Detail'!T74</f>
        <v>-1.1999999999999999E-3</v>
      </c>
      <c r="U70" s="622">
        <f>'Rates in Detail'!U74</f>
        <v>4.2000000000000002E-4</v>
      </c>
      <c r="V70" s="256">
        <f t="shared" si="18"/>
        <v>5.7500000000000016E-3</v>
      </c>
      <c r="W70" s="612"/>
      <c r="X70" s="116">
        <f>'[25]Rates in detail'!AC66</f>
        <v>0.11997999999999999</v>
      </c>
      <c r="Y70" s="116"/>
      <c r="Z70" s="116">
        <f>'[25]Rates in detail'!AD66</f>
        <v>0</v>
      </c>
      <c r="AA70" s="116">
        <f>'[25]Rates in detail'!AE66</f>
        <v>0</v>
      </c>
      <c r="AB70" s="116">
        <f>'[25]Rates in detail'!AF66</f>
        <v>1.4300000000000001E-3</v>
      </c>
      <c r="AC70" s="344">
        <f t="shared" si="4"/>
        <v>0.12140999999999999</v>
      </c>
      <c r="AD70" s="1594"/>
      <c r="AE70" s="116">
        <f t="shared" si="5"/>
        <v>0.12650999999999998</v>
      </c>
      <c r="AF70" s="116"/>
      <c r="AG70" s="116">
        <f t="shared" si="6"/>
        <v>0</v>
      </c>
      <c r="AH70" s="116">
        <f t="shared" si="6"/>
        <v>0</v>
      </c>
      <c r="AI70" s="116">
        <f t="shared" si="7"/>
        <v>6.5000000000000019E-4</v>
      </c>
      <c r="AJ70" s="116">
        <f t="shared" si="8"/>
        <v>0.12716</v>
      </c>
      <c r="AK70" s="1595"/>
      <c r="AL70" s="116">
        <f>'Rates in Detail'!AC74</f>
        <v>2.98E-3</v>
      </c>
      <c r="AM70" s="116">
        <f>'Rates in Detail'!AD74</f>
        <v>-1.2E-4</v>
      </c>
      <c r="AN70" s="116">
        <f>'Rates in Detail'!AE74</f>
        <v>0</v>
      </c>
      <c r="AO70" s="116">
        <f>'Rates in Detail'!AF74</f>
        <v>-1.16E-3</v>
      </c>
      <c r="AP70" s="116">
        <f t="shared" si="9"/>
        <v>1.7000000000000001E-3</v>
      </c>
      <c r="AQ70" s="130"/>
      <c r="AR70" s="116">
        <f>'Proposed Rates - COMBINED'!AR70</f>
        <v>0.12650999999999998</v>
      </c>
      <c r="AS70" s="116">
        <f>'Proposed Rates - COMBINED'!AS70</f>
        <v>0</v>
      </c>
      <c r="AT70" s="116">
        <f>'Proposed Rates - COMBINED'!AT70</f>
        <v>0</v>
      </c>
      <c r="AU70" s="116">
        <f>'Proposed Rates - COMBINED'!AU70</f>
        <v>0</v>
      </c>
      <c r="AV70" s="116">
        <f>'Proposed Rates - COMBINED'!AV70</f>
        <v>4.4000000000000002E-4</v>
      </c>
      <c r="AW70" s="116">
        <f t="shared" si="10"/>
        <v>0.12694999999999998</v>
      </c>
      <c r="AY70" s="116">
        <f t="shared" si="11"/>
        <v>0.12948999999999999</v>
      </c>
      <c r="AZ70" s="116">
        <f t="shared" si="12"/>
        <v>0</v>
      </c>
      <c r="BA70" s="116">
        <f t="shared" si="13"/>
        <v>0</v>
      </c>
      <c r="BB70" s="116">
        <f t="shared" si="14"/>
        <v>0</v>
      </c>
      <c r="BC70" s="116">
        <f t="shared" si="15"/>
        <v>-8.4000000000000003E-4</v>
      </c>
      <c r="BD70" s="116">
        <f t="shared" si="16"/>
        <v>0.12864999999999999</v>
      </c>
      <c r="BE70" s="1654"/>
    </row>
    <row r="71" spans="2:57" x14ac:dyDescent="0.3">
      <c r="B71" s="109">
        <f t="shared" si="17"/>
        <v>63</v>
      </c>
      <c r="C71" s="1287"/>
      <c r="D71" s="1287" t="s">
        <v>6</v>
      </c>
      <c r="E71" s="114">
        <v>20000</v>
      </c>
      <c r="F71" s="115">
        <f>'WA Volumes &amp; Revenues'!E77</f>
        <v>1034978</v>
      </c>
      <c r="G71" s="115"/>
      <c r="H71" s="890"/>
      <c r="I71" s="891"/>
      <c r="J71" s="620">
        <f>'Rates in Detail'!E75</f>
        <v>9.1999999999999998E-2</v>
      </c>
      <c r="K71" s="622">
        <f>'Rates in Detail'!H75</f>
        <v>0</v>
      </c>
      <c r="L71" s="622">
        <f>'Rates in Detail'!F75</f>
        <v>0</v>
      </c>
      <c r="M71" s="622">
        <f>'Rates in Detail'!I75</f>
        <v>3.7999999999999997E-4</v>
      </c>
      <c r="N71" s="136">
        <f t="shared" si="1"/>
        <v>9.2380000000000004E-2</v>
      </c>
      <c r="O71" s="620">
        <f>'Rates in Detail'!L75</f>
        <v>6.0299999999999998E-3</v>
      </c>
      <c r="P71" s="622">
        <f>'Rates in Detail'!P75</f>
        <v>-1.0200000000000001E-3</v>
      </c>
      <c r="Q71" s="622">
        <f>'Rates in Detail'!Q75</f>
        <v>0</v>
      </c>
      <c r="R71" s="250">
        <f t="shared" si="2"/>
        <v>5.0099999999999997E-3</v>
      </c>
      <c r="S71" s="620">
        <f>'Rates in Detail'!S75</f>
        <v>0</v>
      </c>
      <c r="T71" s="622">
        <f>'Rates in Detail'!T75</f>
        <v>-9.2000000000000003E-4</v>
      </c>
      <c r="U71" s="622">
        <f>'Rates in Detail'!U75</f>
        <v>3.2000000000000003E-4</v>
      </c>
      <c r="V71" s="256">
        <f t="shared" si="18"/>
        <v>4.4099999999999999E-3</v>
      </c>
      <c r="W71" s="612"/>
      <c r="X71" s="116">
        <f>'[25]Rates in detail'!AC67</f>
        <v>9.1999999999999998E-2</v>
      </c>
      <c r="Y71" s="116"/>
      <c r="Z71" s="116">
        <f>'[25]Rates in detail'!AD67</f>
        <v>0</v>
      </c>
      <c r="AA71" s="116">
        <f>'[25]Rates in detail'!AE67</f>
        <v>0</v>
      </c>
      <c r="AB71" s="116">
        <f>'[25]Rates in detail'!AF67</f>
        <v>1.1000000000000001E-3</v>
      </c>
      <c r="AC71" s="344">
        <f t="shared" si="4"/>
        <v>9.3100000000000002E-2</v>
      </c>
      <c r="AD71" s="1594"/>
      <c r="AE71" s="116">
        <f t="shared" si="5"/>
        <v>9.7009999999999985E-2</v>
      </c>
      <c r="AF71" s="116"/>
      <c r="AG71" s="116">
        <f t="shared" si="6"/>
        <v>0</v>
      </c>
      <c r="AH71" s="116">
        <f t="shared" si="6"/>
        <v>0</v>
      </c>
      <c r="AI71" s="116">
        <f t="shared" si="7"/>
        <v>5.0000000000000001E-4</v>
      </c>
      <c r="AJ71" s="116">
        <f t="shared" si="8"/>
        <v>9.7509999999999986E-2</v>
      </c>
      <c r="AK71" s="1595"/>
      <c r="AL71" s="116">
        <f>'Rates in Detail'!AC75</f>
        <v>2.2799999999999999E-3</v>
      </c>
      <c r="AM71" s="116">
        <f>'Rates in Detail'!AD75</f>
        <v>-9.0000000000000006E-5</v>
      </c>
      <c r="AN71" s="116">
        <f>'Rates in Detail'!AE75</f>
        <v>0</v>
      </c>
      <c r="AO71" s="116">
        <f>'Rates in Detail'!AF75</f>
        <v>-8.8999999999999995E-4</v>
      </c>
      <c r="AP71" s="116">
        <f t="shared" si="9"/>
        <v>1.3000000000000002E-3</v>
      </c>
      <c r="AQ71" s="130"/>
      <c r="AR71" s="116">
        <f>'Proposed Rates - COMBINED'!AR71</f>
        <v>9.7009999999999985E-2</v>
      </c>
      <c r="AS71" s="116">
        <f>'Proposed Rates - COMBINED'!AS71</f>
        <v>0</v>
      </c>
      <c r="AT71" s="116">
        <f>'Proposed Rates - COMBINED'!AT71</f>
        <v>0</v>
      </c>
      <c r="AU71" s="116">
        <f>'Proposed Rates - COMBINED'!AU71</f>
        <v>0</v>
      </c>
      <c r="AV71" s="116">
        <f>'Proposed Rates - COMBINED'!AV71</f>
        <v>3.4000000000000002E-4</v>
      </c>
      <c r="AW71" s="116">
        <f t="shared" si="10"/>
        <v>9.7349999999999992E-2</v>
      </c>
      <c r="AY71" s="116">
        <f t="shared" si="11"/>
        <v>9.9289999999999989E-2</v>
      </c>
      <c r="AZ71" s="116">
        <f t="shared" si="12"/>
        <v>0</v>
      </c>
      <c r="BA71" s="116">
        <f t="shared" si="13"/>
        <v>0</v>
      </c>
      <c r="BB71" s="116">
        <f t="shared" si="14"/>
        <v>0</v>
      </c>
      <c r="BC71" s="116">
        <f t="shared" si="15"/>
        <v>-6.3999999999999994E-4</v>
      </c>
      <c r="BD71" s="116">
        <f t="shared" si="16"/>
        <v>9.8649999999999988E-2</v>
      </c>
      <c r="BE71" s="1654"/>
    </row>
    <row r="72" spans="2:57" x14ac:dyDescent="0.3">
      <c r="B72" s="109">
        <f t="shared" si="17"/>
        <v>64</v>
      </c>
      <c r="C72" s="1287"/>
      <c r="D72" s="1287" t="s">
        <v>7</v>
      </c>
      <c r="E72" s="114">
        <v>100000</v>
      </c>
      <c r="F72" s="115">
        <f>'WA Volumes &amp; Revenues'!E78</f>
        <v>3359916</v>
      </c>
      <c r="G72" s="115"/>
      <c r="H72" s="890"/>
      <c r="I72" s="891"/>
      <c r="J72" s="620">
        <f>'Rates in Detail'!E76</f>
        <v>7.3609999999999995E-2</v>
      </c>
      <c r="K72" s="622">
        <f>'Rates in Detail'!H76</f>
        <v>0</v>
      </c>
      <c r="L72" s="622">
        <f>'Rates in Detail'!F76</f>
        <v>0</v>
      </c>
      <c r="M72" s="622">
        <f>'Rates in Detail'!I76</f>
        <v>3.0999999999999995E-4</v>
      </c>
      <c r="N72" s="136">
        <f t="shared" si="1"/>
        <v>7.392E-2</v>
      </c>
      <c r="O72" s="620">
        <f>'Rates in Detail'!L76</f>
        <v>4.8300000000000001E-3</v>
      </c>
      <c r="P72" s="622">
        <f>'Rates in Detail'!P76</f>
        <v>-8.1999999999999998E-4</v>
      </c>
      <c r="Q72" s="622">
        <f>'Rates in Detail'!Q76</f>
        <v>0</v>
      </c>
      <c r="R72" s="250">
        <f t="shared" si="2"/>
        <v>4.0099999999999997E-3</v>
      </c>
      <c r="S72" s="620">
        <f>'Rates in Detail'!S76</f>
        <v>0</v>
      </c>
      <c r="T72" s="622">
        <f>'Rates in Detail'!T76</f>
        <v>-7.3999999999999999E-4</v>
      </c>
      <c r="U72" s="622">
        <f>'Rates in Detail'!U76</f>
        <v>2.5999999999999998E-4</v>
      </c>
      <c r="V72" s="256">
        <f t="shared" si="18"/>
        <v>3.5299999999999993E-3</v>
      </c>
      <c r="W72" s="612"/>
      <c r="X72" s="116">
        <f>'[25]Rates in detail'!AC68</f>
        <v>7.3609999999999995E-2</v>
      </c>
      <c r="Y72" s="116"/>
      <c r="Z72" s="116">
        <f>'[25]Rates in detail'!AD68</f>
        <v>0</v>
      </c>
      <c r="AA72" s="116">
        <f>'[25]Rates in detail'!AE68</f>
        <v>0</v>
      </c>
      <c r="AB72" s="116">
        <f>'[25]Rates in detail'!AF68</f>
        <v>8.8000000000000003E-4</v>
      </c>
      <c r="AC72" s="344">
        <f t="shared" si="4"/>
        <v>7.4490000000000001E-2</v>
      </c>
      <c r="AD72" s="1594"/>
      <c r="AE72" s="116">
        <f t="shared" si="5"/>
        <v>7.7619999999999995E-2</v>
      </c>
      <c r="AF72" s="116"/>
      <c r="AG72" s="116">
        <f t="shared" si="6"/>
        <v>0</v>
      </c>
      <c r="AH72" s="116">
        <f t="shared" si="6"/>
        <v>0</v>
      </c>
      <c r="AI72" s="116">
        <f t="shared" si="7"/>
        <v>4.0000000000000002E-4</v>
      </c>
      <c r="AJ72" s="116">
        <f t="shared" si="8"/>
        <v>7.8019999999999992E-2</v>
      </c>
      <c r="AK72" s="1595"/>
      <c r="AL72" s="116">
        <f>'Rates in Detail'!AC76</f>
        <v>1.83E-3</v>
      </c>
      <c r="AM72" s="116">
        <f>'Rates in Detail'!AD76</f>
        <v>-6.9999999999999994E-5</v>
      </c>
      <c r="AN72" s="116">
        <f>'Rates in Detail'!AE76</f>
        <v>0</v>
      </c>
      <c r="AO72" s="116">
        <f>'Rates in Detail'!AF76</f>
        <v>-7.1000000000000002E-4</v>
      </c>
      <c r="AP72" s="116">
        <f t="shared" si="9"/>
        <v>1.0500000000000002E-3</v>
      </c>
      <c r="AQ72" s="130"/>
      <c r="AR72" s="116">
        <f>'Proposed Rates - COMBINED'!AR72</f>
        <v>7.7619999999999995E-2</v>
      </c>
      <c r="AS72" s="116">
        <f>'Proposed Rates - COMBINED'!AS72</f>
        <v>0</v>
      </c>
      <c r="AT72" s="116">
        <f>'Proposed Rates - COMBINED'!AT72</f>
        <v>0</v>
      </c>
      <c r="AU72" s="116">
        <f>'Proposed Rates - COMBINED'!AU72</f>
        <v>0</v>
      </c>
      <c r="AV72" s="116">
        <f>'Proposed Rates - COMBINED'!AV72</f>
        <v>2.7E-4</v>
      </c>
      <c r="AW72" s="116">
        <f t="shared" si="10"/>
        <v>7.7890000000000001E-2</v>
      </c>
      <c r="AY72" s="116">
        <f t="shared" si="11"/>
        <v>7.9449999999999993E-2</v>
      </c>
      <c r="AZ72" s="116">
        <f t="shared" si="12"/>
        <v>0</v>
      </c>
      <c r="BA72" s="116">
        <f t="shared" si="13"/>
        <v>0</v>
      </c>
      <c r="BB72" s="116">
        <f t="shared" si="14"/>
        <v>0</v>
      </c>
      <c r="BC72" s="116">
        <f t="shared" si="15"/>
        <v>-5.1000000000000004E-4</v>
      </c>
      <c r="BD72" s="116">
        <f t="shared" si="16"/>
        <v>7.8939999999999996E-2</v>
      </c>
      <c r="BE72" s="1654"/>
    </row>
    <row r="73" spans="2:57" x14ac:dyDescent="0.3">
      <c r="B73" s="109">
        <f t="shared" si="17"/>
        <v>65</v>
      </c>
      <c r="C73" s="1287"/>
      <c r="D73" s="1287" t="s">
        <v>8</v>
      </c>
      <c r="E73" s="114">
        <v>600000</v>
      </c>
      <c r="F73" s="115">
        <f>'WA Volumes &amp; Revenues'!E79</f>
        <v>1349120</v>
      </c>
      <c r="G73" s="115"/>
      <c r="H73" s="890"/>
      <c r="I73" s="891"/>
      <c r="J73" s="620">
        <f>'Rates in Detail'!E77</f>
        <v>4.9079999999999999E-2</v>
      </c>
      <c r="K73" s="622">
        <f>'Rates in Detail'!H77</f>
        <v>0</v>
      </c>
      <c r="L73" s="622">
        <f>'Rates in Detail'!F77</f>
        <v>0</v>
      </c>
      <c r="M73" s="622">
        <f>'Rates in Detail'!I77</f>
        <v>2.0999999999999998E-4</v>
      </c>
      <c r="N73" s="136">
        <f t="shared" si="1"/>
        <v>4.929E-2</v>
      </c>
      <c r="O73" s="620">
        <f>'Rates in Detail'!L77</f>
        <v>3.2200000000000002E-3</v>
      </c>
      <c r="P73" s="622">
        <f>'Rates in Detail'!P77</f>
        <v>-5.5000000000000003E-4</v>
      </c>
      <c r="Q73" s="622">
        <f>'Rates in Detail'!Q77</f>
        <v>0</v>
      </c>
      <c r="R73" s="250">
        <f t="shared" si="2"/>
        <v>2.6700000000000001E-3</v>
      </c>
      <c r="S73" s="620">
        <f>'Rates in Detail'!S77</f>
        <v>0</v>
      </c>
      <c r="T73" s="622">
        <f>'Rates in Detail'!T77</f>
        <v>-4.8999999999999998E-4</v>
      </c>
      <c r="U73" s="622">
        <f>'Rates in Detail'!U77</f>
        <v>1.7000000000000001E-4</v>
      </c>
      <c r="V73" s="256">
        <f t="shared" ref="V73:V77" si="19">SUM(R73:U73)</f>
        <v>2.3500000000000001E-3</v>
      </c>
      <c r="W73" s="612"/>
      <c r="X73" s="116">
        <f>'[25]Rates in detail'!AC69</f>
        <v>4.9079999999999999E-2</v>
      </c>
      <c r="Y73" s="116"/>
      <c r="Z73" s="116">
        <f>'[25]Rates in detail'!AD69</f>
        <v>0</v>
      </c>
      <c r="AA73" s="116">
        <f>'[25]Rates in detail'!AE69</f>
        <v>0</v>
      </c>
      <c r="AB73" s="116">
        <f>'[25]Rates in detail'!AF69</f>
        <v>5.9000000000000003E-4</v>
      </c>
      <c r="AC73" s="344">
        <f t="shared" si="4"/>
        <v>4.9669999999999999E-2</v>
      </c>
      <c r="AD73" s="1594"/>
      <c r="AE73" s="116">
        <f t="shared" si="5"/>
        <v>5.1749999999999997E-2</v>
      </c>
      <c r="AF73" s="116"/>
      <c r="AG73" s="116">
        <f t="shared" si="6"/>
        <v>0</v>
      </c>
      <c r="AH73" s="116">
        <f t="shared" si="6"/>
        <v>0</v>
      </c>
      <c r="AI73" s="116">
        <f t="shared" si="7"/>
        <v>2.7000000000000006E-4</v>
      </c>
      <c r="AJ73" s="116">
        <f t="shared" si="8"/>
        <v>5.2019999999999997E-2</v>
      </c>
      <c r="AK73" s="1595"/>
      <c r="AL73" s="116">
        <f>'Rates in Detail'!AC77</f>
        <v>1.2199999999999999E-3</v>
      </c>
      <c r="AM73" s="116">
        <f>'Rates in Detail'!AD77</f>
        <v>-5.0000000000000002E-5</v>
      </c>
      <c r="AN73" s="116">
        <f>'Rates in Detail'!AE77</f>
        <v>0</v>
      </c>
      <c r="AO73" s="116">
        <f>'Rates in Detail'!AF77</f>
        <v>-4.6999999999999999E-4</v>
      </c>
      <c r="AP73" s="116">
        <f t="shared" si="9"/>
        <v>7.000000000000001E-4</v>
      </c>
      <c r="AQ73" s="130"/>
      <c r="AR73" s="116">
        <f>'Proposed Rates - COMBINED'!AR73</f>
        <v>5.1749999999999997E-2</v>
      </c>
      <c r="AS73" s="116">
        <f>'Proposed Rates - COMBINED'!AS73</f>
        <v>0</v>
      </c>
      <c r="AT73" s="116">
        <f>'Proposed Rates - COMBINED'!AT73</f>
        <v>0</v>
      </c>
      <c r="AU73" s="116">
        <f>'Proposed Rates - COMBINED'!AU73</f>
        <v>0</v>
      </c>
      <c r="AV73" s="116">
        <f>'Proposed Rates - COMBINED'!AV73</f>
        <v>1.8000000000000001E-4</v>
      </c>
      <c r="AW73" s="116">
        <f t="shared" si="10"/>
        <v>5.1929999999999997E-2</v>
      </c>
      <c r="AY73" s="116">
        <f t="shared" si="11"/>
        <v>5.2969999999999996E-2</v>
      </c>
      <c r="AZ73" s="116">
        <f t="shared" si="12"/>
        <v>0</v>
      </c>
      <c r="BA73" s="116">
        <f t="shared" si="13"/>
        <v>0</v>
      </c>
      <c r="BB73" s="116">
        <f t="shared" si="14"/>
        <v>0</v>
      </c>
      <c r="BC73" s="116">
        <f t="shared" si="15"/>
        <v>-3.3999999999999992E-4</v>
      </c>
      <c r="BD73" s="116">
        <f t="shared" si="16"/>
        <v>5.2629999999999996E-2</v>
      </c>
      <c r="BE73" s="1654"/>
    </row>
    <row r="74" spans="2:57" x14ac:dyDescent="0.3">
      <c r="B74" s="109">
        <f t="shared" si="17"/>
        <v>66</v>
      </c>
      <c r="C74" s="110"/>
      <c r="D74" s="110" t="s">
        <v>9</v>
      </c>
      <c r="E74" s="111" t="s">
        <v>72</v>
      </c>
      <c r="F74" s="112">
        <f>'WA Volumes &amp; Revenues'!E80</f>
        <v>0</v>
      </c>
      <c r="G74" s="112"/>
      <c r="H74" s="885"/>
      <c r="I74" s="887"/>
      <c r="J74" s="620">
        <f>'Rates in Detail'!E78</f>
        <v>1.839E-2</v>
      </c>
      <c r="K74" s="622">
        <f>'Rates in Detail'!H78</f>
        <v>0</v>
      </c>
      <c r="L74" s="622">
        <f>'Rates in Detail'!F78</f>
        <v>0</v>
      </c>
      <c r="M74" s="622">
        <f>'Rates in Detail'!I78</f>
        <v>6.9999999999999994E-5</v>
      </c>
      <c r="N74" s="621">
        <f t="shared" ref="N74:N77" si="20">SUM(J74:M74)</f>
        <v>1.8460000000000001E-2</v>
      </c>
      <c r="O74" s="620">
        <f>'Rates in Detail'!L78</f>
        <v>1.2099999999999999E-3</v>
      </c>
      <c r="P74" s="622">
        <f>'Rates in Detail'!P78</f>
        <v>-2.0000000000000001E-4</v>
      </c>
      <c r="Q74" s="622">
        <f>'Rates in Detail'!Q78</f>
        <v>0</v>
      </c>
      <c r="R74" s="250">
        <f t="shared" ref="R74:R77" si="21">SUM(O74:Q74)</f>
        <v>1.0099999999999998E-3</v>
      </c>
      <c r="S74" s="620">
        <f>'Rates in Detail'!S78</f>
        <v>0</v>
      </c>
      <c r="T74" s="622">
        <f>'Rates in Detail'!T78</f>
        <v>-1.8000000000000001E-4</v>
      </c>
      <c r="U74" s="622">
        <f>'Rates in Detail'!U78</f>
        <v>6.0000000000000002E-5</v>
      </c>
      <c r="V74" s="256">
        <f t="shared" si="19"/>
        <v>8.8999999999999984E-4</v>
      </c>
      <c r="W74" s="612"/>
      <c r="X74" s="116">
        <f>'[25]Rates in detail'!AC70</f>
        <v>1.839E-2</v>
      </c>
      <c r="Y74" s="116"/>
      <c r="Z74" s="116">
        <f>'[25]Rates in detail'!AD70</f>
        <v>0</v>
      </c>
      <c r="AA74" s="116">
        <f>'[25]Rates in detail'!AE70</f>
        <v>0</v>
      </c>
      <c r="AB74" s="116">
        <f>'[25]Rates in detail'!AF70</f>
        <v>2.2000000000000001E-4</v>
      </c>
      <c r="AC74" s="344">
        <f t="shared" ref="AC74:AC77" si="22">SUM(X74:AB74)</f>
        <v>1.8610000000000002E-2</v>
      </c>
      <c r="AD74" s="1594"/>
      <c r="AE74" s="113">
        <f t="shared" ref="AE74:AE77" si="23">X74+O74+P74+Q74</f>
        <v>1.9400000000000001E-2</v>
      </c>
      <c r="AF74" s="113"/>
      <c r="AG74" s="113">
        <f t="shared" ref="AG74:AH77" si="24">Z74</f>
        <v>0</v>
      </c>
      <c r="AH74" s="113">
        <f t="shared" si="24"/>
        <v>0</v>
      </c>
      <c r="AI74" s="113">
        <f t="shared" ref="AI74:AI77" si="25">AB74+S74+T74+U74</f>
        <v>9.9999999999999991E-5</v>
      </c>
      <c r="AJ74" s="113">
        <f t="shared" ref="AJ74:AJ77" si="26">SUM(AE74:AI74)</f>
        <v>1.95E-2</v>
      </c>
      <c r="AK74" s="1595"/>
      <c r="AL74" s="116">
        <f>'Rates in Detail'!AC78</f>
        <v>4.6000000000000001E-4</v>
      </c>
      <c r="AM74" s="116">
        <f>'Rates in Detail'!AD78</f>
        <v>-2.0000000000000002E-5</v>
      </c>
      <c r="AN74" s="116">
        <f>'Rates in Detail'!AE78</f>
        <v>0</v>
      </c>
      <c r="AO74" s="116">
        <f>'Rates in Detail'!AF78</f>
        <v>-1.8000000000000001E-4</v>
      </c>
      <c r="AP74" s="116">
        <f t="shared" ref="AP74:AP77" si="27">SUM(AL74:AO74)</f>
        <v>2.6000000000000003E-4</v>
      </c>
      <c r="AQ74" s="130"/>
      <c r="AR74" s="116">
        <f>'Proposed Rates - COMBINED'!AR74</f>
        <v>1.9400000000000001E-2</v>
      </c>
      <c r="AS74" s="116">
        <f>'Proposed Rates - COMBINED'!AS74</f>
        <v>0</v>
      </c>
      <c r="AT74" s="116">
        <f>'Proposed Rates - COMBINED'!AT74</f>
        <v>0</v>
      </c>
      <c r="AU74" s="116">
        <f>'Proposed Rates - COMBINED'!AU74</f>
        <v>0</v>
      </c>
      <c r="AV74" s="116">
        <f>'Proposed Rates - COMBINED'!AV74</f>
        <v>6.9999999999999994E-5</v>
      </c>
      <c r="AW74" s="116">
        <f t="shared" ref="AW74:AW77" si="28">SUM(AR74:AV74)</f>
        <v>1.9470000000000001E-2</v>
      </c>
      <c r="AY74" s="116">
        <f t="shared" ref="AY74:AY76" si="29">AL74+AR74</f>
        <v>1.9859999999999999E-2</v>
      </c>
      <c r="AZ74" s="116">
        <f t="shared" ref="AZ74:AZ76" si="30">AF74+AS74</f>
        <v>0</v>
      </c>
      <c r="BA74" s="116">
        <f t="shared" ref="BA74:BA76" si="31">AT74</f>
        <v>0</v>
      </c>
      <c r="BB74" s="116">
        <f t="shared" ref="BB74:BB76" si="32">AU74</f>
        <v>0</v>
      </c>
      <c r="BC74" s="116">
        <f t="shared" ref="BC74:BC76" si="33">SUM(AM74:AO74)+AV74</f>
        <v>-1.3000000000000002E-4</v>
      </c>
      <c r="BD74" s="116">
        <f t="shared" ref="BD74:BD77" si="34">SUM(AY74:BC74)</f>
        <v>1.9729999999999998E-2</v>
      </c>
      <c r="BE74" s="1654"/>
    </row>
    <row r="75" spans="2:57" x14ac:dyDescent="0.3">
      <c r="B75" s="109">
        <f t="shared" ref="B75:B79" si="35">B74+1</f>
        <v>67</v>
      </c>
      <c r="C75" s="1286" t="str">
        <f>'WA Volumes &amp; Revenues'!B81</f>
        <v>43 Firm Transpt</v>
      </c>
      <c r="D75" s="110" t="s">
        <v>270</v>
      </c>
      <c r="E75" s="110" t="s">
        <v>270</v>
      </c>
      <c r="F75" s="112">
        <f>'WA Volumes &amp; Revenues'!E81</f>
        <v>0</v>
      </c>
      <c r="G75" s="112">
        <f>'WA Volumes &amp; Revenues'!H81</f>
        <v>0</v>
      </c>
      <c r="H75" s="885">
        <f>'WA Volumes &amp; Revenues'!O81</f>
        <v>38000</v>
      </c>
      <c r="I75" s="887">
        <f>'WA Volumes &amp; Revenues'!N81</f>
        <v>38000</v>
      </c>
      <c r="J75" s="617">
        <f>'Rates in Detail'!E79</f>
        <v>4.9099999999999994E-3</v>
      </c>
      <c r="K75" s="618">
        <f>'Rates in Detail'!H79</f>
        <v>0</v>
      </c>
      <c r="L75" s="618">
        <f>'Rates in Detail'!F79</f>
        <v>0</v>
      </c>
      <c r="M75" s="618">
        <f>'Rates in Detail'!I79</f>
        <v>1.0000000000000001E-5</v>
      </c>
      <c r="N75" s="134">
        <f t="shared" si="20"/>
        <v>4.919999999999999E-3</v>
      </c>
      <c r="O75" s="617">
        <f>'Rates in Detail'!L79</f>
        <v>0</v>
      </c>
      <c r="P75" s="618">
        <f>'Rates in Detail'!P79</f>
        <v>0</v>
      </c>
      <c r="Q75" s="618">
        <f>'Rates in Detail'!Q79</f>
        <v>0</v>
      </c>
      <c r="R75" s="892">
        <f t="shared" si="21"/>
        <v>0</v>
      </c>
      <c r="S75" s="617">
        <f>'Rates in Detail'!S79</f>
        <v>0</v>
      </c>
      <c r="T75" s="618">
        <f>'Rates in Detail'!T79</f>
        <v>-4.0000000000000003E-5</v>
      </c>
      <c r="U75" s="618">
        <f>'Rates in Detail'!U79</f>
        <v>2.0000000000000002E-5</v>
      </c>
      <c r="V75" s="893">
        <f t="shared" si="19"/>
        <v>-2.0000000000000002E-5</v>
      </c>
      <c r="W75" s="612"/>
      <c r="X75" s="118">
        <f>'[25]Rates in detail'!$AC$71</f>
        <v>4.9099999999999994E-3</v>
      </c>
      <c r="Y75" s="118"/>
      <c r="Z75" s="118">
        <f>'[25]Rates in detail'!AD71</f>
        <v>0</v>
      </c>
      <c r="AA75" s="118">
        <f>'[25]Rates in detail'!AE71</f>
        <v>0</v>
      </c>
      <c r="AB75" s="118">
        <f>'[25]Rates in detail'!AF71</f>
        <v>6.0000000000000002E-5</v>
      </c>
      <c r="AC75" s="345">
        <f>SUM(X75:AB75)</f>
        <v>4.9699999999999996E-3</v>
      </c>
      <c r="AD75" s="1594"/>
      <c r="AE75" s="113">
        <f>X75</f>
        <v>4.9099999999999994E-3</v>
      </c>
      <c r="AF75" s="113"/>
      <c r="AG75" s="113">
        <f t="shared" si="24"/>
        <v>0</v>
      </c>
      <c r="AH75" s="113">
        <f t="shared" si="24"/>
        <v>0</v>
      </c>
      <c r="AI75" s="113">
        <f>AB75+S75+T75+U75</f>
        <v>3.9999999999999996E-5</v>
      </c>
      <c r="AJ75" s="113">
        <f>SUM(AE75:AI75)</f>
        <v>4.9499999999999995E-3</v>
      </c>
      <c r="AK75" s="1595"/>
      <c r="AL75" s="118">
        <f>'Rates in Detail'!AC79</f>
        <v>0</v>
      </c>
      <c r="AM75" s="118">
        <f>'Rates in Detail'!AD79</f>
        <v>0</v>
      </c>
      <c r="AN75" s="118">
        <f>'Rates in Detail'!AE79</f>
        <v>0</v>
      </c>
      <c r="AO75" s="118">
        <f>'Rates in Detail'!AF79</f>
        <v>-4.0000000000000003E-5</v>
      </c>
      <c r="AP75" s="118">
        <f t="shared" si="27"/>
        <v>-4.0000000000000003E-5</v>
      </c>
      <c r="AQ75" s="130"/>
      <c r="AR75" s="118">
        <f>'Proposed Rates - COMBINED'!AR75</f>
        <v>4.9099999999999994E-3</v>
      </c>
      <c r="AS75" s="118">
        <f>'Proposed Rates - COMBINED'!AS75</f>
        <v>0</v>
      </c>
      <c r="AT75" s="118">
        <f>'Proposed Rates - COMBINED'!AT75</f>
        <v>0</v>
      </c>
      <c r="AU75" s="118">
        <f>'Proposed Rates - COMBINED'!AU75</f>
        <v>0</v>
      </c>
      <c r="AV75" s="118">
        <f>'Proposed Rates - COMBINED'!AV75</f>
        <v>9.1E-4</v>
      </c>
      <c r="AW75" s="118">
        <f t="shared" si="28"/>
        <v>5.8199999999999997E-3</v>
      </c>
      <c r="AY75" s="118">
        <f t="shared" si="29"/>
        <v>4.9099999999999994E-3</v>
      </c>
      <c r="AZ75" s="118">
        <f t="shared" si="30"/>
        <v>0</v>
      </c>
      <c r="BA75" s="118">
        <f t="shared" si="31"/>
        <v>0</v>
      </c>
      <c r="BB75" s="118">
        <f t="shared" si="32"/>
        <v>0</v>
      </c>
      <c r="BC75" s="118">
        <f t="shared" si="33"/>
        <v>8.7000000000000001E-4</v>
      </c>
      <c r="BD75" s="118">
        <f t="shared" si="34"/>
        <v>5.7799999999999995E-3</v>
      </c>
      <c r="BE75" s="1654"/>
    </row>
    <row r="76" spans="2:57" x14ac:dyDescent="0.3">
      <c r="B76" s="109">
        <f t="shared" si="35"/>
        <v>68</v>
      </c>
      <c r="C76" s="1286" t="str">
        <f>'WA Volumes &amp; Revenues'!B82</f>
        <v>43 Interr Transpt</v>
      </c>
      <c r="D76" s="110" t="s">
        <v>270</v>
      </c>
      <c r="E76" s="110" t="s">
        <v>270</v>
      </c>
      <c r="F76" s="112">
        <f>'WA Volumes &amp; Revenues'!E82</f>
        <v>0</v>
      </c>
      <c r="G76" s="112">
        <f>'WA Volumes &amp; Revenues'!H82</f>
        <v>0</v>
      </c>
      <c r="H76" s="885">
        <f>'WA Volumes &amp; Revenues'!O82</f>
        <v>38000</v>
      </c>
      <c r="I76" s="887">
        <f>'WA Volumes &amp; Revenues'!N82</f>
        <v>38000</v>
      </c>
      <c r="J76" s="617">
        <f>'Rates in Detail'!E80</f>
        <v>4.9099999999999994E-3</v>
      </c>
      <c r="K76" s="618">
        <f>'Rates in Detail'!H80</f>
        <v>0</v>
      </c>
      <c r="L76" s="618">
        <f>'Rates in Detail'!F80</f>
        <v>0</v>
      </c>
      <c r="M76" s="618">
        <f>'Rates in Detail'!I80</f>
        <v>1.0000000000000001E-5</v>
      </c>
      <c r="N76" s="134">
        <f t="shared" si="20"/>
        <v>4.919999999999999E-3</v>
      </c>
      <c r="O76" s="617">
        <f>'Rates in Detail'!L80</f>
        <v>0</v>
      </c>
      <c r="P76" s="618">
        <f>'Rates in Detail'!P80</f>
        <v>0</v>
      </c>
      <c r="Q76" s="618">
        <f>'Rates in Detail'!Q80</f>
        <v>0</v>
      </c>
      <c r="R76" s="892">
        <f t="shared" si="21"/>
        <v>0</v>
      </c>
      <c r="S76" s="617">
        <f>'Rates in Detail'!S80</f>
        <v>0</v>
      </c>
      <c r="T76" s="618">
        <f>'Rates in Detail'!T80</f>
        <v>-4.0000000000000003E-5</v>
      </c>
      <c r="U76" s="618">
        <f>'Rates in Detail'!U80</f>
        <v>2.0000000000000002E-5</v>
      </c>
      <c r="V76" s="893">
        <f t="shared" si="19"/>
        <v>-2.0000000000000002E-5</v>
      </c>
      <c r="W76" s="612"/>
      <c r="X76" s="118">
        <f>'[25]Rates in detail'!$AC$72</f>
        <v>4.9099999999999994E-3</v>
      </c>
      <c r="Y76" s="118"/>
      <c r="Z76" s="118">
        <f>'[25]Rates in detail'!AD72</f>
        <v>0</v>
      </c>
      <c r="AA76" s="118">
        <f>'[25]Rates in detail'!AE72</f>
        <v>0</v>
      </c>
      <c r="AB76" s="118">
        <f>'[25]Rates in detail'!AF72</f>
        <v>6.0000000000000002E-5</v>
      </c>
      <c r="AC76" s="345">
        <f t="shared" si="22"/>
        <v>4.9699999999999996E-3</v>
      </c>
      <c r="AD76" s="1594"/>
      <c r="AE76" s="113">
        <f>X76</f>
        <v>4.9099999999999994E-3</v>
      </c>
      <c r="AF76" s="113"/>
      <c r="AG76" s="113">
        <f t="shared" si="24"/>
        <v>0</v>
      </c>
      <c r="AH76" s="113">
        <f t="shared" si="24"/>
        <v>0</v>
      </c>
      <c r="AI76" s="113">
        <f t="shared" si="25"/>
        <v>3.9999999999999996E-5</v>
      </c>
      <c r="AJ76" s="113">
        <f t="shared" si="26"/>
        <v>4.9499999999999995E-3</v>
      </c>
      <c r="AK76" s="1595"/>
      <c r="AL76" s="118">
        <f>'Rates in Detail'!AC80</f>
        <v>0</v>
      </c>
      <c r="AM76" s="118">
        <f>'Rates in Detail'!AD80</f>
        <v>0</v>
      </c>
      <c r="AN76" s="118">
        <f>'Rates in Detail'!AE80</f>
        <v>0</v>
      </c>
      <c r="AO76" s="118">
        <f>'Rates in Detail'!AF80</f>
        <v>-4.0000000000000003E-5</v>
      </c>
      <c r="AP76" s="118">
        <f t="shared" si="27"/>
        <v>-4.0000000000000003E-5</v>
      </c>
      <c r="AQ76" s="130"/>
      <c r="AR76" s="118">
        <f>'Proposed Rates - COMBINED'!AR76</f>
        <v>4.9099999999999994E-3</v>
      </c>
      <c r="AS76" s="118">
        <f>'Proposed Rates - COMBINED'!AS76</f>
        <v>0</v>
      </c>
      <c r="AT76" s="118">
        <f>'Proposed Rates - COMBINED'!AT76</f>
        <v>0</v>
      </c>
      <c r="AU76" s="118">
        <f>'Proposed Rates - COMBINED'!AU76</f>
        <v>0</v>
      </c>
      <c r="AV76" s="118">
        <f>'Proposed Rates - COMBINED'!AV76</f>
        <v>3.4000000000000002E-4</v>
      </c>
      <c r="AW76" s="118">
        <f t="shared" si="28"/>
        <v>5.2499999999999995E-3</v>
      </c>
      <c r="AY76" s="118">
        <f t="shared" si="29"/>
        <v>4.9099999999999994E-3</v>
      </c>
      <c r="AZ76" s="118">
        <f t="shared" si="30"/>
        <v>0</v>
      </c>
      <c r="BA76" s="118">
        <f t="shared" si="31"/>
        <v>0</v>
      </c>
      <c r="BB76" s="118">
        <f t="shared" si="32"/>
        <v>0</v>
      </c>
      <c r="BC76" s="118">
        <f t="shared" si="33"/>
        <v>3.0000000000000003E-4</v>
      </c>
      <c r="BD76" s="118">
        <f t="shared" si="34"/>
        <v>5.2099999999999994E-3</v>
      </c>
      <c r="BE76" s="1654"/>
    </row>
    <row r="77" spans="2:57" ht="13.5" thickBot="1" x14ac:dyDescent="0.35">
      <c r="B77" s="109">
        <f t="shared" si="35"/>
        <v>69</v>
      </c>
      <c r="C77" s="1286" t="str">
        <f>'WA Volumes &amp; Revenues'!B83</f>
        <v>Special Contract</v>
      </c>
      <c r="D77" s="110" t="s">
        <v>270</v>
      </c>
      <c r="E77" s="110" t="s">
        <v>270</v>
      </c>
      <c r="F77" s="112">
        <f>'WA Volumes &amp; Revenues'!E83</f>
        <v>2895114</v>
      </c>
      <c r="G77" s="112">
        <f>'WA Volumes &amp; Revenues'!H83</f>
        <v>1</v>
      </c>
      <c r="H77" s="885">
        <f>'WA Volumes &amp; Revenues'!O83</f>
        <v>0</v>
      </c>
      <c r="I77" s="887">
        <f>'WA Volumes &amp; Revenues'!N83</f>
        <v>0</v>
      </c>
      <c r="J77" s="617">
        <f>'Rates in Detail'!E81</f>
        <v>0</v>
      </c>
      <c r="K77" s="618">
        <f>'Rates in Detail'!H81</f>
        <v>0</v>
      </c>
      <c r="L77" s="618">
        <f>'Rates in Detail'!F81</f>
        <v>0</v>
      </c>
      <c r="M77" s="618">
        <f>'Rates in Detail'!I81</f>
        <v>0</v>
      </c>
      <c r="N77" s="134">
        <f t="shared" si="20"/>
        <v>0</v>
      </c>
      <c r="O77" s="117">
        <f>'Rates in Detail'!L81</f>
        <v>0</v>
      </c>
      <c r="P77" s="618">
        <f>'Rates in Detail'!P81</f>
        <v>0</v>
      </c>
      <c r="Q77" s="618">
        <f>'Rates in Detail'!Q81</f>
        <v>0</v>
      </c>
      <c r="R77" s="251">
        <f t="shared" si="21"/>
        <v>0</v>
      </c>
      <c r="S77" s="117">
        <f>'Rates in Detail'!S81</f>
        <v>0</v>
      </c>
      <c r="T77" s="618">
        <f>'Rates in Detail'!T81</f>
        <v>0</v>
      </c>
      <c r="U77" s="618">
        <f>'Rates in Detail'!U81</f>
        <v>0</v>
      </c>
      <c r="V77" s="257">
        <f t="shared" si="19"/>
        <v>0</v>
      </c>
      <c r="W77" s="612"/>
      <c r="X77" s="118"/>
      <c r="Y77" s="118"/>
      <c r="Z77" s="118"/>
      <c r="AA77" s="118"/>
      <c r="AB77" s="118"/>
      <c r="AC77" s="345">
        <f t="shared" si="22"/>
        <v>0</v>
      </c>
      <c r="AD77" s="1594"/>
      <c r="AE77" s="113">
        <f t="shared" si="23"/>
        <v>0</v>
      </c>
      <c r="AF77" s="113"/>
      <c r="AG77" s="113">
        <f t="shared" si="24"/>
        <v>0</v>
      </c>
      <c r="AH77" s="113">
        <f t="shared" si="24"/>
        <v>0</v>
      </c>
      <c r="AI77" s="113">
        <f t="shared" si="25"/>
        <v>0</v>
      </c>
      <c r="AJ77" s="113">
        <f t="shared" si="26"/>
        <v>0</v>
      </c>
      <c r="AK77" s="1595"/>
      <c r="AL77" s="118">
        <f>'Rates in Detail'!AC81</f>
        <v>0</v>
      </c>
      <c r="AM77" s="118">
        <f>'Rates in Detail'!AD81</f>
        <v>0</v>
      </c>
      <c r="AN77" s="118">
        <f>'Rates in Detail'!AE81</f>
        <v>0</v>
      </c>
      <c r="AO77" s="118">
        <f>'Rates in Detail'!AF81</f>
        <v>0</v>
      </c>
      <c r="AP77" s="118">
        <f t="shared" si="27"/>
        <v>0</v>
      </c>
      <c r="AQ77" s="130"/>
      <c r="AR77" s="118">
        <f>'Proposed Rates - COMBINED'!AR77</f>
        <v>0</v>
      </c>
      <c r="AS77" s="118">
        <f>'Proposed Rates - COMBINED'!AS77</f>
        <v>0</v>
      </c>
      <c r="AT77" s="118">
        <f>'Proposed Rates - COMBINED'!AT77</f>
        <v>0</v>
      </c>
      <c r="AU77" s="118">
        <f>'Proposed Rates - COMBINED'!AU77</f>
        <v>0</v>
      </c>
      <c r="AV77" s="118">
        <f>'Proposed Rates - COMBINED'!AV77</f>
        <v>0</v>
      </c>
      <c r="AW77" s="118">
        <f t="shared" si="28"/>
        <v>0</v>
      </c>
      <c r="AY77" s="118">
        <f t="shared" ref="AY74:AY77" si="36">AE77+AL77+AR77</f>
        <v>0</v>
      </c>
      <c r="AZ77" s="118">
        <f t="shared" ref="AZ41:BB77" si="37">AF77+AS77</f>
        <v>0</v>
      </c>
      <c r="BA77" s="118">
        <f t="shared" si="37"/>
        <v>0</v>
      </c>
      <c r="BB77" s="118">
        <f t="shared" si="37"/>
        <v>0</v>
      </c>
      <c r="BC77" s="118">
        <f>M77+SUM(AM77:AO77)+AV77+'Rates in summary'!K82</f>
        <v>0</v>
      </c>
      <c r="BD77" s="118">
        <f t="shared" si="34"/>
        <v>0</v>
      </c>
      <c r="BE77" s="1654"/>
    </row>
    <row r="78" spans="2:57" x14ac:dyDescent="0.3">
      <c r="B78" s="109">
        <f t="shared" si="35"/>
        <v>70</v>
      </c>
      <c r="C78" s="1649"/>
      <c r="D78" s="1287"/>
      <c r="E78" s="1287"/>
      <c r="F78" s="115"/>
      <c r="G78" s="115"/>
      <c r="H78" s="1650"/>
      <c r="I78" s="1650"/>
      <c r="J78" s="622"/>
      <c r="K78" s="622"/>
      <c r="L78" s="622"/>
      <c r="M78" s="622"/>
      <c r="N78" s="136"/>
      <c r="O78" s="1307"/>
      <c r="P78" s="622"/>
      <c r="Q78" s="622"/>
      <c r="R78" s="1651"/>
      <c r="S78" s="1307"/>
      <c r="T78" s="622"/>
      <c r="U78" s="622"/>
      <c r="V78" s="1652"/>
      <c r="W78" s="612"/>
      <c r="X78" s="1307"/>
      <c r="Y78" s="1307"/>
      <c r="Z78" s="1307"/>
      <c r="AA78" s="1307"/>
      <c r="AB78" s="1307"/>
      <c r="AC78" s="1653"/>
      <c r="AD78" s="1594"/>
      <c r="AE78" s="1307"/>
      <c r="AF78" s="1307"/>
      <c r="AG78" s="1307"/>
      <c r="AH78" s="1307"/>
      <c r="AI78" s="1307"/>
      <c r="AJ78" s="1307"/>
      <c r="AK78" s="1595"/>
      <c r="AL78" s="1307"/>
      <c r="AM78" s="1307"/>
      <c r="AN78" s="1307"/>
      <c r="AO78" s="1307"/>
      <c r="AP78" s="1307"/>
      <c r="AQ78" s="130"/>
      <c r="AR78" s="1307"/>
      <c r="AS78" s="1307"/>
      <c r="AT78" s="1307"/>
      <c r="AU78" s="1307"/>
      <c r="AV78" s="1307"/>
      <c r="AW78" s="1307"/>
      <c r="AY78" s="1307"/>
      <c r="AZ78" s="1307"/>
      <c r="BA78" s="1307"/>
      <c r="BB78" s="1307"/>
      <c r="BC78" s="1307"/>
      <c r="BD78" s="1307"/>
    </row>
    <row r="79" spans="2:57" x14ac:dyDescent="0.3">
      <c r="B79" s="1360">
        <f t="shared" si="35"/>
        <v>71</v>
      </c>
      <c r="C79" s="55" t="s">
        <v>746</v>
      </c>
    </row>
  </sheetData>
  <mergeCells count="7">
    <mergeCell ref="AE5:AJ5"/>
    <mergeCell ref="AY5:BD5"/>
    <mergeCell ref="J6:N6"/>
    <mergeCell ref="X6:AC6"/>
    <mergeCell ref="AE6:AJ6"/>
    <mergeCell ref="AR6:AW6"/>
    <mergeCell ref="AY6:BD6"/>
  </mergeCells>
  <printOptions horizontalCentered="1" verticalCentered="1"/>
  <pageMargins left="0.25" right="0.25" top="0.75" bottom="0.25" header="0.25" footer="0.25"/>
  <pageSetup scale="50" orientation="landscape" r:id="rId1"/>
  <headerFooter alignWithMargins="0">
    <oddHeader>&amp;RUG-200994 et al. / NWN WUTC Advice 22-09
WP1 /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AC106"/>
  <sheetViews>
    <sheetView view="pageLayout" topLeftCell="E1" zoomScaleNormal="100" workbookViewId="0"/>
  </sheetViews>
  <sheetFormatPr defaultColWidth="9.296875" defaultRowHeight="13" x14ac:dyDescent="0.3"/>
  <cols>
    <col min="1" max="1" width="5.796875" style="55" customWidth="1"/>
    <col min="2" max="2" width="17.796875" style="85" customWidth="1"/>
    <col min="3" max="3" width="11.796875" style="85" customWidth="1"/>
    <col min="4" max="4" width="14.5" style="85" bestFit="1" customWidth="1"/>
    <col min="5" max="5" width="19.796875" style="55" customWidth="1"/>
    <col min="6" max="6" width="19.796875" style="55" hidden="1" customWidth="1"/>
    <col min="7" max="7" width="3.69921875" style="54" customWidth="1"/>
    <col min="8" max="8" width="14.69921875" style="55" customWidth="1"/>
    <col min="9" max="9" width="15.796875" style="55" customWidth="1"/>
    <col min="10" max="10" width="3.69921875" style="54" customWidth="1"/>
    <col min="11" max="11" width="14.69921875" style="55" hidden="1" customWidth="1"/>
    <col min="12" max="12" width="15.796875" style="55" hidden="1" customWidth="1"/>
    <col min="13" max="13" width="3.69921875" style="54" customWidth="1"/>
    <col min="14" max="14" width="14.69921875" style="55" customWidth="1"/>
    <col min="15" max="15" width="14.69921875" style="55" hidden="1" customWidth="1"/>
    <col min="16" max="16" width="3.69921875" style="54" customWidth="1"/>
    <col min="17" max="18" width="19.69921875" style="55" customWidth="1"/>
    <col min="19" max="19" width="3.69921875" style="54" customWidth="1"/>
    <col min="20" max="20" width="12.19921875" style="55" bestFit="1" customWidth="1"/>
    <col min="21" max="24" width="9.296875" style="55"/>
    <col min="25" max="25" width="11.69921875" style="55" bestFit="1" customWidth="1"/>
    <col min="26" max="26" width="9.296875" style="55"/>
    <col min="27" max="27" width="11" style="55" customWidth="1"/>
    <col min="28" max="28" width="14.19921875" style="55" bestFit="1" customWidth="1"/>
    <col min="29" max="29" width="15.296875" style="55" customWidth="1"/>
    <col min="30" max="16384" width="9.296875" style="55"/>
  </cols>
  <sheetData>
    <row r="1" spans="1:25" ht="14.5" x14ac:dyDescent="0.3">
      <c r="A1" s="1385" t="s">
        <v>0</v>
      </c>
    </row>
    <row r="2" spans="1:25" ht="14.5" x14ac:dyDescent="0.3">
      <c r="A2" s="1385" t="s">
        <v>1</v>
      </c>
    </row>
    <row r="3" spans="1:25" ht="14.5" x14ac:dyDescent="0.3">
      <c r="A3" s="1386" t="s">
        <v>262</v>
      </c>
    </row>
    <row r="4" spans="1:25" ht="14.5" x14ac:dyDescent="0.3">
      <c r="A4" s="1386" t="s">
        <v>548</v>
      </c>
    </row>
    <row r="5" spans="1:25" ht="14.5" x14ac:dyDescent="0.3">
      <c r="A5" s="1386" t="s">
        <v>549</v>
      </c>
    </row>
    <row r="6" spans="1:25" ht="14.5" x14ac:dyDescent="0.35">
      <c r="A6" s="410" t="s">
        <v>264</v>
      </c>
    </row>
    <row r="7" spans="1:25" ht="14.5" x14ac:dyDescent="0.35">
      <c r="A7" s="653"/>
    </row>
    <row r="8" spans="1:25" x14ac:dyDescent="0.3">
      <c r="A8" s="665"/>
      <c r="O8" s="58" t="str">
        <f>K9</f>
        <v>2020-21</v>
      </c>
    </row>
    <row r="9" spans="1:25" x14ac:dyDescent="0.3">
      <c r="A9" s="85">
        <v>1</v>
      </c>
      <c r="B9" s="602"/>
      <c r="F9" s="58" t="s">
        <v>233</v>
      </c>
      <c r="H9" s="58" t="str">
        <f>E10</f>
        <v>Test</v>
      </c>
      <c r="I9" s="436" t="s">
        <v>504</v>
      </c>
      <c r="K9" s="58" t="str">
        <f>F9</f>
        <v>2020-21</v>
      </c>
      <c r="L9" s="58" t="s">
        <v>228</v>
      </c>
      <c r="N9" s="436" t="str">
        <f>I9</f>
        <v>UG-20XXXX</v>
      </c>
      <c r="O9" s="58" t="s">
        <v>228</v>
      </c>
      <c r="Q9" s="60"/>
      <c r="R9" s="60"/>
      <c r="S9" s="85"/>
    </row>
    <row r="10" spans="1:25" x14ac:dyDescent="0.3">
      <c r="A10" s="85">
        <f>+A9+1</f>
        <v>2</v>
      </c>
      <c r="B10" s="602"/>
      <c r="E10" s="58" t="s">
        <v>94</v>
      </c>
      <c r="F10" s="58" t="s">
        <v>228</v>
      </c>
      <c r="H10" s="58" t="str">
        <f>E11</f>
        <v>Year Ended</v>
      </c>
      <c r="I10" s="58" t="s">
        <v>79</v>
      </c>
      <c r="K10" s="58" t="s">
        <v>228</v>
      </c>
      <c r="L10" s="58" t="s">
        <v>79</v>
      </c>
      <c r="M10" s="57"/>
      <c r="N10" s="58" t="s">
        <v>67</v>
      </c>
      <c r="O10" s="58" t="s">
        <v>67</v>
      </c>
      <c r="P10" s="57"/>
      <c r="Q10" s="512" t="s">
        <v>18</v>
      </c>
      <c r="R10" s="512" t="str">
        <f>Q10</f>
        <v>Current</v>
      </c>
      <c r="S10" s="491"/>
    </row>
    <row r="11" spans="1:25" x14ac:dyDescent="0.3">
      <c r="A11" s="85">
        <f t="shared" ref="A11:A74" si="0">+A10+1</f>
        <v>3</v>
      </c>
      <c r="B11" s="666"/>
      <c r="E11" s="58" t="s">
        <v>85</v>
      </c>
      <c r="F11" s="58" t="s">
        <v>237</v>
      </c>
      <c r="H11" s="58" t="str">
        <f>E12</f>
        <v>Sep. 30, 2020</v>
      </c>
      <c r="I11" s="58" t="s">
        <v>68</v>
      </c>
      <c r="K11" s="685">
        <f>F12</f>
        <v>44002</v>
      </c>
      <c r="L11" s="58" t="s">
        <v>68</v>
      </c>
      <c r="M11" s="57"/>
      <c r="N11" s="685" t="s">
        <v>68</v>
      </c>
      <c r="O11" s="685" t="s">
        <v>68</v>
      </c>
      <c r="P11" s="57"/>
      <c r="Q11" s="57" t="s">
        <v>83</v>
      </c>
      <c r="R11" s="58" t="s">
        <v>32</v>
      </c>
      <c r="S11" s="57"/>
    </row>
    <row r="12" spans="1:25" ht="13.5" thickBot="1" x14ac:dyDescent="0.35">
      <c r="A12" s="85">
        <f t="shared" si="0"/>
        <v>4</v>
      </c>
      <c r="E12" s="667" t="s">
        <v>263</v>
      </c>
      <c r="F12" s="687">
        <v>44002</v>
      </c>
      <c r="G12" s="57"/>
      <c r="H12" s="171" t="s">
        <v>466</v>
      </c>
      <c r="I12" s="171" t="s">
        <v>74</v>
      </c>
      <c r="J12" s="57"/>
      <c r="K12" s="171" t="s">
        <v>73</v>
      </c>
      <c r="L12" s="171" t="s">
        <v>74</v>
      </c>
      <c r="M12" s="57"/>
      <c r="N12" s="171" t="s">
        <v>69</v>
      </c>
      <c r="O12" s="171" t="s">
        <v>69</v>
      </c>
      <c r="P12" s="57"/>
      <c r="Q12" s="171" t="s">
        <v>31</v>
      </c>
      <c r="R12" s="171" t="s">
        <v>31</v>
      </c>
      <c r="S12" s="57"/>
      <c r="T12" s="171" t="s">
        <v>271</v>
      </c>
    </row>
    <row r="13" spans="1:25" x14ac:dyDescent="0.3">
      <c r="A13" s="85">
        <f t="shared" si="0"/>
        <v>5</v>
      </c>
      <c r="G13" s="57"/>
      <c r="I13" s="655" t="s">
        <v>338</v>
      </c>
      <c r="J13" s="57"/>
      <c r="L13" s="655" t="s">
        <v>337</v>
      </c>
      <c r="M13" s="684"/>
      <c r="P13" s="684"/>
      <c r="Q13" s="655"/>
    </row>
    <row r="14" spans="1:25" x14ac:dyDescent="0.3">
      <c r="A14" s="85">
        <f t="shared" si="0"/>
        <v>6</v>
      </c>
      <c r="B14" s="495" t="s">
        <v>2</v>
      </c>
      <c r="C14" s="495" t="s">
        <v>3</v>
      </c>
      <c r="D14" s="495" t="s">
        <v>57</v>
      </c>
      <c r="E14" s="495" t="s">
        <v>35</v>
      </c>
      <c r="F14" s="495" t="s">
        <v>36</v>
      </c>
      <c r="G14" s="57"/>
      <c r="H14" s="495" t="s">
        <v>13</v>
      </c>
      <c r="I14" s="495" t="s">
        <v>37</v>
      </c>
      <c r="J14" s="57"/>
      <c r="K14" s="495" t="s">
        <v>38</v>
      </c>
      <c r="L14" s="495" t="s">
        <v>39</v>
      </c>
      <c r="M14" s="57"/>
      <c r="N14" s="495" t="s">
        <v>38</v>
      </c>
      <c r="O14" s="495" t="s">
        <v>38</v>
      </c>
      <c r="P14" s="57"/>
      <c r="Q14" s="495" t="s">
        <v>40</v>
      </c>
      <c r="R14" s="495" t="s">
        <v>41</v>
      </c>
      <c r="S14" s="57"/>
      <c r="T14" s="495" t="s">
        <v>42</v>
      </c>
      <c r="W14" s="167" t="s">
        <v>473</v>
      </c>
    </row>
    <row r="15" spans="1:25" x14ac:dyDescent="0.3">
      <c r="A15" s="85">
        <f t="shared" si="0"/>
        <v>7</v>
      </c>
      <c r="B15" s="160" t="s">
        <v>268</v>
      </c>
      <c r="C15" s="160" t="s">
        <v>270</v>
      </c>
      <c r="D15" s="160" t="s">
        <v>268</v>
      </c>
      <c r="E15" s="1066">
        <v>214704.20066131229</v>
      </c>
      <c r="F15" s="675">
        <v>218577.4</v>
      </c>
      <c r="G15" s="380"/>
      <c r="H15" s="676">
        <v>911</v>
      </c>
      <c r="I15" s="386">
        <f t="shared" ref="I15:I20" si="1">IF(H15&lt;&gt;0,ROUND(+E15/H15/12,5),0)</f>
        <v>19.639970000000002</v>
      </c>
      <c r="J15" s="380"/>
      <c r="K15" s="676">
        <v>909</v>
      </c>
      <c r="L15" s="386">
        <f t="shared" ref="L15:L20" si="2">IF(K15&lt;&gt;0,ROUND(+F15/K15/12,0),0)</f>
        <v>20</v>
      </c>
      <c r="M15" s="380"/>
      <c r="N15" s="730">
        <v>5.5</v>
      </c>
      <c r="O15" s="732">
        <v>5.5</v>
      </c>
      <c r="P15" s="380"/>
      <c r="Q15" s="267">
        <f>ROUND(E15*'Rates in Detail'!E13,0)</f>
        <v>145254</v>
      </c>
      <c r="R15" s="267">
        <f>'Rate Spread SETTLEMENT'!E$15</f>
        <v>208635.1321174161</v>
      </c>
      <c r="T15" s="55" t="s">
        <v>253</v>
      </c>
      <c r="W15" s="55" t="s">
        <v>253</v>
      </c>
      <c r="Y15" s="1189">
        <f>SUMIF($T$15:$T$83,W15,$H$15:$H$83)</f>
        <v>82030</v>
      </c>
    </row>
    <row r="16" spans="1:25" x14ac:dyDescent="0.3">
      <c r="A16" s="85">
        <f t="shared" si="0"/>
        <v>8</v>
      </c>
      <c r="B16" s="160" t="s">
        <v>269</v>
      </c>
      <c r="C16" s="160" t="s">
        <v>270</v>
      </c>
      <c r="D16" s="160" t="s">
        <v>269</v>
      </c>
      <c r="E16" s="1066">
        <v>46539.057144390383</v>
      </c>
      <c r="F16" s="675">
        <v>38726</v>
      </c>
      <c r="G16" s="380"/>
      <c r="H16" s="676">
        <v>34</v>
      </c>
      <c r="I16" s="386">
        <f t="shared" si="1"/>
        <v>114.06632</v>
      </c>
      <c r="J16" s="380"/>
      <c r="K16" s="676">
        <v>35</v>
      </c>
      <c r="L16" s="386">
        <f t="shared" si="2"/>
        <v>92</v>
      </c>
      <c r="M16" s="380"/>
      <c r="N16" s="730">
        <v>7</v>
      </c>
      <c r="O16" s="732">
        <v>7</v>
      </c>
      <c r="P16" s="380"/>
      <c r="Q16" s="679">
        <f>ROUND(E16*'Rates in Detail'!E14,0)</f>
        <v>34043</v>
      </c>
      <c r="R16" s="679">
        <f>'Rate Spread SETTLEMENT'!F$15</f>
        <v>37604.380821902283</v>
      </c>
      <c r="T16" s="55" t="s">
        <v>26</v>
      </c>
      <c r="W16" s="55" t="s">
        <v>26</v>
      </c>
      <c r="Y16" s="1189">
        <f t="shared" ref="Y16:Y17" si="3">SUMIF($T$15:$T$83,W16,$H$15:$H$83)</f>
        <v>7237.916666666667</v>
      </c>
    </row>
    <row r="17" spans="1:28" x14ac:dyDescent="0.3">
      <c r="A17" s="85">
        <f t="shared" si="0"/>
        <v>9</v>
      </c>
      <c r="B17" s="959" t="s">
        <v>12</v>
      </c>
      <c r="C17" s="959" t="s">
        <v>270</v>
      </c>
      <c r="D17" s="959" t="s">
        <v>12</v>
      </c>
      <c r="E17" s="1067">
        <v>54953515.785084128</v>
      </c>
      <c r="F17" s="677">
        <v>55009539.100000001</v>
      </c>
      <c r="G17" s="380"/>
      <c r="H17" s="678">
        <v>81119</v>
      </c>
      <c r="I17" s="386">
        <f t="shared" si="1"/>
        <v>56.453600000000002</v>
      </c>
      <c r="J17" s="380"/>
      <c r="K17" s="678">
        <v>80451</v>
      </c>
      <c r="L17" s="386">
        <f t="shared" si="2"/>
        <v>57</v>
      </c>
      <c r="M17" s="380"/>
      <c r="N17" s="731">
        <v>8</v>
      </c>
      <c r="O17" s="733">
        <v>8</v>
      </c>
      <c r="P17" s="380"/>
      <c r="Q17" s="679">
        <f>ROUND(E17*'Rates in Detail'!E15,0)</f>
        <v>25177503</v>
      </c>
      <c r="R17" s="679">
        <f>'Rate Spread SETTLEMENT'!G$15</f>
        <v>33798099.589697547</v>
      </c>
      <c r="S17" s="686"/>
      <c r="T17" s="55" t="s">
        <v>253</v>
      </c>
      <c r="W17" s="55" t="s">
        <v>140</v>
      </c>
      <c r="Y17" s="460">
        <f t="shared" si="3"/>
        <v>72.833333333333329</v>
      </c>
    </row>
    <row r="18" spans="1:28" x14ac:dyDescent="0.3">
      <c r="A18" s="85">
        <f t="shared" si="0"/>
        <v>10</v>
      </c>
      <c r="B18" s="959" t="s">
        <v>10</v>
      </c>
      <c r="C18" s="959" t="s">
        <v>270</v>
      </c>
      <c r="D18" s="959" t="s">
        <v>10</v>
      </c>
      <c r="E18" s="1067">
        <v>17867210.60654201</v>
      </c>
      <c r="F18" s="677">
        <v>18385904.899999999</v>
      </c>
      <c r="G18" s="380"/>
      <c r="H18" s="678">
        <v>6318</v>
      </c>
      <c r="I18" s="386">
        <f t="shared" si="1"/>
        <v>235.66542999999999</v>
      </c>
      <c r="J18" s="380"/>
      <c r="K18" s="678">
        <v>6333</v>
      </c>
      <c r="L18" s="386">
        <f t="shared" si="2"/>
        <v>242</v>
      </c>
      <c r="M18" s="380"/>
      <c r="N18" s="731">
        <v>22</v>
      </c>
      <c r="O18" s="733">
        <v>22</v>
      </c>
      <c r="P18" s="380"/>
      <c r="Q18" s="679">
        <f>ROUND(E18*'Rates in Detail'!E16,0)</f>
        <v>7927324</v>
      </c>
      <c r="R18" s="679">
        <f>'Rate Spread SETTLEMENT'!H$15</f>
        <v>9866168.0688334089</v>
      </c>
      <c r="S18" s="686"/>
      <c r="T18" s="55" t="s">
        <v>26</v>
      </c>
      <c r="Y18" s="1190">
        <f>SUM(Y15:Y17)</f>
        <v>89340.75</v>
      </c>
    </row>
    <row r="19" spans="1:28" x14ac:dyDescent="0.3">
      <c r="A19" s="85">
        <f t="shared" si="0"/>
        <v>11</v>
      </c>
      <c r="B19" s="959" t="s">
        <v>11</v>
      </c>
      <c r="C19" s="959" t="s">
        <v>270</v>
      </c>
      <c r="D19" s="959" t="s">
        <v>11</v>
      </c>
      <c r="E19" s="1067">
        <v>283651.99999999994</v>
      </c>
      <c r="F19" s="677">
        <v>263842</v>
      </c>
      <c r="G19" s="380"/>
      <c r="H19" s="678">
        <f>I90</f>
        <v>24.25</v>
      </c>
      <c r="I19" s="386">
        <f t="shared" si="1"/>
        <v>974.74914000000001</v>
      </c>
      <c r="J19" s="380"/>
      <c r="K19" s="678">
        <v>24</v>
      </c>
      <c r="L19" s="386">
        <f t="shared" si="2"/>
        <v>916</v>
      </c>
      <c r="M19" s="380"/>
      <c r="N19" s="731">
        <v>22</v>
      </c>
      <c r="O19" s="733">
        <v>22</v>
      </c>
      <c r="P19" s="380"/>
      <c r="Q19" s="679">
        <f>ROUND(E19*'Rates in Detail'!E17,0)</f>
        <v>131186</v>
      </c>
      <c r="R19" s="679">
        <f>'Rate Spread SETTLEMENT'!I$15</f>
        <v>141888.72505190157</v>
      </c>
      <c r="S19" s="686"/>
      <c r="T19" s="55" t="s">
        <v>140</v>
      </c>
    </row>
    <row r="20" spans="1:28" x14ac:dyDescent="0.3">
      <c r="A20" s="85">
        <f t="shared" si="0"/>
        <v>12</v>
      </c>
      <c r="B20" s="160" t="s">
        <v>434</v>
      </c>
      <c r="C20" s="160" t="s">
        <v>270</v>
      </c>
      <c r="D20" s="160" t="s">
        <v>434</v>
      </c>
      <c r="E20" s="1067">
        <v>461371.76933137607</v>
      </c>
      <c r="F20" s="677">
        <v>591910</v>
      </c>
      <c r="G20" s="380"/>
      <c r="H20" s="676">
        <v>776</v>
      </c>
      <c r="I20" s="386">
        <f t="shared" si="1"/>
        <v>49.545940000000002</v>
      </c>
      <c r="J20" s="380"/>
      <c r="K20" s="676">
        <v>755</v>
      </c>
      <c r="L20" s="386">
        <f t="shared" si="2"/>
        <v>65</v>
      </c>
      <c r="M20" s="380"/>
      <c r="N20" s="730">
        <v>9</v>
      </c>
      <c r="O20" s="733">
        <v>9</v>
      </c>
      <c r="P20" s="380"/>
      <c r="Q20" s="679">
        <f>ROUND(E20*'Rates in Detail'!E18,0)</f>
        <v>111135</v>
      </c>
      <c r="R20" s="679">
        <f>'Rate Spread SETTLEMENT'!J$15</f>
        <v>201938.20437801833</v>
      </c>
      <c r="S20" s="686"/>
      <c r="T20" s="55" t="s">
        <v>26</v>
      </c>
    </row>
    <row r="21" spans="1:28" x14ac:dyDescent="0.3">
      <c r="A21" s="85">
        <f t="shared" si="0"/>
        <v>13</v>
      </c>
      <c r="B21" s="85" t="s">
        <v>272</v>
      </c>
      <c r="C21" s="1392" t="s">
        <v>4</v>
      </c>
      <c r="D21" s="85" t="s">
        <v>276</v>
      </c>
      <c r="E21" s="680">
        <v>1777065.1510316674</v>
      </c>
      <c r="F21" s="680">
        <v>1992236.2</v>
      </c>
      <c r="G21" s="380"/>
      <c r="H21" s="674">
        <v>91</v>
      </c>
      <c r="I21" s="681">
        <f>IF(H21&lt;&gt;0,ROUND(SUM(E21:E22)/H21/12,0))</f>
        <v>3436</v>
      </c>
      <c r="J21" s="380"/>
      <c r="K21" s="674">
        <v>92</v>
      </c>
      <c r="L21" s="681">
        <f>IF(K21&lt;&gt;0,ROUND(SUM(F21:F22)/K21/12,0))</f>
        <v>3745</v>
      </c>
      <c r="M21" s="380"/>
      <c r="N21" s="735">
        <v>250</v>
      </c>
      <c r="O21" s="734">
        <v>250</v>
      </c>
      <c r="P21" s="380"/>
      <c r="Q21" s="682">
        <f>ROUND((E21*'Rates in Detail'!E19)+(E22*'Rates in Detail'!E20),0)</f>
        <v>1212467</v>
      </c>
      <c r="R21" s="682">
        <f>'Rate Spread SETTLEMENT'!K15</f>
        <v>1542348.175315036</v>
      </c>
      <c r="S21" s="686"/>
      <c r="T21" s="55" t="s">
        <v>26</v>
      </c>
    </row>
    <row r="22" spans="1:28" x14ac:dyDescent="0.3">
      <c r="A22" s="85">
        <f t="shared" si="0"/>
        <v>14</v>
      </c>
      <c r="B22" s="160"/>
      <c r="C22" s="1393" t="s">
        <v>5</v>
      </c>
      <c r="D22" s="160" t="s">
        <v>277</v>
      </c>
      <c r="E22" s="675">
        <v>1974656.4658023661</v>
      </c>
      <c r="F22" s="675">
        <v>2142067.7000000002</v>
      </c>
      <c r="G22" s="380"/>
      <c r="H22" s="676"/>
      <c r="I22" s="392"/>
      <c r="J22" s="380"/>
      <c r="K22" s="676"/>
      <c r="L22" s="392"/>
      <c r="M22" s="380"/>
      <c r="N22" s="730"/>
      <c r="O22" s="676"/>
      <c r="P22" s="380"/>
      <c r="Q22" s="648"/>
      <c r="R22" s="683"/>
      <c r="S22" s="649"/>
      <c r="W22" s="55" t="s">
        <v>253</v>
      </c>
      <c r="Y22" s="487">
        <f>H15+H17</f>
        <v>82030</v>
      </c>
    </row>
    <row r="23" spans="1:28" x14ac:dyDescent="0.3">
      <c r="A23" s="85">
        <f t="shared" si="0"/>
        <v>15</v>
      </c>
      <c r="B23" s="85" t="s">
        <v>280</v>
      </c>
      <c r="C23" s="1392" t="s">
        <v>4</v>
      </c>
      <c r="D23" s="85" t="s">
        <v>282</v>
      </c>
      <c r="E23" s="680">
        <v>392890.20000000007</v>
      </c>
      <c r="F23" s="680">
        <v>399967</v>
      </c>
      <c r="G23" s="380"/>
      <c r="H23" s="674">
        <f>I91</f>
        <v>17.833333333333332</v>
      </c>
      <c r="I23" s="681">
        <f>IF(H23&lt;&gt;0,ROUND(SUM(E23:E24)/H23/12,0))</f>
        <v>4741</v>
      </c>
      <c r="J23" s="380"/>
      <c r="K23" s="674">
        <v>18</v>
      </c>
      <c r="L23" s="681">
        <f>IF(K23&lt;&gt;0,ROUND(SUM(F23:F24)/K23/12,0),0)</f>
        <v>4770</v>
      </c>
      <c r="M23" s="380"/>
      <c r="N23" s="735">
        <v>250</v>
      </c>
      <c r="O23" s="735">
        <v>250</v>
      </c>
      <c r="P23" s="380"/>
      <c r="Q23" s="682">
        <f>ROUND((E23*'Rates in Detail'!E21)+(E24*'Rates in Detail'!E22),0)</f>
        <v>323732</v>
      </c>
      <c r="R23" s="682">
        <f>'Rate Spread SETTLEMENT'!L15</f>
        <v>392614.2804678994</v>
      </c>
      <c r="S23" s="686"/>
      <c r="T23" s="55" t="s">
        <v>140</v>
      </c>
      <c r="W23" s="55" t="s">
        <v>26</v>
      </c>
      <c r="X23" s="1160"/>
      <c r="Y23" s="487">
        <f>H16+H18+H21+H20+H33</f>
        <v>7224</v>
      </c>
    </row>
    <row r="24" spans="1:28" x14ac:dyDescent="0.3">
      <c r="A24" s="85">
        <f t="shared" si="0"/>
        <v>16</v>
      </c>
      <c r="B24" s="160"/>
      <c r="C24" s="1393" t="s">
        <v>5</v>
      </c>
      <c r="D24" s="160" t="s">
        <v>281</v>
      </c>
      <c r="E24" s="675">
        <v>621650.00000000012</v>
      </c>
      <c r="F24" s="675">
        <v>630361</v>
      </c>
      <c r="G24" s="380"/>
      <c r="H24" s="676"/>
      <c r="I24" s="392"/>
      <c r="J24" s="380"/>
      <c r="K24" s="676"/>
      <c r="L24" s="392"/>
      <c r="M24" s="380"/>
      <c r="N24" s="730"/>
      <c r="O24" s="676"/>
      <c r="P24" s="380"/>
      <c r="Q24" s="648"/>
      <c r="R24" s="683"/>
      <c r="S24" s="649"/>
      <c r="W24" s="55" t="s">
        <v>487</v>
      </c>
      <c r="Y24" s="487">
        <f>H19+H23+H39</f>
        <v>53.999999999999993</v>
      </c>
    </row>
    <row r="25" spans="1:28" x14ac:dyDescent="0.3">
      <c r="A25" s="85">
        <f t="shared" si="0"/>
        <v>17</v>
      </c>
      <c r="B25" s="85" t="s">
        <v>274</v>
      </c>
      <c r="C25" s="1392" t="s">
        <v>4</v>
      </c>
      <c r="D25" s="85" t="s">
        <v>278</v>
      </c>
      <c r="E25" s="680">
        <v>0</v>
      </c>
      <c r="F25" s="680">
        <v>0</v>
      </c>
      <c r="G25" s="380"/>
      <c r="H25" s="674">
        <v>0</v>
      </c>
      <c r="I25" s="681">
        <f>IF(H25&lt;&gt;0,ROUND(SUM(E25:E26)/H25/12,0),0)</f>
        <v>0</v>
      </c>
      <c r="J25" s="380"/>
      <c r="K25" s="674">
        <v>0</v>
      </c>
      <c r="L25" s="681">
        <f>IF(K25&lt;&gt;0,ROUND(SUM(F25:F26)/K25/12,0),0)</f>
        <v>0</v>
      </c>
      <c r="M25" s="380"/>
      <c r="N25" s="735">
        <v>250</v>
      </c>
      <c r="O25" s="735">
        <v>250</v>
      </c>
      <c r="P25" s="380"/>
      <c r="Q25" s="682">
        <f>ROUND((E25*'Rates in Detail'!E23)+(E26*'Rates in Detail'!E24),0)</f>
        <v>0</v>
      </c>
      <c r="R25" s="682">
        <f>'Rate Spread SETTLEMENT'!M15</f>
        <v>0</v>
      </c>
      <c r="S25" s="686"/>
      <c r="T25" s="55" t="s">
        <v>26</v>
      </c>
      <c r="W25" s="55" t="s">
        <v>488</v>
      </c>
      <c r="Y25" s="487">
        <f>H25+H27+H57+H63+H83</f>
        <v>4.9166666666666696</v>
      </c>
    </row>
    <row r="26" spans="1:28" x14ac:dyDescent="0.3">
      <c r="A26" s="85">
        <f t="shared" si="0"/>
        <v>18</v>
      </c>
      <c r="B26" s="160"/>
      <c r="C26" s="1393" t="s">
        <v>5</v>
      </c>
      <c r="D26" s="160" t="s">
        <v>279</v>
      </c>
      <c r="E26" s="675">
        <v>0</v>
      </c>
      <c r="F26" s="675">
        <v>0</v>
      </c>
      <c r="G26" s="380"/>
      <c r="H26" s="676"/>
      <c r="I26" s="392"/>
      <c r="J26" s="380"/>
      <c r="K26" s="676"/>
      <c r="L26" s="392"/>
      <c r="M26" s="380"/>
      <c r="N26" s="730"/>
      <c r="O26" s="676"/>
      <c r="P26" s="380"/>
      <c r="Q26" s="648"/>
      <c r="R26" s="683"/>
      <c r="S26" s="649"/>
      <c r="W26" s="55" t="s">
        <v>132</v>
      </c>
      <c r="Y26" s="361">
        <f>H29+H31+H45+H51+H69+H75+H81+H82</f>
        <v>27.833333333333336</v>
      </c>
    </row>
    <row r="27" spans="1:28" x14ac:dyDescent="0.3">
      <c r="A27" s="85">
        <f t="shared" si="0"/>
        <v>19</v>
      </c>
      <c r="B27" s="85" t="s">
        <v>286</v>
      </c>
      <c r="C27" s="1392" t="s">
        <v>4</v>
      </c>
      <c r="D27" s="85" t="s">
        <v>288</v>
      </c>
      <c r="E27" s="680">
        <v>0</v>
      </c>
      <c r="F27" s="680">
        <v>0</v>
      </c>
      <c r="G27" s="380"/>
      <c r="H27" s="674">
        <v>0</v>
      </c>
      <c r="I27" s="681">
        <f>IF(H27&lt;&gt;0,ROUND(SUM(E27:E28)/H27/12,0),0)</f>
        <v>0</v>
      </c>
      <c r="J27" s="380"/>
      <c r="K27" s="674">
        <v>0</v>
      </c>
      <c r="L27" s="681">
        <f>IF(K27&lt;&gt;0,ROUND(SUM(F27:F28)/K27/12,0),0)</f>
        <v>0</v>
      </c>
      <c r="M27" s="380"/>
      <c r="N27" s="735">
        <v>250</v>
      </c>
      <c r="O27" s="735">
        <v>250</v>
      </c>
      <c r="P27" s="380"/>
      <c r="Q27" s="682">
        <f>ROUND((E27*'Rates in Detail'!E25)+(E28*'Rates in Detail'!E26),0)</f>
        <v>0</v>
      </c>
      <c r="R27" s="682">
        <f>'Rate Spread SETTLEMENT'!N15</f>
        <v>0</v>
      </c>
      <c r="S27" s="686"/>
      <c r="T27" s="55" t="s">
        <v>140</v>
      </c>
      <c r="Y27" s="487">
        <f>SUM(Y22:Y26)</f>
        <v>89340.75</v>
      </c>
    </row>
    <row r="28" spans="1:28" x14ac:dyDescent="0.3">
      <c r="A28" s="85">
        <f t="shared" si="0"/>
        <v>20</v>
      </c>
      <c r="B28" s="160"/>
      <c r="C28" s="1393" t="s">
        <v>5</v>
      </c>
      <c r="D28" s="160" t="s">
        <v>289</v>
      </c>
      <c r="E28" s="675">
        <v>0</v>
      </c>
      <c r="F28" s="675">
        <v>0</v>
      </c>
      <c r="G28" s="380"/>
      <c r="H28" s="676"/>
      <c r="I28" s="392"/>
      <c r="J28" s="380"/>
      <c r="K28" s="676"/>
      <c r="L28" s="392"/>
      <c r="M28" s="380"/>
      <c r="N28" s="730"/>
      <c r="O28" s="676"/>
      <c r="P28" s="380"/>
      <c r="Q28" s="648"/>
      <c r="R28" s="683"/>
      <c r="S28" s="649"/>
      <c r="Y28" s="55" t="b">
        <f>Y18=Y27</f>
        <v>1</v>
      </c>
    </row>
    <row r="29" spans="1:28" x14ac:dyDescent="0.3">
      <c r="A29" s="85">
        <f t="shared" si="0"/>
        <v>21</v>
      </c>
      <c r="B29" s="85" t="s">
        <v>293</v>
      </c>
      <c r="C29" s="1392" t="s">
        <v>4</v>
      </c>
      <c r="D29" s="85" t="s">
        <v>294</v>
      </c>
      <c r="E29" s="680">
        <v>168721</v>
      </c>
      <c r="F29" s="680">
        <v>169264</v>
      </c>
      <c r="G29" s="380"/>
      <c r="H29" s="674">
        <f>I94</f>
        <v>7.916666666666667</v>
      </c>
      <c r="I29" s="681">
        <f>IF(H29&lt;&gt;0,ROUND(SUM(E29:E30)/H29/12,0),0)</f>
        <v>4648</v>
      </c>
      <c r="J29" s="380"/>
      <c r="K29" s="674">
        <v>8</v>
      </c>
      <c r="L29" s="681">
        <f>IF(K29&lt;&gt;0,ROUND(SUM(F29:F30)/K29/12,0),0)</f>
        <v>4482</v>
      </c>
      <c r="M29" s="380"/>
      <c r="N29" s="735">
        <v>500</v>
      </c>
      <c r="O29" s="735">
        <v>500</v>
      </c>
      <c r="P29" s="380"/>
      <c r="Q29" s="682">
        <f>ROUND((E29*'Rates in Detail'!E27)+(E30*'Rates in Detail'!E28),0)</f>
        <v>142341</v>
      </c>
      <c r="R29" s="682">
        <f>'Rate Spread SETTLEMENT'!O15</f>
        <v>189841.33809000003</v>
      </c>
      <c r="S29" s="686"/>
      <c r="T29" s="55" t="s">
        <v>26</v>
      </c>
    </row>
    <row r="30" spans="1:28" x14ac:dyDescent="0.3">
      <c r="A30" s="85">
        <f t="shared" si="0"/>
        <v>22</v>
      </c>
      <c r="B30" s="160"/>
      <c r="C30" s="1393" t="s">
        <v>5</v>
      </c>
      <c r="D30" s="160" t="s">
        <v>295</v>
      </c>
      <c r="E30" s="675">
        <v>272866</v>
      </c>
      <c r="F30" s="675">
        <v>260994</v>
      </c>
      <c r="G30" s="380"/>
      <c r="H30" s="676"/>
      <c r="I30" s="392"/>
      <c r="J30" s="380"/>
      <c r="K30" s="676"/>
      <c r="L30" s="392"/>
      <c r="M30" s="380"/>
      <c r="N30" s="730"/>
      <c r="O30" s="676"/>
      <c r="P30" s="380"/>
      <c r="Q30" s="648"/>
      <c r="R30" s="683"/>
      <c r="S30" s="649"/>
      <c r="W30" s="54"/>
      <c r="X30" s="57"/>
      <c r="Y30" s="57"/>
      <c r="Z30" s="54"/>
      <c r="AA30" s="54"/>
      <c r="AB30" s="54"/>
    </row>
    <row r="31" spans="1:28" x14ac:dyDescent="0.3">
      <c r="A31" s="85">
        <f t="shared" si="0"/>
        <v>23</v>
      </c>
      <c r="B31" s="85" t="s">
        <v>283</v>
      </c>
      <c r="C31" s="1392" t="s">
        <v>4</v>
      </c>
      <c r="D31" s="85" t="s">
        <v>290</v>
      </c>
      <c r="E31" s="680">
        <v>0</v>
      </c>
      <c r="F31" s="680">
        <v>0</v>
      </c>
      <c r="G31" s="380"/>
      <c r="H31" s="674">
        <v>0</v>
      </c>
      <c r="I31" s="681">
        <f>IF(H31&lt;&gt;0,ROUND(SUM(E31:E32)/H31/12,0),0)</f>
        <v>0</v>
      </c>
      <c r="J31" s="380"/>
      <c r="K31" s="674">
        <v>0</v>
      </c>
      <c r="L31" s="681">
        <f>IF(K31&lt;&gt;0,ROUND(SUM(F31:F32)/K31/12,0),0)</f>
        <v>0</v>
      </c>
      <c r="M31" s="380"/>
      <c r="N31" s="735">
        <v>500</v>
      </c>
      <c r="O31" s="735">
        <v>500</v>
      </c>
      <c r="P31" s="380"/>
      <c r="Q31" s="682">
        <f>ROUND((E31*'Rates in Detail'!E29)+(E32*'Rates in Detail'!E30),0)</f>
        <v>0</v>
      </c>
      <c r="R31" s="682">
        <f>'Rate Spread SETTLEMENT'!P15</f>
        <v>0</v>
      </c>
      <c r="S31" s="686"/>
      <c r="T31" s="55" t="s">
        <v>140</v>
      </c>
      <c r="W31" s="54"/>
      <c r="X31" s="1233"/>
      <c r="Y31" s="1233"/>
      <c r="Z31" s="54"/>
      <c r="AA31" s="54"/>
      <c r="AB31" s="54"/>
    </row>
    <row r="32" spans="1:28" x14ac:dyDescent="0.3">
      <c r="A32" s="85">
        <f t="shared" si="0"/>
        <v>24</v>
      </c>
      <c r="B32" s="160"/>
      <c r="C32" s="1393" t="s">
        <v>5</v>
      </c>
      <c r="D32" s="160" t="s">
        <v>291</v>
      </c>
      <c r="E32" s="675">
        <v>0</v>
      </c>
      <c r="F32" s="675">
        <v>0</v>
      </c>
      <c r="G32" s="380"/>
      <c r="H32" s="676"/>
      <c r="I32" s="392"/>
      <c r="J32" s="380"/>
      <c r="K32" s="676"/>
      <c r="L32" s="392"/>
      <c r="M32" s="380"/>
      <c r="N32" s="730"/>
      <c r="O32" s="676"/>
      <c r="P32" s="380"/>
      <c r="Q32" s="648"/>
      <c r="R32" s="683"/>
      <c r="S32" s="649"/>
      <c r="W32" s="54"/>
      <c r="X32" s="1233"/>
      <c r="Y32" s="1233"/>
      <c r="Z32" s="54"/>
      <c r="AA32" s="54"/>
      <c r="AB32" s="54"/>
    </row>
    <row r="33" spans="1:29" x14ac:dyDescent="0.3">
      <c r="A33" s="85">
        <f t="shared" si="0"/>
        <v>25</v>
      </c>
      <c r="B33" s="85" t="s">
        <v>273</v>
      </c>
      <c r="C33" s="1392" t="s">
        <v>4</v>
      </c>
      <c r="D33" s="85" t="s">
        <v>44</v>
      </c>
      <c r="E33" s="680">
        <v>350769.66174469434</v>
      </c>
      <c r="F33" s="680">
        <v>542975.5</v>
      </c>
      <c r="G33" s="380"/>
      <c r="H33" s="674">
        <v>5</v>
      </c>
      <c r="I33" s="681">
        <f>IF(H33&lt;&gt;0,ROUND(SUM(E33:E38)/H33/12,0))</f>
        <v>11949</v>
      </c>
      <c r="J33" s="380"/>
      <c r="K33" s="674">
        <v>5</v>
      </c>
      <c r="L33" s="681">
        <f>IF(K33&lt;&gt;0,ROUND(SUM(F33:F38)/K33/12,0))</f>
        <v>18685</v>
      </c>
      <c r="M33" s="380"/>
      <c r="N33" s="735">
        <v>1300</v>
      </c>
      <c r="O33" s="735">
        <v>1300</v>
      </c>
      <c r="P33" s="380"/>
      <c r="Q33" s="682">
        <f>ROUND((E33*'Rates in Detail'!E31)+(E34*'Rates in Detail'!E32)+(E35*'Rates in Detail'!E33)+(E36*'Rates in Detail'!E34)+(E37*'Rates in Detail'!E35)+(E38*'Rates in Detail'!E36),0)</f>
        <v>101365</v>
      </c>
      <c r="R33" s="682">
        <f>'Rate Spread SETTLEMENT'!Q15</f>
        <v>219574.60083981926</v>
      </c>
      <c r="S33" s="686"/>
      <c r="T33" s="55" t="s">
        <v>26</v>
      </c>
      <c r="W33" s="54"/>
      <c r="X33" s="1233"/>
      <c r="Y33" s="1233"/>
      <c r="Z33" s="54"/>
      <c r="AA33" s="85"/>
      <c r="AB33" s="85"/>
    </row>
    <row r="34" spans="1:29" x14ac:dyDescent="0.3">
      <c r="A34" s="85">
        <f t="shared" si="0"/>
        <v>26</v>
      </c>
      <c r="C34" s="1392" t="s">
        <v>5</v>
      </c>
      <c r="D34" s="85" t="s">
        <v>45</v>
      </c>
      <c r="E34" s="680">
        <v>303088.75426472601</v>
      </c>
      <c r="F34" s="680">
        <v>474167</v>
      </c>
      <c r="G34" s="380"/>
      <c r="H34" s="674"/>
      <c r="I34" s="380"/>
      <c r="J34" s="380"/>
      <c r="K34" s="674"/>
      <c r="L34" s="380"/>
      <c r="M34" s="380"/>
      <c r="N34" s="735"/>
      <c r="O34" s="674"/>
      <c r="P34" s="380"/>
      <c r="Q34" s="649"/>
      <c r="R34" s="686"/>
      <c r="S34" s="649"/>
      <c r="W34" s="54"/>
      <c r="X34" s="1233"/>
      <c r="Y34" s="1233"/>
      <c r="Z34" s="419"/>
      <c r="AA34" s="85"/>
      <c r="AB34" s="85"/>
      <c r="AC34" s="54"/>
    </row>
    <row r="35" spans="1:29" x14ac:dyDescent="0.3">
      <c r="A35" s="85">
        <f t="shared" si="0"/>
        <v>27</v>
      </c>
      <c r="C35" s="1392" t="s">
        <v>6</v>
      </c>
      <c r="D35" s="85" t="s">
        <v>46</v>
      </c>
      <c r="E35" s="680">
        <v>59441.942130257296</v>
      </c>
      <c r="F35" s="680">
        <v>97890.5</v>
      </c>
      <c r="G35" s="380"/>
      <c r="H35" s="674"/>
      <c r="I35" s="380"/>
      <c r="J35" s="380"/>
      <c r="K35" s="674"/>
      <c r="L35" s="380"/>
      <c r="M35" s="380"/>
      <c r="N35" s="735"/>
      <c r="O35" s="674"/>
      <c r="P35" s="380"/>
      <c r="Q35" s="649"/>
      <c r="R35" s="686"/>
      <c r="S35" s="649"/>
      <c r="W35" s="54"/>
      <c r="X35" s="54"/>
      <c r="Y35" s="54"/>
      <c r="Z35" s="1234"/>
      <c r="AA35" s="295"/>
      <c r="AB35" s="468"/>
      <c r="AC35" s="153"/>
    </row>
    <row r="36" spans="1:29" x14ac:dyDescent="0.3">
      <c r="A36" s="85">
        <f t="shared" si="0"/>
        <v>28</v>
      </c>
      <c r="C36" s="1392" t="s">
        <v>7</v>
      </c>
      <c r="D36" s="85" t="s">
        <v>47</v>
      </c>
      <c r="E36" s="680">
        <v>3614.6071898605187</v>
      </c>
      <c r="F36" s="680">
        <v>6094</v>
      </c>
      <c r="G36" s="380"/>
      <c r="H36" s="674"/>
      <c r="I36" s="380"/>
      <c r="J36" s="380"/>
      <c r="K36" s="674"/>
      <c r="L36" s="380"/>
      <c r="M36" s="380"/>
      <c r="N36" s="735"/>
      <c r="O36" s="674"/>
      <c r="P36" s="380"/>
      <c r="Q36" s="649"/>
      <c r="R36" s="686"/>
      <c r="S36" s="649"/>
      <c r="W36" s="54"/>
      <c r="X36" s="54"/>
      <c r="Y36" s="54"/>
      <c r="Z36" s="1234"/>
      <c r="AA36" s="295"/>
      <c r="AB36" s="468"/>
      <c r="AC36" s="153"/>
    </row>
    <row r="37" spans="1:29" x14ac:dyDescent="0.3">
      <c r="A37" s="85">
        <f t="shared" si="0"/>
        <v>29</v>
      </c>
      <c r="C37" s="1392" t="s">
        <v>8</v>
      </c>
      <c r="D37" s="85" t="s">
        <v>48</v>
      </c>
      <c r="E37" s="680">
        <v>0</v>
      </c>
      <c r="F37" s="680">
        <v>0</v>
      </c>
      <c r="G37" s="380"/>
      <c r="H37" s="674"/>
      <c r="I37" s="380"/>
      <c r="J37" s="380"/>
      <c r="K37" s="674"/>
      <c r="L37" s="380"/>
      <c r="M37" s="380"/>
      <c r="N37" s="735"/>
      <c r="O37" s="674"/>
      <c r="P37" s="380"/>
      <c r="Q37" s="649"/>
      <c r="R37" s="686"/>
      <c r="S37" s="649"/>
      <c r="W37" s="54"/>
      <c r="X37" s="54"/>
      <c r="Y37" s="54"/>
      <c r="Z37" s="1234"/>
      <c r="AA37" s="295"/>
      <c r="AB37" s="468"/>
      <c r="AC37" s="153"/>
    </row>
    <row r="38" spans="1:29" x14ac:dyDescent="0.3">
      <c r="A38" s="85">
        <f t="shared" si="0"/>
        <v>30</v>
      </c>
      <c r="B38" s="160"/>
      <c r="C38" s="1393" t="s">
        <v>9</v>
      </c>
      <c r="D38" s="160" t="s">
        <v>49</v>
      </c>
      <c r="E38" s="675">
        <v>0</v>
      </c>
      <c r="F38" s="675">
        <v>0</v>
      </c>
      <c r="G38" s="380"/>
      <c r="H38" s="676"/>
      <c r="I38" s="392"/>
      <c r="J38" s="380"/>
      <c r="K38" s="676"/>
      <c r="L38" s="392"/>
      <c r="M38" s="380"/>
      <c r="N38" s="730"/>
      <c r="O38" s="676"/>
      <c r="P38" s="380"/>
      <c r="Q38" s="648"/>
      <c r="R38" s="683"/>
      <c r="S38" s="649"/>
      <c r="W38" s="54"/>
      <c r="X38" s="54"/>
      <c r="Y38" s="54"/>
      <c r="Z38" s="1234"/>
      <c r="AA38" s="295"/>
      <c r="AB38" s="468"/>
      <c r="AC38" s="153"/>
    </row>
    <row r="39" spans="1:29" x14ac:dyDescent="0.3">
      <c r="A39" s="85">
        <f t="shared" si="0"/>
        <v>31</v>
      </c>
      <c r="B39" s="85" t="s">
        <v>292</v>
      </c>
      <c r="C39" s="1392" t="s">
        <v>4</v>
      </c>
      <c r="D39" s="85" t="s">
        <v>50</v>
      </c>
      <c r="E39" s="680">
        <v>1093724.2000000002</v>
      </c>
      <c r="F39" s="680">
        <v>1086353</v>
      </c>
      <c r="G39" s="380"/>
      <c r="H39" s="674">
        <f>I96</f>
        <v>11.916666666666666</v>
      </c>
      <c r="I39" s="681">
        <f>IF(H39&lt;&gt;0,ROUND(SUM(E39:E44)/H39/12,0))</f>
        <v>12869</v>
      </c>
      <c r="J39" s="380"/>
      <c r="K39" s="674">
        <v>11</v>
      </c>
      <c r="L39" s="681">
        <f>IF(K39&lt;&gt;0,ROUND(SUM(F39:F44)/K39/12,0))</f>
        <v>13593</v>
      </c>
      <c r="M39" s="380"/>
      <c r="N39" s="735">
        <v>1300</v>
      </c>
      <c r="O39" s="735">
        <v>1300</v>
      </c>
      <c r="P39" s="380"/>
      <c r="Q39" s="682">
        <f>ROUND((E39*'Rates in Detail'!E37)+(E40*'Rates in Detail'!E38)+(E41*'Rates in Detail'!E39)+(E42*'Rates in Detail'!E40)+(E43*'Rates in Detail'!E41)+(E44*'Rates in Detail'!E42),0)</f>
        <v>256403</v>
      </c>
      <c r="R39" s="682">
        <f>'Rate Spread SETTLEMENT'!R15</f>
        <v>511672.37933789124</v>
      </c>
      <c r="S39" s="686"/>
      <c r="T39" s="55" t="s">
        <v>140</v>
      </c>
      <c r="W39" s="54"/>
      <c r="X39" s="54"/>
      <c r="Y39" s="54"/>
      <c r="Z39" s="1234"/>
      <c r="AA39" s="295"/>
      <c r="AB39" s="468"/>
      <c r="AC39" s="153"/>
    </row>
    <row r="40" spans="1:29" x14ac:dyDescent="0.3">
      <c r="A40" s="85">
        <f t="shared" si="0"/>
        <v>32</v>
      </c>
      <c r="C40" s="1392" t="s">
        <v>5</v>
      </c>
      <c r="D40" s="85" t="s">
        <v>51</v>
      </c>
      <c r="E40" s="680">
        <v>655939.80000000005</v>
      </c>
      <c r="F40" s="680">
        <v>638955</v>
      </c>
      <c r="G40" s="380"/>
      <c r="H40" s="674"/>
      <c r="I40" s="380"/>
      <c r="J40" s="380"/>
      <c r="K40" s="674"/>
      <c r="L40" s="380"/>
      <c r="M40" s="380"/>
      <c r="N40" s="735"/>
      <c r="O40" s="674"/>
      <c r="P40" s="380"/>
      <c r="Q40" s="649"/>
      <c r="R40" s="686"/>
      <c r="S40" s="649"/>
      <c r="W40" s="288"/>
      <c r="X40" s="54"/>
      <c r="Y40" s="54"/>
      <c r="Z40" s="1234"/>
      <c r="AA40" s="295"/>
      <c r="AB40" s="468"/>
      <c r="AC40" s="153"/>
    </row>
    <row r="41" spans="1:29" x14ac:dyDescent="0.3">
      <c r="A41" s="85">
        <f t="shared" si="0"/>
        <v>33</v>
      </c>
      <c r="C41" s="1392" t="s">
        <v>6</v>
      </c>
      <c r="D41" s="85" t="s">
        <v>52</v>
      </c>
      <c r="E41" s="680">
        <v>81241.3</v>
      </c>
      <c r="F41" s="680">
        <v>68923</v>
      </c>
      <c r="G41" s="380"/>
      <c r="H41" s="674"/>
      <c r="I41" s="380"/>
      <c r="J41" s="380"/>
      <c r="K41" s="674"/>
      <c r="L41" s="380"/>
      <c r="M41" s="380"/>
      <c r="N41" s="735"/>
      <c r="O41" s="674"/>
      <c r="P41" s="380"/>
      <c r="Q41" s="649"/>
      <c r="R41" s="686"/>
      <c r="S41" s="649"/>
      <c r="W41" s="54"/>
      <c r="X41" s="54"/>
      <c r="Y41" s="54"/>
      <c r="Z41" s="54"/>
      <c r="AA41" s="54"/>
      <c r="AB41" s="468"/>
      <c r="AC41" s="54"/>
    </row>
    <row r="42" spans="1:29" x14ac:dyDescent="0.3">
      <c r="A42" s="85">
        <f t="shared" si="0"/>
        <v>34</v>
      </c>
      <c r="C42" s="1392" t="s">
        <v>7</v>
      </c>
      <c r="D42" s="85" t="s">
        <v>53</v>
      </c>
      <c r="E42" s="680">
        <v>9320.1</v>
      </c>
      <c r="F42" s="680">
        <v>0</v>
      </c>
      <c r="G42" s="380"/>
      <c r="H42" s="674"/>
      <c r="I42" s="380"/>
      <c r="J42" s="380"/>
      <c r="K42" s="674"/>
      <c r="L42" s="380"/>
      <c r="M42" s="380"/>
      <c r="N42" s="735"/>
      <c r="O42" s="674"/>
      <c r="P42" s="380"/>
      <c r="Q42" s="649"/>
      <c r="R42" s="686"/>
      <c r="S42" s="649"/>
      <c r="W42" s="54"/>
      <c r="X42" s="54"/>
      <c r="Y42" s="54"/>
      <c r="Z42" s="54"/>
      <c r="AA42" s="54"/>
      <c r="AB42" s="54"/>
    </row>
    <row r="43" spans="1:29" x14ac:dyDescent="0.3">
      <c r="A43" s="85">
        <f t="shared" si="0"/>
        <v>35</v>
      </c>
      <c r="C43" s="1392" t="s">
        <v>8</v>
      </c>
      <c r="D43" s="85" t="s">
        <v>54</v>
      </c>
      <c r="E43" s="680">
        <v>0</v>
      </c>
      <c r="F43" s="680">
        <v>0</v>
      </c>
      <c r="G43" s="380"/>
      <c r="H43" s="674"/>
      <c r="I43" s="380"/>
      <c r="J43" s="380"/>
      <c r="K43" s="674"/>
      <c r="L43" s="380"/>
      <c r="M43" s="380"/>
      <c r="N43" s="735"/>
      <c r="O43" s="674"/>
      <c r="P43" s="380"/>
      <c r="Q43" s="649"/>
      <c r="R43" s="686"/>
      <c r="S43" s="649"/>
    </row>
    <row r="44" spans="1:29" x14ac:dyDescent="0.3">
      <c r="A44" s="85">
        <f t="shared" si="0"/>
        <v>36</v>
      </c>
      <c r="B44" s="160"/>
      <c r="C44" s="1393" t="s">
        <v>9</v>
      </c>
      <c r="D44" s="160" t="s">
        <v>55</v>
      </c>
      <c r="E44" s="675">
        <v>0</v>
      </c>
      <c r="F44" s="675">
        <v>0</v>
      </c>
      <c r="G44" s="380"/>
      <c r="H44" s="676"/>
      <c r="I44" s="392"/>
      <c r="J44" s="380"/>
      <c r="K44" s="676"/>
      <c r="L44" s="392"/>
      <c r="M44" s="380"/>
      <c r="N44" s="730"/>
      <c r="O44" s="676"/>
      <c r="P44" s="380"/>
      <c r="Q44" s="648"/>
      <c r="R44" s="683"/>
      <c r="S44" s="649"/>
    </row>
    <row r="45" spans="1:29" x14ac:dyDescent="0.3">
      <c r="A45" s="85">
        <f t="shared" si="0"/>
        <v>37</v>
      </c>
      <c r="B45" s="85" t="s">
        <v>284</v>
      </c>
      <c r="C45" s="1392" t="s">
        <v>4</v>
      </c>
      <c r="D45" s="85" t="s">
        <v>296</v>
      </c>
      <c r="E45" s="680">
        <v>480000</v>
      </c>
      <c r="F45" s="680">
        <v>479847</v>
      </c>
      <c r="G45" s="380"/>
      <c r="H45" s="674">
        <f>I97</f>
        <v>4</v>
      </c>
      <c r="I45" s="681">
        <f>IF(H45&lt;&gt;0,ROUND(SUM(E45:E50)/H45/12,0))</f>
        <v>51470</v>
      </c>
      <c r="J45" s="380"/>
      <c r="K45" s="674">
        <v>4</v>
      </c>
      <c r="L45" s="681">
        <f>IF(K45&lt;&gt;0,ROUND(SUM(F45:F50)/K45/12,0))</f>
        <v>48994</v>
      </c>
      <c r="M45" s="380"/>
      <c r="N45" s="735">
        <v>1550</v>
      </c>
      <c r="O45" s="735">
        <v>1550</v>
      </c>
      <c r="P45" s="380"/>
      <c r="Q45" s="682">
        <f>ROUND((E45*'Rates in Detail'!E43)+(E46*'Rates in Detail'!E44)+(E47*'Rates in Detail'!E45)+(E48*'Rates in Detail'!E46)+(E49*'Rates in Detail'!E47)+(E50*'Rates in Detail'!E48),0)</f>
        <v>266582</v>
      </c>
      <c r="R45" s="682">
        <f>'Rate Spread SETTLEMENT'!S15</f>
        <v>360784.67333999998</v>
      </c>
      <c r="S45" s="686"/>
      <c r="T45" s="55" t="s">
        <v>26</v>
      </c>
    </row>
    <row r="46" spans="1:29" x14ac:dyDescent="0.3">
      <c r="A46" s="85">
        <f t="shared" si="0"/>
        <v>38</v>
      </c>
      <c r="C46" s="1392" t="s">
        <v>5</v>
      </c>
      <c r="D46" s="85" t="s">
        <v>297</v>
      </c>
      <c r="E46" s="680">
        <v>807846</v>
      </c>
      <c r="F46" s="680">
        <v>792463</v>
      </c>
      <c r="G46" s="380"/>
      <c r="H46" s="674"/>
      <c r="I46" s="380"/>
      <c r="J46" s="380"/>
      <c r="K46" s="674"/>
      <c r="L46" s="380"/>
      <c r="M46" s="380"/>
      <c r="N46" s="735"/>
      <c r="O46" s="674"/>
      <c r="P46" s="380"/>
      <c r="Q46" s="649"/>
      <c r="R46" s="686"/>
      <c r="S46" s="649"/>
    </row>
    <row r="47" spans="1:29" x14ac:dyDescent="0.3">
      <c r="A47" s="85">
        <f t="shared" si="0"/>
        <v>39</v>
      </c>
      <c r="C47" s="1392" t="s">
        <v>6</v>
      </c>
      <c r="D47" s="85" t="s">
        <v>298</v>
      </c>
      <c r="E47" s="680">
        <v>583779</v>
      </c>
      <c r="F47" s="680">
        <v>542281</v>
      </c>
      <c r="G47" s="380"/>
      <c r="H47" s="674"/>
      <c r="I47" s="380"/>
      <c r="J47" s="380"/>
      <c r="K47" s="674"/>
      <c r="L47" s="380"/>
      <c r="M47" s="380"/>
      <c r="N47" s="735"/>
      <c r="O47" s="674"/>
      <c r="P47" s="380"/>
      <c r="Q47" s="649"/>
      <c r="R47" s="686"/>
      <c r="S47" s="649"/>
    </row>
    <row r="48" spans="1:29" x14ac:dyDescent="0.3">
      <c r="A48" s="85">
        <f t="shared" si="0"/>
        <v>40</v>
      </c>
      <c r="C48" s="1392" t="s">
        <v>7</v>
      </c>
      <c r="D48" s="85" t="s">
        <v>299</v>
      </c>
      <c r="E48" s="680">
        <v>598933</v>
      </c>
      <c r="F48" s="680">
        <v>537117</v>
      </c>
      <c r="G48" s="380"/>
      <c r="H48" s="674"/>
      <c r="I48" s="380"/>
      <c r="J48" s="380"/>
      <c r="K48" s="674"/>
      <c r="L48" s="380"/>
      <c r="M48" s="380"/>
      <c r="N48" s="735"/>
      <c r="O48" s="674"/>
      <c r="P48" s="380"/>
      <c r="Q48" s="649"/>
      <c r="R48" s="686"/>
      <c r="S48" s="649"/>
    </row>
    <row r="49" spans="1:20" x14ac:dyDescent="0.3">
      <c r="A49" s="85">
        <f t="shared" si="0"/>
        <v>41</v>
      </c>
      <c r="C49" s="1392" t="s">
        <v>8</v>
      </c>
      <c r="D49" s="85" t="s">
        <v>300</v>
      </c>
      <c r="E49" s="680">
        <v>0</v>
      </c>
      <c r="F49" s="680">
        <v>0</v>
      </c>
      <c r="G49" s="380"/>
      <c r="H49" s="674"/>
      <c r="I49" s="380"/>
      <c r="J49" s="380"/>
      <c r="K49" s="674"/>
      <c r="L49" s="380"/>
      <c r="M49" s="380"/>
      <c r="N49" s="735"/>
      <c r="O49" s="674"/>
      <c r="P49" s="380"/>
      <c r="Q49" s="649"/>
      <c r="R49" s="686"/>
      <c r="S49" s="649"/>
    </row>
    <row r="50" spans="1:20" x14ac:dyDescent="0.3">
      <c r="A50" s="85">
        <f t="shared" si="0"/>
        <v>42</v>
      </c>
      <c r="B50" s="160"/>
      <c r="C50" s="1393" t="s">
        <v>9</v>
      </c>
      <c r="D50" s="160" t="s">
        <v>301</v>
      </c>
      <c r="E50" s="675">
        <v>0</v>
      </c>
      <c r="F50" s="675">
        <v>0</v>
      </c>
      <c r="G50" s="380"/>
      <c r="H50" s="676"/>
      <c r="I50" s="392"/>
      <c r="J50" s="380"/>
      <c r="K50" s="676"/>
      <c r="L50" s="392"/>
      <c r="M50" s="380"/>
      <c r="N50" s="730"/>
      <c r="O50" s="676"/>
      <c r="P50" s="380"/>
      <c r="Q50" s="648"/>
      <c r="R50" s="683"/>
      <c r="S50" s="649"/>
    </row>
    <row r="51" spans="1:20" x14ac:dyDescent="0.3">
      <c r="A51" s="85">
        <f t="shared" si="0"/>
        <v>43</v>
      </c>
      <c r="B51" s="85" t="s">
        <v>285</v>
      </c>
      <c r="C51" s="1392" t="s">
        <v>4</v>
      </c>
      <c r="D51" s="85" t="s">
        <v>302</v>
      </c>
      <c r="E51" s="680">
        <v>924395</v>
      </c>
      <c r="F51" s="680">
        <v>901597</v>
      </c>
      <c r="G51" s="380"/>
      <c r="H51" s="674">
        <f>I98</f>
        <v>8.9166666666666661</v>
      </c>
      <c r="I51" s="681">
        <f>IF(H51&lt;&gt;0,ROUND(SUM(E51:E56)/H51/12,0))</f>
        <v>63374</v>
      </c>
      <c r="J51" s="380"/>
      <c r="K51" s="674">
        <v>9</v>
      </c>
      <c r="L51" s="681">
        <f>IF(K51&lt;&gt;0,ROUND(SUM(F51:F56)/K51/12,0))</f>
        <v>63120</v>
      </c>
      <c r="M51" s="380"/>
      <c r="N51" s="735">
        <v>1550</v>
      </c>
      <c r="O51" s="735">
        <v>1550</v>
      </c>
      <c r="P51" s="380"/>
      <c r="Q51" s="682">
        <f>ROUND((E51*'Rates in Detail'!E49)+(E52*'Rates in Detail'!E50)+(E53*'Rates in Detail'!E51)+(E54*'Rates in Detail'!E52)+(E55*'Rates in Detail'!E53)+(E56*'Rates in Detail'!E54),0)</f>
        <v>607101</v>
      </c>
      <c r="R51" s="682">
        <f>'Rate Spread SETTLEMENT'!T15</f>
        <v>823615.79209999996</v>
      </c>
      <c r="S51" s="686"/>
      <c r="T51" s="55" t="s">
        <v>140</v>
      </c>
    </row>
    <row r="52" spans="1:20" x14ac:dyDescent="0.3">
      <c r="A52" s="85">
        <f t="shared" si="0"/>
        <v>44</v>
      </c>
      <c r="C52" s="1392" t="s">
        <v>5</v>
      </c>
      <c r="D52" s="85" t="s">
        <v>303</v>
      </c>
      <c r="E52" s="680">
        <v>1036796</v>
      </c>
      <c r="F52" s="680">
        <v>1041722</v>
      </c>
      <c r="G52" s="380"/>
      <c r="H52" s="674"/>
      <c r="I52" s="380"/>
      <c r="J52" s="380"/>
      <c r="K52" s="674"/>
      <c r="L52" s="380"/>
      <c r="M52" s="380"/>
      <c r="N52" s="735"/>
      <c r="O52" s="674"/>
      <c r="P52" s="380"/>
      <c r="Q52" s="649"/>
      <c r="R52" s="686"/>
      <c r="S52" s="649"/>
    </row>
    <row r="53" spans="1:20" x14ac:dyDescent="0.3">
      <c r="A53" s="85">
        <f t="shared" si="0"/>
        <v>45</v>
      </c>
      <c r="C53" s="1392" t="s">
        <v>6</v>
      </c>
      <c r="D53" s="85" t="s">
        <v>304</v>
      </c>
      <c r="E53" s="680">
        <v>937215</v>
      </c>
      <c r="F53" s="680">
        <v>957215</v>
      </c>
      <c r="G53" s="380"/>
      <c r="H53" s="674"/>
      <c r="I53" s="380"/>
      <c r="J53" s="380"/>
      <c r="K53" s="674"/>
      <c r="L53" s="380"/>
      <c r="M53" s="380"/>
      <c r="N53" s="735"/>
      <c r="O53" s="674"/>
      <c r="P53" s="380"/>
      <c r="Q53" s="649"/>
      <c r="R53" s="686"/>
      <c r="S53" s="649"/>
    </row>
    <row r="54" spans="1:20" x14ac:dyDescent="0.3">
      <c r="A54" s="85">
        <f t="shared" si="0"/>
        <v>46</v>
      </c>
      <c r="C54" s="1392" t="s">
        <v>7</v>
      </c>
      <c r="D54" s="85" t="s">
        <v>305</v>
      </c>
      <c r="E54" s="680">
        <v>2390318</v>
      </c>
      <c r="F54" s="680">
        <v>2490044</v>
      </c>
      <c r="G54" s="380"/>
      <c r="H54" s="674"/>
      <c r="I54" s="380"/>
      <c r="J54" s="380"/>
      <c r="K54" s="674"/>
      <c r="L54" s="380"/>
      <c r="M54" s="380"/>
      <c r="N54" s="735"/>
      <c r="O54" s="674"/>
      <c r="P54" s="380"/>
      <c r="Q54" s="649"/>
      <c r="R54" s="686"/>
      <c r="S54" s="649"/>
    </row>
    <row r="55" spans="1:20" x14ac:dyDescent="0.3">
      <c r="A55" s="85">
        <f t="shared" si="0"/>
        <v>47</v>
      </c>
      <c r="C55" s="1392" t="s">
        <v>8</v>
      </c>
      <c r="D55" s="85" t="s">
        <v>306</v>
      </c>
      <c r="E55" s="680">
        <v>1492257</v>
      </c>
      <c r="F55" s="680">
        <v>1426372</v>
      </c>
      <c r="G55" s="380"/>
      <c r="H55" s="674"/>
      <c r="I55" s="380"/>
      <c r="J55" s="380"/>
      <c r="K55" s="674"/>
      <c r="L55" s="380"/>
      <c r="M55" s="380"/>
      <c r="N55" s="735"/>
      <c r="O55" s="674"/>
      <c r="P55" s="380"/>
      <c r="Q55" s="649"/>
      <c r="R55" s="686"/>
      <c r="S55" s="649"/>
    </row>
    <row r="56" spans="1:20" x14ac:dyDescent="0.3">
      <c r="A56" s="85">
        <f t="shared" si="0"/>
        <v>48</v>
      </c>
      <c r="B56" s="160"/>
      <c r="C56" s="1393" t="s">
        <v>9</v>
      </c>
      <c r="D56" s="160" t="s">
        <v>307</v>
      </c>
      <c r="E56" s="675">
        <v>0</v>
      </c>
      <c r="F56" s="675">
        <v>0</v>
      </c>
      <c r="G56" s="380"/>
      <c r="H56" s="676"/>
      <c r="I56" s="392"/>
      <c r="J56" s="380"/>
      <c r="K56" s="676"/>
      <c r="L56" s="392"/>
      <c r="M56" s="380"/>
      <c r="N56" s="730"/>
      <c r="O56" s="676"/>
      <c r="P56" s="380"/>
      <c r="Q56" s="648"/>
      <c r="R56" s="683"/>
      <c r="S56" s="649"/>
    </row>
    <row r="57" spans="1:20" x14ac:dyDescent="0.3">
      <c r="A57" s="85">
        <f t="shared" si="0"/>
        <v>49</v>
      </c>
      <c r="B57" s="85" t="s">
        <v>275</v>
      </c>
      <c r="C57" s="1392" t="s">
        <v>4</v>
      </c>
      <c r="D57" s="85" t="s">
        <v>314</v>
      </c>
      <c r="E57" s="680">
        <v>240000</v>
      </c>
      <c r="F57" s="680">
        <v>239999</v>
      </c>
      <c r="G57" s="380"/>
      <c r="H57" s="674">
        <f>I99</f>
        <v>2</v>
      </c>
      <c r="I57" s="681">
        <f>IF(H57&lt;&gt;0,ROUND(SUM(E57:E62)/H57/12,0),0)</f>
        <v>39322</v>
      </c>
      <c r="J57" s="380"/>
      <c r="K57" s="674">
        <v>2</v>
      </c>
      <c r="L57" s="681">
        <f>IF(K57&lt;&gt;0,ROUND(SUM(F57:F62)/K57/12,0))</f>
        <v>39641</v>
      </c>
      <c r="M57" s="380"/>
      <c r="N57" s="735">
        <v>1300</v>
      </c>
      <c r="O57" s="735">
        <v>1300</v>
      </c>
      <c r="P57" s="380"/>
      <c r="Q57" s="682">
        <f>ROUND((E57*'Rates in Detail'!E55)+(E58*'Rates in Detail'!E56)+(E59*'Rates in Detail'!E57)+(E60*'Rates in Detail'!E58)+(E61*'Rates in Detail'!E59)+(E62*'Rates in Detail'!E60),0)</f>
        <v>111934</v>
      </c>
      <c r="R57" s="682">
        <f>'Rate Spread SETTLEMENT'!U15</f>
        <v>160512.61187958997</v>
      </c>
      <c r="S57" s="686"/>
      <c r="T57" s="55" t="s">
        <v>26</v>
      </c>
    </row>
    <row r="58" spans="1:20" x14ac:dyDescent="0.3">
      <c r="A58" s="85">
        <f t="shared" si="0"/>
        <v>50</v>
      </c>
      <c r="C58" s="1392" t="s">
        <v>5</v>
      </c>
      <c r="D58" s="85" t="s">
        <v>315</v>
      </c>
      <c r="E58" s="680">
        <v>467511</v>
      </c>
      <c r="F58" s="680">
        <v>454151</v>
      </c>
      <c r="G58" s="380"/>
      <c r="H58" s="674"/>
      <c r="I58" s="380"/>
      <c r="J58" s="380"/>
      <c r="K58" s="674"/>
      <c r="L58" s="380"/>
      <c r="M58" s="380"/>
      <c r="N58" s="735"/>
      <c r="O58" s="674"/>
      <c r="P58" s="380"/>
      <c r="Q58" s="649"/>
      <c r="R58" s="686"/>
      <c r="S58" s="649"/>
    </row>
    <row r="59" spans="1:20" x14ac:dyDescent="0.3">
      <c r="A59" s="85">
        <f t="shared" si="0"/>
        <v>51</v>
      </c>
      <c r="C59" s="1392" t="s">
        <v>6</v>
      </c>
      <c r="D59" s="85" t="s">
        <v>316</v>
      </c>
      <c r="E59" s="680">
        <v>218004</v>
      </c>
      <c r="F59" s="680">
        <v>230285</v>
      </c>
      <c r="G59" s="380"/>
      <c r="H59" s="674"/>
      <c r="I59" s="380"/>
      <c r="J59" s="380"/>
      <c r="K59" s="674"/>
      <c r="L59" s="380"/>
      <c r="M59" s="380"/>
      <c r="N59" s="735"/>
      <c r="O59" s="674"/>
      <c r="P59" s="380"/>
      <c r="Q59" s="649"/>
      <c r="R59" s="686"/>
      <c r="S59" s="649"/>
      <c r="T59" s="129"/>
    </row>
    <row r="60" spans="1:20" x14ac:dyDescent="0.3">
      <c r="A60" s="85">
        <f t="shared" si="0"/>
        <v>52</v>
      </c>
      <c r="C60" s="1392" t="s">
        <v>7</v>
      </c>
      <c r="D60" s="85" t="s">
        <v>317</v>
      </c>
      <c r="E60" s="680">
        <v>18208</v>
      </c>
      <c r="F60" s="680">
        <v>26942</v>
      </c>
      <c r="G60" s="380"/>
      <c r="H60" s="674"/>
      <c r="I60" s="380"/>
      <c r="J60" s="380"/>
      <c r="K60" s="674"/>
      <c r="L60" s="380"/>
      <c r="M60" s="380"/>
      <c r="N60" s="735"/>
      <c r="O60" s="674"/>
      <c r="P60" s="380"/>
      <c r="Q60" s="649"/>
      <c r="R60" s="686"/>
      <c r="S60" s="649"/>
    </row>
    <row r="61" spans="1:20" x14ac:dyDescent="0.3">
      <c r="A61" s="85">
        <f t="shared" si="0"/>
        <v>53</v>
      </c>
      <c r="C61" s="1392" t="s">
        <v>8</v>
      </c>
      <c r="D61" s="85" t="s">
        <v>318</v>
      </c>
      <c r="E61" s="680">
        <v>0</v>
      </c>
      <c r="F61" s="680">
        <v>0</v>
      </c>
      <c r="G61" s="380"/>
      <c r="H61" s="674"/>
      <c r="I61" s="380"/>
      <c r="J61" s="380"/>
      <c r="K61" s="674"/>
      <c r="L61" s="380"/>
      <c r="M61" s="380"/>
      <c r="N61" s="735"/>
      <c r="O61" s="674"/>
      <c r="P61" s="380"/>
      <c r="Q61" s="649"/>
      <c r="R61" s="686"/>
      <c r="S61" s="649"/>
    </row>
    <row r="62" spans="1:20" x14ac:dyDescent="0.3">
      <c r="A62" s="85">
        <f t="shared" si="0"/>
        <v>54</v>
      </c>
      <c r="B62" s="160"/>
      <c r="C62" s="1393" t="s">
        <v>9</v>
      </c>
      <c r="D62" s="160" t="s">
        <v>319</v>
      </c>
      <c r="E62" s="675">
        <v>0</v>
      </c>
      <c r="F62" s="675">
        <v>0</v>
      </c>
      <c r="G62" s="380"/>
      <c r="H62" s="676"/>
      <c r="I62" s="392"/>
      <c r="J62" s="380"/>
      <c r="K62" s="676"/>
      <c r="L62" s="392"/>
      <c r="M62" s="380"/>
      <c r="N62" s="730"/>
      <c r="O62" s="676"/>
      <c r="P62" s="380"/>
      <c r="Q62" s="648"/>
      <c r="R62" s="683"/>
      <c r="S62" s="649"/>
    </row>
    <row r="63" spans="1:20" x14ac:dyDescent="0.3">
      <c r="A63" s="85">
        <f t="shared" si="0"/>
        <v>55</v>
      </c>
      <c r="B63" s="85" t="s">
        <v>287</v>
      </c>
      <c r="C63" s="1392" t="s">
        <v>4</v>
      </c>
      <c r="D63" s="85" t="s">
        <v>308</v>
      </c>
      <c r="E63" s="680">
        <v>156740</v>
      </c>
      <c r="F63" s="680">
        <v>160966</v>
      </c>
      <c r="G63" s="380"/>
      <c r="H63" s="674">
        <f>I100</f>
        <v>1.9166666666666701</v>
      </c>
      <c r="I63" s="681">
        <f>IF(H63&lt;&gt;0,ROUND(SUM(E63:E68)/H63/12,0))</f>
        <v>13758</v>
      </c>
      <c r="J63" s="380"/>
      <c r="K63" s="705">
        <v>3</v>
      </c>
      <c r="L63" s="681">
        <f>IF(K63&lt;&gt;0,ROUND(SUM(F63:F68)/K63/12,0))</f>
        <v>8520</v>
      </c>
      <c r="M63" s="380"/>
      <c r="N63" s="735">
        <v>1300</v>
      </c>
      <c r="O63" s="735">
        <v>1300</v>
      </c>
      <c r="P63" s="380"/>
      <c r="Q63" s="682">
        <f>ROUND((E63*'Rates in Detail'!E61)+(E64*'Rates in Detail'!E62)+(E65*'Rates in Detail'!E63)+(E66*'Rates in Detail'!E64)+(E67*'Rates in Detail'!E65)+(E68*'Rates in Detail'!E66),0)</f>
        <v>43706</v>
      </c>
      <c r="R63" s="682">
        <f>'Rate Spread SETTLEMENT'!V15</f>
        <v>81130.03459599179</v>
      </c>
      <c r="S63" s="686"/>
      <c r="T63" s="55" t="s">
        <v>140</v>
      </c>
    </row>
    <row r="64" spans="1:20" x14ac:dyDescent="0.3">
      <c r="A64" s="85">
        <f t="shared" si="0"/>
        <v>56</v>
      </c>
      <c r="C64" s="1392" t="s">
        <v>5</v>
      </c>
      <c r="D64" s="85" t="s">
        <v>313</v>
      </c>
      <c r="E64" s="680">
        <v>159690</v>
      </c>
      <c r="F64" s="680">
        <v>145741</v>
      </c>
      <c r="G64" s="380"/>
      <c r="H64" s="674"/>
      <c r="I64" s="380"/>
      <c r="J64" s="380"/>
      <c r="K64" s="674"/>
      <c r="L64" s="380"/>
      <c r="M64" s="380"/>
      <c r="N64" s="735"/>
      <c r="O64" s="674"/>
      <c r="P64" s="380"/>
      <c r="Q64" s="649"/>
      <c r="R64" s="686"/>
      <c r="S64" s="649"/>
    </row>
    <row r="65" spans="1:21" x14ac:dyDescent="0.3">
      <c r="A65" s="85">
        <f t="shared" si="0"/>
        <v>57</v>
      </c>
      <c r="C65" s="1392" t="s">
        <v>6</v>
      </c>
      <c r="D65" s="85" t="s">
        <v>309</v>
      </c>
      <c r="E65" s="680">
        <v>0</v>
      </c>
      <c r="F65" s="680">
        <v>0</v>
      </c>
      <c r="G65" s="380"/>
      <c r="H65" s="674"/>
      <c r="I65" s="380"/>
      <c r="J65" s="380"/>
      <c r="K65" s="674"/>
      <c r="L65" s="380"/>
      <c r="M65" s="380"/>
      <c r="N65" s="735"/>
      <c r="O65" s="674"/>
      <c r="P65" s="380"/>
      <c r="Q65" s="649"/>
      <c r="R65" s="686"/>
      <c r="S65" s="649"/>
    </row>
    <row r="66" spans="1:21" x14ac:dyDescent="0.3">
      <c r="A66" s="85">
        <f t="shared" si="0"/>
        <v>58</v>
      </c>
      <c r="C66" s="1392" t="s">
        <v>7</v>
      </c>
      <c r="D66" s="85" t="s">
        <v>310</v>
      </c>
      <c r="E66" s="680">
        <v>0</v>
      </c>
      <c r="F66" s="680">
        <v>0</v>
      </c>
      <c r="G66" s="380"/>
      <c r="H66" s="674"/>
      <c r="I66" s="380"/>
      <c r="J66" s="380"/>
      <c r="K66" s="674"/>
      <c r="L66" s="380"/>
      <c r="M66" s="380"/>
      <c r="N66" s="735"/>
      <c r="O66" s="674"/>
      <c r="P66" s="380"/>
      <c r="Q66" s="649"/>
      <c r="R66" s="686"/>
      <c r="S66" s="649"/>
    </row>
    <row r="67" spans="1:21" x14ac:dyDescent="0.3">
      <c r="A67" s="85">
        <f t="shared" si="0"/>
        <v>59</v>
      </c>
      <c r="C67" s="1392" t="s">
        <v>8</v>
      </c>
      <c r="D67" s="85" t="s">
        <v>311</v>
      </c>
      <c r="E67" s="680">
        <v>0</v>
      </c>
      <c r="F67" s="680">
        <v>0</v>
      </c>
      <c r="G67" s="380"/>
      <c r="H67" s="674"/>
      <c r="I67" s="380"/>
      <c r="J67" s="380"/>
      <c r="K67" s="674"/>
      <c r="L67" s="380"/>
      <c r="M67" s="380"/>
      <c r="N67" s="735"/>
      <c r="O67" s="674"/>
      <c r="P67" s="380"/>
      <c r="Q67" s="649"/>
      <c r="R67" s="686"/>
      <c r="S67" s="649"/>
    </row>
    <row r="68" spans="1:21" x14ac:dyDescent="0.3">
      <c r="A68" s="85">
        <f t="shared" si="0"/>
        <v>60</v>
      </c>
      <c r="B68" s="160"/>
      <c r="C68" s="1393" t="s">
        <v>9</v>
      </c>
      <c r="D68" s="160" t="s">
        <v>312</v>
      </c>
      <c r="E68" s="675">
        <v>0</v>
      </c>
      <c r="F68" s="675">
        <v>0</v>
      </c>
      <c r="G68" s="380"/>
      <c r="H68" s="676"/>
      <c r="I68" s="392"/>
      <c r="J68" s="380"/>
      <c r="K68" s="676"/>
      <c r="L68" s="392"/>
      <c r="M68" s="380"/>
      <c r="N68" s="730"/>
      <c r="O68" s="676"/>
      <c r="P68" s="380"/>
      <c r="Q68" s="648"/>
      <c r="R68" s="683"/>
      <c r="S68" s="649"/>
    </row>
    <row r="69" spans="1:21" x14ac:dyDescent="0.3">
      <c r="A69" s="85">
        <f t="shared" si="0"/>
        <v>61</v>
      </c>
      <c r="B69" s="85" t="s">
        <v>320</v>
      </c>
      <c r="C69" s="1392" t="s">
        <v>4</v>
      </c>
      <c r="D69" s="85" t="s">
        <v>321</v>
      </c>
      <c r="E69" s="680">
        <v>0</v>
      </c>
      <c r="F69" s="680">
        <v>0</v>
      </c>
      <c r="G69" s="380"/>
      <c r="H69" s="674">
        <v>0</v>
      </c>
      <c r="I69" s="681">
        <f>IF(H69&lt;&gt;0,ROUND(SUM(E69:E74)/H69/12,0),0)</f>
        <v>0</v>
      </c>
      <c r="J69" s="380"/>
      <c r="K69" s="674">
        <v>0</v>
      </c>
      <c r="L69" s="681">
        <f>IF(K69&lt;&gt;0,ROUND(SUM(F69:F74)/K69/12,0),0)</f>
        <v>0</v>
      </c>
      <c r="M69" s="380"/>
      <c r="N69" s="895">
        <v>1550</v>
      </c>
      <c r="O69" s="895">
        <v>1550</v>
      </c>
      <c r="P69" s="380"/>
      <c r="Q69" s="682">
        <f>ROUND((E69*'Rates in Detail'!E67)+(E70*'Rates in Detail'!E68)+(E71*'Rates in Detail'!E69)+(E72*'Rates in Detail'!E70)+(E73*'Rates in Detail'!E71)+(E74*'Rates in Detail'!E72),0)</f>
        <v>0</v>
      </c>
      <c r="R69" s="682">
        <f>'Rate Spread SETTLEMENT'!W15</f>
        <v>0</v>
      </c>
      <c r="S69" s="686"/>
      <c r="T69" s="55" t="s">
        <v>26</v>
      </c>
    </row>
    <row r="70" spans="1:21" x14ac:dyDescent="0.3">
      <c r="A70" s="85">
        <f t="shared" si="0"/>
        <v>62</v>
      </c>
      <c r="C70" s="1392" t="s">
        <v>5</v>
      </c>
      <c r="D70" s="85" t="s">
        <v>326</v>
      </c>
      <c r="E70" s="680">
        <v>0</v>
      </c>
      <c r="F70" s="680">
        <v>0</v>
      </c>
      <c r="G70" s="380"/>
      <c r="H70" s="674"/>
      <c r="I70" s="380"/>
      <c r="J70" s="380"/>
      <c r="K70" s="674"/>
      <c r="L70" s="380"/>
      <c r="M70" s="380"/>
      <c r="N70" s="735"/>
      <c r="O70" s="674"/>
      <c r="P70" s="380"/>
      <c r="Q70" s="649"/>
      <c r="R70" s="686"/>
      <c r="S70" s="649"/>
    </row>
    <row r="71" spans="1:21" x14ac:dyDescent="0.3">
      <c r="A71" s="85">
        <f t="shared" si="0"/>
        <v>63</v>
      </c>
      <c r="C71" s="1392" t="s">
        <v>6</v>
      </c>
      <c r="D71" s="85" t="s">
        <v>322</v>
      </c>
      <c r="E71" s="680">
        <v>0</v>
      </c>
      <c r="F71" s="680">
        <v>0</v>
      </c>
      <c r="G71" s="380"/>
      <c r="H71" s="674"/>
      <c r="I71" s="380"/>
      <c r="J71" s="380"/>
      <c r="K71" s="674"/>
      <c r="L71" s="380"/>
      <c r="M71" s="380"/>
      <c r="N71" s="735"/>
      <c r="O71" s="674"/>
      <c r="P71" s="380"/>
      <c r="Q71" s="649"/>
      <c r="R71" s="686"/>
      <c r="S71" s="649"/>
      <c r="T71" s="129"/>
    </row>
    <row r="72" spans="1:21" x14ac:dyDescent="0.3">
      <c r="A72" s="85">
        <f t="shared" si="0"/>
        <v>64</v>
      </c>
      <c r="C72" s="1392" t="s">
        <v>7</v>
      </c>
      <c r="D72" s="85" t="s">
        <v>323</v>
      </c>
      <c r="E72" s="680">
        <v>0</v>
      </c>
      <c r="F72" s="680">
        <v>0</v>
      </c>
      <c r="G72" s="380"/>
      <c r="H72" s="674"/>
      <c r="I72" s="380"/>
      <c r="J72" s="380"/>
      <c r="K72" s="674"/>
      <c r="L72" s="380"/>
      <c r="M72" s="380"/>
      <c r="N72" s="735"/>
      <c r="O72" s="674"/>
      <c r="P72" s="380"/>
      <c r="Q72" s="649"/>
      <c r="R72" s="686"/>
      <c r="S72" s="649"/>
    </row>
    <row r="73" spans="1:21" x14ac:dyDescent="0.3">
      <c r="A73" s="85">
        <f t="shared" si="0"/>
        <v>65</v>
      </c>
      <c r="C73" s="1392" t="s">
        <v>8</v>
      </c>
      <c r="D73" s="85" t="s">
        <v>324</v>
      </c>
      <c r="E73" s="680">
        <v>0</v>
      </c>
      <c r="F73" s="680">
        <v>0</v>
      </c>
      <c r="G73" s="380"/>
      <c r="H73" s="674"/>
      <c r="I73" s="380"/>
      <c r="J73" s="380"/>
      <c r="K73" s="674"/>
      <c r="L73" s="380"/>
      <c r="M73" s="380"/>
      <c r="N73" s="735"/>
      <c r="O73" s="674"/>
      <c r="P73" s="380"/>
      <c r="Q73" s="649"/>
      <c r="R73" s="686"/>
      <c r="S73" s="649"/>
    </row>
    <row r="74" spans="1:21" x14ac:dyDescent="0.3">
      <c r="A74" s="85">
        <f t="shared" si="0"/>
        <v>66</v>
      </c>
      <c r="B74" s="160"/>
      <c r="C74" s="1393" t="s">
        <v>9</v>
      </c>
      <c r="D74" s="160" t="s">
        <v>325</v>
      </c>
      <c r="E74" s="675">
        <v>0</v>
      </c>
      <c r="F74" s="675">
        <v>0</v>
      </c>
      <c r="G74" s="380"/>
      <c r="H74" s="676"/>
      <c r="I74" s="392"/>
      <c r="J74" s="380"/>
      <c r="K74" s="676"/>
      <c r="L74" s="392"/>
      <c r="M74" s="380"/>
      <c r="N74" s="730"/>
      <c r="O74" s="676"/>
      <c r="P74" s="380"/>
      <c r="Q74" s="648"/>
      <c r="R74" s="683"/>
      <c r="S74" s="649"/>
    </row>
    <row r="75" spans="1:21" x14ac:dyDescent="0.3">
      <c r="A75" s="85">
        <f t="shared" ref="A75:A83" si="4">+A74+1</f>
        <v>67</v>
      </c>
      <c r="B75" s="85" t="s">
        <v>327</v>
      </c>
      <c r="C75" s="1392" t="s">
        <v>4</v>
      </c>
      <c r="D75" s="85" t="s">
        <v>328</v>
      </c>
      <c r="E75" s="680">
        <v>844078</v>
      </c>
      <c r="F75" s="680">
        <v>861932</v>
      </c>
      <c r="G75" s="380"/>
      <c r="H75" s="674">
        <f>I102</f>
        <v>7</v>
      </c>
      <c r="I75" s="681">
        <f>IF(H75&lt;&gt;0,ROUND(SUM(E75:E80)/H75/12,0),0)</f>
        <v>95634</v>
      </c>
      <c r="J75" s="380"/>
      <c r="K75" s="705">
        <v>10</v>
      </c>
      <c r="L75" s="681">
        <f>IF(K75&lt;&gt;0,ROUND(SUM(F75:F80)/K75/12,0),0)</f>
        <v>63670</v>
      </c>
      <c r="M75" s="380"/>
      <c r="N75" s="895">
        <v>1550</v>
      </c>
      <c r="O75" s="895">
        <v>1550</v>
      </c>
      <c r="P75" s="380"/>
      <c r="Q75" s="682">
        <f>ROUND((E75*'Rates in Detail'!E73)+(E76*'Rates in Detail'!E74)+(E77*'Rates in Detail'!E75)+(E78*'Rates in Detail'!E76)+(E79*'Rates in Detail'!E77)+(E80*'Rates in Detail'!E78),0)</f>
        <v>695280</v>
      </c>
      <c r="R75" s="682">
        <f>'Rate Spread SETTLEMENT'!X15</f>
        <v>825480.07319999998</v>
      </c>
      <c r="S75" s="686"/>
      <c r="T75" s="55" t="s">
        <v>140</v>
      </c>
    </row>
    <row r="76" spans="1:21" x14ac:dyDescent="0.3">
      <c r="A76" s="85">
        <f t="shared" si="4"/>
        <v>68</v>
      </c>
      <c r="C76" s="1392" t="s">
        <v>5</v>
      </c>
      <c r="D76" s="85" t="s">
        <v>329</v>
      </c>
      <c r="E76" s="680">
        <v>1445175</v>
      </c>
      <c r="F76" s="680">
        <v>1453508</v>
      </c>
      <c r="G76" s="380"/>
      <c r="H76" s="674"/>
      <c r="I76" s="380"/>
      <c r="J76" s="380"/>
      <c r="K76" s="674"/>
      <c r="L76" s="380"/>
      <c r="M76" s="380"/>
      <c r="N76" s="735"/>
      <c r="O76" s="674"/>
      <c r="P76" s="380"/>
      <c r="Q76" s="649"/>
      <c r="R76" s="686"/>
      <c r="S76" s="649"/>
    </row>
    <row r="77" spans="1:21" x14ac:dyDescent="0.3">
      <c r="A77" s="85">
        <f t="shared" si="4"/>
        <v>69</v>
      </c>
      <c r="C77" s="1392" t="s">
        <v>6</v>
      </c>
      <c r="D77" s="85" t="s">
        <v>330</v>
      </c>
      <c r="E77" s="680">
        <v>1034978</v>
      </c>
      <c r="F77" s="680">
        <v>976710</v>
      </c>
      <c r="G77" s="380"/>
      <c r="H77" s="674"/>
      <c r="I77" s="380"/>
      <c r="J77" s="380"/>
      <c r="K77" s="674"/>
      <c r="L77" s="380"/>
      <c r="M77" s="380"/>
      <c r="N77" s="735"/>
      <c r="O77" s="674"/>
      <c r="P77" s="380"/>
      <c r="Q77" s="649"/>
      <c r="R77" s="686"/>
      <c r="S77" s="649"/>
    </row>
    <row r="78" spans="1:21" x14ac:dyDescent="0.3">
      <c r="A78" s="85">
        <f t="shared" si="4"/>
        <v>70</v>
      </c>
      <c r="C78" s="1392" t="s">
        <v>7</v>
      </c>
      <c r="D78" s="85" t="s">
        <v>331</v>
      </c>
      <c r="E78" s="680">
        <v>3359916</v>
      </c>
      <c r="F78" s="680">
        <v>3078834</v>
      </c>
      <c r="G78" s="380"/>
      <c r="H78" s="674"/>
      <c r="I78" s="380"/>
      <c r="J78" s="380"/>
      <c r="K78" s="674"/>
      <c r="L78" s="380"/>
      <c r="M78" s="380"/>
      <c r="N78" s="735"/>
      <c r="O78" s="674"/>
      <c r="P78" s="380"/>
      <c r="Q78" s="649"/>
      <c r="R78" s="686"/>
      <c r="S78" s="649"/>
    </row>
    <row r="79" spans="1:21" x14ac:dyDescent="0.3">
      <c r="A79" s="85">
        <f t="shared" si="4"/>
        <v>71</v>
      </c>
      <c r="C79" s="1392" t="s">
        <v>8</v>
      </c>
      <c r="D79" s="85" t="s">
        <v>332</v>
      </c>
      <c r="E79" s="680">
        <v>1349120</v>
      </c>
      <c r="F79" s="680">
        <v>1269411</v>
      </c>
      <c r="G79" s="380"/>
      <c r="H79" s="674"/>
      <c r="I79" s="380"/>
      <c r="J79" s="380"/>
      <c r="K79" s="674"/>
      <c r="L79" s="380"/>
      <c r="M79" s="380"/>
      <c r="N79" s="735"/>
      <c r="O79" s="674"/>
      <c r="P79" s="380"/>
      <c r="Q79" s="649"/>
      <c r="R79" s="686"/>
      <c r="S79" s="649"/>
      <c r="U79" s="54"/>
    </row>
    <row r="80" spans="1:21" x14ac:dyDescent="0.3">
      <c r="A80" s="85">
        <f t="shared" si="4"/>
        <v>72</v>
      </c>
      <c r="B80" s="160"/>
      <c r="C80" s="1393" t="s">
        <v>9</v>
      </c>
      <c r="D80" s="160" t="s">
        <v>333</v>
      </c>
      <c r="E80" s="675">
        <v>0</v>
      </c>
      <c r="F80" s="675">
        <v>0</v>
      </c>
      <c r="G80" s="380"/>
      <c r="H80" s="676"/>
      <c r="I80" s="392"/>
      <c r="J80" s="380"/>
      <c r="K80" s="676"/>
      <c r="L80" s="392"/>
      <c r="M80" s="380"/>
      <c r="N80" s="730"/>
      <c r="O80" s="676"/>
      <c r="P80" s="380"/>
      <c r="Q80" s="648"/>
      <c r="R80" s="683"/>
      <c r="S80" s="649"/>
    </row>
    <row r="81" spans="1:21" x14ac:dyDescent="0.3">
      <c r="A81" s="85">
        <f t="shared" si="4"/>
        <v>73</v>
      </c>
      <c r="B81" s="160" t="s">
        <v>334</v>
      </c>
      <c r="C81" s="160" t="s">
        <v>270</v>
      </c>
      <c r="D81" s="160" t="s">
        <v>56</v>
      </c>
      <c r="E81" s="675">
        <v>0</v>
      </c>
      <c r="F81" s="675">
        <v>0</v>
      </c>
      <c r="G81" s="380"/>
      <c r="H81" s="676">
        <v>0</v>
      </c>
      <c r="I81" s="392">
        <f>IF(H81&lt;&gt;0,ROUND(+E81/H81/12,5),0)</f>
        <v>0</v>
      </c>
      <c r="J81" s="380"/>
      <c r="K81" s="676">
        <v>0</v>
      </c>
      <c r="L81" s="392">
        <f>IF(K81&lt;&gt;0,ROUND(+F81/K81/12,5),0)</f>
        <v>0</v>
      </c>
      <c r="M81" s="380"/>
      <c r="N81" s="730">
        <v>38000</v>
      </c>
      <c r="O81" s="730">
        <v>38000</v>
      </c>
      <c r="P81" s="380"/>
      <c r="Q81" s="682">
        <f>ROUND(E81*'Rates in Detail'!E79,0)</f>
        <v>0</v>
      </c>
      <c r="R81" s="683">
        <f>'Rate Spread SETTLEMENT'!Y15</f>
        <v>0</v>
      </c>
      <c r="S81" s="686"/>
      <c r="T81" s="55" t="s">
        <v>140</v>
      </c>
    </row>
    <row r="82" spans="1:21" x14ac:dyDescent="0.3">
      <c r="A82" s="85">
        <f t="shared" si="4"/>
        <v>74</v>
      </c>
      <c r="B82" s="160" t="s">
        <v>336</v>
      </c>
      <c r="C82" s="959" t="s">
        <v>270</v>
      </c>
      <c r="D82" s="160" t="s">
        <v>335</v>
      </c>
      <c r="E82" s="677">
        <v>0</v>
      </c>
      <c r="F82" s="677">
        <v>0</v>
      </c>
      <c r="G82" s="380"/>
      <c r="H82" s="678">
        <v>0</v>
      </c>
      <c r="I82" s="392">
        <f t="shared" ref="I82" si="5">IF(H82&lt;&gt;0,ROUND(+E82/H82/12,5),0)</f>
        <v>0</v>
      </c>
      <c r="J82" s="380"/>
      <c r="K82" s="678">
        <v>0</v>
      </c>
      <c r="L82" s="392">
        <f>IF(K82&lt;&gt;0,ROUND(+F82/K82/12,5),0)</f>
        <v>0</v>
      </c>
      <c r="M82" s="380"/>
      <c r="N82" s="731">
        <v>38000</v>
      </c>
      <c r="O82" s="731">
        <v>38000</v>
      </c>
      <c r="P82" s="380"/>
      <c r="Q82" s="682">
        <f>ROUND(E82*'Rates in Detail'!E80,0)</f>
        <v>0</v>
      </c>
      <c r="R82" s="679">
        <f>'Rate Spread SETTLEMENT'!Z15</f>
        <v>0</v>
      </c>
      <c r="S82" s="380"/>
      <c r="T82" s="55" t="s">
        <v>140</v>
      </c>
    </row>
    <row r="83" spans="1:21" x14ac:dyDescent="0.3">
      <c r="A83" s="85">
        <f t="shared" si="4"/>
        <v>75</v>
      </c>
      <c r="B83" s="959" t="s">
        <v>355</v>
      </c>
      <c r="C83" s="959" t="s">
        <v>270</v>
      </c>
      <c r="D83" s="959" t="s">
        <v>355</v>
      </c>
      <c r="E83" s="1067">
        <v>2895114</v>
      </c>
      <c r="F83" s="677"/>
      <c r="G83" s="392"/>
      <c r="H83" s="678">
        <f>I103</f>
        <v>1</v>
      </c>
      <c r="I83" s="392">
        <f>IF(H83&lt;&gt;0,ROUND(+E83/H83/12,5),0)</f>
        <v>241259.5</v>
      </c>
      <c r="J83" s="392"/>
      <c r="K83" s="678">
        <v>0</v>
      </c>
      <c r="L83" s="392">
        <f>IF(K83&lt;&gt;0,ROUND(+F83/K83/12,5),0)</f>
        <v>0</v>
      </c>
      <c r="M83" s="392"/>
      <c r="N83" s="731">
        <v>0</v>
      </c>
      <c r="O83" s="731">
        <v>0</v>
      </c>
      <c r="P83" s="392"/>
      <c r="Q83" s="679">
        <f>ROUND(E83*'Rates in Detail'!E81,0)</f>
        <v>0</v>
      </c>
      <c r="R83" s="679">
        <f>'Rate Spread SETTLEMENT'!AA15</f>
        <v>242994.60207180592</v>
      </c>
      <c r="S83" s="380"/>
      <c r="T83" s="55" t="s">
        <v>140</v>
      </c>
    </row>
    <row r="84" spans="1:21" x14ac:dyDescent="0.3">
      <c r="A84" s="85">
        <f t="shared" ref="A84" si="6">+A83+1</f>
        <v>76</v>
      </c>
      <c r="B84" s="57" t="s">
        <v>76</v>
      </c>
      <c r="C84" s="57"/>
      <c r="D84" s="57"/>
      <c r="E84" s="688">
        <f>SUM(E15:E83)</f>
        <v>103032055.6009268</v>
      </c>
      <c r="F84" s="688">
        <f>SUM(F15:F83)</f>
        <v>101085884.30000001</v>
      </c>
      <c r="G84" s="378"/>
      <c r="H84" s="688">
        <f>SUM(H15:H83)</f>
        <v>89340.750000000015</v>
      </c>
      <c r="I84" s="688">
        <f>SUM(I15:I83)</f>
        <v>543910.62040000001</v>
      </c>
      <c r="J84" s="378"/>
      <c r="K84" s="688">
        <f>SUM(K15:K83)</f>
        <v>88669</v>
      </c>
      <c r="L84" s="688">
        <f>SUM(L15:L83)</f>
        <v>270612</v>
      </c>
      <c r="M84" s="688"/>
      <c r="N84" s="736">
        <v>89473.5</v>
      </c>
      <c r="O84" s="736">
        <f>SUM(O15:O83)</f>
        <v>89473.5</v>
      </c>
      <c r="P84" s="688"/>
      <c r="Q84" s="656">
        <f>SUM(Q15:Q83)</f>
        <v>37287356</v>
      </c>
      <c r="R84" s="656">
        <f>SUM(R15:R83)</f>
        <v>49604902.662138224</v>
      </c>
      <c r="S84" s="468"/>
    </row>
    <row r="85" spans="1:21" x14ac:dyDescent="0.3">
      <c r="A85" s="85"/>
      <c r="E85" s="487"/>
      <c r="F85" s="487"/>
      <c r="G85" s="295"/>
      <c r="H85" s="423"/>
      <c r="J85" s="295"/>
      <c r="K85" s="700"/>
      <c r="N85" s="700"/>
      <c r="O85" s="700"/>
      <c r="U85" s="1056"/>
    </row>
    <row r="86" spans="1:21" x14ac:dyDescent="0.3">
      <c r="A86" s="85"/>
      <c r="B86" s="288" t="s">
        <v>468</v>
      </c>
      <c r="E86" s="645"/>
      <c r="F86" s="668"/>
      <c r="G86" s="669"/>
      <c r="H86" s="670"/>
      <c r="J86" s="669"/>
      <c r="K86" s="670"/>
      <c r="N86" s="670"/>
      <c r="O86" s="670"/>
      <c r="Q86" s="428"/>
    </row>
    <row r="87" spans="1:21" x14ac:dyDescent="0.3">
      <c r="A87" s="85"/>
      <c r="B87" s="689"/>
      <c r="C87" s="57"/>
      <c r="D87" s="57"/>
      <c r="E87" s="138"/>
      <c r="F87" s="138"/>
      <c r="G87" s="669"/>
      <c r="H87" s="671"/>
      <c r="J87" s="669"/>
      <c r="K87" s="671"/>
      <c r="N87" s="671"/>
      <c r="O87" s="671"/>
    </row>
    <row r="88" spans="1:21" x14ac:dyDescent="0.3">
      <c r="A88" s="85"/>
      <c r="E88" s="645"/>
      <c r="G88" s="55"/>
      <c r="H88" s="1812" t="s">
        <v>552</v>
      </c>
      <c r="I88" s="1813"/>
      <c r="K88" s="54"/>
      <c r="L88" s="1162"/>
      <c r="M88" s="55"/>
      <c r="O88" s="423"/>
    </row>
    <row r="89" spans="1:21" x14ac:dyDescent="0.3">
      <c r="A89" s="85"/>
      <c r="E89" s="487"/>
      <c r="G89" s="55"/>
      <c r="H89" s="1163" t="s">
        <v>153</v>
      </c>
      <c r="I89" s="1388" t="s">
        <v>467</v>
      </c>
      <c r="K89" s="54"/>
      <c r="L89" s="1164"/>
      <c r="M89" s="55"/>
      <c r="O89" s="423"/>
    </row>
    <row r="90" spans="1:21" x14ac:dyDescent="0.3">
      <c r="E90" s="672"/>
      <c r="G90" s="55"/>
      <c r="H90" s="1165" t="s">
        <v>11</v>
      </c>
      <c r="I90" s="1389">
        <v>24.25</v>
      </c>
      <c r="K90" s="54"/>
      <c r="L90" s="1166"/>
      <c r="M90" s="55"/>
      <c r="O90" s="54"/>
    </row>
    <row r="91" spans="1:21" x14ac:dyDescent="0.3">
      <c r="E91" s="673"/>
      <c r="G91" s="55"/>
      <c r="H91" s="1165" t="s">
        <v>340</v>
      </c>
      <c r="I91" s="1389">
        <v>17.833333333333332</v>
      </c>
      <c r="K91" s="54"/>
      <c r="L91" s="1166"/>
      <c r="M91" s="55"/>
      <c r="O91" s="54"/>
    </row>
    <row r="92" spans="1:21" x14ac:dyDescent="0.3">
      <c r="C92" s="54"/>
      <c r="D92" s="54"/>
      <c r="E92" s="669"/>
      <c r="G92" s="55"/>
      <c r="H92" s="1165" t="s">
        <v>342</v>
      </c>
      <c r="I92" s="1389" t="s">
        <v>270</v>
      </c>
      <c r="K92" s="54"/>
      <c r="L92" s="1166"/>
      <c r="M92" s="55"/>
      <c r="O92" s="54"/>
    </row>
    <row r="93" spans="1:21" x14ac:dyDescent="0.3">
      <c r="C93" s="54"/>
      <c r="D93" s="54"/>
      <c r="E93" s="669"/>
      <c r="G93" s="55"/>
      <c r="H93" s="1165" t="s">
        <v>343</v>
      </c>
      <c r="I93" s="1389" t="s">
        <v>270</v>
      </c>
      <c r="K93" s="54"/>
      <c r="L93" s="1166"/>
      <c r="M93" s="55"/>
      <c r="O93" s="54"/>
    </row>
    <row r="94" spans="1:21" x14ac:dyDescent="0.3">
      <c r="C94" s="54"/>
      <c r="D94" s="54"/>
      <c r="E94" s="669"/>
      <c r="G94" s="55"/>
      <c r="H94" s="1165" t="s">
        <v>344</v>
      </c>
      <c r="I94" s="1389">
        <v>7.916666666666667</v>
      </c>
      <c r="K94" s="54"/>
      <c r="L94" s="1166"/>
      <c r="M94" s="55"/>
      <c r="O94" s="54"/>
    </row>
    <row r="95" spans="1:21" x14ac:dyDescent="0.3">
      <c r="C95" s="54"/>
      <c r="D95" s="54"/>
      <c r="E95" s="669"/>
      <c r="G95" s="55"/>
      <c r="H95" s="1165" t="s">
        <v>345</v>
      </c>
      <c r="I95" s="1389" t="s">
        <v>270</v>
      </c>
      <c r="K95" s="54"/>
      <c r="L95" s="1166"/>
      <c r="M95" s="55"/>
      <c r="O95" s="54"/>
    </row>
    <row r="96" spans="1:21" x14ac:dyDescent="0.3">
      <c r="E96" s="669"/>
      <c r="G96" s="55"/>
      <c r="H96" s="1165" t="s">
        <v>347</v>
      </c>
      <c r="I96" s="1389">
        <v>11.916666666666666</v>
      </c>
      <c r="K96" s="54"/>
      <c r="L96" s="1166"/>
      <c r="M96" s="55"/>
      <c r="O96" s="54"/>
    </row>
    <row r="97" spans="5:15" x14ac:dyDescent="0.3">
      <c r="E97" s="672"/>
      <c r="G97" s="55"/>
      <c r="H97" s="1165" t="s">
        <v>348</v>
      </c>
      <c r="I97" s="1389">
        <v>4</v>
      </c>
      <c r="K97" s="54"/>
      <c r="L97" s="1166"/>
      <c r="M97" s="55"/>
      <c r="O97" s="54"/>
    </row>
    <row r="98" spans="5:15" x14ac:dyDescent="0.3">
      <c r="E98" s="672"/>
      <c r="G98" s="55"/>
      <c r="H98" s="1165" t="s">
        <v>349</v>
      </c>
      <c r="I98" s="1389">
        <v>8.9166666666666661</v>
      </c>
      <c r="K98" s="54"/>
      <c r="L98" s="1166"/>
      <c r="M98" s="55"/>
      <c r="O98" s="54"/>
    </row>
    <row r="99" spans="5:15" x14ac:dyDescent="0.3">
      <c r="E99" s="54"/>
      <c r="G99" s="55"/>
      <c r="H99" s="1165" t="s">
        <v>350</v>
      </c>
      <c r="I99" s="1389">
        <v>2</v>
      </c>
      <c r="K99" s="54"/>
      <c r="L99" s="1166"/>
      <c r="M99" s="55"/>
      <c r="O99" s="54"/>
    </row>
    <row r="100" spans="5:15" x14ac:dyDescent="0.3">
      <c r="E100" s="54"/>
      <c r="G100" s="55"/>
      <c r="H100" s="1165" t="s">
        <v>351</v>
      </c>
      <c r="I100" s="1389">
        <f>2.91666666666667-1</f>
        <v>1.9166666666666701</v>
      </c>
      <c r="J100" s="1387" t="s">
        <v>550</v>
      </c>
      <c r="K100" s="1387"/>
      <c r="L100" s="1166"/>
      <c r="M100" s="55"/>
      <c r="O100" s="54"/>
    </row>
    <row r="101" spans="5:15" x14ac:dyDescent="0.3">
      <c r="G101" s="55"/>
      <c r="H101" s="1165" t="s">
        <v>353</v>
      </c>
      <c r="I101" s="1389" t="s">
        <v>270</v>
      </c>
      <c r="J101" s="1387"/>
      <c r="K101" s="1387"/>
      <c r="L101" s="1166"/>
      <c r="M101" s="55"/>
    </row>
    <row r="102" spans="5:15" x14ac:dyDescent="0.3">
      <c r="G102" s="55"/>
      <c r="H102" s="1165" t="s">
        <v>354</v>
      </c>
      <c r="I102" s="1389">
        <f>10-3</f>
        <v>7</v>
      </c>
      <c r="J102" s="1387" t="s">
        <v>551</v>
      </c>
      <c r="K102" s="1387"/>
      <c r="L102" s="1166"/>
      <c r="M102" s="55"/>
    </row>
    <row r="103" spans="5:15" x14ac:dyDescent="0.3">
      <c r="G103" s="55"/>
      <c r="H103" s="1167" t="s">
        <v>373</v>
      </c>
      <c r="I103" s="1390">
        <v>1</v>
      </c>
      <c r="K103" s="54"/>
      <c r="L103" s="1168"/>
      <c r="M103" s="55"/>
    </row>
    <row r="105" spans="5:15" x14ac:dyDescent="0.3">
      <c r="H105" s="1391" t="s">
        <v>553</v>
      </c>
    </row>
    <row r="106" spans="5:15" x14ac:dyDescent="0.3">
      <c r="H106" s="1391" t="s">
        <v>554</v>
      </c>
    </row>
  </sheetData>
  <customSheetViews>
    <customSheetView guid="{80646397-1CEF-4A79-B348-594AB32B8020}" showGridLines="0" hiddenColumns="1" topLeftCell="A55">
      <selection activeCell="J81" sqref="J81"/>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howGridLines="0" hiddenColumns="1" topLeftCell="A55">
      <selection activeCell="J81" sqref="J81"/>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
    <mergeCell ref="H88:I88"/>
  </mergeCells>
  <phoneticPr fontId="10" type="noConversion"/>
  <printOptions horizont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workbookViewId="0"/>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4" width="3.19921875" style="55" customWidth="1"/>
    <col min="15" max="15" width="7.69921875" style="55" customWidth="1"/>
    <col min="16" max="16" width="11.296875" style="55" bestFit="1" customWidth="1"/>
    <col min="17" max="17" width="18" style="55" customWidth="1"/>
    <col min="18" max="18" width="15.796875" style="55" customWidth="1"/>
    <col min="19" max="19" width="22.296875" style="55" bestFit="1" customWidth="1"/>
    <col min="20" max="20" width="17.69921875" style="55" customWidth="1"/>
    <col min="21" max="21" width="17" style="55" customWidth="1"/>
    <col min="22" max="24" width="11.5" style="55" customWidth="1"/>
    <col min="25" max="25" width="3.19921875" style="55" customWidth="1"/>
    <col min="26" max="16384" width="9.296875" style="55"/>
  </cols>
  <sheetData>
    <row r="1" spans="2:24" x14ac:dyDescent="0.3">
      <c r="B1" s="873" t="s">
        <v>0</v>
      </c>
      <c r="C1" s="874"/>
      <c r="D1" s="874"/>
      <c r="E1" s="874"/>
      <c r="F1" s="874"/>
      <c r="G1" s="874"/>
      <c r="H1" s="874"/>
      <c r="I1" s="874"/>
      <c r="O1" s="873" t="s">
        <v>0</v>
      </c>
      <c r="P1" s="874"/>
    </row>
    <row r="2" spans="2:24" x14ac:dyDescent="0.3">
      <c r="B2" s="873" t="s">
        <v>265</v>
      </c>
      <c r="C2" s="874"/>
      <c r="D2" s="874"/>
      <c r="E2" s="874"/>
      <c r="F2" s="874"/>
      <c r="G2" s="874"/>
      <c r="H2" s="874"/>
      <c r="I2" s="874"/>
      <c r="O2" s="873" t="s">
        <v>265</v>
      </c>
      <c r="P2" s="874"/>
    </row>
    <row r="3" spans="2:24" x14ac:dyDescent="0.3">
      <c r="B3" s="873" t="s">
        <v>266</v>
      </c>
      <c r="C3" s="874"/>
      <c r="D3" s="874"/>
      <c r="E3" s="874"/>
      <c r="F3" s="874"/>
      <c r="G3" s="874"/>
      <c r="H3" s="874"/>
      <c r="I3" s="874"/>
      <c r="O3" s="873" t="s">
        <v>266</v>
      </c>
      <c r="P3" s="874"/>
    </row>
    <row r="4" spans="2:24" x14ac:dyDescent="0.3">
      <c r="B4" s="873" t="s">
        <v>610</v>
      </c>
      <c r="C4" s="874"/>
      <c r="D4" s="874"/>
      <c r="E4" s="874"/>
      <c r="F4" s="874"/>
      <c r="G4" s="874"/>
      <c r="H4" s="874"/>
      <c r="I4" s="874"/>
      <c r="O4" s="873" t="s">
        <v>610</v>
      </c>
      <c r="P4" s="874"/>
    </row>
    <row r="5" spans="2:24" x14ac:dyDescent="0.3">
      <c r="B5" s="873" t="s">
        <v>547</v>
      </c>
      <c r="C5" s="874"/>
      <c r="D5" s="874"/>
      <c r="E5" s="874"/>
      <c r="F5" s="874"/>
      <c r="G5" s="874"/>
      <c r="H5" s="874"/>
      <c r="I5" s="874"/>
      <c r="O5" s="873" t="s">
        <v>547</v>
      </c>
      <c r="P5" s="874"/>
    </row>
    <row r="6" spans="2:24" x14ac:dyDescent="0.3">
      <c r="C6" s="874"/>
      <c r="D6" s="874"/>
      <c r="E6" s="874"/>
      <c r="F6" s="874"/>
      <c r="G6" s="874"/>
      <c r="H6" s="874"/>
      <c r="I6" s="874"/>
      <c r="P6" s="874"/>
    </row>
    <row r="7" spans="2:24" x14ac:dyDescent="0.3">
      <c r="B7" s="167" t="s">
        <v>509</v>
      </c>
      <c r="C7" s="874"/>
      <c r="D7" s="874"/>
      <c r="E7" s="874"/>
      <c r="F7" s="874"/>
      <c r="G7" s="874"/>
      <c r="H7" s="874"/>
      <c r="I7" s="874"/>
      <c r="O7" s="167" t="s">
        <v>510</v>
      </c>
      <c r="P7" s="874"/>
    </row>
    <row r="8" spans="2:24" x14ac:dyDescent="0.3">
      <c r="B8" s="593" t="s">
        <v>628</v>
      </c>
      <c r="C8" s="874"/>
      <c r="D8" s="874"/>
      <c r="E8" s="874"/>
      <c r="F8" s="874"/>
      <c r="G8" s="874"/>
      <c r="H8" s="874"/>
      <c r="I8" s="874"/>
      <c r="O8" s="593" t="s">
        <v>629</v>
      </c>
      <c r="P8" s="874"/>
    </row>
    <row r="9" spans="2:24" x14ac:dyDescent="0.3">
      <c r="B9" s="593" t="s">
        <v>508</v>
      </c>
      <c r="C9" s="874"/>
      <c r="D9" s="874"/>
      <c r="E9" s="874"/>
      <c r="F9" s="874"/>
      <c r="G9" s="874"/>
      <c r="H9" s="874"/>
      <c r="I9" s="874"/>
      <c r="O9" s="593" t="s">
        <v>630</v>
      </c>
      <c r="P9" s="874"/>
    </row>
    <row r="10" spans="2:24" ht="13.5" thickBot="1" x14ac:dyDescent="0.35">
      <c r="C10" s="874"/>
      <c r="D10" s="874"/>
      <c r="E10" s="874"/>
      <c r="F10" s="874"/>
      <c r="G10" s="874"/>
      <c r="H10" s="874"/>
      <c r="I10" s="874"/>
      <c r="P10" s="874"/>
    </row>
    <row r="11" spans="2:24" ht="13.5" thickBot="1" x14ac:dyDescent="0.35">
      <c r="B11" s="875"/>
      <c r="C11" s="874"/>
      <c r="D11" s="1903" t="s">
        <v>511</v>
      </c>
      <c r="E11" s="1904"/>
      <c r="F11" s="1904"/>
      <c r="G11" s="1904"/>
      <c r="H11" s="1904"/>
      <c r="I11" s="1904"/>
      <c r="J11" s="1904"/>
      <c r="K11" s="1904"/>
      <c r="L11" s="1905"/>
      <c r="M11" s="1238"/>
      <c r="N11" s="1238"/>
      <c r="O11" s="875"/>
      <c r="P11" s="874"/>
      <c r="Q11" s="1900" t="s">
        <v>512</v>
      </c>
      <c r="R11" s="1901"/>
      <c r="S11" s="1901"/>
      <c r="T11" s="1901"/>
      <c r="U11" s="1901"/>
      <c r="V11" s="1901"/>
      <c r="W11" s="1901"/>
      <c r="X11" s="1902"/>
    </row>
    <row r="12" spans="2:24" ht="13.5" customHeight="1" thickBot="1" x14ac:dyDescent="0.35">
      <c r="B12" s="969"/>
      <c r="C12" s="1366"/>
      <c r="D12" s="970"/>
      <c r="E12" s="970"/>
      <c r="F12" s="940" t="s">
        <v>172</v>
      </c>
      <c r="G12" s="940" t="s">
        <v>451</v>
      </c>
      <c r="H12" s="970"/>
      <c r="I12" s="970"/>
      <c r="J12" s="1846" t="s">
        <v>206</v>
      </c>
      <c r="K12" s="1847"/>
      <c r="L12" s="1848"/>
      <c r="M12" s="57"/>
      <c r="N12" s="57"/>
      <c r="O12" s="969"/>
      <c r="P12" s="970"/>
      <c r="Q12" s="969"/>
      <c r="R12" s="970"/>
      <c r="S12" s="940" t="s">
        <v>172</v>
      </c>
      <c r="T12" s="970"/>
      <c r="U12" s="970"/>
      <c r="V12" s="1846" t="s">
        <v>206</v>
      </c>
      <c r="W12" s="1847"/>
      <c r="X12" s="1848"/>
    </row>
    <row r="13" spans="2:24" ht="52" x14ac:dyDescent="0.3">
      <c r="B13" s="1331" t="s">
        <v>167</v>
      </c>
      <c r="C13" s="69" t="s">
        <v>153</v>
      </c>
      <c r="D13" s="68" t="s">
        <v>200</v>
      </c>
      <c r="E13" s="68" t="s">
        <v>201</v>
      </c>
      <c r="F13" s="66" t="s">
        <v>194</v>
      </c>
      <c r="G13" s="1136" t="s">
        <v>462</v>
      </c>
      <c r="H13" s="68" t="s">
        <v>195</v>
      </c>
      <c r="I13" s="68" t="s">
        <v>196</v>
      </c>
      <c r="J13" s="1243" t="s">
        <v>197</v>
      </c>
      <c r="K13" s="1244" t="s">
        <v>198</v>
      </c>
      <c r="L13" s="1245" t="s">
        <v>199</v>
      </c>
      <c r="M13" s="68"/>
      <c r="N13" s="68"/>
      <c r="O13" s="1331" t="s">
        <v>167</v>
      </c>
      <c r="P13" s="68" t="s">
        <v>153</v>
      </c>
      <c r="Q13" s="981" t="s">
        <v>200</v>
      </c>
      <c r="R13" s="68" t="s">
        <v>201</v>
      </c>
      <c r="S13" s="66" t="s">
        <v>194</v>
      </c>
      <c r="T13" s="68" t="s">
        <v>195</v>
      </c>
      <c r="U13" s="68" t="s">
        <v>196</v>
      </c>
      <c r="V13" s="67" t="s">
        <v>197</v>
      </c>
      <c r="W13" s="68" t="s">
        <v>198</v>
      </c>
      <c r="X13" s="69" t="s">
        <v>199</v>
      </c>
    </row>
    <row r="14" spans="2:24" x14ac:dyDescent="0.3">
      <c r="B14" s="1251"/>
      <c r="C14" s="73"/>
      <c r="D14" s="71"/>
      <c r="E14" s="71"/>
      <c r="F14" s="1241" t="s">
        <v>190</v>
      </c>
      <c r="G14" s="1241" t="s">
        <v>191</v>
      </c>
      <c r="H14" s="71"/>
      <c r="I14" s="71"/>
      <c r="J14" s="72"/>
      <c r="K14" s="71"/>
      <c r="L14" s="73"/>
      <c r="M14" s="68"/>
      <c r="N14" s="68"/>
      <c r="O14" s="1251"/>
      <c r="P14" s="71"/>
      <c r="Q14" s="979"/>
      <c r="R14" s="71"/>
      <c r="S14" s="1241" t="s">
        <v>190</v>
      </c>
      <c r="T14" s="71"/>
      <c r="U14" s="71"/>
      <c r="V14" s="72"/>
      <c r="W14" s="71"/>
      <c r="X14" s="73"/>
    </row>
    <row r="15" spans="2:24" ht="13.5" thickBot="1" x14ac:dyDescent="0.35">
      <c r="B15" s="1253"/>
      <c r="C15" s="1362"/>
      <c r="D15" s="108" t="s">
        <v>35</v>
      </c>
      <c r="E15" s="108" t="s">
        <v>36</v>
      </c>
      <c r="F15" s="128" t="s">
        <v>13</v>
      </c>
      <c r="G15" s="128" t="s">
        <v>37</v>
      </c>
      <c r="H15" s="108" t="s">
        <v>469</v>
      </c>
      <c r="I15" s="108" t="s">
        <v>453</v>
      </c>
      <c r="J15" s="124" t="s">
        <v>40</v>
      </c>
      <c r="K15" s="108" t="s">
        <v>41</v>
      </c>
      <c r="L15" s="125" t="s">
        <v>42</v>
      </c>
      <c r="M15" s="611"/>
      <c r="N15" s="611"/>
      <c r="O15" s="1253"/>
      <c r="P15" s="75"/>
      <c r="Q15" s="980" t="s">
        <v>35</v>
      </c>
      <c r="R15" s="108" t="s">
        <v>36</v>
      </c>
      <c r="S15" s="128" t="s">
        <v>13</v>
      </c>
      <c r="T15" s="108" t="s">
        <v>207</v>
      </c>
      <c r="U15" s="108" t="s">
        <v>208</v>
      </c>
      <c r="V15" s="124" t="s">
        <v>39</v>
      </c>
      <c r="W15" s="108" t="s">
        <v>40</v>
      </c>
      <c r="X15" s="125" t="s">
        <v>41</v>
      </c>
    </row>
    <row r="16" spans="2:24" ht="12" customHeight="1" thickTop="1" x14ac:dyDescent="0.3">
      <c r="B16" s="279"/>
      <c r="C16" s="69"/>
      <c r="D16" s="68"/>
      <c r="E16" s="68"/>
      <c r="F16" s="66"/>
      <c r="G16" s="66"/>
      <c r="H16" s="68"/>
      <c r="I16" s="68"/>
      <c r="J16" s="67"/>
      <c r="K16" s="68"/>
      <c r="L16" s="69"/>
      <c r="M16" s="68"/>
      <c r="N16" s="68"/>
      <c r="O16" s="279"/>
      <c r="P16" s="68"/>
      <c r="Q16" s="981"/>
      <c r="R16" s="68"/>
      <c r="S16" s="66"/>
      <c r="T16" s="68"/>
      <c r="U16" s="68"/>
      <c r="V16" s="67"/>
      <c r="W16" s="68"/>
      <c r="X16" s="69"/>
    </row>
    <row r="17" spans="2:24" x14ac:dyDescent="0.3">
      <c r="B17" s="279">
        <v>1</v>
      </c>
      <c r="C17" s="1363" t="s">
        <v>268</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35">
        <f>'Avg Bill by RS'!S14</f>
        <v>7.0999999999999994E-2</v>
      </c>
      <c r="M17" s="1236"/>
      <c r="N17" s="1236"/>
      <c r="O17" s="279">
        <v>1</v>
      </c>
      <c r="P17" s="78" t="s">
        <v>268</v>
      </c>
      <c r="Q17" s="1139">
        <f t="shared" ref="Q17:Q39" si="0">H17</f>
        <v>230543.5487528964</v>
      </c>
      <c r="R17" s="80">
        <f t="shared" ref="R17:R39" si="1">I17</f>
        <v>305599.54875289643</v>
      </c>
      <c r="S17" s="81">
        <f>SUM('Rev Req Proof Yr2'!AF14:AH14)</f>
        <v>13236.513970769913</v>
      </c>
      <c r="T17" s="80">
        <f>Q17+S17</f>
        <v>243780.06272366631</v>
      </c>
      <c r="U17" s="80">
        <f>R17+S17</f>
        <v>318836.06272366631</v>
      </c>
      <c r="V17" s="82">
        <f>IFERROR((S17)/Q17,0)</f>
        <v>5.7414375905860682E-2</v>
      </c>
      <c r="W17" s="83">
        <f>IFERROR((S17)/R17,0)</f>
        <v>4.3313264122234602E-2</v>
      </c>
      <c r="X17" s="582">
        <f>'Avg Bill by RS'!AO14</f>
        <v>3.7999999999999999E-2</v>
      </c>
    </row>
    <row r="18" spans="2:24" x14ac:dyDescent="0.3">
      <c r="B18" s="279">
        <v>2</v>
      </c>
      <c r="C18" s="767" t="s">
        <v>269</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2">D18+F18+G18</f>
        <v>41553.219820603801</v>
      </c>
      <c r="I18" s="80">
        <f t="shared" ref="I18:I39" si="3">E18+F18+G18</f>
        <v>57820.219820603801</v>
      </c>
      <c r="J18" s="82">
        <f t="shared" ref="J18:J39" si="4">IFERROR((F18+G18)/D18,0)</f>
        <v>0.10501007894275873</v>
      </c>
      <c r="K18" s="83">
        <f t="shared" ref="K18:K39" si="5">IFERROR((F18+G18)/E18,0)</f>
        <v>7.3301239701954263E-2</v>
      </c>
      <c r="L18" s="1235">
        <f>'Avg Bill by RS'!S15</f>
        <v>6.8000000000000005E-2</v>
      </c>
      <c r="M18" s="1236"/>
      <c r="N18" s="1236"/>
      <c r="O18" s="279">
        <v>2</v>
      </c>
      <c r="P18" s="85" t="s">
        <v>269</v>
      </c>
      <c r="Q18" s="1139">
        <f t="shared" si="0"/>
        <v>41553.219820603801</v>
      </c>
      <c r="R18" s="80">
        <f t="shared" si="1"/>
        <v>57820.219820603801</v>
      </c>
      <c r="S18" s="81">
        <f>SUM('Rev Req Proof Yr2'!AF15:AH15)</f>
        <v>2385.5920692214495</v>
      </c>
      <c r="T18" s="80">
        <f t="shared" ref="T18:T39" si="6">Q18+S18</f>
        <v>43938.811889825251</v>
      </c>
      <c r="U18" s="80">
        <f t="shared" ref="U18:U39" si="7">R18+S18</f>
        <v>60205.811889825251</v>
      </c>
      <c r="V18" s="82">
        <f t="shared" ref="V18:V38" si="8">IFERROR((S18)/Q18,0)</f>
        <v>5.7410522686826171E-2</v>
      </c>
      <c r="W18" s="83">
        <f>IFERROR((S18)/R18,0)</f>
        <v>4.1258785881878673E-2</v>
      </c>
      <c r="X18" s="582">
        <f>'Avg Bill by RS'!AO15</f>
        <v>3.5999999999999997E-2</v>
      </c>
    </row>
    <row r="19" spans="2:24" x14ac:dyDescent="0.3">
      <c r="B19" s="279">
        <v>3</v>
      </c>
      <c r="C19" s="767"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2"/>
        <v>37346997.639098279</v>
      </c>
      <c r="I19" s="80">
        <f t="shared" si="3"/>
        <v>56557095.639098279</v>
      </c>
      <c r="J19" s="82">
        <f t="shared" si="4"/>
        <v>0.10500288751390384</v>
      </c>
      <c r="K19" s="83">
        <f t="shared" si="5"/>
        <v>6.6949985299829928E-2</v>
      </c>
      <c r="L19" s="1235">
        <f>'Avg Bill by RS'!S16</f>
        <v>6.3E-2</v>
      </c>
      <c r="M19" s="1236"/>
      <c r="N19" s="1236"/>
      <c r="O19" s="279">
        <v>3</v>
      </c>
      <c r="P19" s="85" t="s">
        <v>12</v>
      </c>
      <c r="Q19" s="1139">
        <f t="shared" si="0"/>
        <v>37346997.639098279</v>
      </c>
      <c r="R19" s="80">
        <f t="shared" si="1"/>
        <v>56557095.639098279</v>
      </c>
      <c r="S19" s="81">
        <f>SUM('Rev Req Proof Yr2'!AF16:AH16)</f>
        <v>2144286.1859339848</v>
      </c>
      <c r="T19" s="80">
        <f t="shared" si="6"/>
        <v>39491283.825032264</v>
      </c>
      <c r="U19" s="80">
        <f t="shared" si="7"/>
        <v>58701381.825032264</v>
      </c>
      <c r="V19" s="82">
        <f t="shared" si="8"/>
        <v>5.7415222681492031E-2</v>
      </c>
      <c r="W19" s="83">
        <f t="shared" ref="W19:W38" si="9">IFERROR((S19)/R19,0)</f>
        <v>3.7913654541546618E-2</v>
      </c>
      <c r="X19" s="582">
        <f>'Avg Bill by RS'!AO16</f>
        <v>3.3000000000000002E-2</v>
      </c>
    </row>
    <row r="20" spans="2:24" x14ac:dyDescent="0.3">
      <c r="B20" s="279">
        <v>4</v>
      </c>
      <c r="C20" s="767"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2"/>
        <v>10902287.61190678</v>
      </c>
      <c r="I20" s="80">
        <f t="shared" si="3"/>
        <v>17148126.611906782</v>
      </c>
      <c r="J20" s="82">
        <f t="shared" si="4"/>
        <v>0.10501742275670389</v>
      </c>
      <c r="K20" s="83">
        <f t="shared" si="5"/>
        <v>6.430729198708024E-2</v>
      </c>
      <c r="L20" s="1235">
        <f>'Avg Bill by RS'!S17</f>
        <v>0.06</v>
      </c>
      <c r="M20" s="1236"/>
      <c r="N20" s="1236"/>
      <c r="O20" s="279">
        <v>4</v>
      </c>
      <c r="P20" s="85" t="s">
        <v>10</v>
      </c>
      <c r="Q20" s="1139">
        <f t="shared" si="0"/>
        <v>10902287.61190678</v>
      </c>
      <c r="R20" s="80">
        <f t="shared" si="1"/>
        <v>17148126.611906782</v>
      </c>
      <c r="S20" s="81">
        <f>SUM('Rev Req Proof Yr2'!AF17:AH17)</f>
        <v>625888.38754716702</v>
      </c>
      <c r="T20" s="80">
        <f t="shared" si="6"/>
        <v>11528175.999453947</v>
      </c>
      <c r="U20" s="80">
        <f t="shared" si="7"/>
        <v>17774014.999453947</v>
      </c>
      <c r="V20" s="82">
        <f t="shared" si="8"/>
        <v>5.7408904426958229E-2</v>
      </c>
      <c r="W20" s="83">
        <f t="shared" si="9"/>
        <v>3.6498936689246399E-2</v>
      </c>
      <c r="X20" s="582">
        <f>'Avg Bill by RS'!AO17</f>
        <v>3.1E-2</v>
      </c>
    </row>
    <row r="21" spans="2:24" x14ac:dyDescent="0.3">
      <c r="B21" s="279">
        <v>5</v>
      </c>
      <c r="C21" s="767"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2"/>
        <v>156786.12809190157</v>
      </c>
      <c r="I21" s="80">
        <f t="shared" si="3"/>
        <v>255941.12809190157</v>
      </c>
      <c r="J21" s="82">
        <f t="shared" si="4"/>
        <v>0.10499356474272831</v>
      </c>
      <c r="K21" s="83">
        <f t="shared" si="5"/>
        <v>6.1803737213205992E-2</v>
      </c>
      <c r="L21" s="1235">
        <f>'Avg Bill by RS'!S18</f>
        <v>6.2E-2</v>
      </c>
      <c r="M21" s="1236"/>
      <c r="N21" s="1236"/>
      <c r="O21" s="279">
        <v>5</v>
      </c>
      <c r="P21" s="85" t="s">
        <v>11</v>
      </c>
      <c r="Q21" s="1139">
        <f t="shared" si="0"/>
        <v>156786.12809190157</v>
      </c>
      <c r="R21" s="80">
        <f t="shared" si="1"/>
        <v>255941.12809190157</v>
      </c>
      <c r="S21" s="81">
        <f>SUM('Rev Req Proof Yr2'!AF18:AH18)</f>
        <v>9000.2779600000067</v>
      </c>
      <c r="T21" s="80">
        <f t="shared" si="6"/>
        <v>165786.40605190158</v>
      </c>
      <c r="U21" s="80">
        <f t="shared" si="7"/>
        <v>264941.40605190158</v>
      </c>
      <c r="V21" s="82">
        <f t="shared" si="8"/>
        <v>5.7404810422542064E-2</v>
      </c>
      <c r="W21" s="83">
        <f t="shared" si="9"/>
        <v>3.5165422716931405E-2</v>
      </c>
      <c r="X21" s="582">
        <f>'Avg Bill by RS'!AO18</f>
        <v>3.2000000000000001E-2</v>
      </c>
    </row>
    <row r="22" spans="2:24" x14ac:dyDescent="0.3">
      <c r="B22" s="279">
        <v>6</v>
      </c>
      <c r="C22" s="767" t="s">
        <v>434</v>
      </c>
      <c r="D22" s="79">
        <f>'Rate Spread SETTLEMENT'!J$15</f>
        <v>201938.20437801833</v>
      </c>
      <c r="E22" s="80">
        <f>'Rate Spread SETTLEMENT'!J$14</f>
        <v>363218.20437801839</v>
      </c>
      <c r="F22" s="81">
        <f>SUM('Rev Req Proof Yr1'!AF19:AH19)</f>
        <v>23096.270772728705</v>
      </c>
      <c r="G22" s="81">
        <f>SUM('Rev Req Proof Yr1'!AM19:AO19)</f>
        <v>-1891.6242542586419</v>
      </c>
      <c r="H22" s="80">
        <f t="shared" si="2"/>
        <v>223142.85089648841</v>
      </c>
      <c r="I22" s="80">
        <f t="shared" si="3"/>
        <v>384422.85089648847</v>
      </c>
      <c r="J22" s="82">
        <f t="shared" si="4"/>
        <v>0.10500562082237799</v>
      </c>
      <c r="K22" s="83">
        <f t="shared" si="5"/>
        <v>5.837991120181131E-2</v>
      </c>
      <c r="L22" s="1235">
        <f>'Avg Bill by RS'!S19</f>
        <v>5.6000000000000001E-2</v>
      </c>
      <c r="M22" s="1236"/>
      <c r="N22" s="1236"/>
      <c r="O22" s="279">
        <v>6</v>
      </c>
      <c r="P22" s="85" t="s">
        <v>434</v>
      </c>
      <c r="Q22" s="1139">
        <f t="shared" si="0"/>
        <v>223142.85089648841</v>
      </c>
      <c r="R22" s="80">
        <f t="shared" si="1"/>
        <v>384422.85089648847</v>
      </c>
      <c r="S22" s="81">
        <f>SUM('Rev Req Proof Yr2'!AF19:AH19)</f>
        <v>12812.294034332299</v>
      </c>
      <c r="T22" s="80">
        <f t="shared" si="6"/>
        <v>235955.14493082071</v>
      </c>
      <c r="U22" s="80">
        <f t="shared" si="7"/>
        <v>397235.1449308208</v>
      </c>
      <c r="V22" s="82">
        <f t="shared" si="8"/>
        <v>5.7417452465352209E-2</v>
      </c>
      <c r="W22" s="83">
        <f t="shared" si="9"/>
        <v>3.3328648399681624E-2</v>
      </c>
      <c r="X22" s="582">
        <f>'Avg Bill by RS'!AO19</f>
        <v>2.9000000000000001E-2</v>
      </c>
    </row>
    <row r="23" spans="2:24" x14ac:dyDescent="0.3">
      <c r="B23" s="279">
        <v>7</v>
      </c>
      <c r="C23" s="767" t="s">
        <v>339</v>
      </c>
      <c r="D23" s="79">
        <f>'Rate Spread SETTLEMENT'!K$15</f>
        <v>1542348.175315036</v>
      </c>
      <c r="E23" s="80">
        <f>'Rate Spread SETTLEMENT'!K$14</f>
        <v>2853836.1753150364</v>
      </c>
      <c r="F23" s="81">
        <f>SUM('Rev Req Proof Yr1'!AF22:AH22)</f>
        <v>176417.40376421309</v>
      </c>
      <c r="G23" s="81">
        <f>SUM('Rev Req Proof Yr1'!AM22:AO22)</f>
        <v>-14451.994176944718</v>
      </c>
      <c r="H23" s="80">
        <f t="shared" si="2"/>
        <v>1704313.5849023042</v>
      </c>
      <c r="I23" s="80">
        <f t="shared" si="3"/>
        <v>3015801.5849023047</v>
      </c>
      <c r="J23" s="82">
        <f t="shared" si="4"/>
        <v>0.10501222238888164</v>
      </c>
      <c r="K23" s="83">
        <f t="shared" si="5"/>
        <v>5.6753576462527294E-2</v>
      </c>
      <c r="L23" s="1235">
        <f>'Avg Bill by RS'!S22</f>
        <v>6.2E-2</v>
      </c>
      <c r="M23" s="1236"/>
      <c r="N23" s="1236"/>
      <c r="O23" s="279">
        <v>7</v>
      </c>
      <c r="P23" s="85" t="s">
        <v>339</v>
      </c>
      <c r="Q23" s="1139">
        <f t="shared" si="0"/>
        <v>1704313.5849023042</v>
      </c>
      <c r="R23" s="80">
        <f t="shared" si="1"/>
        <v>3015801.5849023047</v>
      </c>
      <c r="S23" s="81">
        <f>SUM('Rev Req Proof Yr2'!AF22:AH22)</f>
        <v>97836.782478516921</v>
      </c>
      <c r="T23" s="80">
        <f t="shared" si="6"/>
        <v>1802150.3673808211</v>
      </c>
      <c r="U23" s="80">
        <f t="shared" si="7"/>
        <v>3113638.3673808216</v>
      </c>
      <c r="V23" s="82">
        <f t="shared" si="8"/>
        <v>5.7405387919926242E-2</v>
      </c>
      <c r="W23" s="83">
        <f t="shared" si="9"/>
        <v>3.2441385722557836E-2</v>
      </c>
      <c r="X23" s="582">
        <f>'Avg Bill by RS'!AO22</f>
        <v>3.1E-2</v>
      </c>
    </row>
    <row r="24" spans="2:24" x14ac:dyDescent="0.3">
      <c r="B24" s="279">
        <v>8</v>
      </c>
      <c r="C24" s="767" t="s">
        <v>340</v>
      </c>
      <c r="D24" s="79">
        <f>'Rate Spread SETTLEMENT'!L$15</f>
        <v>392614.2804678994</v>
      </c>
      <c r="E24" s="80">
        <f>'Rate Spread SETTLEMENT'!L$14</f>
        <v>747266.28046789952</v>
      </c>
      <c r="F24" s="81">
        <f>SUM('Rev Req Proof Yr1'!AF25:AH25)</f>
        <v>21671.68520800001</v>
      </c>
      <c r="G24" s="81">
        <f>SUM('Rev Req Proof Yr1'!AM25:AO25)</f>
        <v>-3674.6766820000012</v>
      </c>
      <c r="H24" s="80">
        <f t="shared" si="2"/>
        <v>410611.28899389942</v>
      </c>
      <c r="I24" s="80">
        <f t="shared" si="3"/>
        <v>765263.28899389948</v>
      </c>
      <c r="J24" s="82">
        <f t="shared" si="4"/>
        <v>4.5838904546599814E-2</v>
      </c>
      <c r="K24" s="83">
        <f t="shared" si="5"/>
        <v>2.4083795825406724E-2</v>
      </c>
      <c r="L24" s="1235">
        <f>'Avg Bill by RS'!S25</f>
        <v>2.8000000000000001E-2</v>
      </c>
      <c r="M24" s="1236"/>
      <c r="N24" s="1236"/>
      <c r="O24" s="279">
        <v>8</v>
      </c>
      <c r="P24" s="85" t="s">
        <v>340</v>
      </c>
      <c r="Q24" s="1139">
        <f t="shared" si="0"/>
        <v>410611.28899389942</v>
      </c>
      <c r="R24" s="80">
        <f t="shared" si="1"/>
        <v>765263.28899389948</v>
      </c>
      <c r="S24" s="81">
        <f>SUM('Rev Req Proof Yr2'!AF25:AH25)</f>
        <v>8210.41994599998</v>
      </c>
      <c r="T24" s="80">
        <f t="shared" si="6"/>
        <v>418821.7089398994</v>
      </c>
      <c r="U24" s="80">
        <f t="shared" si="7"/>
        <v>773473.70893989946</v>
      </c>
      <c r="V24" s="82">
        <f t="shared" si="8"/>
        <v>1.9995602084193952E-2</v>
      </c>
      <c r="W24" s="83">
        <f t="shared" si="9"/>
        <v>1.0728882548115321E-2</v>
      </c>
      <c r="X24" s="582">
        <f>'Avg Bill by RS'!AO25</f>
        <v>1.0999999999999999E-2</v>
      </c>
    </row>
    <row r="25" spans="2:24" x14ac:dyDescent="0.3">
      <c r="B25" s="279">
        <v>9</v>
      </c>
      <c r="C25" s="767" t="s">
        <v>342</v>
      </c>
      <c r="D25" s="79">
        <f>'Rate Spread SETTLEMENT'!M$15</f>
        <v>0</v>
      </c>
      <c r="E25" s="80">
        <f>'Rate Spread SETTLEMENT'!M$14</f>
        <v>0</v>
      </c>
      <c r="F25" s="81">
        <f>SUM('Rev Req Proof Yr1'!AF28:AH28)</f>
        <v>0</v>
      </c>
      <c r="G25" s="81">
        <f>SUM('Rev Req Proof Yr1'!AM28:AO28)</f>
        <v>0</v>
      </c>
      <c r="H25" s="80">
        <f t="shared" si="2"/>
        <v>0</v>
      </c>
      <c r="I25" s="80">
        <f t="shared" si="3"/>
        <v>0</v>
      </c>
      <c r="J25" s="82">
        <f t="shared" si="4"/>
        <v>0</v>
      </c>
      <c r="K25" s="83">
        <f t="shared" si="5"/>
        <v>0</v>
      </c>
      <c r="L25" s="1235">
        <f>'Avg Bill by RS'!S28</f>
        <v>0</v>
      </c>
      <c r="M25" s="1236"/>
      <c r="N25" s="1236"/>
      <c r="O25" s="279">
        <v>9</v>
      </c>
      <c r="P25" s="85" t="s">
        <v>342</v>
      </c>
      <c r="Q25" s="1139">
        <f t="shared" si="0"/>
        <v>0</v>
      </c>
      <c r="R25" s="80">
        <f t="shared" si="1"/>
        <v>0</v>
      </c>
      <c r="S25" s="81">
        <f>SUM('Rev Req Proof Yr2'!AF28:AH28)</f>
        <v>0</v>
      </c>
      <c r="T25" s="80">
        <f t="shared" si="6"/>
        <v>0</v>
      </c>
      <c r="U25" s="80">
        <f t="shared" si="7"/>
        <v>0</v>
      </c>
      <c r="V25" s="82">
        <f t="shared" si="8"/>
        <v>0</v>
      </c>
      <c r="W25" s="83">
        <f t="shared" si="9"/>
        <v>0</v>
      </c>
      <c r="X25" s="582">
        <f>'Avg Bill by RS'!AO28</f>
        <v>0</v>
      </c>
    </row>
    <row r="26" spans="2:24" x14ac:dyDescent="0.3">
      <c r="B26" s="279">
        <v>10</v>
      </c>
      <c r="C26" s="767" t="s">
        <v>343</v>
      </c>
      <c r="D26" s="79">
        <f>'Rate Spread SETTLEMENT'!N$15</f>
        <v>0</v>
      </c>
      <c r="E26" s="80">
        <f>'Rate Spread SETTLEMENT'!N$14</f>
        <v>0</v>
      </c>
      <c r="F26" s="81">
        <f>SUM('Rev Req Proof Yr1'!AF31:AH31)</f>
        <v>0</v>
      </c>
      <c r="G26" s="81">
        <f>SUM('Rev Req Proof Yr1'!AM31:AO31)</f>
        <v>0</v>
      </c>
      <c r="H26" s="80">
        <f t="shared" si="2"/>
        <v>0</v>
      </c>
      <c r="I26" s="80">
        <f t="shared" si="3"/>
        <v>0</v>
      </c>
      <c r="J26" s="82">
        <f t="shared" si="4"/>
        <v>0</v>
      </c>
      <c r="K26" s="83">
        <f t="shared" si="5"/>
        <v>0</v>
      </c>
      <c r="L26" s="1235">
        <f>'Avg Bill by RS'!S31</f>
        <v>0</v>
      </c>
      <c r="M26" s="1236"/>
      <c r="N26" s="1236"/>
      <c r="O26" s="279">
        <v>10</v>
      </c>
      <c r="P26" s="85" t="s">
        <v>343</v>
      </c>
      <c r="Q26" s="1139">
        <f t="shared" si="0"/>
        <v>0</v>
      </c>
      <c r="R26" s="80">
        <f t="shared" si="1"/>
        <v>0</v>
      </c>
      <c r="S26" s="81">
        <f>SUM('Rev Req Proof Yr2'!AF31:AH31)</f>
        <v>0</v>
      </c>
      <c r="T26" s="80">
        <f t="shared" si="6"/>
        <v>0</v>
      </c>
      <c r="U26" s="80">
        <f t="shared" si="7"/>
        <v>0</v>
      </c>
      <c r="V26" s="82">
        <f t="shared" si="8"/>
        <v>0</v>
      </c>
      <c r="W26" s="83">
        <f t="shared" si="9"/>
        <v>0</v>
      </c>
      <c r="X26" s="582">
        <f>'Avg Bill by RS'!AO31</f>
        <v>0</v>
      </c>
    </row>
    <row r="27" spans="2:24" x14ac:dyDescent="0.3">
      <c r="B27" s="279">
        <v>11</v>
      </c>
      <c r="C27" s="767" t="s">
        <v>344</v>
      </c>
      <c r="D27" s="79">
        <f>'Rate Spread SETTLEMENT'!O$15</f>
        <v>189841.33809000003</v>
      </c>
      <c r="E27" s="80">
        <f>'Rate Spread SETTLEMENT'!O$14</f>
        <v>189841.33809000003</v>
      </c>
      <c r="F27" s="81">
        <f>SUM('Rev Req Proof Yr1'!AF34:AH34)</f>
        <v>10481.217639999981</v>
      </c>
      <c r="G27" s="81">
        <f>SUM('Rev Req Proof Yr1'!AM34:AO34)</f>
        <v>-1779.01313</v>
      </c>
      <c r="H27" s="80">
        <f t="shared" si="2"/>
        <v>198543.54260000002</v>
      </c>
      <c r="I27" s="80">
        <f t="shared" si="3"/>
        <v>198543.54260000002</v>
      </c>
      <c r="J27" s="82">
        <f t="shared" si="4"/>
        <v>4.5839355103336019E-2</v>
      </c>
      <c r="K27" s="83">
        <f t="shared" si="5"/>
        <v>4.5839355103336019E-2</v>
      </c>
      <c r="L27" s="1235">
        <f>'Avg Bill by RS'!S34</f>
        <v>4.5999999999999999E-2</v>
      </c>
      <c r="M27" s="1236"/>
      <c r="N27" s="1236"/>
      <c r="O27" s="279">
        <v>11</v>
      </c>
      <c r="P27" s="85" t="s">
        <v>344</v>
      </c>
      <c r="Q27" s="1139">
        <f t="shared" si="0"/>
        <v>198543.54260000002</v>
      </c>
      <c r="R27" s="80">
        <f t="shared" si="1"/>
        <v>198543.54260000002</v>
      </c>
      <c r="S27" s="81">
        <f>SUM('Rev Req Proof Yr2'!AF34:AH34)</f>
        <v>3971.2852100000018</v>
      </c>
      <c r="T27" s="80">
        <f t="shared" si="6"/>
        <v>202514.82781000002</v>
      </c>
      <c r="U27" s="80">
        <f t="shared" si="7"/>
        <v>202514.82781000002</v>
      </c>
      <c r="V27" s="82">
        <f>IFERROR((S27)/Q27,0)</f>
        <v>2.0002086988045925E-2</v>
      </c>
      <c r="W27" s="83">
        <f t="shared" si="9"/>
        <v>2.0002086988045925E-2</v>
      </c>
      <c r="X27" s="582">
        <f>'Avg Bill by RS'!AO34</f>
        <v>0.02</v>
      </c>
    </row>
    <row r="28" spans="2:24" x14ac:dyDescent="0.3">
      <c r="B28" s="279">
        <v>12</v>
      </c>
      <c r="C28" s="767" t="s">
        <v>345</v>
      </c>
      <c r="D28" s="79">
        <f>'Rate Spread SETTLEMENT'!P$15</f>
        <v>0</v>
      </c>
      <c r="E28" s="80">
        <f>'Rate Spread SETTLEMENT'!P$14</f>
        <v>0</v>
      </c>
      <c r="F28" s="81">
        <f>SUM('Rev Req Proof Yr1'!AF37:AH37)</f>
        <v>0</v>
      </c>
      <c r="G28" s="81">
        <f>SUM('Rev Req Proof Yr1'!AM37:AO37)</f>
        <v>0</v>
      </c>
      <c r="H28" s="80">
        <f t="shared" si="2"/>
        <v>0</v>
      </c>
      <c r="I28" s="80">
        <f t="shared" si="3"/>
        <v>0</v>
      </c>
      <c r="J28" s="82">
        <f t="shared" si="4"/>
        <v>0</v>
      </c>
      <c r="K28" s="83">
        <f t="shared" si="5"/>
        <v>0</v>
      </c>
      <c r="L28" s="1235">
        <f>'Avg Bill by RS'!S37</f>
        <v>0</v>
      </c>
      <c r="M28" s="1236"/>
      <c r="N28" s="1236"/>
      <c r="O28" s="279">
        <v>12</v>
      </c>
      <c r="P28" s="85" t="s">
        <v>345</v>
      </c>
      <c r="Q28" s="1139">
        <f t="shared" si="0"/>
        <v>0</v>
      </c>
      <c r="R28" s="80">
        <f t="shared" si="1"/>
        <v>0</v>
      </c>
      <c r="S28" s="81">
        <f>SUM('Rev Req Proof Yr2'!AF37:AH37)</f>
        <v>0</v>
      </c>
      <c r="T28" s="80">
        <f t="shared" si="6"/>
        <v>0</v>
      </c>
      <c r="U28" s="80">
        <f t="shared" si="7"/>
        <v>0</v>
      </c>
      <c r="V28" s="82">
        <f t="shared" si="8"/>
        <v>0</v>
      </c>
      <c r="W28" s="83">
        <f t="shared" si="9"/>
        <v>0</v>
      </c>
      <c r="X28" s="582">
        <f>'Avg Bill by RS'!AO37</f>
        <v>0</v>
      </c>
    </row>
    <row r="29" spans="2:24" x14ac:dyDescent="0.3">
      <c r="B29" s="279">
        <v>13</v>
      </c>
      <c r="C29" s="767" t="s">
        <v>346</v>
      </c>
      <c r="D29" s="79">
        <f>'Rate Spread SETTLEMENT'!Q$15</f>
        <v>219574.60083981926</v>
      </c>
      <c r="E29" s="80">
        <f>'Rate Spread SETTLEMENT'!Q$14</f>
        <v>470188.60083981924</v>
      </c>
      <c r="F29" s="81">
        <f>SUM('Rev Req Proof Yr1'!AF44:AH44)</f>
        <v>25112.297418342769</v>
      </c>
      <c r="G29" s="81">
        <f>SUM('Rev Req Proof Yr1'!AM44:AO44)</f>
        <v>-2055.595853643305</v>
      </c>
      <c r="H29" s="80">
        <f t="shared" si="2"/>
        <v>242631.3024045187</v>
      </c>
      <c r="I29" s="80">
        <f t="shared" si="3"/>
        <v>493245.3024045187</v>
      </c>
      <c r="J29" s="82">
        <f t="shared" si="4"/>
        <v>0.1050062323989806</v>
      </c>
      <c r="K29" s="83">
        <f t="shared" si="5"/>
        <v>4.9037134297847999E-2</v>
      </c>
      <c r="L29" s="1235">
        <f>'Avg Bill by RS'!S44</f>
        <v>6.3E-2</v>
      </c>
      <c r="M29" s="1236"/>
      <c r="N29" s="1236"/>
      <c r="O29" s="279">
        <v>13</v>
      </c>
      <c r="P29" s="85" t="s">
        <v>346</v>
      </c>
      <c r="Q29" s="1139">
        <f t="shared" si="0"/>
        <v>242631.3024045187</v>
      </c>
      <c r="R29" s="80">
        <f t="shared" si="1"/>
        <v>493245.3024045187</v>
      </c>
      <c r="S29" s="81">
        <f>SUM('Rev Req Proof Yr2'!AF44:AH44)</f>
        <v>13927.917812603351</v>
      </c>
      <c r="T29" s="80">
        <f t="shared" si="6"/>
        <v>256559.22021712206</v>
      </c>
      <c r="U29" s="80">
        <f t="shared" si="7"/>
        <v>507173.22021712206</v>
      </c>
      <c r="V29" s="82">
        <f t="shared" si="8"/>
        <v>5.7403631248628045E-2</v>
      </c>
      <c r="W29" s="83">
        <f t="shared" si="9"/>
        <v>2.8237304531246874E-2</v>
      </c>
      <c r="X29" s="582">
        <f>'Avg Bill by RS'!AO44</f>
        <v>3.1E-2</v>
      </c>
    </row>
    <row r="30" spans="2:24" x14ac:dyDescent="0.3">
      <c r="B30" s="279">
        <v>14</v>
      </c>
      <c r="C30" s="767" t="s">
        <v>347</v>
      </c>
      <c r="D30" s="79">
        <f>'Rate Spread SETTLEMENT'!R$15</f>
        <v>511672.37933789124</v>
      </c>
      <c r="E30" s="80">
        <f>'Rate Spread SETTLEMENT'!R$14</f>
        <v>1154958.3793378912</v>
      </c>
      <c r="F30" s="81">
        <f>SUM('Rev Req Proof Yr1'!AF51:AH51)</f>
        <v>28251.710180000027</v>
      </c>
      <c r="G30" s="81">
        <f>SUM('Rev Req Proof Yr1'!AM51:AO51)</f>
        <v>-4788.9728660000001</v>
      </c>
      <c r="H30" s="80">
        <f t="shared" si="2"/>
        <v>535135.11665189127</v>
      </c>
      <c r="I30" s="80">
        <f t="shared" si="3"/>
        <v>1178421.1166518913</v>
      </c>
      <c r="J30" s="82">
        <f t="shared" si="4"/>
        <v>4.5855000702521846E-2</v>
      </c>
      <c r="K30" s="83">
        <f t="shared" si="5"/>
        <v>2.0314790328159381E-2</v>
      </c>
      <c r="L30" s="1235">
        <f>'Avg Bill by RS'!S51</f>
        <v>2.5999999999999999E-2</v>
      </c>
      <c r="M30" s="1236"/>
      <c r="N30" s="1236"/>
      <c r="O30" s="279">
        <v>14</v>
      </c>
      <c r="P30" s="85" t="s">
        <v>347</v>
      </c>
      <c r="Q30" s="1139">
        <f t="shared" si="0"/>
        <v>535135.11665189127</v>
      </c>
      <c r="R30" s="80">
        <f t="shared" si="1"/>
        <v>1178421.1166518913</v>
      </c>
      <c r="S30" s="81">
        <f>SUM('Rev Req Proof Yr2'!AF51:AH51)</f>
        <v>10697.382511000014</v>
      </c>
      <c r="T30" s="80">
        <f t="shared" si="6"/>
        <v>545832.4991628913</v>
      </c>
      <c r="U30" s="80">
        <f t="shared" si="7"/>
        <v>1189118.4991628912</v>
      </c>
      <c r="V30" s="82">
        <f t="shared" si="8"/>
        <v>1.9990058918070833E-2</v>
      </c>
      <c r="W30" s="83">
        <f t="shared" si="9"/>
        <v>9.0777247283154797E-3</v>
      </c>
      <c r="X30" s="582">
        <f>'Avg Bill by RS'!AO51</f>
        <v>0.01</v>
      </c>
    </row>
    <row r="31" spans="2:24" x14ac:dyDescent="0.3">
      <c r="B31" s="279">
        <v>15</v>
      </c>
      <c r="C31" s="767" t="s">
        <v>348</v>
      </c>
      <c r="D31" s="79">
        <f>'Rate Spread SETTLEMENT'!S$15</f>
        <v>360784.67333999998</v>
      </c>
      <c r="E31" s="80">
        <f>'Rate Spread SETTLEMENT'!S$14</f>
        <v>360784.67333999998</v>
      </c>
      <c r="F31" s="81">
        <f>SUM('Rev Req Proof Yr1'!AF58:AH58)</f>
        <v>25027.144079999984</v>
      </c>
      <c r="G31" s="81">
        <f>SUM('Rev Req Proof Yr1'!AM58:AO58)</f>
        <v>-3383.8287</v>
      </c>
      <c r="H31" s="80">
        <f t="shared" si="2"/>
        <v>382427.98871999996</v>
      </c>
      <c r="I31" s="80">
        <f t="shared" si="3"/>
        <v>382427.98871999996</v>
      </c>
      <c r="J31" s="82">
        <f t="shared" si="4"/>
        <v>5.9989564356032206E-2</v>
      </c>
      <c r="K31" s="83">
        <f t="shared" si="5"/>
        <v>5.9989564356032206E-2</v>
      </c>
      <c r="L31" s="1235">
        <f>'Avg Bill by RS'!S58</f>
        <v>6.4000000000000001E-2</v>
      </c>
      <c r="M31" s="1236"/>
      <c r="N31" s="1236"/>
      <c r="O31" s="279">
        <v>15</v>
      </c>
      <c r="P31" s="85" t="s">
        <v>348</v>
      </c>
      <c r="Q31" s="1139">
        <f t="shared" si="0"/>
        <v>382427.98871999996</v>
      </c>
      <c r="R31" s="80">
        <f t="shared" si="1"/>
        <v>382427.98871999996</v>
      </c>
      <c r="S31" s="81">
        <f>SUM('Rev Req Proof Yr2'!AF58:AH58)</f>
        <v>11469.364369999996</v>
      </c>
      <c r="T31" s="80">
        <f t="shared" si="6"/>
        <v>393897.35308999999</v>
      </c>
      <c r="U31" s="80">
        <f t="shared" si="7"/>
        <v>393897.35308999999</v>
      </c>
      <c r="V31" s="82">
        <f t="shared" si="8"/>
        <v>2.9990912559481761E-2</v>
      </c>
      <c r="W31" s="83">
        <f t="shared" si="9"/>
        <v>2.9990912559481761E-2</v>
      </c>
      <c r="X31" s="582">
        <f>'Avg Bill by RS'!AO58</f>
        <v>3.2000000000000001E-2</v>
      </c>
    </row>
    <row r="32" spans="2:24" x14ac:dyDescent="0.3">
      <c r="B32" s="279">
        <v>16</v>
      </c>
      <c r="C32" s="767" t="s">
        <v>349</v>
      </c>
      <c r="D32" s="79">
        <f>'Rate Spread SETTLEMENT'!T$15</f>
        <v>823615.79209999996</v>
      </c>
      <c r="E32" s="80">
        <f>'Rate Spread SETTLEMENT'!T$14</f>
        <v>823615.79209999996</v>
      </c>
      <c r="F32" s="81">
        <f>SUM('Rev Req Proof Yr1'!AF65:AH65)</f>
        <v>45461.501829999994</v>
      </c>
      <c r="G32" s="81">
        <f>SUM('Rev Req Proof Yr1'!AM65:AO65)</f>
        <v>-7716.6626000000006</v>
      </c>
      <c r="H32" s="80">
        <f t="shared" si="2"/>
        <v>861360.63132999989</v>
      </c>
      <c r="I32" s="80">
        <f t="shared" si="3"/>
        <v>861360.63132999989</v>
      </c>
      <c r="J32" s="82">
        <f t="shared" si="4"/>
        <v>4.5828212125171554E-2</v>
      </c>
      <c r="K32" s="83">
        <f t="shared" si="5"/>
        <v>4.5828212125171554E-2</v>
      </c>
      <c r="L32" s="1235">
        <f>'Avg Bill by RS'!S65</f>
        <v>5.0999999999999997E-2</v>
      </c>
      <c r="M32" s="1236"/>
      <c r="N32" s="1236"/>
      <c r="O32" s="279">
        <v>16</v>
      </c>
      <c r="P32" s="85" t="s">
        <v>349</v>
      </c>
      <c r="Q32" s="1139">
        <f t="shared" si="0"/>
        <v>861360.63132999989</v>
      </c>
      <c r="R32" s="80">
        <f t="shared" si="1"/>
        <v>861360.63132999989</v>
      </c>
      <c r="S32" s="81">
        <f>SUM('Rev Req Proof Yr2'!AF65:AH65)</f>
        <v>17230.849550000014</v>
      </c>
      <c r="T32" s="80">
        <f t="shared" si="6"/>
        <v>878591.48087999993</v>
      </c>
      <c r="U32" s="80">
        <f t="shared" si="7"/>
        <v>878591.48087999993</v>
      </c>
      <c r="V32" s="82">
        <f t="shared" si="8"/>
        <v>2.0004222300471754E-2</v>
      </c>
      <c r="W32" s="83">
        <f t="shared" si="9"/>
        <v>2.0004222300471754E-2</v>
      </c>
      <c r="X32" s="582">
        <f>'Avg Bill by RS'!AO65</f>
        <v>2.1999999999999999E-2</v>
      </c>
    </row>
    <row r="33" spans="2:24" x14ac:dyDescent="0.3">
      <c r="B33" s="279">
        <v>17</v>
      </c>
      <c r="C33" s="767" t="s">
        <v>350</v>
      </c>
      <c r="D33" s="79">
        <f>'Rate Spread SETTLEMENT'!U$15</f>
        <v>160512.61187958997</v>
      </c>
      <c r="E33" s="80">
        <f>'Rate Spread SETTLEMENT'!U$14</f>
        <v>430728.61187958985</v>
      </c>
      <c r="F33" s="81">
        <f>SUM('Rev Req Proof Yr1'!AF72:AH72)</f>
        <v>18359.480149999996</v>
      </c>
      <c r="G33" s="81">
        <f>SUM('Rev Req Proof Yr1'!AM72:AO72)</f>
        <v>-1501.3931600000001</v>
      </c>
      <c r="H33" s="80">
        <f t="shared" si="2"/>
        <v>177370.69886958995</v>
      </c>
      <c r="I33" s="80">
        <f t="shared" si="3"/>
        <v>447586.69886958989</v>
      </c>
      <c r="J33" s="82">
        <f t="shared" si="4"/>
        <v>0.10502655705737471</v>
      </c>
      <c r="K33" s="83">
        <f t="shared" si="5"/>
        <v>3.9138535321430364E-2</v>
      </c>
      <c r="L33" s="1235">
        <f>'Avg Bill by RS'!S72</f>
        <v>4.1000000000000002E-2</v>
      </c>
      <c r="M33" s="1236"/>
      <c r="N33" s="1236"/>
      <c r="O33" s="279">
        <v>17</v>
      </c>
      <c r="P33" s="85" t="s">
        <v>350</v>
      </c>
      <c r="Q33" s="1139">
        <f t="shared" si="0"/>
        <v>177370.69886958995</v>
      </c>
      <c r="R33" s="80">
        <f t="shared" si="1"/>
        <v>447586.69886958989</v>
      </c>
      <c r="S33" s="81">
        <f>SUM('Rev Req Proof Yr2'!AF72:AH72)</f>
        <v>10182.187340000004</v>
      </c>
      <c r="T33" s="80">
        <f t="shared" si="6"/>
        <v>187552.88620958995</v>
      </c>
      <c r="U33" s="80">
        <f t="shared" si="7"/>
        <v>457768.88620958989</v>
      </c>
      <c r="V33" s="82">
        <f t="shared" si="8"/>
        <v>5.7406253709843903E-2</v>
      </c>
      <c r="W33" s="83">
        <f t="shared" si="9"/>
        <v>2.2749083843902864E-2</v>
      </c>
      <c r="X33" s="582">
        <f>'Avg Bill by RS'!AO72</f>
        <v>1.9E-2</v>
      </c>
    </row>
    <row r="34" spans="2:24" x14ac:dyDescent="0.3">
      <c r="B34" s="279">
        <v>18</v>
      </c>
      <c r="C34" s="767" t="s">
        <v>351</v>
      </c>
      <c r="D34" s="79">
        <f>'Rate Spread SETTLEMENT'!V$15</f>
        <v>81130.03459599179</v>
      </c>
      <c r="E34" s="80">
        <f>'Rate Spread SETTLEMENT'!V$14</f>
        <v>171731.03459599178</v>
      </c>
      <c r="F34" s="81">
        <f>SUM('Rev Req Proof Yr1'!AF79:AH79)</f>
        <v>4479.9151999999995</v>
      </c>
      <c r="G34" s="81">
        <f>SUM('Rev Req Proof Yr1'!AM79:AO79)</f>
        <v>-760.61590000000001</v>
      </c>
      <c r="H34" s="80">
        <f t="shared" si="2"/>
        <v>84849.333895991789</v>
      </c>
      <c r="I34" s="80">
        <f t="shared" si="3"/>
        <v>175450.33389599176</v>
      </c>
      <c r="J34" s="82">
        <f t="shared" si="4"/>
        <v>4.5843679452637023E-2</v>
      </c>
      <c r="K34" s="83">
        <f t="shared" si="5"/>
        <v>2.1657700419437226E-2</v>
      </c>
      <c r="L34" s="1235">
        <f>'Avg Bill by RS'!S79</f>
        <v>2.4E-2</v>
      </c>
      <c r="M34" s="1236"/>
      <c r="N34" s="1236"/>
      <c r="O34" s="279">
        <v>18</v>
      </c>
      <c r="P34" s="85" t="s">
        <v>351</v>
      </c>
      <c r="Q34" s="1139">
        <f t="shared" si="0"/>
        <v>84849.333895991789</v>
      </c>
      <c r="R34" s="80">
        <f t="shared" si="1"/>
        <v>175450.33389599176</v>
      </c>
      <c r="S34" s="81">
        <f>SUM('Rev Req Proof Yr2'!AF79:AH79)</f>
        <v>1696.7766999999985</v>
      </c>
      <c r="T34" s="80">
        <f t="shared" si="6"/>
        <v>86546.110595991791</v>
      </c>
      <c r="U34" s="80">
        <f t="shared" si="7"/>
        <v>177147.11059599175</v>
      </c>
      <c r="V34" s="82">
        <f t="shared" si="8"/>
        <v>1.9997525284994051E-2</v>
      </c>
      <c r="W34" s="83">
        <f t="shared" si="9"/>
        <v>9.6709801704102771E-3</v>
      </c>
      <c r="X34" s="582">
        <f>'Avg Bill by RS'!AO79</f>
        <v>8.9999999999999993E-3</v>
      </c>
    </row>
    <row r="35" spans="2:24" x14ac:dyDescent="0.3">
      <c r="B35" s="279">
        <v>19</v>
      </c>
      <c r="C35" s="767" t="s">
        <v>353</v>
      </c>
      <c r="D35" s="79">
        <f>'Rate Spread SETTLEMENT'!W$15</f>
        <v>0</v>
      </c>
      <c r="E35" s="80">
        <f>'Rate Spread SETTLEMENT'!W$14</f>
        <v>0</v>
      </c>
      <c r="F35" s="81">
        <f>SUM('Rev Req Proof Yr1'!AF86:AH86)</f>
        <v>0</v>
      </c>
      <c r="G35" s="81">
        <f>SUM('Rev Req Proof Yr1'!AM86:AO86)</f>
        <v>0</v>
      </c>
      <c r="H35" s="80">
        <f t="shared" si="2"/>
        <v>0</v>
      </c>
      <c r="I35" s="80">
        <f t="shared" si="3"/>
        <v>0</v>
      </c>
      <c r="J35" s="82">
        <f t="shared" si="4"/>
        <v>0</v>
      </c>
      <c r="K35" s="83">
        <f t="shared" si="5"/>
        <v>0</v>
      </c>
      <c r="L35" s="1235">
        <f>'Avg Bill by RS'!S86</f>
        <v>0</v>
      </c>
      <c r="M35" s="1236"/>
      <c r="N35" s="1236"/>
      <c r="O35" s="279">
        <v>19</v>
      </c>
      <c r="P35" s="85" t="s">
        <v>353</v>
      </c>
      <c r="Q35" s="1139">
        <f t="shared" si="0"/>
        <v>0</v>
      </c>
      <c r="R35" s="80">
        <f t="shared" si="1"/>
        <v>0</v>
      </c>
      <c r="S35" s="81">
        <f>SUM('Rev Req Proof Yr2'!AF86:AH86)</f>
        <v>0</v>
      </c>
      <c r="T35" s="80">
        <f t="shared" si="6"/>
        <v>0</v>
      </c>
      <c r="U35" s="80">
        <f t="shared" si="7"/>
        <v>0</v>
      </c>
      <c r="V35" s="82">
        <f t="shared" si="8"/>
        <v>0</v>
      </c>
      <c r="W35" s="83">
        <f t="shared" si="9"/>
        <v>0</v>
      </c>
      <c r="X35" s="582">
        <f>'Avg Bill by RS'!AO86</f>
        <v>0</v>
      </c>
    </row>
    <row r="36" spans="2:24" x14ac:dyDescent="0.3">
      <c r="B36" s="279">
        <v>20</v>
      </c>
      <c r="C36" s="767" t="s">
        <v>354</v>
      </c>
      <c r="D36" s="79">
        <f>'Rate Spread SETTLEMENT'!X$15</f>
        <v>825480.07319999998</v>
      </c>
      <c r="E36" s="80">
        <f>'Rate Spread SETTLEMENT'!X$14</f>
        <v>825480.07319999998</v>
      </c>
      <c r="F36" s="81">
        <f>SUM('Rev Req Proof Yr1'!AF93:AH93)</f>
        <v>45591.999140000014</v>
      </c>
      <c r="G36" s="81">
        <f>SUM('Rev Req Proof Yr1'!AM93:AO93)</f>
        <v>-7732.5836500000005</v>
      </c>
      <c r="H36" s="80">
        <f t="shared" si="2"/>
        <v>863339.48868999991</v>
      </c>
      <c r="I36" s="80">
        <f t="shared" si="3"/>
        <v>863339.48868999991</v>
      </c>
      <c r="J36" s="82">
        <f t="shared" si="4"/>
        <v>4.5863512299257295E-2</v>
      </c>
      <c r="K36" s="83">
        <f t="shared" si="5"/>
        <v>4.5863512299257295E-2</v>
      </c>
      <c r="L36" s="1235">
        <f>'Avg Bill by RS'!S93</f>
        <v>4.5999999999999999E-2</v>
      </c>
      <c r="M36" s="1236"/>
      <c r="N36" s="1236"/>
      <c r="O36" s="279">
        <v>20</v>
      </c>
      <c r="P36" s="85" t="s">
        <v>354</v>
      </c>
      <c r="Q36" s="1139">
        <f t="shared" si="0"/>
        <v>863339.48868999991</v>
      </c>
      <c r="R36" s="80">
        <f t="shared" si="1"/>
        <v>863339.48868999991</v>
      </c>
      <c r="S36" s="81">
        <f>SUM('Rev Req Proof Yr2'!AF93:AH93)</f>
        <v>17271.723759999964</v>
      </c>
      <c r="T36" s="80">
        <f t="shared" si="6"/>
        <v>880611.21244999988</v>
      </c>
      <c r="U36" s="80">
        <f t="shared" si="7"/>
        <v>880611.21244999988</v>
      </c>
      <c r="V36" s="82">
        <f t="shared" si="8"/>
        <v>2.0005715001183894E-2</v>
      </c>
      <c r="W36" s="83">
        <f t="shared" si="9"/>
        <v>2.0005715001183894E-2</v>
      </c>
      <c r="X36" s="582">
        <f>'Avg Bill by RS'!AO93</f>
        <v>0.02</v>
      </c>
    </row>
    <row r="37" spans="2:24" x14ac:dyDescent="0.3">
      <c r="B37" s="279">
        <v>21</v>
      </c>
      <c r="C37" s="767" t="s">
        <v>56</v>
      </c>
      <c r="D37" s="79">
        <f>'Rate Spread SETTLEMENT'!Y$15</f>
        <v>0</v>
      </c>
      <c r="E37" s="80">
        <f>'Rate Spread SETTLEMENT'!Y$14</f>
        <v>0</v>
      </c>
      <c r="F37" s="81">
        <f>SUM('Rev Req Proof Yr1'!AF94:AH94)</f>
        <v>0</v>
      </c>
      <c r="G37" s="81">
        <f>SUM('Rev Req Proof Yr1'!AM94:AO94)</f>
        <v>0</v>
      </c>
      <c r="H37" s="80">
        <f t="shared" si="2"/>
        <v>0</v>
      </c>
      <c r="I37" s="80">
        <f t="shared" si="3"/>
        <v>0</v>
      </c>
      <c r="J37" s="82">
        <f t="shared" si="4"/>
        <v>0</v>
      </c>
      <c r="K37" s="83">
        <f t="shared" si="5"/>
        <v>0</v>
      </c>
      <c r="L37" s="1235">
        <f>'Avg Bill by RS'!S94</f>
        <v>0</v>
      </c>
      <c r="M37" s="1236"/>
      <c r="N37" s="1236"/>
      <c r="O37" s="279">
        <v>21</v>
      </c>
      <c r="P37" s="85" t="s">
        <v>56</v>
      </c>
      <c r="Q37" s="1139">
        <f t="shared" si="0"/>
        <v>0</v>
      </c>
      <c r="R37" s="80">
        <f t="shared" si="1"/>
        <v>0</v>
      </c>
      <c r="S37" s="81">
        <f>SUM('Rev Req Proof Yr2'!AF94:AH94)</f>
        <v>0</v>
      </c>
      <c r="T37" s="80">
        <f t="shared" si="6"/>
        <v>0</v>
      </c>
      <c r="U37" s="80">
        <f t="shared" si="7"/>
        <v>0</v>
      </c>
      <c r="V37" s="82">
        <f t="shared" si="8"/>
        <v>0</v>
      </c>
      <c r="W37" s="83">
        <f t="shared" si="9"/>
        <v>0</v>
      </c>
      <c r="X37" s="582">
        <f>'Avg Bill by RS'!AO94</f>
        <v>0</v>
      </c>
    </row>
    <row r="38" spans="2:24" x14ac:dyDescent="0.3">
      <c r="B38" s="279">
        <v>22</v>
      </c>
      <c r="C38" s="767" t="s">
        <v>335</v>
      </c>
      <c r="D38" s="79">
        <f>'Rate Spread SETTLEMENT'!Z$15</f>
        <v>0</v>
      </c>
      <c r="E38" s="80">
        <f>'Rate Spread SETTLEMENT'!Z$14</f>
        <v>0</v>
      </c>
      <c r="F38" s="81">
        <f>SUM('Rev Req Proof Yr1'!AF95:AH95)</f>
        <v>0</v>
      </c>
      <c r="G38" s="81">
        <f>SUM('Rev Req Proof Yr1'!AM95:AO95)</f>
        <v>0</v>
      </c>
      <c r="H38" s="80">
        <f t="shared" si="2"/>
        <v>0</v>
      </c>
      <c r="I38" s="80">
        <f t="shared" si="3"/>
        <v>0</v>
      </c>
      <c r="J38" s="82">
        <f t="shared" si="4"/>
        <v>0</v>
      </c>
      <c r="K38" s="83">
        <f t="shared" si="5"/>
        <v>0</v>
      </c>
      <c r="L38" s="1235">
        <f>'Avg Bill by RS'!S95</f>
        <v>0</v>
      </c>
      <c r="M38" s="1236"/>
      <c r="N38" s="1236"/>
      <c r="O38" s="279">
        <v>22</v>
      </c>
      <c r="P38" s="85" t="s">
        <v>335</v>
      </c>
      <c r="Q38" s="1139">
        <f t="shared" si="0"/>
        <v>0</v>
      </c>
      <c r="R38" s="80">
        <f t="shared" si="1"/>
        <v>0</v>
      </c>
      <c r="S38" s="81">
        <f>SUM('Rev Req Proof Yr2'!AF95:AH95)</f>
        <v>0</v>
      </c>
      <c r="T38" s="80">
        <f t="shared" si="6"/>
        <v>0</v>
      </c>
      <c r="U38" s="80">
        <f t="shared" si="7"/>
        <v>0</v>
      </c>
      <c r="V38" s="82">
        <f t="shared" si="8"/>
        <v>0</v>
      </c>
      <c r="W38" s="83">
        <f t="shared" si="9"/>
        <v>0</v>
      </c>
      <c r="X38" s="582">
        <f>'Avg Bill by RS'!AO95</f>
        <v>0</v>
      </c>
    </row>
    <row r="39" spans="2:24" x14ac:dyDescent="0.3">
      <c r="B39" s="279">
        <v>23</v>
      </c>
      <c r="C39" s="767" t="s">
        <v>373</v>
      </c>
      <c r="D39" s="79">
        <f>'Rate Spread SETTLEMENT'!AA$15</f>
        <v>242994.60207180592</v>
      </c>
      <c r="E39" s="80">
        <f>'Rate Spread SETTLEMENT'!AA$14</f>
        <v>242994.60207180592</v>
      </c>
      <c r="F39" s="81">
        <f>SUM('Rev Req Proof Yr1'!AF96:AH96)</f>
        <v>0</v>
      </c>
      <c r="G39" s="81">
        <f>SUM('Rev Req Proof Yr1'!AM96:AO96)</f>
        <v>0</v>
      </c>
      <c r="H39" s="80">
        <f t="shared" si="2"/>
        <v>242994.60207180592</v>
      </c>
      <c r="I39" s="80">
        <f t="shared" si="3"/>
        <v>242994.60207180592</v>
      </c>
      <c r="J39" s="82">
        <f t="shared" si="4"/>
        <v>0</v>
      </c>
      <c r="K39" s="83">
        <f t="shared" si="5"/>
        <v>0</v>
      </c>
      <c r="L39" s="1235">
        <f>'Avg Bill by RS'!S96</f>
        <v>0</v>
      </c>
      <c r="M39" s="1236"/>
      <c r="N39" s="1236"/>
      <c r="O39" s="279">
        <v>23</v>
      </c>
      <c r="P39" s="85" t="s">
        <v>373</v>
      </c>
      <c r="Q39" s="1139">
        <f t="shared" si="0"/>
        <v>242994.60207180592</v>
      </c>
      <c r="R39" s="80">
        <f t="shared" si="1"/>
        <v>242994.60207180592</v>
      </c>
      <c r="S39" s="81">
        <f>SUM('Rev Req Proof Yr2'!AF96:AH96)</f>
        <v>0</v>
      </c>
      <c r="T39" s="80">
        <f t="shared" si="6"/>
        <v>242994.60207180592</v>
      </c>
      <c r="U39" s="80">
        <f t="shared" si="7"/>
        <v>242994.60207180592</v>
      </c>
      <c r="V39" s="82">
        <f>IFERROR((S39)/Q39,0)</f>
        <v>0</v>
      </c>
      <c r="W39" s="83">
        <f>IFERROR((S39)/R39,0)</f>
        <v>0</v>
      </c>
      <c r="X39" s="582">
        <f>'Avg Bill by RS'!AO96</f>
        <v>0</v>
      </c>
    </row>
    <row r="40" spans="2:24" ht="13.5" thickBot="1" x14ac:dyDescent="0.35">
      <c r="B40" s="268"/>
      <c r="C40" s="567"/>
      <c r="D40" s="54"/>
      <c r="E40" s="54"/>
      <c r="F40" s="842"/>
      <c r="G40" s="1137"/>
      <c r="H40" s="54"/>
      <c r="I40" s="54"/>
      <c r="J40" s="417"/>
      <c r="K40" s="85"/>
      <c r="L40" s="767"/>
      <c r="M40" s="85"/>
      <c r="N40" s="85"/>
      <c r="O40" s="268"/>
      <c r="P40" s="54"/>
      <c r="Q40" s="405"/>
      <c r="R40" s="54"/>
      <c r="S40" s="842"/>
      <c r="T40" s="54"/>
      <c r="U40" s="54"/>
      <c r="V40" s="417"/>
      <c r="W40" s="85"/>
      <c r="X40" s="767"/>
    </row>
    <row r="41" spans="2:24" s="59" customFormat="1" x14ac:dyDescent="0.3">
      <c r="B41" s="989"/>
      <c r="C41" s="1364" t="s">
        <v>32</v>
      </c>
      <c r="D41" s="982">
        <f t="shared" ref="D41:I41" si="10">SUM(D17:D39)</f>
        <v>49604902.662138224</v>
      </c>
      <c r="E41" s="983">
        <f t="shared" si="10"/>
        <v>78333454.662138224</v>
      </c>
      <c r="F41" s="984">
        <f>SUM(F17:F39)</f>
        <v>5462264.5776675073</v>
      </c>
      <c r="G41" s="984">
        <f t="shared" si="10"/>
        <v>-462278.66210878297</v>
      </c>
      <c r="H41" s="982">
        <f t="shared" si="10"/>
        <v>54604888.577696942</v>
      </c>
      <c r="I41" s="983">
        <f t="shared" si="10"/>
        <v>83333440.577696964</v>
      </c>
      <c r="J41" s="985">
        <f>(F41+G41)/(D41-D39)</f>
        <v>0.1012923955345173</v>
      </c>
      <c r="K41" s="986">
        <f>(F41+G41)/(E41-E39)</f>
        <v>6.4028127273328711E-2</v>
      </c>
      <c r="L41" s="987"/>
      <c r="M41" s="1237"/>
      <c r="N41" s="1237"/>
      <c r="O41" s="989"/>
      <c r="P41" s="1210" t="s">
        <v>32</v>
      </c>
      <c r="Q41" s="988">
        <f>SUM(Q17:Q39)</f>
        <v>54604888.577696942</v>
      </c>
      <c r="R41" s="983">
        <f>SUM(R17:R39)</f>
        <v>83333440.577696964</v>
      </c>
      <c r="S41" s="984">
        <f>SUM(S17:S39)</f>
        <v>3000103.941193596</v>
      </c>
      <c r="T41" s="982">
        <f>SUM(T17:T39)</f>
        <v>57604992.518890552</v>
      </c>
      <c r="U41" s="983">
        <f>SUM(U17:U39)</f>
        <v>86333544.518890575</v>
      </c>
      <c r="V41" s="985">
        <f>IFERROR((S41)/(Q41-Q39),0)</f>
        <v>5.5187627247475723E-2</v>
      </c>
      <c r="W41" s="986">
        <f>IFERROR((S41)/(R41-R39),0)</f>
        <v>3.6106484999174106E-2</v>
      </c>
      <c r="X41" s="987"/>
    </row>
    <row r="42" spans="2:24" ht="13.5" thickBot="1" x14ac:dyDescent="0.35">
      <c r="B42" s="1332"/>
      <c r="C42" s="1367"/>
      <c r="D42" s="271"/>
      <c r="E42" s="271"/>
      <c r="F42" s="1242" t="s">
        <v>452</v>
      </c>
      <c r="G42" s="1242" t="s">
        <v>452</v>
      </c>
      <c r="H42" s="271"/>
      <c r="I42" s="271"/>
      <c r="J42" s="270"/>
      <c r="K42" s="271"/>
      <c r="L42" s="1246" t="s">
        <v>461</v>
      </c>
      <c r="M42" s="1330"/>
      <c r="N42" s="54"/>
      <c r="O42" s="1332"/>
      <c r="P42" s="271"/>
      <c r="Q42" s="270"/>
      <c r="R42" s="271"/>
      <c r="S42" s="1242" t="s">
        <v>191</v>
      </c>
      <c r="T42" s="271"/>
      <c r="U42" s="271"/>
      <c r="V42" s="270"/>
      <c r="W42" s="271"/>
      <c r="X42" s="1246" t="s">
        <v>452</v>
      </c>
    </row>
    <row r="43" spans="2:24" ht="7" customHeight="1" x14ac:dyDescent="0.3">
      <c r="D43" s="468"/>
      <c r="E43" s="468"/>
      <c r="F43" s="468"/>
      <c r="G43" s="468"/>
      <c r="H43" s="468"/>
    </row>
    <row r="44" spans="2:24" ht="12" customHeight="1" x14ac:dyDescent="0.3">
      <c r="B44" s="880" t="s">
        <v>631</v>
      </c>
      <c r="C44" s="876"/>
      <c r="D44" s="1240"/>
      <c r="E44" s="873"/>
      <c r="O44" s="880" t="s">
        <v>631</v>
      </c>
      <c r="P44" s="876"/>
    </row>
    <row r="45" spans="2:24" ht="12" customHeight="1" x14ac:dyDescent="0.3">
      <c r="B45" s="880" t="s">
        <v>522</v>
      </c>
      <c r="C45" s="881"/>
      <c r="D45" s="1240"/>
      <c r="E45" s="873"/>
      <c r="F45" s="428"/>
      <c r="G45" s="428"/>
      <c r="O45" s="880" t="s">
        <v>516</v>
      </c>
      <c r="P45" s="876"/>
    </row>
    <row r="46" spans="2:24" ht="12" customHeight="1" x14ac:dyDescent="0.3">
      <c r="B46" s="880" t="s">
        <v>513</v>
      </c>
      <c r="C46" s="876"/>
      <c r="D46" s="1240"/>
      <c r="E46" s="873"/>
      <c r="O46" s="880" t="s">
        <v>632</v>
      </c>
      <c r="P46" s="881"/>
    </row>
    <row r="47" spans="2:24" ht="12" customHeight="1" x14ac:dyDescent="0.3">
      <c r="B47" s="880" t="s">
        <v>632</v>
      </c>
      <c r="C47" s="881"/>
      <c r="D47" s="1240"/>
      <c r="E47" s="873"/>
      <c r="O47" s="880" t="s">
        <v>517</v>
      </c>
      <c r="P47" s="881"/>
    </row>
    <row r="48" spans="2:24" x14ac:dyDescent="0.3">
      <c r="B48" s="880" t="s">
        <v>514</v>
      </c>
      <c r="C48" s="881"/>
      <c r="D48" s="1239"/>
      <c r="O48" s="880" t="s">
        <v>518</v>
      </c>
    </row>
    <row r="49" spans="2:16" ht="13" customHeight="1" x14ac:dyDescent="0.3">
      <c r="B49" s="880" t="s">
        <v>515</v>
      </c>
      <c r="D49" s="876"/>
    </row>
    <row r="50" spans="2:16" ht="12" customHeight="1" x14ac:dyDescent="0.3">
      <c r="D50" s="876"/>
      <c r="F50" s="877"/>
      <c r="G50" s="877"/>
    </row>
    <row r="51" spans="2:16" ht="12" customHeight="1" x14ac:dyDescent="0.3">
      <c r="B51" s="880"/>
      <c r="C51" s="881"/>
      <c r="F51" s="877"/>
      <c r="G51" s="877"/>
      <c r="O51" s="880"/>
      <c r="P51" s="881"/>
    </row>
    <row r="52" spans="2:16" x14ac:dyDescent="0.3">
      <c r="F52" s="877"/>
      <c r="G52" s="877"/>
    </row>
    <row r="53" spans="2:16" x14ac:dyDescent="0.3">
      <c r="F53" s="878"/>
      <c r="G53" s="878"/>
    </row>
    <row r="54" spans="2:16" x14ac:dyDescent="0.3">
      <c r="F54" s="879"/>
      <c r="G54" s="879"/>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&amp;RUG 388 - NW Natural/2500
Wyman/WP02</oddHeader>
    <oddFooter xml:space="preserve">&amp;C&amp;F &amp;D &amp;T
&amp;A </oddFooter>
  </headerFooter>
  <ignoredErrors>
    <ignoredError sqref="F14:L42 S14:X42"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BA73"/>
  <sheetViews>
    <sheetView workbookViewId="0"/>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customWidth="1"/>
    <col min="18" max="18" width="14.296875" style="51" customWidth="1" outlineLevel="1"/>
    <col min="19" max="19" width="17.296875" style="51" customWidth="1"/>
    <col min="20" max="20" width="12.19921875" style="51" customWidth="1"/>
    <col min="21" max="21" width="15.796875" style="51" customWidth="1"/>
    <col min="22" max="22" width="12.19921875" style="51" customWidth="1"/>
    <col min="23" max="23" width="17.5" style="51" customWidth="1"/>
    <col min="24" max="24" width="20.5" style="51" customWidth="1"/>
    <col min="25" max="25" width="17.5" style="51" bestFit="1" customWidth="1"/>
    <col min="26" max="26" width="12.69921875" style="51" customWidth="1"/>
    <col min="27" max="27" width="11.19921875" style="51" customWidth="1"/>
    <col min="28" max="29" width="3.19921875" style="51" customWidth="1"/>
    <col min="30" max="30" width="7.69921875" style="51" customWidth="1"/>
    <col min="31" max="31" width="11.296875" style="51" bestFit="1" customWidth="1"/>
    <col min="32" max="32" width="17.19921875" style="51" customWidth="1"/>
    <col min="33" max="33" width="16.296875" style="51" customWidth="1"/>
    <col min="34" max="34" width="17.296875" style="51" customWidth="1"/>
    <col min="35" max="35" width="18.5" style="51" customWidth="1"/>
    <col min="36" max="37" width="14.296875" style="51" customWidth="1"/>
    <col min="38" max="38" width="14.296875" style="51" customWidth="1" outlineLevel="1"/>
    <col min="39" max="40" width="14.296875" style="51" customWidth="1"/>
    <col min="41" max="41" width="14.296875" style="51" customWidth="1" outlineLevel="1"/>
    <col min="42" max="43" width="14.19921875" style="51" customWidth="1"/>
    <col min="44" max="44" width="14.19921875" style="51" customWidth="1" outlineLevel="1"/>
    <col min="45" max="46" width="14.19921875" style="51" customWidth="1"/>
    <col min="47" max="47" width="14.69921875" style="51" customWidth="1"/>
    <col min="48" max="48" width="13.19921875" style="51" customWidth="1"/>
    <col min="49" max="50" width="17.19921875" style="51" customWidth="1"/>
    <col min="51" max="51" width="12.69921875" style="51" customWidth="1"/>
    <col min="52" max="53" width="11" style="51" customWidth="1"/>
    <col min="54" max="54" width="3.19921875" style="51" customWidth="1"/>
    <col min="55" max="55" width="4.69921875" style="51" customWidth="1"/>
    <col min="56" max="16384" width="9.296875" style="51"/>
  </cols>
  <sheetData>
    <row r="1" spans="2:53" x14ac:dyDescent="0.3">
      <c r="B1" s="873" t="s">
        <v>0</v>
      </c>
      <c r="C1" s="62"/>
      <c r="D1" s="62"/>
      <c r="E1" s="62"/>
      <c r="F1" s="62"/>
      <c r="G1" s="62"/>
      <c r="H1" s="62"/>
      <c r="I1" s="62"/>
      <c r="J1" s="62"/>
      <c r="K1" s="62"/>
      <c r="L1" s="62"/>
      <c r="M1" s="62"/>
      <c r="N1" s="62"/>
      <c r="O1" s="62"/>
      <c r="P1" s="62"/>
      <c r="Q1" s="62"/>
      <c r="R1" s="62"/>
      <c r="S1" s="62"/>
      <c r="T1" s="62"/>
      <c r="U1" s="62"/>
      <c r="V1" s="62"/>
      <c r="W1" s="1247"/>
      <c r="X1" s="1938"/>
      <c r="Y1" s="1938"/>
      <c r="Z1" s="1938"/>
      <c r="AD1" s="873" t="s">
        <v>0</v>
      </c>
      <c r="AE1" s="62"/>
      <c r="AW1" s="1247"/>
      <c r="AX1" s="1938"/>
      <c r="AY1" s="1938"/>
      <c r="AZ1" s="1938"/>
      <c r="BA1" s="53"/>
    </row>
    <row r="2" spans="2:53" x14ac:dyDescent="0.3">
      <c r="B2" s="873" t="s">
        <v>714</v>
      </c>
      <c r="C2" s="62"/>
      <c r="D2" s="62"/>
      <c r="E2" s="62"/>
      <c r="F2" s="62"/>
      <c r="G2" s="62"/>
      <c r="H2" s="62"/>
      <c r="I2" s="62"/>
      <c r="J2" s="62"/>
      <c r="K2" s="62"/>
      <c r="L2" s="62"/>
      <c r="M2" s="62"/>
      <c r="N2" s="62"/>
      <c r="O2" s="62"/>
      <c r="P2" s="62"/>
      <c r="Q2" s="62"/>
      <c r="R2" s="62"/>
      <c r="S2" s="62"/>
      <c r="T2" s="62"/>
      <c r="U2" s="62"/>
      <c r="V2" s="62"/>
      <c r="W2" s="333"/>
      <c r="X2" s="1939"/>
      <c r="Y2" s="1939"/>
      <c r="Z2" s="1939"/>
      <c r="AA2" s="55"/>
      <c r="AB2" s="55"/>
      <c r="AC2" s="55"/>
      <c r="AD2" s="873" t="s">
        <v>714</v>
      </c>
      <c r="AE2" s="62"/>
      <c r="AF2" s="873"/>
      <c r="AW2" s="333"/>
      <c r="AX2" s="1939"/>
      <c r="AY2" s="1939"/>
      <c r="AZ2" s="1939"/>
      <c r="BA2" s="53"/>
    </row>
    <row r="3" spans="2:53" x14ac:dyDescent="0.3">
      <c r="B3" s="873" t="s">
        <v>266</v>
      </c>
      <c r="C3" s="62"/>
      <c r="D3" s="62"/>
      <c r="E3" s="62"/>
      <c r="F3" s="62"/>
      <c r="G3" s="62"/>
      <c r="H3" s="62"/>
      <c r="I3" s="62"/>
      <c r="J3" s="62"/>
      <c r="K3" s="62"/>
      <c r="L3" s="62"/>
      <c r="M3" s="62"/>
      <c r="N3" s="62"/>
      <c r="O3" s="62"/>
      <c r="P3" s="62"/>
      <c r="Q3" s="62"/>
      <c r="R3" s="62"/>
      <c r="S3" s="62"/>
      <c r="T3" s="62"/>
      <c r="U3" s="62"/>
      <c r="V3" s="62"/>
      <c r="W3" s="54"/>
      <c r="X3" s="1939"/>
      <c r="Y3" s="1939"/>
      <c r="Z3" s="1939"/>
      <c r="AA3" s="55"/>
      <c r="AB3" s="55"/>
      <c r="AC3" s="55"/>
      <c r="AD3" s="873" t="s">
        <v>266</v>
      </c>
      <c r="AE3" s="62"/>
      <c r="AF3" s="873"/>
      <c r="AW3" s="54"/>
      <c r="AX3" s="1939"/>
      <c r="AY3" s="1939"/>
      <c r="AZ3" s="1939"/>
      <c r="BA3" s="53"/>
    </row>
    <row r="4" spans="2:53" x14ac:dyDescent="0.3">
      <c r="B4" s="873" t="s">
        <v>715</v>
      </c>
      <c r="C4" s="62"/>
      <c r="D4" s="62"/>
      <c r="E4" s="62"/>
      <c r="F4" s="62"/>
      <c r="G4" s="62"/>
      <c r="H4" s="62"/>
      <c r="I4" s="62"/>
      <c r="J4" s="62"/>
      <c r="K4" s="62"/>
      <c r="L4" s="62"/>
      <c r="M4" s="62"/>
      <c r="N4" s="62"/>
      <c r="O4" s="62"/>
      <c r="P4" s="62"/>
      <c r="Q4" s="62"/>
      <c r="R4" s="62"/>
      <c r="S4" s="62"/>
      <c r="T4" s="62"/>
      <c r="U4" s="62"/>
      <c r="V4" s="62"/>
      <c r="W4" s="54"/>
      <c r="X4" s="1248"/>
      <c r="Y4" s="1211"/>
      <c r="Z4" s="1248"/>
      <c r="AA4" s="55"/>
      <c r="AB4" s="55"/>
      <c r="AC4" s="55"/>
      <c r="AD4" s="873" t="s">
        <v>687</v>
      </c>
      <c r="AE4" s="62"/>
      <c r="AF4" s="873"/>
      <c r="AW4" s="54"/>
      <c r="AX4" s="1273"/>
      <c r="AY4" s="1211"/>
      <c r="AZ4" s="1273"/>
      <c r="BA4" s="53"/>
    </row>
    <row r="5" spans="2:53" x14ac:dyDescent="0.3">
      <c r="B5" s="873" t="s">
        <v>701</v>
      </c>
      <c r="C5" s="62"/>
      <c r="D5" s="62"/>
      <c r="E5" s="62"/>
      <c r="F5" s="62"/>
      <c r="G5" s="62"/>
      <c r="H5" s="62"/>
      <c r="I5" s="62"/>
      <c r="J5" s="62"/>
      <c r="K5" s="62"/>
      <c r="L5" s="62"/>
      <c r="M5" s="62"/>
      <c r="N5" s="62"/>
      <c r="O5" s="62"/>
      <c r="P5" s="62"/>
      <c r="Q5" s="62"/>
      <c r="R5" s="62"/>
      <c r="S5" s="62"/>
      <c r="T5" s="62"/>
      <c r="U5" s="62"/>
      <c r="V5" s="62"/>
      <c r="W5" s="54"/>
      <c r="X5" s="1248"/>
      <c r="Y5" s="1211"/>
      <c r="Z5" s="1248"/>
      <c r="AA5" s="55"/>
      <c r="AB5" s="55"/>
      <c r="AC5" s="55"/>
      <c r="AD5" s="873" t="s">
        <v>701</v>
      </c>
      <c r="AE5" s="62"/>
      <c r="AF5" s="873"/>
      <c r="AW5" s="54"/>
      <c r="AX5" s="1273"/>
      <c r="AY5" s="1211"/>
      <c r="AZ5" s="1273"/>
      <c r="BA5" s="53"/>
    </row>
    <row r="6" spans="2:53" x14ac:dyDescent="0.3">
      <c r="C6" s="62"/>
      <c r="D6" s="62"/>
      <c r="E6" s="62"/>
      <c r="F6" s="62"/>
      <c r="G6" s="62"/>
      <c r="H6" s="62"/>
      <c r="I6" s="62"/>
      <c r="J6" s="62"/>
      <c r="K6" s="62"/>
      <c r="L6" s="62"/>
      <c r="M6" s="62"/>
      <c r="N6" s="62"/>
      <c r="O6" s="62"/>
      <c r="P6" s="62"/>
      <c r="Q6" s="62"/>
      <c r="R6" s="62"/>
      <c r="S6" s="62"/>
      <c r="T6" s="62"/>
      <c r="U6" s="62"/>
      <c r="V6" s="62"/>
      <c r="W6" s="54"/>
      <c r="X6" s="1248"/>
      <c r="Y6" s="1211"/>
      <c r="Z6" s="1248"/>
      <c r="AA6" s="55"/>
      <c r="AB6" s="55"/>
      <c r="AC6" s="55"/>
      <c r="AE6" s="62"/>
      <c r="AF6" s="873"/>
      <c r="AW6" s="54"/>
      <c r="AX6" s="1273"/>
      <c r="AY6" s="1211"/>
      <c r="AZ6" s="1273"/>
      <c r="BA6" s="53"/>
    </row>
    <row r="7" spans="2:53" x14ac:dyDescent="0.3">
      <c r="B7" s="167" t="s">
        <v>509</v>
      </c>
      <c r="C7" s="62"/>
      <c r="D7" s="62"/>
      <c r="E7" s="62"/>
      <c r="F7" s="62"/>
      <c r="G7" s="62"/>
      <c r="H7" s="62"/>
      <c r="I7" s="62"/>
      <c r="J7" s="62"/>
      <c r="K7" s="62"/>
      <c r="L7" s="62"/>
      <c r="M7" s="62"/>
      <c r="N7" s="62"/>
      <c r="O7" s="62"/>
      <c r="P7" s="62"/>
      <c r="Q7" s="62"/>
      <c r="R7" s="62"/>
      <c r="S7" s="62"/>
      <c r="T7" s="62"/>
      <c r="U7" s="62"/>
      <c r="V7" s="62"/>
      <c r="W7" s="54"/>
      <c r="X7" s="1248"/>
      <c r="Y7" s="1211"/>
      <c r="Z7" s="1248"/>
      <c r="AA7" s="55"/>
      <c r="AB7" s="55"/>
      <c r="AC7" s="55"/>
      <c r="AD7" s="167" t="s">
        <v>510</v>
      </c>
      <c r="AE7" s="62"/>
      <c r="AW7" s="54"/>
      <c r="AX7" s="1274"/>
      <c r="AY7" s="1211"/>
      <c r="AZ7" s="1273"/>
      <c r="BA7" s="53"/>
    </row>
    <row r="8" spans="2:53" x14ac:dyDescent="0.3">
      <c r="B8" s="593" t="s">
        <v>665</v>
      </c>
      <c r="C8" s="62"/>
      <c r="D8" s="62"/>
      <c r="E8" s="62"/>
      <c r="F8" s="62"/>
      <c r="G8" s="62"/>
      <c r="H8" s="62"/>
      <c r="I8" s="62"/>
      <c r="J8" s="62"/>
      <c r="K8" s="62"/>
      <c r="L8" s="62"/>
      <c r="M8" s="62"/>
      <c r="N8" s="62"/>
      <c r="O8" s="62"/>
      <c r="P8" s="62"/>
      <c r="Q8" s="62"/>
      <c r="R8" s="62"/>
      <c r="S8" s="62"/>
      <c r="T8" s="62"/>
      <c r="U8" s="62"/>
      <c r="V8" s="62"/>
      <c r="W8" s="54"/>
      <c r="X8" s="1248"/>
      <c r="Y8" s="1211"/>
      <c r="Z8" s="1248"/>
      <c r="AA8" s="55"/>
      <c r="AB8" s="55"/>
      <c r="AC8" s="55"/>
      <c r="AD8" s="593" t="s">
        <v>633</v>
      </c>
      <c r="AE8" s="62"/>
      <c r="AW8" s="54"/>
      <c r="AX8" s="1274"/>
      <c r="AY8" s="1211"/>
      <c r="AZ8" s="1273"/>
      <c r="BA8" s="53"/>
    </row>
    <row r="9" spans="2:53" x14ac:dyDescent="0.3">
      <c r="B9" s="593" t="s">
        <v>663</v>
      </c>
      <c r="C9" s="62"/>
      <c r="D9" s="62"/>
      <c r="E9" s="62"/>
      <c r="F9" s="62"/>
      <c r="G9" s="62"/>
      <c r="H9" s="62"/>
      <c r="I9" s="62"/>
      <c r="J9" s="62"/>
      <c r="K9" s="62"/>
      <c r="L9" s="62"/>
      <c r="M9" s="62"/>
      <c r="N9" s="62"/>
      <c r="O9" s="62"/>
      <c r="P9" s="62"/>
      <c r="Q9" s="62"/>
      <c r="R9" s="62"/>
      <c r="S9" s="62"/>
      <c r="T9" s="62"/>
      <c r="U9" s="62"/>
      <c r="V9" s="62"/>
      <c r="W9" s="62"/>
      <c r="X9" s="62"/>
      <c r="Y9" s="64"/>
      <c r="AD9" s="593" t="s">
        <v>630</v>
      </c>
      <c r="AE9" s="62"/>
    </row>
    <row r="10" spans="2:53" ht="13.5" thickBot="1" x14ac:dyDescent="0.35">
      <c r="B10" s="593"/>
      <c r="C10" s="62"/>
      <c r="D10" s="62"/>
      <c r="E10" s="62"/>
      <c r="F10" s="62"/>
      <c r="G10" s="62"/>
      <c r="H10" s="62"/>
      <c r="I10" s="62"/>
      <c r="J10" s="62"/>
      <c r="K10" s="62"/>
      <c r="L10" s="62"/>
      <c r="M10" s="62"/>
      <c r="N10" s="62"/>
      <c r="O10" s="62"/>
      <c r="P10" s="62"/>
      <c r="Q10" s="62"/>
      <c r="R10" s="62"/>
      <c r="S10" s="62"/>
      <c r="T10" s="62"/>
      <c r="U10" s="62"/>
      <c r="V10" s="62"/>
      <c r="W10" s="62"/>
      <c r="X10" s="62"/>
      <c r="Y10" s="64"/>
      <c r="AD10" s="63"/>
      <c r="AE10" s="62"/>
    </row>
    <row r="11" spans="2:53" ht="13.5" thickBot="1" x14ac:dyDescent="0.35">
      <c r="B11" s="63"/>
      <c r="C11" s="62"/>
      <c r="D11" s="1945" t="s">
        <v>511</v>
      </c>
      <c r="E11" s="1946"/>
      <c r="F11" s="1946"/>
      <c r="G11" s="1946"/>
      <c r="H11" s="1946"/>
      <c r="I11" s="1946"/>
      <c r="J11" s="1946"/>
      <c r="K11" s="1946"/>
      <c r="L11" s="1946"/>
      <c r="M11" s="1946"/>
      <c r="N11" s="1946"/>
      <c r="O11" s="1946"/>
      <c r="P11" s="1946"/>
      <c r="Q11" s="1946"/>
      <c r="R11" s="1946"/>
      <c r="S11" s="1946"/>
      <c r="T11" s="1946"/>
      <c r="U11" s="1946"/>
      <c r="V11" s="1946"/>
      <c r="W11" s="1946"/>
      <c r="X11" s="1946"/>
      <c r="Y11" s="1946"/>
      <c r="Z11" s="1946"/>
      <c r="AA11" s="1947"/>
      <c r="AB11" s="1279"/>
      <c r="AC11" s="1280"/>
      <c r="AD11" s="63"/>
      <c r="AE11" s="62"/>
      <c r="AF11" s="1966" t="s">
        <v>512</v>
      </c>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8"/>
    </row>
    <row r="12" spans="2:53" ht="13.5" customHeight="1" thickBot="1" x14ac:dyDescent="0.35">
      <c r="D12" s="1035"/>
      <c r="E12" s="1036"/>
      <c r="F12" s="1943" t="s">
        <v>172</v>
      </c>
      <c r="G12" s="1944"/>
      <c r="H12" s="1969" t="s">
        <v>385</v>
      </c>
      <c r="I12" s="1970"/>
      <c r="J12" s="1969" t="s">
        <v>381</v>
      </c>
      <c r="K12" s="1970"/>
      <c r="L12" s="1973"/>
      <c r="M12" s="1969" t="s">
        <v>521</v>
      </c>
      <c r="N12" s="1970"/>
      <c r="O12" s="1973"/>
      <c r="P12" s="1969" t="s">
        <v>664</v>
      </c>
      <c r="Q12" s="1970"/>
      <c r="R12" s="1973"/>
      <c r="S12" s="1971" t="s">
        <v>519</v>
      </c>
      <c r="T12" s="1971"/>
      <c r="U12" s="1971"/>
      <c r="V12" s="1972"/>
      <c r="W12" s="1037"/>
      <c r="X12" s="1037"/>
      <c r="Y12" s="1942" t="s">
        <v>192</v>
      </c>
      <c r="Z12" s="1943"/>
      <c r="AA12" s="1944"/>
      <c r="AB12" s="1275"/>
      <c r="AC12" s="1275"/>
      <c r="AF12" s="52"/>
      <c r="AG12" s="53"/>
      <c r="AH12" s="1936" t="s">
        <v>172</v>
      </c>
      <c r="AI12" s="1937"/>
      <c r="AJ12" s="1977" t="s">
        <v>381</v>
      </c>
      <c r="AK12" s="1827"/>
      <c r="AL12" s="1978"/>
      <c r="AM12" s="1969" t="s">
        <v>521</v>
      </c>
      <c r="AN12" s="1970"/>
      <c r="AO12" s="1973"/>
      <c r="AP12" s="1969" t="s">
        <v>446</v>
      </c>
      <c r="AQ12" s="1970"/>
      <c r="AR12" s="1973"/>
      <c r="AS12" s="1975" t="s">
        <v>520</v>
      </c>
      <c r="AT12" s="1975"/>
      <c r="AU12" s="1975"/>
      <c r="AV12" s="1976"/>
      <c r="AW12" s="53"/>
      <c r="AX12" s="53"/>
      <c r="AY12" s="1942" t="s">
        <v>192</v>
      </c>
      <c r="AZ12" s="1943"/>
      <c r="BA12" s="1944"/>
    </row>
    <row r="13" spans="2:53" ht="52" x14ac:dyDescent="0.3">
      <c r="B13" s="1249" t="s">
        <v>167</v>
      </c>
      <c r="C13" s="1245" t="s">
        <v>153</v>
      </c>
      <c r="D13" s="68" t="s">
        <v>200</v>
      </c>
      <c r="E13" s="68" t="s">
        <v>201</v>
      </c>
      <c r="F13" s="67" t="s">
        <v>194</v>
      </c>
      <c r="G13" s="69" t="s">
        <v>193</v>
      </c>
      <c r="H13" s="67" t="s">
        <v>405</v>
      </c>
      <c r="I13" s="68" t="s">
        <v>406</v>
      </c>
      <c r="J13" s="67" t="s">
        <v>463</v>
      </c>
      <c r="K13" s="65" t="s">
        <v>464</v>
      </c>
      <c r="L13" s="69" t="s">
        <v>683</v>
      </c>
      <c r="M13" s="67" t="s">
        <v>463</v>
      </c>
      <c r="N13" s="68" t="s">
        <v>464</v>
      </c>
      <c r="O13" s="69" t="s">
        <v>683</v>
      </c>
      <c r="P13" s="67" t="s">
        <v>470</v>
      </c>
      <c r="Q13" s="68" t="s">
        <v>666</v>
      </c>
      <c r="R13" s="69" t="s">
        <v>683</v>
      </c>
      <c r="S13" s="1333" t="s">
        <v>407</v>
      </c>
      <c r="T13" s="1333" t="s">
        <v>407</v>
      </c>
      <c r="U13" s="1333" t="s">
        <v>470</v>
      </c>
      <c r="V13" s="1334" t="s">
        <v>470</v>
      </c>
      <c r="W13" s="68" t="s">
        <v>195</v>
      </c>
      <c r="X13" s="68" t="s">
        <v>196</v>
      </c>
      <c r="Y13" s="67" t="s">
        <v>197</v>
      </c>
      <c r="Z13" s="68" t="s">
        <v>198</v>
      </c>
      <c r="AA13" s="69" t="s">
        <v>199</v>
      </c>
      <c r="AB13" s="68"/>
      <c r="AC13" s="68"/>
      <c r="AD13" s="1249" t="s">
        <v>167</v>
      </c>
      <c r="AE13" s="1250" t="s">
        <v>153</v>
      </c>
      <c r="AF13" s="1048" t="s">
        <v>200</v>
      </c>
      <c r="AG13" s="65" t="s">
        <v>201</v>
      </c>
      <c r="AH13" s="67" t="s">
        <v>194</v>
      </c>
      <c r="AI13" s="69" t="s">
        <v>193</v>
      </c>
      <c r="AJ13" s="1243" t="s">
        <v>463</v>
      </c>
      <c r="AK13" s="1244" t="s">
        <v>464</v>
      </c>
      <c r="AL13" s="1245" t="s">
        <v>406</v>
      </c>
      <c r="AM13" s="68" t="s">
        <v>463</v>
      </c>
      <c r="AN13" s="65" t="s">
        <v>464</v>
      </c>
      <c r="AO13" s="69" t="s">
        <v>406</v>
      </c>
      <c r="AP13" s="67" t="s">
        <v>465</v>
      </c>
      <c r="AQ13" s="68" t="s">
        <v>464</v>
      </c>
      <c r="AR13" s="69" t="s">
        <v>406</v>
      </c>
      <c r="AS13" s="1517" t="s">
        <v>194</v>
      </c>
      <c r="AT13" s="1517" t="s">
        <v>193</v>
      </c>
      <c r="AU13" s="1506" t="s">
        <v>470</v>
      </c>
      <c r="AV13" s="1352" t="s">
        <v>485</v>
      </c>
      <c r="AW13" s="65" t="s">
        <v>195</v>
      </c>
      <c r="AX13" s="65" t="s">
        <v>196</v>
      </c>
      <c r="AY13" s="67" t="s">
        <v>197</v>
      </c>
      <c r="AZ13" s="68" t="s">
        <v>198</v>
      </c>
      <c r="BA13" s="69" t="s">
        <v>199</v>
      </c>
    </row>
    <row r="14" spans="2:53" x14ac:dyDescent="0.3">
      <c r="B14" s="1251"/>
      <c r="C14" s="73"/>
      <c r="D14" s="71"/>
      <c r="E14" s="71"/>
      <c r="F14" s="1282" t="s">
        <v>190</v>
      </c>
      <c r="G14" s="73"/>
      <c r="H14" s="1282" t="s">
        <v>191</v>
      </c>
      <c r="I14" s="71"/>
      <c r="J14" s="1282" t="s">
        <v>452</v>
      </c>
      <c r="K14" s="1151"/>
      <c r="L14" s="1151"/>
      <c r="M14" s="1282" t="s">
        <v>461</v>
      </c>
      <c r="N14" s="1151"/>
      <c r="O14" s="1151"/>
      <c r="P14" s="1282" t="s">
        <v>525</v>
      </c>
      <c r="Q14" s="1151"/>
      <c r="R14" s="1540"/>
      <c r="S14" s="1335" t="s">
        <v>707</v>
      </c>
      <c r="T14" s="1335"/>
      <c r="U14" s="1335" t="s">
        <v>708</v>
      </c>
      <c r="V14" s="1336"/>
      <c r="W14" s="586" t="s">
        <v>709</v>
      </c>
      <c r="X14" s="586" t="s">
        <v>710</v>
      </c>
      <c r="Y14" s="587"/>
      <c r="Z14" s="586"/>
      <c r="AA14" s="73"/>
      <c r="AB14" s="68"/>
      <c r="AC14" s="68"/>
      <c r="AD14" s="1251"/>
      <c r="AE14" s="1252"/>
      <c r="AF14" s="72"/>
      <c r="AG14" s="71"/>
      <c r="AH14" s="1282" t="s">
        <v>190</v>
      </c>
      <c r="AI14" s="73"/>
      <c r="AJ14" s="1282" t="s">
        <v>191</v>
      </c>
      <c r="AK14" s="1151"/>
      <c r="AL14" s="92"/>
      <c r="AM14" s="1492" t="s">
        <v>452</v>
      </c>
      <c r="AN14" s="1151"/>
      <c r="AO14" s="1151"/>
      <c r="AP14" s="1282" t="s">
        <v>461</v>
      </c>
      <c r="AQ14" s="71"/>
      <c r="AR14" s="73"/>
      <c r="AS14" s="1507"/>
      <c r="AT14" s="1507"/>
      <c r="AU14" s="1565" t="s">
        <v>711</v>
      </c>
      <c r="AV14" s="1353"/>
      <c r="AW14" s="1494" t="s">
        <v>712</v>
      </c>
      <c r="AX14" s="1494" t="s">
        <v>713</v>
      </c>
      <c r="AY14" s="587"/>
      <c r="AZ14" s="586"/>
      <c r="BA14" s="73"/>
    </row>
    <row r="15" spans="2:53" ht="13.5" thickBot="1" x14ac:dyDescent="0.35">
      <c r="B15" s="1253"/>
      <c r="C15" s="1362"/>
      <c r="D15" s="108" t="s">
        <v>35</v>
      </c>
      <c r="E15" s="108" t="s">
        <v>36</v>
      </c>
      <c r="F15" s="124" t="s">
        <v>13</v>
      </c>
      <c r="G15" s="125" t="s">
        <v>37</v>
      </c>
      <c r="H15" s="124" t="s">
        <v>38</v>
      </c>
      <c r="I15" s="108" t="s">
        <v>39</v>
      </c>
      <c r="J15" s="126" t="s">
        <v>40</v>
      </c>
      <c r="K15" s="1152" t="s">
        <v>41</v>
      </c>
      <c r="L15" s="1152" t="s">
        <v>42</v>
      </c>
      <c r="M15" s="126" t="s">
        <v>124</v>
      </c>
      <c r="N15" s="1152" t="s">
        <v>125</v>
      </c>
      <c r="O15" s="1152" t="s">
        <v>43</v>
      </c>
      <c r="P15" s="126" t="s">
        <v>126</v>
      </c>
      <c r="Q15" s="1152" t="s">
        <v>127</v>
      </c>
      <c r="R15" s="127" t="s">
        <v>128</v>
      </c>
      <c r="S15" s="1337" t="s">
        <v>129</v>
      </c>
      <c r="T15" s="1337" t="s">
        <v>130</v>
      </c>
      <c r="U15" s="1337" t="s">
        <v>86</v>
      </c>
      <c r="V15" s="1338" t="s">
        <v>89</v>
      </c>
      <c r="W15" s="108" t="s">
        <v>90</v>
      </c>
      <c r="X15" s="108" t="s">
        <v>91</v>
      </c>
      <c r="Y15" s="124" t="s">
        <v>180</v>
      </c>
      <c r="Z15" s="108" t="s">
        <v>224</v>
      </c>
      <c r="AA15" s="125" t="s">
        <v>219</v>
      </c>
      <c r="AB15" s="611"/>
      <c r="AC15" s="611"/>
      <c r="AD15" s="1253"/>
      <c r="AE15" s="1254"/>
      <c r="AF15" s="124" t="s">
        <v>35</v>
      </c>
      <c r="AG15" s="108" t="s">
        <v>36</v>
      </c>
      <c r="AH15" s="124" t="s">
        <v>13</v>
      </c>
      <c r="AI15" s="125" t="s">
        <v>37</v>
      </c>
      <c r="AJ15" s="126" t="s">
        <v>38</v>
      </c>
      <c r="AK15" s="1152" t="s">
        <v>39</v>
      </c>
      <c r="AL15" s="127" t="s">
        <v>40</v>
      </c>
      <c r="AM15" s="1152" t="s">
        <v>41</v>
      </c>
      <c r="AN15" s="1152" t="s">
        <v>42</v>
      </c>
      <c r="AO15" s="108" t="s">
        <v>124</v>
      </c>
      <c r="AP15" s="124" t="s">
        <v>125</v>
      </c>
      <c r="AQ15" s="108" t="s">
        <v>43</v>
      </c>
      <c r="AR15" s="125" t="s">
        <v>126</v>
      </c>
      <c r="AS15" s="1508" t="s">
        <v>127</v>
      </c>
      <c r="AT15" s="1508" t="s">
        <v>128</v>
      </c>
      <c r="AU15" s="1508" t="s">
        <v>129</v>
      </c>
      <c r="AV15" s="1354" t="s">
        <v>130</v>
      </c>
      <c r="AW15" s="108" t="s">
        <v>86</v>
      </c>
      <c r="AX15" s="108" t="s">
        <v>89</v>
      </c>
      <c r="AY15" s="124" t="s">
        <v>90</v>
      </c>
      <c r="AZ15" s="108" t="s">
        <v>91</v>
      </c>
      <c r="BA15" s="125" t="s">
        <v>180</v>
      </c>
    </row>
    <row r="16" spans="2:53" ht="18" customHeight="1" thickTop="1" x14ac:dyDescent="0.3">
      <c r="B16" s="279"/>
      <c r="C16" s="69"/>
      <c r="D16" s="77"/>
      <c r="E16" s="77"/>
      <c r="F16" s="93"/>
      <c r="G16" s="69"/>
      <c r="H16" s="52"/>
      <c r="I16" s="68"/>
      <c r="J16" s="52"/>
      <c r="K16" s="53"/>
      <c r="L16" s="53"/>
      <c r="M16" s="52"/>
      <c r="N16" s="53"/>
      <c r="O16" s="53"/>
      <c r="P16" s="52"/>
      <c r="Q16" s="53"/>
      <c r="R16" s="86"/>
      <c r="S16" s="1339"/>
      <c r="T16" s="1339"/>
      <c r="U16" s="1339"/>
      <c r="V16" s="1340"/>
      <c r="W16" s="77"/>
      <c r="X16" s="77"/>
      <c r="Y16" s="67"/>
      <c r="Z16" s="68"/>
      <c r="AA16" s="69"/>
      <c r="AB16" s="68"/>
      <c r="AC16" s="68"/>
      <c r="AD16" s="279"/>
      <c r="AE16" s="1255"/>
      <c r="AF16" s="93"/>
      <c r="AG16" s="77"/>
      <c r="AH16" s="93"/>
      <c r="AI16" s="69"/>
      <c r="AJ16" s="67"/>
      <c r="AK16" s="68"/>
      <c r="AL16" s="69"/>
      <c r="AM16" s="68"/>
      <c r="AN16" s="68"/>
      <c r="AO16" s="68"/>
      <c r="AP16" s="52"/>
      <c r="AQ16" s="68"/>
      <c r="AR16" s="69"/>
      <c r="AS16" s="1509"/>
      <c r="AT16" s="1509"/>
      <c r="AU16" s="1509"/>
      <c r="AV16" s="1355"/>
      <c r="AW16" s="77"/>
      <c r="AX16" s="77"/>
      <c r="AY16" s="67"/>
      <c r="AZ16" s="68"/>
      <c r="BA16" s="69"/>
    </row>
    <row r="17" spans="2:53" x14ac:dyDescent="0.3">
      <c r="B17" s="279">
        <v>1</v>
      </c>
      <c r="C17" s="1363" t="s">
        <v>268</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-3493.237344759551</v>
      </c>
      <c r="K17" s="83">
        <f>IFERROR((J17/SUM(E17,F17,H17)),0)</f>
        <v>-1.1430767352291264E-2</v>
      </c>
      <c r="L17" s="83">
        <f>IFERROR((J17/SUM(D17,F17)),0)</f>
        <v>-1.5024847551606187E-2</v>
      </c>
      <c r="M17" s="95">
        <f>SUM('Temps Proof'!Y14:AA14)</f>
        <v>-1857.1913357203514</v>
      </c>
      <c r="N17" s="83">
        <f>IFERROR((M17/SUM(E17,F17,H17)),0)</f>
        <v>-6.0772057527547288E-3</v>
      </c>
      <c r="O17" s="83">
        <f>IFERROR((M17/SUM(D17,F17)),0)</f>
        <v>-7.9880105298951159E-3</v>
      </c>
      <c r="P17" s="95">
        <f>SUM('Temps Proof'!AE14:AG14)</f>
        <v>654.84781201700252</v>
      </c>
      <c r="Q17" s="83">
        <f>IFERROR((P17/SUM(E17,F17,H17)),0)</f>
        <v>2.1428297740927081E-3</v>
      </c>
      <c r="R17" s="84">
        <f>IFERROR((P17/SUM(D17,F17)),0)</f>
        <v>2.8165817475352718E-3</v>
      </c>
      <c r="S17" s="1539">
        <f>SUM(F17,H17)</f>
        <v>21908.416635480309</v>
      </c>
      <c r="T17" s="1341">
        <f>IFERROR((S17/D17),0)</f>
        <v>0.10500828126660205</v>
      </c>
      <c r="U17" s="1342">
        <f>SUM(F17,H17,J17,M17,P17)</f>
        <v>17212.835767017408</v>
      </c>
      <c r="V17" s="1343">
        <f>IFERROR((U17/E17),0)</f>
        <v>6.0674564053321327E-2</v>
      </c>
      <c r="W17" s="80">
        <f>D17+S17</f>
        <v>230543.5487528964</v>
      </c>
      <c r="X17" s="80">
        <f>E17+U17</f>
        <v>300903.96788443351</v>
      </c>
      <c r="Y17" s="82">
        <f t="shared" ref="Y17:Y39" si="0">IFERROR((W17-D17)/D17,0)</f>
        <v>0.10500828126660201</v>
      </c>
      <c r="Z17" s="83">
        <f t="shared" ref="Z17:Z39" si="1">IFERROR((X17-E17)/E17,0)</f>
        <v>6.067456405332125E-2</v>
      </c>
      <c r="AA17" s="84">
        <f>'Avg Bill by RS'!AK14</f>
        <v>0.13600000000000001</v>
      </c>
      <c r="AB17" s="83"/>
      <c r="AC17" s="83"/>
      <c r="AD17" s="279">
        <v>1</v>
      </c>
      <c r="AE17" s="1256" t="s">
        <v>268</v>
      </c>
      <c r="AF17" s="1049">
        <f>'Rate Impacts - Rev Req ONLY'!N17</f>
        <v>230543.5487528964</v>
      </c>
      <c r="AG17" s="80">
        <f>'Rate Impacts - Rev Req ONLY'!O17</f>
        <v>305599.54875289643</v>
      </c>
      <c r="AH17" s="94">
        <f>SUM('Rev Req Proof Yr2'!AF14:AH14)</f>
        <v>13236.513970769913</v>
      </c>
      <c r="AI17" s="84">
        <f>IFERROR((AH17/AF17),0)</f>
        <v>5.7414375905860682E-2</v>
      </c>
      <c r="AJ17" s="94">
        <f>SUM('Temps Proof'!AI14:AK14)</f>
        <v>-3493.237344759551</v>
      </c>
      <c r="AK17" s="83">
        <f>IFERROR((AJ17/SUM(AG17,AH17)),0)</f>
        <v>-1.0956217797066209E-2</v>
      </c>
      <c r="AL17" s="84">
        <f>IFERROR((AJ17/SUM(AF17,AH17)),0)</f>
        <v>-1.4329462818783768E-2</v>
      </c>
      <c r="AM17" s="80">
        <f>SUM('Temps Proof'!AM14:AO14)</f>
        <v>-1861.4854197335778</v>
      </c>
      <c r="AN17" s="83">
        <f>IFERROR((AM17/SUM(AG17,AH17)),0)</f>
        <v>-5.8383778918601132E-3</v>
      </c>
      <c r="AO17" s="83">
        <f>IFERROR((AM17/SUM(AF17,AH17)),0)</f>
        <v>-7.6359214897882772E-3</v>
      </c>
      <c r="AP17" s="94">
        <f>SUM('Temps Proof'!AQ14:AS14)</f>
        <v>-188.93969658195482</v>
      </c>
      <c r="AQ17" s="83">
        <f>IFERROR((AP17/SUM(AG17,AH17)),0)</f>
        <v>-5.9259198902386384E-4</v>
      </c>
      <c r="AR17" s="84">
        <f>IFERROR((AP17/SUM(AF17,AH17)),0)</f>
        <v>-7.7504162756789887E-4</v>
      </c>
      <c r="AS17" s="1510">
        <f>AH17</f>
        <v>13236.513970769913</v>
      </c>
      <c r="AT17" s="1514">
        <f>AI17</f>
        <v>5.7414375905860682E-2</v>
      </c>
      <c r="AU17" s="1510">
        <f>AH17+AJ17+AM17+AP17-(J17+M17+P17)</f>
        <v>12388.432378157728</v>
      </c>
      <c r="AV17" s="1356">
        <f>IFERROR((AU17/AG17),0)</f>
        <v>4.0538123922999776E-2</v>
      </c>
      <c r="AW17" s="80">
        <f>AF17+AH17</f>
        <v>243780.06272366631</v>
      </c>
      <c r="AX17" s="80">
        <f t="shared" ref="AX17:AX39" si="2">AG17+AU17</f>
        <v>317987.98113105417</v>
      </c>
      <c r="AY17" s="82">
        <f t="shared" ref="AY17:AY39" si="3">IFERROR((AW17-AF17)/AF17,0)</f>
        <v>5.7414375905860682E-2</v>
      </c>
      <c r="AZ17" s="83">
        <f t="shared" ref="AZ17:AZ39" si="4">IFERROR((AX17-AG17)/AG17,0)</f>
        <v>4.0538123922999818E-2</v>
      </c>
      <c r="BA17" s="84">
        <f>'Avg Bill by RS'!BG14</f>
        <v>0.15</v>
      </c>
    </row>
    <row r="18" spans="2:53" x14ac:dyDescent="0.3">
      <c r="B18" s="279">
        <v>2</v>
      </c>
      <c r="C18" s="767" t="s">
        <v>269</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5">IFERROR((H18/D18),0)</f>
        <v>-9.3562309582469836E-3</v>
      </c>
      <c r="J18" s="95">
        <f>SUM('Temps Proof'!W15:Y15)</f>
        <v>-630.13883373504575</v>
      </c>
      <c r="K18" s="83">
        <f t="shared" ref="K18:K39" si="6">IFERROR((J18/SUM(E18,F18,H18)),0)</f>
        <v>-1.0898243481089301E-2</v>
      </c>
      <c r="L18" s="83">
        <f t="shared" ref="L18:L39" si="7">IFERROR((J18/SUM(D18,F18)),0)</f>
        <v>-1.5037298777972261E-2</v>
      </c>
      <c r="M18" s="95">
        <f>SUM('Temps Proof'!Y15:AA15)</f>
        <v>-335.08121143961074</v>
      </c>
      <c r="N18" s="83">
        <f t="shared" ref="N18:N39" si="8">IFERROR((M18/SUM(E18,F18,H18)),0)</f>
        <v>-5.7952254847742218E-3</v>
      </c>
      <c r="O18" s="83">
        <f t="shared" ref="O18:O39" si="9">IFERROR((M18/SUM(D18,F18)),0)</f>
        <v>-7.9962002364401975E-3</v>
      </c>
      <c r="P18" s="95">
        <f>SUM('Temps Proof'!AE15:AG15)</f>
        <v>118.20920514675159</v>
      </c>
      <c r="Q18" s="83">
        <f t="shared" ref="Q18:Q39" si="10">IFERROR((P18/SUM(E18,F18,H18)),0)</f>
        <v>2.0444267682397954E-3</v>
      </c>
      <c r="R18" s="84">
        <f t="shared" ref="R18:R39" si="11">IFERROR((P18/SUM(D18,F18)),0)</f>
        <v>2.8208817500775148E-3</v>
      </c>
      <c r="S18" s="1539">
        <f t="shared" ref="S18:S38" si="12">SUM(F18,H18)</f>
        <v>3948.8389987015212</v>
      </c>
      <c r="T18" s="1341">
        <f t="shared" ref="T18:T39" si="13">IFERROR((S18/D18),0)</f>
        <v>0.10501007894275873</v>
      </c>
      <c r="U18" s="1342">
        <f t="shared" ref="U18:U39" si="14">SUM(F18,H18,J18,M18,P18)</f>
        <v>3101.8281586736161</v>
      </c>
      <c r="V18" s="1343">
        <f t="shared" ref="V18:V39" si="15">IFERROR((U18/E18),0)</f>
        <v>5.7578404550798476E-2</v>
      </c>
      <c r="W18" s="80">
        <f t="shared" ref="W18:W39" si="16">D18+S18</f>
        <v>41553.219820603801</v>
      </c>
      <c r="X18" s="80">
        <f t="shared" ref="X18:X39" si="17">E18+U18</f>
        <v>56973.208980575902</v>
      </c>
      <c r="Y18" s="82">
        <f t="shared" si="0"/>
        <v>0.10501007894275864</v>
      </c>
      <c r="Z18" s="83">
        <f t="shared" si="1"/>
        <v>5.7578404550798531E-2</v>
      </c>
      <c r="AA18" s="84">
        <f>'Avg Bill by RS'!AK15</f>
        <v>0.14299999999999999</v>
      </c>
      <c r="AB18" s="83"/>
      <c r="AC18" s="83"/>
      <c r="AD18" s="279">
        <v>2</v>
      </c>
      <c r="AE18" s="1257" t="s">
        <v>269</v>
      </c>
      <c r="AF18" s="1049">
        <f>'Rate Impacts - Rev Req ONLY'!N18</f>
        <v>41553.219820603801</v>
      </c>
      <c r="AG18" s="80">
        <f>'Rate Impacts - Rev Req ONLY'!O18</f>
        <v>57820.219820603801</v>
      </c>
      <c r="AH18" s="94">
        <f>SUM('Rev Req Proof Yr2'!AF15:AH15)</f>
        <v>2385.5920692214495</v>
      </c>
      <c r="AI18" s="84">
        <f>IFERROR((AH18/AF18),0)</f>
        <v>5.7410522686826171E-2</v>
      </c>
      <c r="AJ18" s="94">
        <f>SUM('Temps Proof'!AI15:AK15)</f>
        <v>-630.13883373504575</v>
      </c>
      <c r="AK18" s="83">
        <f t="shared" ref="AK18:AK39" si="18">IFERROR((AJ18/SUM(AG18,AH18)),0)</f>
        <v>-1.0466412028263651E-2</v>
      </c>
      <c r="AL18" s="84">
        <f t="shared" ref="AL18:AL39" si="19">IFERROR((AJ18/SUM(AF18,AH18)),0)</f>
        <v>-1.4341280672656619E-2</v>
      </c>
      <c r="AM18" s="80">
        <f>SUM('Temps Proof'!AM15:AO15)</f>
        <v>-335.08121143961074</v>
      </c>
      <c r="AN18" s="83">
        <f t="shared" ref="AN18:AN39" si="20">IFERROR((AM18/SUM(AG18,AH18)),0)</f>
        <v>-5.5655957609673772E-3</v>
      </c>
      <c r="AO18" s="83">
        <f t="shared" ref="AO18:AO39" si="21">IFERROR((AM18/SUM(AF18,AH18)),0)</f>
        <v>-7.6260872114569909E-3</v>
      </c>
      <c r="AP18" s="94">
        <f>SUM('Temps Proof'!AQ15:AS15)</f>
        <v>-33.973511715404975</v>
      </c>
      <c r="AQ18" s="83">
        <f t="shared" ref="AQ18:AQ39" si="22">IFERROR((AP18/SUM(AG18,AH18)),0)</f>
        <v>-5.6428957020919241E-4</v>
      </c>
      <c r="AR18" s="84">
        <f t="shared" ref="AR18:AR39" si="23">IFERROR((AP18/SUM(AF18,AH18)),0)</f>
        <v>-7.7320050893938937E-4</v>
      </c>
      <c r="AS18" s="1510">
        <f t="shared" ref="AS18:AS39" si="24">AH18</f>
        <v>2385.5920692214495</v>
      </c>
      <c r="AT18" s="1514">
        <f t="shared" ref="AT18:AT39" si="25">AI18</f>
        <v>5.7410522686826171E-2</v>
      </c>
      <c r="AU18" s="1510">
        <f t="shared" ref="AU18:AU39" si="26">AH18+AJ18+AM18+AP18-(J18+M18+P18)</f>
        <v>2233.4093523592928</v>
      </c>
      <c r="AV18" s="1356">
        <f t="shared" ref="AV18:AV39" si="27">IFERROR((AU18/AG18),0)</f>
        <v>3.8626787640877042E-2</v>
      </c>
      <c r="AW18" s="80">
        <f t="shared" ref="AW18:AW39" si="28">AF18+AH18</f>
        <v>43938.811889825251</v>
      </c>
      <c r="AX18" s="80">
        <f t="shared" si="2"/>
        <v>60053.62917296309</v>
      </c>
      <c r="AY18" s="82">
        <f t="shared" si="3"/>
        <v>5.7410522686826171E-2</v>
      </c>
      <c r="AZ18" s="83">
        <f t="shared" si="4"/>
        <v>3.8626787640876979E-2</v>
      </c>
      <c r="BA18" s="84">
        <f>'Avg Bill by RS'!BG15</f>
        <v>0.16600000000000001</v>
      </c>
    </row>
    <row r="19" spans="2:53" x14ac:dyDescent="0.3">
      <c r="B19" s="279">
        <v>3</v>
      </c>
      <c r="C19" s="767" t="s">
        <v>12</v>
      </c>
      <c r="D19" s="79">
        <f>'Rate Impacts - Rev Req ONLY'!D19</f>
        <v>33798099.589697547</v>
      </c>
      <c r="E19" s="80">
        <f>'Rate Impacts - Rev Req ONLY'!E19</f>
        <v>53008197.589697547</v>
      </c>
      <c r="F19" s="94">
        <f>SUM('Rev Req Proof Yr1'!AF16:AH16)</f>
        <v>3865430.3003228158</v>
      </c>
      <c r="G19" s="84">
        <f t="shared" ref="G19:G34" si="29">IFERROR((F19/D19),0)</f>
        <v>0.11436827357894079</v>
      </c>
      <c r="H19" s="94">
        <f>SUM('Rev Req Proof Yr1'!AM16:AO16)</f>
        <v>-316532.25092208461</v>
      </c>
      <c r="I19" s="83">
        <f t="shared" si="5"/>
        <v>-9.3653860650369548E-3</v>
      </c>
      <c r="J19" s="95">
        <f>SUM('Temps Proof'!W16:Y16)</f>
        <v>-566021.21258636657</v>
      </c>
      <c r="K19" s="83">
        <f t="shared" si="6"/>
        <v>-1.0007961091182209E-2</v>
      </c>
      <c r="L19" s="83">
        <f t="shared" si="7"/>
        <v>-1.50283633594403E-2</v>
      </c>
      <c r="M19" s="95">
        <f>SUM('Temps Proof'!Y16:AA16)</f>
        <v>-300595.73134441016</v>
      </c>
      <c r="N19" s="83">
        <f t="shared" si="8"/>
        <v>-5.3149074921132692E-3</v>
      </c>
      <c r="O19" s="83">
        <f t="shared" si="9"/>
        <v>-7.9810822889454791E-3</v>
      </c>
      <c r="P19" s="95">
        <f>SUM('Temps Proof'!AE16:AG16)</f>
        <v>106060.28546521238</v>
      </c>
      <c r="Q19" s="83">
        <f t="shared" si="10"/>
        <v>1.8752781462118119E-3</v>
      </c>
      <c r="R19" s="84">
        <f t="shared" si="11"/>
        <v>2.81599429939027E-3</v>
      </c>
      <c r="S19" s="1539">
        <f>SUM(F19,H19)</f>
        <v>3548898.049400731</v>
      </c>
      <c r="T19" s="1341">
        <f t="shared" si="13"/>
        <v>0.10500288751390384</v>
      </c>
      <c r="U19" s="1342">
        <f t="shared" si="14"/>
        <v>2788341.3909351667</v>
      </c>
      <c r="V19" s="1343">
        <f t="shared" si="15"/>
        <v>5.2602078880665377E-2</v>
      </c>
      <c r="W19" s="80">
        <f t="shared" si="16"/>
        <v>37346997.639098279</v>
      </c>
      <c r="X19" s="80">
        <f t="shared" si="17"/>
        <v>55796538.980632715</v>
      </c>
      <c r="Y19" s="82">
        <f t="shared" si="0"/>
        <v>0.10500288751390387</v>
      </c>
      <c r="Z19" s="83">
        <f t="shared" si="1"/>
        <v>5.2602078880665398E-2</v>
      </c>
      <c r="AA19" s="84">
        <f>'Avg Bill by RS'!AK16</f>
        <v>0.157</v>
      </c>
      <c r="AB19" s="83"/>
      <c r="AC19" s="83"/>
      <c r="AD19" s="279">
        <v>3</v>
      </c>
      <c r="AE19" s="1257" t="s">
        <v>12</v>
      </c>
      <c r="AF19" s="1049">
        <f>'Rate Impacts - Rev Req ONLY'!N19</f>
        <v>37346997.639098279</v>
      </c>
      <c r="AG19" s="80">
        <f>'Rate Impacts - Rev Req ONLY'!O19</f>
        <v>56557095.639098279</v>
      </c>
      <c r="AH19" s="94">
        <f>SUM('Rev Req Proof Yr2'!AF16:AH16)</f>
        <v>2144286.1859339848</v>
      </c>
      <c r="AI19" s="84">
        <f t="shared" ref="AI19:AI24" si="30">IFERROR((AH19/AF19),0)</f>
        <v>5.7415222681492031E-2</v>
      </c>
      <c r="AJ19" s="94">
        <f>SUM('Temps Proof'!AI16:AK16)</f>
        <v>-566021.21258636657</v>
      </c>
      <c r="AK19" s="83">
        <f t="shared" si="18"/>
        <v>-9.642383109029231E-3</v>
      </c>
      <c r="AL19" s="84">
        <f t="shared" si="19"/>
        <v>-1.433281366830581E-2</v>
      </c>
      <c r="AM19" s="80">
        <f>SUM('Temps Proof'!AM16:AO16)</f>
        <v>-301694.80166011187</v>
      </c>
      <c r="AN19" s="83">
        <f t="shared" si="20"/>
        <v>-5.1394838124825702E-3</v>
      </c>
      <c r="AO19" s="83">
        <f t="shared" si="21"/>
        <v>-7.6395288387377559E-3</v>
      </c>
      <c r="AP19" s="94">
        <f>SUM('Temps Proof'!AQ16:AS16)</f>
        <v>-30773.96883964711</v>
      </c>
      <c r="AQ19" s="83">
        <f t="shared" si="22"/>
        <v>-5.2424607194722023E-4</v>
      </c>
      <c r="AR19" s="84">
        <f t="shared" si="23"/>
        <v>-7.7925977225740313E-4</v>
      </c>
      <c r="AS19" s="1510">
        <f t="shared" si="24"/>
        <v>2144286.1859339848</v>
      </c>
      <c r="AT19" s="1514">
        <f t="shared" si="25"/>
        <v>5.7415222681492031E-2</v>
      </c>
      <c r="AU19" s="1510">
        <f t="shared" si="26"/>
        <v>2006352.8613134236</v>
      </c>
      <c r="AV19" s="1356">
        <f t="shared" si="27"/>
        <v>3.5474821304763378E-2</v>
      </c>
      <c r="AW19" s="80">
        <f t="shared" si="28"/>
        <v>39491283.825032264</v>
      </c>
      <c r="AX19" s="80">
        <f t="shared" si="2"/>
        <v>58563448.500411704</v>
      </c>
      <c r="AY19" s="82">
        <f t="shared" si="3"/>
        <v>5.7415222681492031E-2</v>
      </c>
      <c r="AZ19" s="83">
        <f t="shared" si="4"/>
        <v>3.5474821304763406E-2</v>
      </c>
      <c r="BA19" s="84">
        <f>'Avg Bill by RS'!BG16</f>
        <v>0.13800000000000001</v>
      </c>
    </row>
    <row r="20" spans="2:53" x14ac:dyDescent="0.3">
      <c r="B20" s="279">
        <v>4</v>
      </c>
      <c r="C20" s="767" t="s">
        <v>10</v>
      </c>
      <c r="D20" s="79">
        <f>'Rate Impacts - Rev Req ONLY'!D20</f>
        <v>9866168.0688334089</v>
      </c>
      <c r="E20" s="80">
        <f>'Rate Impacts - Rev Req ONLY'!E20</f>
        <v>16112007.068833409</v>
      </c>
      <c r="F20" s="94">
        <f>SUM('Rev Req Proof Yr1'!AF17:AH17)</f>
        <v>1128493.0219091931</v>
      </c>
      <c r="G20" s="84">
        <f t="shared" si="29"/>
        <v>0.11438007279381648</v>
      </c>
      <c r="H20" s="94">
        <f>SUM('Rev Req Proof Yr1'!AM17:AO17)</f>
        <v>-92373.478835822199</v>
      </c>
      <c r="I20" s="83">
        <f t="shared" si="5"/>
        <v>-9.3626500371125927E-3</v>
      </c>
      <c r="J20" s="95">
        <f>SUM('Temps Proof'!W17:Y17)</f>
        <v>-165093.02600444818</v>
      </c>
      <c r="K20" s="83">
        <f t="shared" si="6"/>
        <v>-9.6274671712428365E-3</v>
      </c>
      <c r="L20" s="83">
        <f t="shared" si="7"/>
        <v>-1.5015744882164207E-2</v>
      </c>
      <c r="M20" s="95">
        <f>SUM('Temps Proof'!Y17:AA17)</f>
        <v>-87728.004078121274</v>
      </c>
      <c r="N20" s="83">
        <f t="shared" si="8"/>
        <v>-5.1158943518184331E-3</v>
      </c>
      <c r="O20" s="83">
        <f t="shared" si="9"/>
        <v>-7.9791458194184255E-3</v>
      </c>
      <c r="P20" s="95">
        <f>SUM('Temps Proof'!AE17:AG17)</f>
        <v>30910.274349317679</v>
      </c>
      <c r="Q20" s="83">
        <f t="shared" si="10"/>
        <v>1.802545260416678E-3</v>
      </c>
      <c r="R20" s="84">
        <f t="shared" si="11"/>
        <v>2.8113894638684069E-3</v>
      </c>
      <c r="S20" s="1539">
        <f t="shared" si="12"/>
        <v>1036119.5430733709</v>
      </c>
      <c r="T20" s="1341">
        <f t="shared" si="13"/>
        <v>0.10501742275670389</v>
      </c>
      <c r="U20" s="1342">
        <f t="shared" si="14"/>
        <v>814208.78734011913</v>
      </c>
      <c r="V20" s="1343">
        <f t="shared" si="15"/>
        <v>5.0534286874482609E-2</v>
      </c>
      <c r="W20" s="80">
        <f t="shared" si="16"/>
        <v>10902287.61190678</v>
      </c>
      <c r="X20" s="80">
        <f t="shared" si="17"/>
        <v>16926215.856173526</v>
      </c>
      <c r="Y20" s="82">
        <f t="shared" si="0"/>
        <v>0.10501742275670391</v>
      </c>
      <c r="Z20" s="83">
        <f t="shared" si="1"/>
        <v>5.0534286874482512E-2</v>
      </c>
      <c r="AA20" s="84">
        <f>'Avg Bill by RS'!AK17</f>
        <v>0.16200000000000001</v>
      </c>
      <c r="AB20" s="83"/>
      <c r="AC20" s="83"/>
      <c r="AD20" s="279">
        <v>4</v>
      </c>
      <c r="AE20" s="1257" t="s">
        <v>10</v>
      </c>
      <c r="AF20" s="1049">
        <f>'Rate Impacts - Rev Req ONLY'!N20</f>
        <v>10902287.61190678</v>
      </c>
      <c r="AG20" s="80">
        <f>'Rate Impacts - Rev Req ONLY'!O20</f>
        <v>17148126.611906782</v>
      </c>
      <c r="AH20" s="94">
        <f>SUM('Rev Req Proof Yr2'!AF17:AH17)</f>
        <v>625888.38754716702</v>
      </c>
      <c r="AI20" s="84">
        <f t="shared" si="30"/>
        <v>5.7408904426958229E-2</v>
      </c>
      <c r="AJ20" s="94">
        <f>SUM('Temps Proof'!AI17:AK17)</f>
        <v>-165093.02600444818</v>
      </c>
      <c r="AK20" s="83">
        <f t="shared" si="18"/>
        <v>-9.2884486712495832E-3</v>
      </c>
      <c r="AL20" s="84">
        <f t="shared" si="19"/>
        <v>-1.4320828031448176E-2</v>
      </c>
      <c r="AM20" s="80">
        <f>SUM('Temps Proof'!AM17:AO17)</f>
        <v>-88085.348290252121</v>
      </c>
      <c r="AN20" s="83">
        <f t="shared" si="20"/>
        <v>-4.9558497780584901E-3</v>
      </c>
      <c r="AO20" s="83">
        <f t="shared" si="21"/>
        <v>-7.6408746964328478E-3</v>
      </c>
      <c r="AP20" s="94">
        <f>SUM('Temps Proof'!AQ17:AS17)</f>
        <v>-8933.6053032710042</v>
      </c>
      <c r="AQ20" s="83">
        <f t="shared" si="22"/>
        <v>-5.0262168134467434E-4</v>
      </c>
      <c r="AR20" s="84">
        <f t="shared" si="23"/>
        <v>-7.7493658178832113E-4</v>
      </c>
      <c r="AS20" s="1510">
        <f t="shared" si="24"/>
        <v>625888.38754716702</v>
      </c>
      <c r="AT20" s="1514">
        <f t="shared" si="25"/>
        <v>5.7408904426958229E-2</v>
      </c>
      <c r="AU20" s="1510">
        <f t="shared" si="26"/>
        <v>585687.16368244751</v>
      </c>
      <c r="AV20" s="1356">
        <f t="shared" si="27"/>
        <v>3.4154585917028177E-2</v>
      </c>
      <c r="AW20" s="80">
        <f t="shared" si="28"/>
        <v>11528175.999453947</v>
      </c>
      <c r="AX20" s="80">
        <f t="shared" si="2"/>
        <v>17733813.775589228</v>
      </c>
      <c r="AY20" s="82">
        <f t="shared" si="3"/>
        <v>5.7408904426958229E-2</v>
      </c>
      <c r="AZ20" s="83">
        <f t="shared" si="4"/>
        <v>3.4154585917028087E-2</v>
      </c>
      <c r="BA20" s="84">
        <f>'Avg Bill by RS'!BG17</f>
        <v>0.20399999999999999</v>
      </c>
    </row>
    <row r="21" spans="2:53" x14ac:dyDescent="0.3">
      <c r="B21" s="279">
        <v>5</v>
      </c>
      <c r="C21" s="767" t="s">
        <v>11</v>
      </c>
      <c r="D21" s="79">
        <f>'Rate Impacts - Rev Req ONLY'!D21</f>
        <v>141888.72505190157</v>
      </c>
      <c r="E21" s="80">
        <f>'Rate Impacts - Rev Req ONLY'!E21</f>
        <v>241043.72505190157</v>
      </c>
      <c r="F21" s="94">
        <f>SUM('Rev Req Proof Yr1'!AF18:AH18)</f>
        <v>16227.730920000002</v>
      </c>
      <c r="G21" s="84">
        <f t="shared" si="29"/>
        <v>0.11436941810608313</v>
      </c>
      <c r="H21" s="94">
        <f>SUM('Rev Req Proof Yr1'!AM18:AO18)</f>
        <v>-1330.3278799999996</v>
      </c>
      <c r="I21" s="83">
        <f t="shared" si="5"/>
        <v>-9.3758533633548271E-3</v>
      </c>
      <c r="J21" s="95">
        <f>SUM('Temps Proof'!W18:Y18)</f>
        <v>0</v>
      </c>
      <c r="K21" s="83">
        <f t="shared" si="6"/>
        <v>0</v>
      </c>
      <c r="L21" s="83">
        <f t="shared" si="7"/>
        <v>0</v>
      </c>
      <c r="M21" s="95">
        <f>SUM('Temps Proof'!Y18:AA18)</f>
        <v>-1262.2513999999996</v>
      </c>
      <c r="N21" s="83">
        <f t="shared" si="8"/>
        <v>-4.9318036902094107E-3</v>
      </c>
      <c r="O21" s="83">
        <f t="shared" si="9"/>
        <v>-7.9830489005161542E-3</v>
      </c>
      <c r="P21" s="95">
        <f>SUM('Temps Proof'!AE18:AG18)</f>
        <v>445.33363999999989</v>
      </c>
      <c r="Q21" s="83">
        <f t="shared" si="10"/>
        <v>1.7399846727255675E-3</v>
      </c>
      <c r="R21" s="84">
        <f t="shared" si="11"/>
        <v>2.8164914098450251E-3</v>
      </c>
      <c r="S21" s="1539">
        <f t="shared" si="12"/>
        <v>14897.403040000003</v>
      </c>
      <c r="T21" s="1341">
        <f t="shared" si="13"/>
        <v>0.10499356474272831</v>
      </c>
      <c r="U21" s="1342">
        <f t="shared" si="14"/>
        <v>14080.485280000004</v>
      </c>
      <c r="V21" s="1343">
        <f t="shared" si="15"/>
        <v>5.8414651851933473E-2</v>
      </c>
      <c r="W21" s="80">
        <f t="shared" si="16"/>
        <v>156786.12809190157</v>
      </c>
      <c r="X21" s="80">
        <f t="shared" si="17"/>
        <v>255124.21033190156</v>
      </c>
      <c r="Y21" s="82">
        <f t="shared" si="0"/>
        <v>0.10499356474272832</v>
      </c>
      <c r="Z21" s="83">
        <f t="shared" si="1"/>
        <v>5.8414651851933425E-2</v>
      </c>
      <c r="AA21" s="84">
        <f>'Avg Bill by RS'!AK18</f>
        <v>0.17799999999999999</v>
      </c>
      <c r="AB21" s="83"/>
      <c r="AC21" s="83"/>
      <c r="AD21" s="279">
        <v>5</v>
      </c>
      <c r="AE21" s="1257" t="s">
        <v>11</v>
      </c>
      <c r="AF21" s="1049">
        <f>'Rate Impacts - Rev Req ONLY'!N21</f>
        <v>156786.12809190157</v>
      </c>
      <c r="AG21" s="80">
        <f>'Rate Impacts - Rev Req ONLY'!O21</f>
        <v>255941.12809190157</v>
      </c>
      <c r="AH21" s="94">
        <f>SUM('Rev Req Proof Yr2'!AF18:AH18)</f>
        <v>9000.2779600000067</v>
      </c>
      <c r="AI21" s="84">
        <f t="shared" si="30"/>
        <v>5.7404810422542064E-2</v>
      </c>
      <c r="AJ21" s="94">
        <f>SUM('Temps Proof'!AI18:AK18)</f>
        <v>0</v>
      </c>
      <c r="AK21" s="83">
        <f t="shared" si="18"/>
        <v>0</v>
      </c>
      <c r="AL21" s="84">
        <f t="shared" si="19"/>
        <v>0</v>
      </c>
      <c r="AM21" s="80">
        <f>SUM('Temps Proof'!AM18:AO18)</f>
        <v>-1265.0879199999999</v>
      </c>
      <c r="AN21" s="83">
        <f t="shared" si="20"/>
        <v>-4.7749724697700568E-3</v>
      </c>
      <c r="AO21" s="83">
        <f t="shared" si="21"/>
        <v>-7.6308302358876626E-3</v>
      </c>
      <c r="AP21" s="94">
        <f>SUM('Temps Proof'!AQ18:AS18)</f>
        <v>-127.64339999999997</v>
      </c>
      <c r="AQ21" s="83">
        <f t="shared" si="22"/>
        <v>-4.8177973349697875E-4</v>
      </c>
      <c r="AR21" s="84">
        <f t="shared" si="23"/>
        <v>-7.6992681752229768E-4</v>
      </c>
      <c r="AS21" s="1510">
        <f t="shared" si="24"/>
        <v>9000.2779600000067</v>
      </c>
      <c r="AT21" s="1514">
        <f t="shared" si="25"/>
        <v>5.7404810422542064E-2</v>
      </c>
      <c r="AU21" s="1510">
        <f t="shared" si="26"/>
        <v>8424.4644000000062</v>
      </c>
      <c r="AV21" s="1356">
        <f t="shared" si="27"/>
        <v>3.291563361780217E-2</v>
      </c>
      <c r="AW21" s="80">
        <f t="shared" si="28"/>
        <v>165786.40605190158</v>
      </c>
      <c r="AX21" s="80">
        <f t="shared" si="2"/>
        <v>264365.5924919016</v>
      </c>
      <c r="AY21" s="82">
        <f t="shared" si="3"/>
        <v>5.7404810422542064E-2</v>
      </c>
      <c r="AZ21" s="83">
        <f t="shared" si="4"/>
        <v>3.2915633617802247E-2</v>
      </c>
      <c r="BA21" s="84">
        <f>'Avg Bill by RS'!BG18</f>
        <v>0.25</v>
      </c>
    </row>
    <row r="22" spans="2:53" x14ac:dyDescent="0.3">
      <c r="B22" s="1258">
        <v>6</v>
      </c>
      <c r="C22" s="767">
        <v>27</v>
      </c>
      <c r="D22" s="79">
        <f>'Rate Impacts - Rev Req ONLY'!D22</f>
        <v>201938.20437801833</v>
      </c>
      <c r="E22" s="80">
        <f>'Rate Impacts - Rev Req ONLY'!E22</f>
        <v>363218.20437801839</v>
      </c>
      <c r="F22" s="94">
        <f>SUM('Rev Req Proof Yr1'!AF19:AH19)</f>
        <v>23096.270772728705</v>
      </c>
      <c r="G22" s="84">
        <f t="shared" si="29"/>
        <v>0.1143729629758103</v>
      </c>
      <c r="H22" s="94">
        <f>SUM('Rev Req Proof Yr1'!AM19:AO19)</f>
        <v>-1891.6242542586419</v>
      </c>
      <c r="I22" s="83">
        <f t="shared" si="5"/>
        <v>-9.3673421534323197E-3</v>
      </c>
      <c r="J22" s="95">
        <f>SUM('Temps Proof'!W19:Y19)</f>
        <v>-3381.8550691989863</v>
      </c>
      <c r="K22" s="83">
        <f t="shared" si="6"/>
        <v>-8.7972269632577097E-3</v>
      </c>
      <c r="L22" s="83">
        <f t="shared" si="7"/>
        <v>-1.5028164315416715E-2</v>
      </c>
      <c r="M22" s="95">
        <f>SUM('Temps Proof'!Y19:AA19)</f>
        <v>-1794.7361826990527</v>
      </c>
      <c r="N22" s="83">
        <f t="shared" si="8"/>
        <v>-4.668651144211799E-3</v>
      </c>
      <c r="O22" s="83">
        <f t="shared" si="9"/>
        <v>-7.9753832451529352E-3</v>
      </c>
      <c r="P22" s="95">
        <f>SUM('Temps Proof'!AE19:AG19)</f>
        <v>632.0793239839852</v>
      </c>
      <c r="Q22" s="83">
        <f t="shared" si="10"/>
        <v>1.6442293232828188E-3</v>
      </c>
      <c r="R22" s="84">
        <f t="shared" si="11"/>
        <v>2.8088110657736565E-3</v>
      </c>
      <c r="S22" s="1539">
        <f t="shared" si="12"/>
        <v>21204.646518470065</v>
      </c>
      <c r="T22" s="1341">
        <f t="shared" si="13"/>
        <v>0.10500562082237799</v>
      </c>
      <c r="U22" s="1342">
        <f t="shared" si="14"/>
        <v>16660.134590556008</v>
      </c>
      <c r="V22" s="1343">
        <f t="shared" si="15"/>
        <v>4.5868115611344788E-2</v>
      </c>
      <c r="W22" s="80">
        <f t="shared" si="16"/>
        <v>223142.85089648841</v>
      </c>
      <c r="X22" s="80">
        <f t="shared" si="17"/>
        <v>379878.33896857442</v>
      </c>
      <c r="Y22" s="82">
        <f t="shared" si="0"/>
        <v>0.10500562082237806</v>
      </c>
      <c r="Z22" s="83">
        <f t="shared" si="1"/>
        <v>4.5868115611344851E-2</v>
      </c>
      <c r="AA22" s="84">
        <f>'Avg Bill by RS'!AK19</f>
        <v>0.17599999999999999</v>
      </c>
      <c r="AB22" s="83"/>
      <c r="AC22" s="83"/>
      <c r="AD22" s="1258">
        <v>6</v>
      </c>
      <c r="AE22" s="1257">
        <v>27</v>
      </c>
      <c r="AF22" s="1049">
        <f>'Rate Impacts - Rev Req ONLY'!N22</f>
        <v>223142.85089648841</v>
      </c>
      <c r="AG22" s="80">
        <f>'Rate Impacts - Rev Req ONLY'!O22</f>
        <v>384422.85089648847</v>
      </c>
      <c r="AH22" s="94">
        <f>SUM('Rev Req Proof Yr2'!AF19:AH19)</f>
        <v>12812.294034332299</v>
      </c>
      <c r="AI22" s="84">
        <f t="shared" si="30"/>
        <v>5.7417452465352209E-2</v>
      </c>
      <c r="AJ22" s="94">
        <f>SUM('Temps Proof'!AI19:AK19)</f>
        <v>-3381.8550691989863</v>
      </c>
      <c r="AK22" s="83">
        <f t="shared" si="18"/>
        <v>-8.513484046805431E-3</v>
      </c>
      <c r="AL22" s="84">
        <f t="shared" si="19"/>
        <v>-1.4332618473695527E-2</v>
      </c>
      <c r="AM22" s="80">
        <f>SUM('Temps Proof'!AM19:AO19)</f>
        <v>-1799.3499003923666</v>
      </c>
      <c r="AN22" s="83">
        <f t="shared" si="20"/>
        <v>-4.5296845542348134E-3</v>
      </c>
      <c r="AO22" s="83">
        <f t="shared" si="21"/>
        <v>-7.6258133761817953E-3</v>
      </c>
      <c r="AP22" s="94">
        <f>SUM('Temps Proof'!AQ19:AS19)</f>
        <v>-184.54870773255044</v>
      </c>
      <c r="AQ22" s="83">
        <f t="shared" si="22"/>
        <v>-4.6458303120357067E-4</v>
      </c>
      <c r="AR22" s="84">
        <f t="shared" si="23"/>
        <v>-7.8213470524941494E-4</v>
      </c>
      <c r="AS22" s="1510">
        <f t="shared" si="24"/>
        <v>12812.294034332299</v>
      </c>
      <c r="AT22" s="1514">
        <f t="shared" si="25"/>
        <v>5.7417452465352209E-2</v>
      </c>
      <c r="AU22" s="1510">
        <f t="shared" si="26"/>
        <v>11991.052284922451</v>
      </c>
      <c r="AV22" s="1356">
        <f t="shared" si="27"/>
        <v>3.1192350446803224E-2</v>
      </c>
      <c r="AW22" s="80">
        <f t="shared" si="28"/>
        <v>235955.14493082071</v>
      </c>
      <c r="AX22" s="80">
        <f t="shared" si="2"/>
        <v>396413.90318141092</v>
      </c>
      <c r="AY22" s="82">
        <f t="shared" si="3"/>
        <v>5.7417452465352209E-2</v>
      </c>
      <c r="AZ22" s="83">
        <f t="shared" si="4"/>
        <v>3.1192350446803224E-2</v>
      </c>
      <c r="BA22" s="84">
        <f>'Avg Bill by RS'!BG19</f>
        <v>0.23799999999999999</v>
      </c>
    </row>
    <row r="23" spans="2:53" x14ac:dyDescent="0.3">
      <c r="B23" s="279">
        <v>7</v>
      </c>
      <c r="C23" s="767" t="s">
        <v>339</v>
      </c>
      <c r="D23" s="79">
        <f>'Rate Impacts - Rev Req ONLY'!D23</f>
        <v>1542348.175315036</v>
      </c>
      <c r="E23" s="80">
        <f>'Rate Impacts - Rev Req ONLY'!E23</f>
        <v>2853836.1753150364</v>
      </c>
      <c r="F23" s="94">
        <f>SUM('Rev Req Proof Yr1'!AF22:AH22)</f>
        <v>176417.40376421309</v>
      </c>
      <c r="G23" s="84">
        <f t="shared" si="29"/>
        <v>0.11438234672801978</v>
      </c>
      <c r="H23" s="94">
        <f>SUM('Rev Req Proof Yr1'!AM22:AO22)</f>
        <v>-14451.994176944718</v>
      </c>
      <c r="I23" s="83">
        <f t="shared" si="5"/>
        <v>-9.37012433913814E-3</v>
      </c>
      <c r="J23" s="95">
        <f>SUM('Temps Proof'!W22:Y22)</f>
        <v>-25819.685542313746</v>
      </c>
      <c r="K23" s="83">
        <f t="shared" si="6"/>
        <v>-8.5614669319003488E-3</v>
      </c>
      <c r="L23" s="83">
        <f t="shared" si="7"/>
        <v>-1.5022226333008993E-2</v>
      </c>
      <c r="M23" s="95">
        <f>SUM('Temps Proof'!Y22:AA22)</f>
        <v>-13723.372331383642</v>
      </c>
      <c r="N23" s="83">
        <f t="shared" si="8"/>
        <v>-4.550489130347812E-3</v>
      </c>
      <c r="O23" s="83">
        <f t="shared" si="9"/>
        <v>-7.9844351658097078E-3</v>
      </c>
      <c r="P23" s="95">
        <f>SUM('Temps Proof'!AE22:AG22)</f>
        <v>4841.6842320445639</v>
      </c>
      <c r="Q23" s="83">
        <f t="shared" si="10"/>
        <v>1.6054385859742852E-3</v>
      </c>
      <c r="R23" s="84">
        <f t="shared" si="11"/>
        <v>2.8169543834117724E-3</v>
      </c>
      <c r="S23" s="1539">
        <f t="shared" si="12"/>
        <v>161965.40958726837</v>
      </c>
      <c r="T23" s="1341">
        <f t="shared" si="13"/>
        <v>0.10501222238888164</v>
      </c>
      <c r="U23" s="1342">
        <f t="shared" si="14"/>
        <v>127264.03594561556</v>
      </c>
      <c r="V23" s="1343">
        <f t="shared" si="15"/>
        <v>4.4594022966846308E-2</v>
      </c>
      <c r="W23" s="80">
        <f t="shared" si="16"/>
        <v>1704313.5849023042</v>
      </c>
      <c r="X23" s="80">
        <f t="shared" si="17"/>
        <v>2981100.2112606522</v>
      </c>
      <c r="Y23" s="82">
        <f t="shared" si="0"/>
        <v>0.10501222238888157</v>
      </c>
      <c r="Z23" s="83">
        <f t="shared" si="1"/>
        <v>4.4594022966846371E-2</v>
      </c>
      <c r="AA23" s="84">
        <f>'Avg Bill by RS'!AK22</f>
        <v>0.19400000000000001</v>
      </c>
      <c r="AB23" s="83"/>
      <c r="AC23" s="83"/>
      <c r="AD23" s="279">
        <v>7</v>
      </c>
      <c r="AE23" s="1257" t="s">
        <v>339</v>
      </c>
      <c r="AF23" s="1049">
        <f>'Rate Impacts - Rev Req ONLY'!N23</f>
        <v>1704313.5849023042</v>
      </c>
      <c r="AG23" s="80">
        <f>'Rate Impacts - Rev Req ONLY'!O23</f>
        <v>3015801.5849023047</v>
      </c>
      <c r="AH23" s="94">
        <f>SUM('Rev Req Proof Yr2'!AF22:AH22)</f>
        <v>97836.782478516921</v>
      </c>
      <c r="AI23" s="84">
        <f t="shared" si="30"/>
        <v>5.7405387919926242E-2</v>
      </c>
      <c r="AJ23" s="94">
        <f>SUM('Temps Proof'!AI22:AK22)</f>
        <v>-25819.685542313746</v>
      </c>
      <c r="AK23" s="83">
        <f t="shared" si="18"/>
        <v>-8.2924484143073896E-3</v>
      </c>
      <c r="AL23" s="84">
        <f t="shared" si="19"/>
        <v>-1.4327153832251591E-2</v>
      </c>
      <c r="AM23" s="80">
        <f>SUM('Temps Proof'!AM22:AO22)</f>
        <v>-13760.889547551982</v>
      </c>
      <c r="AN23" s="83">
        <f t="shared" si="20"/>
        <v>-4.4195529229451198E-3</v>
      </c>
      <c r="AO23" s="83">
        <f t="shared" si="21"/>
        <v>-7.6358165204336147E-3</v>
      </c>
      <c r="AP23" s="94">
        <f>SUM('Temps Proof'!AQ22:AS22)</f>
        <v>-1401.9558234434951</v>
      </c>
      <c r="AQ23" s="83">
        <f t="shared" si="22"/>
        <v>-4.502628944101861E-4</v>
      </c>
      <c r="AR23" s="84">
        <f t="shared" si="23"/>
        <v>-7.7793498745670482E-4</v>
      </c>
      <c r="AS23" s="1510">
        <f t="shared" si="24"/>
        <v>97836.782478516921</v>
      </c>
      <c r="AT23" s="1514">
        <f t="shared" si="25"/>
        <v>5.7405387919926242E-2</v>
      </c>
      <c r="AU23" s="1510">
        <f t="shared" si="26"/>
        <v>91555.62520686051</v>
      </c>
      <c r="AV23" s="1356">
        <f t="shared" si="27"/>
        <v>3.0358636876247416E-2</v>
      </c>
      <c r="AW23" s="80">
        <f t="shared" si="28"/>
        <v>1802150.3673808211</v>
      </c>
      <c r="AX23" s="80">
        <f t="shared" si="2"/>
        <v>3107357.2101091654</v>
      </c>
      <c r="AY23" s="82">
        <f t="shared" si="3"/>
        <v>5.7405387919926242E-2</v>
      </c>
      <c r="AZ23" s="83">
        <f t="shared" si="4"/>
        <v>3.0358636876247482E-2</v>
      </c>
      <c r="BA23" s="84">
        <f>'Avg Bill by RS'!BG22</f>
        <v>0.29199999999999998</v>
      </c>
    </row>
    <row r="24" spans="2:53" x14ac:dyDescent="0.3">
      <c r="B24" s="279">
        <v>8</v>
      </c>
      <c r="C24" s="767" t="s">
        <v>340</v>
      </c>
      <c r="D24" s="79">
        <f>'Rate Impacts - Rev Req ONLY'!D24</f>
        <v>392614.2804678994</v>
      </c>
      <c r="E24" s="80">
        <f>'Rate Impacts - Rev Req ONLY'!E24</f>
        <v>747266.28046789952</v>
      </c>
      <c r="F24" s="94">
        <f>SUM('Rev Req Proof Yr1'!AF25:AH25)</f>
        <v>21671.68520800001</v>
      </c>
      <c r="G24" s="84">
        <f t="shared" si="29"/>
        <v>5.5198413012824459E-2</v>
      </c>
      <c r="H24" s="94">
        <f>SUM('Rev Req Proof Yr1'!AM25:AO25)</f>
        <v>-3674.6766820000012</v>
      </c>
      <c r="I24" s="83">
        <f t="shared" si="5"/>
        <v>-9.359508466224643E-3</v>
      </c>
      <c r="J24" s="95">
        <f>SUM('Temps Proof'!W25:Y25)</f>
        <v>0</v>
      </c>
      <c r="K24" s="83">
        <f t="shared" si="6"/>
        <v>0</v>
      </c>
      <c r="L24" s="83">
        <f t="shared" si="7"/>
        <v>0</v>
      </c>
      <c r="M24" s="95">
        <f>SUM('Temps Proof'!Y25:AA25)</f>
        <v>-3310.0885040000003</v>
      </c>
      <c r="N24" s="83">
        <f t="shared" si="8"/>
        <v>-4.3254244017791738E-3</v>
      </c>
      <c r="O24" s="83">
        <f t="shared" si="9"/>
        <v>-7.989863954478052E-3</v>
      </c>
      <c r="P24" s="95">
        <f>SUM('Temps Proof'!AE25:AG25)</f>
        <v>1164.7823480000002</v>
      </c>
      <c r="Q24" s="83">
        <f t="shared" si="10"/>
        <v>1.5220674567198343E-3</v>
      </c>
      <c r="R24" s="84">
        <f t="shared" si="11"/>
        <v>2.8115418925661185E-3</v>
      </c>
      <c r="S24" s="1539">
        <f t="shared" si="12"/>
        <v>17997.008526000009</v>
      </c>
      <c r="T24" s="1341">
        <f t="shared" si="13"/>
        <v>4.5838904546599814E-2</v>
      </c>
      <c r="U24" s="1342">
        <f t="shared" si="14"/>
        <v>15851.70237000001</v>
      </c>
      <c r="V24" s="1343">
        <f t="shared" si="15"/>
        <v>2.1212923404056842E-2</v>
      </c>
      <c r="W24" s="80">
        <f t="shared" si="16"/>
        <v>410611.28899389942</v>
      </c>
      <c r="X24" s="80">
        <f t="shared" si="17"/>
        <v>763117.98283789947</v>
      </c>
      <c r="Y24" s="82">
        <f t="shared" si="0"/>
        <v>4.5838904546599842E-2</v>
      </c>
      <c r="Z24" s="83">
        <f t="shared" si="1"/>
        <v>2.1212923404056769E-2</v>
      </c>
      <c r="AA24" s="84">
        <f>'Avg Bill by RS'!AK25</f>
        <v>0.17599999999999999</v>
      </c>
      <c r="AB24" s="83"/>
      <c r="AC24" s="83"/>
      <c r="AD24" s="279">
        <v>8</v>
      </c>
      <c r="AE24" s="1257" t="s">
        <v>340</v>
      </c>
      <c r="AF24" s="1049">
        <f>'Rate Impacts - Rev Req ONLY'!N24</f>
        <v>410611.28899389942</v>
      </c>
      <c r="AG24" s="80">
        <f>'Rate Impacts - Rev Req ONLY'!O24</f>
        <v>765263.28899389948</v>
      </c>
      <c r="AH24" s="94">
        <f>SUM('Rev Req Proof Yr2'!AF25:AH25)</f>
        <v>8210.41994599998</v>
      </c>
      <c r="AI24" s="84">
        <f t="shared" si="30"/>
        <v>1.9995602084193952E-2</v>
      </c>
      <c r="AJ24" s="95">
        <f>SUM('Temps Proof'!AI25:AK25)</f>
        <v>0</v>
      </c>
      <c r="AK24" s="83">
        <f t="shared" si="18"/>
        <v>0</v>
      </c>
      <c r="AL24" s="84">
        <f t="shared" si="19"/>
        <v>0</v>
      </c>
      <c r="AM24" s="1153">
        <f>SUM('Temps Proof'!AM25:AO25)</f>
        <v>-3194.5601800000004</v>
      </c>
      <c r="AN24" s="83">
        <f t="shared" si="20"/>
        <v>-4.1301470794377374E-3</v>
      </c>
      <c r="AO24" s="83">
        <f t="shared" si="21"/>
        <v>-7.6274942578452099E-3</v>
      </c>
      <c r="AP24" s="94">
        <f>SUM('Temps Proof'!AQ25:AS25)</f>
        <v>-324.00657000000001</v>
      </c>
      <c r="AQ24" s="83">
        <f t="shared" si="22"/>
        <v>-4.1889797449492366E-4</v>
      </c>
      <c r="AR24" s="84">
        <f t="shared" si="23"/>
        <v>-7.7361455503371414E-4</v>
      </c>
      <c r="AS24" s="1510">
        <f t="shared" si="24"/>
        <v>8210.41994599998</v>
      </c>
      <c r="AT24" s="1514">
        <f t="shared" si="25"/>
        <v>1.9995602084193952E-2</v>
      </c>
      <c r="AU24" s="1510">
        <f t="shared" si="26"/>
        <v>6837.1593519999806</v>
      </c>
      <c r="AV24" s="1356">
        <f t="shared" si="27"/>
        <v>8.9343882691522714E-3</v>
      </c>
      <c r="AW24" s="80">
        <f t="shared" si="28"/>
        <v>418821.7089398994</v>
      </c>
      <c r="AX24" s="80">
        <f t="shared" si="2"/>
        <v>772100.44834589947</v>
      </c>
      <c r="AY24" s="82">
        <f t="shared" si="3"/>
        <v>1.9995602084193952E-2</v>
      </c>
      <c r="AZ24" s="83">
        <f t="shared" si="4"/>
        <v>8.9343882691522818E-3</v>
      </c>
      <c r="BA24" s="84">
        <f>'Avg Bill by RS'!BG25</f>
        <v>0.33100000000000002</v>
      </c>
    </row>
    <row r="25" spans="2:53" x14ac:dyDescent="0.3">
      <c r="B25" s="279">
        <v>9</v>
      </c>
      <c r="C25" s="767" t="s">
        <v>342</v>
      </c>
      <c r="D25" s="79">
        <f>'Rate Impacts - Rev Req ONLY'!D25</f>
        <v>0</v>
      </c>
      <c r="E25" s="80">
        <f>'Rate Impacts - Rev Req ONLY'!E25</f>
        <v>0</v>
      </c>
      <c r="F25" s="94">
        <f>SUM('Rev Req Proof Yr1'!AF28:AH28)</f>
        <v>0</v>
      </c>
      <c r="G25" s="84">
        <f>IFERROR((F25/D25),0)</f>
        <v>0</v>
      </c>
      <c r="H25" s="94">
        <f>SUM('Rev Req Proof Yr1'!AM28:AO28)</f>
        <v>0</v>
      </c>
      <c r="I25" s="83">
        <f t="shared" si="5"/>
        <v>0</v>
      </c>
      <c r="J25" s="95">
        <f>SUM('Temps Proof'!W28:Y28)</f>
        <v>0</v>
      </c>
      <c r="K25" s="83">
        <f t="shared" si="6"/>
        <v>0</v>
      </c>
      <c r="L25" s="83">
        <f t="shared" si="7"/>
        <v>0</v>
      </c>
      <c r="M25" s="95">
        <f>SUM('Temps Proof'!Y28:AA28)</f>
        <v>0</v>
      </c>
      <c r="N25" s="83">
        <f t="shared" si="8"/>
        <v>0</v>
      </c>
      <c r="O25" s="83">
        <f t="shared" si="9"/>
        <v>0</v>
      </c>
      <c r="P25" s="95">
        <f>SUM('Temps Proof'!AE28:AG28)</f>
        <v>0</v>
      </c>
      <c r="Q25" s="83">
        <f t="shared" si="10"/>
        <v>0</v>
      </c>
      <c r="R25" s="84">
        <f t="shared" si="11"/>
        <v>0</v>
      </c>
      <c r="S25" s="1539">
        <f t="shared" si="12"/>
        <v>0</v>
      </c>
      <c r="T25" s="1341">
        <f t="shared" si="13"/>
        <v>0</v>
      </c>
      <c r="U25" s="1342">
        <f t="shared" si="14"/>
        <v>0</v>
      </c>
      <c r="V25" s="1343">
        <f t="shared" si="15"/>
        <v>0</v>
      </c>
      <c r="W25" s="80">
        <f t="shared" si="16"/>
        <v>0</v>
      </c>
      <c r="X25" s="80">
        <f t="shared" si="17"/>
        <v>0</v>
      </c>
      <c r="Y25" s="82">
        <f t="shared" si="0"/>
        <v>0</v>
      </c>
      <c r="Z25" s="83">
        <f t="shared" si="1"/>
        <v>0</v>
      </c>
      <c r="AA25" s="84">
        <f>'Avg Bill by RS'!AK28</f>
        <v>0</v>
      </c>
      <c r="AB25" s="83"/>
      <c r="AC25" s="83"/>
      <c r="AD25" s="279">
        <v>9</v>
      </c>
      <c r="AE25" s="1257" t="s">
        <v>342</v>
      </c>
      <c r="AF25" s="1049">
        <f>'Rate Impacts - Rev Req ONLY'!N25</f>
        <v>0</v>
      </c>
      <c r="AG25" s="80">
        <f>'Rate Impacts - Rev Req ONLY'!O25</f>
        <v>0</v>
      </c>
      <c r="AH25" s="94">
        <f>SUM('Rev Req Proof Yr2'!AF28:AH28)</f>
        <v>0</v>
      </c>
      <c r="AI25" s="84">
        <f>IFERROR((AH25/AF25),0)</f>
        <v>0</v>
      </c>
      <c r="AJ25" s="95">
        <f>SUM('Temps Proof'!AI28:AK28)</f>
        <v>0</v>
      </c>
      <c r="AK25" s="83">
        <f t="shared" si="18"/>
        <v>0</v>
      </c>
      <c r="AL25" s="84">
        <f t="shared" si="19"/>
        <v>0</v>
      </c>
      <c r="AM25" s="1153">
        <f>SUM('Temps Proof'!AM28:AO28)</f>
        <v>0</v>
      </c>
      <c r="AN25" s="83">
        <f t="shared" si="20"/>
        <v>0</v>
      </c>
      <c r="AO25" s="83">
        <f t="shared" si="21"/>
        <v>0</v>
      </c>
      <c r="AP25" s="94">
        <f>SUM('Temps Proof'!AQ28:AS28)</f>
        <v>0</v>
      </c>
      <c r="AQ25" s="83">
        <f t="shared" si="22"/>
        <v>0</v>
      </c>
      <c r="AR25" s="84">
        <f t="shared" si="23"/>
        <v>0</v>
      </c>
      <c r="AS25" s="1510">
        <f t="shared" si="24"/>
        <v>0</v>
      </c>
      <c r="AT25" s="1514">
        <f t="shared" si="25"/>
        <v>0</v>
      </c>
      <c r="AU25" s="1510">
        <f t="shared" si="26"/>
        <v>0</v>
      </c>
      <c r="AV25" s="1356">
        <f t="shared" si="27"/>
        <v>0</v>
      </c>
      <c r="AW25" s="80">
        <f t="shared" si="28"/>
        <v>0</v>
      </c>
      <c r="AX25" s="80">
        <f t="shared" si="2"/>
        <v>0</v>
      </c>
      <c r="AY25" s="82">
        <f t="shared" si="3"/>
        <v>0</v>
      </c>
      <c r="AZ25" s="83">
        <f t="shared" si="4"/>
        <v>0</v>
      </c>
      <c r="BA25" s="84">
        <f>'Avg Bill by RS'!BG28</f>
        <v>0</v>
      </c>
    </row>
    <row r="26" spans="2:53" x14ac:dyDescent="0.3">
      <c r="B26" s="279">
        <v>10</v>
      </c>
      <c r="C26" s="767" t="s">
        <v>343</v>
      </c>
      <c r="D26" s="79">
        <f>'Rate Impacts - Rev Req ONLY'!D26</f>
        <v>0</v>
      </c>
      <c r="E26" s="80">
        <f>'Rate Impacts - Rev Req ONLY'!E26</f>
        <v>0</v>
      </c>
      <c r="F26" s="94">
        <f>SUM('Rev Req Proof Yr1'!AF31:AH31)</f>
        <v>0</v>
      </c>
      <c r="G26" s="84">
        <f t="shared" si="29"/>
        <v>0</v>
      </c>
      <c r="H26" s="94">
        <f>SUM('Rev Req Proof Yr1'!AM31:AO31)</f>
        <v>0</v>
      </c>
      <c r="I26" s="83">
        <f t="shared" si="5"/>
        <v>0</v>
      </c>
      <c r="J26" s="95">
        <f>SUM('Temps Proof'!W31:Y31)</f>
        <v>0</v>
      </c>
      <c r="K26" s="83">
        <f t="shared" si="6"/>
        <v>0</v>
      </c>
      <c r="L26" s="83">
        <f t="shared" si="7"/>
        <v>0</v>
      </c>
      <c r="M26" s="95">
        <f>SUM('Temps Proof'!Y31:AA31)</f>
        <v>0</v>
      </c>
      <c r="N26" s="83">
        <f t="shared" si="8"/>
        <v>0</v>
      </c>
      <c r="O26" s="83">
        <f t="shared" si="9"/>
        <v>0</v>
      </c>
      <c r="P26" s="95">
        <f>SUM('Temps Proof'!AE31:AG31)</f>
        <v>0</v>
      </c>
      <c r="Q26" s="83">
        <f t="shared" si="10"/>
        <v>0</v>
      </c>
      <c r="R26" s="84">
        <f t="shared" si="11"/>
        <v>0</v>
      </c>
      <c r="S26" s="1539">
        <f t="shared" si="12"/>
        <v>0</v>
      </c>
      <c r="T26" s="1341">
        <f t="shared" si="13"/>
        <v>0</v>
      </c>
      <c r="U26" s="1342">
        <f t="shared" si="14"/>
        <v>0</v>
      </c>
      <c r="V26" s="1343">
        <f t="shared" si="15"/>
        <v>0</v>
      </c>
      <c r="W26" s="80">
        <f t="shared" si="16"/>
        <v>0</v>
      </c>
      <c r="X26" s="80">
        <f t="shared" si="17"/>
        <v>0</v>
      </c>
      <c r="Y26" s="82">
        <f t="shared" si="0"/>
        <v>0</v>
      </c>
      <c r="Z26" s="83">
        <f t="shared" si="1"/>
        <v>0</v>
      </c>
      <c r="AA26" s="84">
        <f>'Avg Bill by RS'!AK31</f>
        <v>0</v>
      </c>
      <c r="AB26" s="83"/>
      <c r="AC26" s="83"/>
      <c r="AD26" s="279">
        <v>10</v>
      </c>
      <c r="AE26" s="1257" t="s">
        <v>343</v>
      </c>
      <c r="AF26" s="1049">
        <f>'Rate Impacts - Rev Req ONLY'!N26</f>
        <v>0</v>
      </c>
      <c r="AG26" s="80">
        <f>'Rate Impacts - Rev Req ONLY'!O26</f>
        <v>0</v>
      </c>
      <c r="AH26" s="94">
        <f>SUM('Rev Req Proof Yr2'!AF31:AH31)</f>
        <v>0</v>
      </c>
      <c r="AI26" s="84">
        <f t="shared" ref="AI26" si="31">IFERROR((AH26/AF26),0)</f>
        <v>0</v>
      </c>
      <c r="AJ26" s="95">
        <f>SUM('Temps Proof'!AI31:AK31)</f>
        <v>0</v>
      </c>
      <c r="AK26" s="83">
        <f t="shared" si="18"/>
        <v>0</v>
      </c>
      <c r="AL26" s="84">
        <f t="shared" si="19"/>
        <v>0</v>
      </c>
      <c r="AM26" s="1153">
        <f>SUM('Temps Proof'!AM31:AO31)</f>
        <v>0</v>
      </c>
      <c r="AN26" s="83">
        <f t="shared" si="20"/>
        <v>0</v>
      </c>
      <c r="AO26" s="83">
        <f t="shared" si="21"/>
        <v>0</v>
      </c>
      <c r="AP26" s="94">
        <f>SUM('Temps Proof'!AQ31:AS31)</f>
        <v>0</v>
      </c>
      <c r="AQ26" s="83">
        <f t="shared" si="22"/>
        <v>0</v>
      </c>
      <c r="AR26" s="84">
        <f t="shared" si="23"/>
        <v>0</v>
      </c>
      <c r="AS26" s="1510">
        <f t="shared" si="24"/>
        <v>0</v>
      </c>
      <c r="AT26" s="1514">
        <f t="shared" si="25"/>
        <v>0</v>
      </c>
      <c r="AU26" s="1510">
        <f t="shared" si="26"/>
        <v>0</v>
      </c>
      <c r="AV26" s="1356">
        <f t="shared" si="27"/>
        <v>0</v>
      </c>
      <c r="AW26" s="80">
        <f t="shared" si="28"/>
        <v>0</v>
      </c>
      <c r="AX26" s="80">
        <f t="shared" si="2"/>
        <v>0</v>
      </c>
      <c r="AY26" s="82">
        <f t="shared" si="3"/>
        <v>0</v>
      </c>
      <c r="AZ26" s="83">
        <f t="shared" si="4"/>
        <v>0</v>
      </c>
      <c r="BA26" s="84">
        <f>'Avg Bill by RS'!BG31</f>
        <v>0</v>
      </c>
    </row>
    <row r="27" spans="2:53" x14ac:dyDescent="0.3">
      <c r="B27" s="279">
        <v>11</v>
      </c>
      <c r="C27" s="767" t="s">
        <v>344</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5"/>
        <v>-9.371052416184536E-3</v>
      </c>
      <c r="J27" s="95">
        <f>SUM('Temps Proof'!W34:Y34)</f>
        <v>0</v>
      </c>
      <c r="K27" s="83">
        <f t="shared" si="6"/>
        <v>0</v>
      </c>
      <c r="L27" s="83">
        <f t="shared" si="7"/>
        <v>0</v>
      </c>
      <c r="M27" s="95">
        <f>SUM('Temps Proof'!Y34:AA34)</f>
        <v>-1598.35815</v>
      </c>
      <c r="N27" s="83">
        <f t="shared" si="8"/>
        <v>-8.050416191173573E-3</v>
      </c>
      <c r="O27" s="83">
        <f t="shared" si="9"/>
        <v>-7.978922514119224E-3</v>
      </c>
      <c r="P27" s="95">
        <f>SUM('Temps Proof'!AE34:AG34)</f>
        <v>563.00283999999999</v>
      </c>
      <c r="Q27" s="83">
        <f t="shared" si="10"/>
        <v>2.8356643214242716E-3</v>
      </c>
      <c r="R27" s="84">
        <f t="shared" si="11"/>
        <v>2.8104815154157176E-3</v>
      </c>
      <c r="S27" s="1539">
        <f t="shared" si="12"/>
        <v>8702.2045099999814</v>
      </c>
      <c r="T27" s="1341">
        <f t="shared" si="13"/>
        <v>4.5839355103336019E-2</v>
      </c>
      <c r="U27" s="1342">
        <f t="shared" si="14"/>
        <v>7666.8491999999815</v>
      </c>
      <c r="V27" s="1343">
        <f t="shared" si="15"/>
        <v>4.0385562370853494E-2</v>
      </c>
      <c r="W27" s="80">
        <f t="shared" si="16"/>
        <v>198543.54260000002</v>
      </c>
      <c r="X27" s="80">
        <f t="shared" si="17"/>
        <v>197508.18729</v>
      </c>
      <c r="Y27" s="82">
        <f t="shared" si="0"/>
        <v>4.5839355103336019E-2</v>
      </c>
      <c r="Z27" s="83">
        <f t="shared" si="1"/>
        <v>4.0385562370853424E-2</v>
      </c>
      <c r="AA27" s="84">
        <f>'Avg Bill by RS'!AK34</f>
        <v>4.5999999999999999E-2</v>
      </c>
      <c r="AB27" s="83"/>
      <c r="AC27" s="83"/>
      <c r="AD27" s="279">
        <v>11</v>
      </c>
      <c r="AE27" s="1257" t="s">
        <v>344</v>
      </c>
      <c r="AF27" s="1049">
        <f>'Rate Impacts - Rev Req ONLY'!N27</f>
        <v>198543.54260000002</v>
      </c>
      <c r="AG27" s="80">
        <f>'Rate Impacts - Rev Req ONLY'!O27</f>
        <v>198543.54260000002</v>
      </c>
      <c r="AH27" s="94">
        <f>SUM('Rev Req Proof Yr2'!AF34:AH34)</f>
        <v>3971.2852100000018</v>
      </c>
      <c r="AI27" s="84">
        <f>IFERROR((AH27/AF27),0)</f>
        <v>2.0002086988045925E-2</v>
      </c>
      <c r="AJ27" s="95">
        <f>SUM('Temps Proof'!AI34:AK34)</f>
        <v>0</v>
      </c>
      <c r="AK27" s="83">
        <f t="shared" si="18"/>
        <v>0</v>
      </c>
      <c r="AL27" s="84">
        <f t="shared" si="19"/>
        <v>0</v>
      </c>
      <c r="AM27" s="1153">
        <f>SUM('Temps Proof'!AM34:AO34)</f>
        <v>-1546.4091599999999</v>
      </c>
      <c r="AN27" s="83">
        <f t="shared" si="20"/>
        <v>-7.6360293057200004E-3</v>
      </c>
      <c r="AO27" s="83">
        <f t="shared" si="21"/>
        <v>-7.6360293057200004E-3</v>
      </c>
      <c r="AP27" s="94">
        <f>SUM('Temps Proof'!AQ34:AS34)</f>
        <v>-156.88842</v>
      </c>
      <c r="AQ27" s="83">
        <f t="shared" si="22"/>
        <v>-7.7470090312198347E-4</v>
      </c>
      <c r="AR27" s="84">
        <f t="shared" si="23"/>
        <v>-7.7470090312198347E-4</v>
      </c>
      <c r="AS27" s="1510">
        <f t="shared" si="24"/>
        <v>3971.2852100000018</v>
      </c>
      <c r="AT27" s="1514">
        <f t="shared" si="25"/>
        <v>2.0002086988045925E-2</v>
      </c>
      <c r="AU27" s="1510">
        <f t="shared" si="26"/>
        <v>3303.3429400000014</v>
      </c>
      <c r="AV27" s="1356">
        <f t="shared" si="27"/>
        <v>1.6637876491682996E-2</v>
      </c>
      <c r="AW27" s="80">
        <f t="shared" si="28"/>
        <v>202514.82781000002</v>
      </c>
      <c r="AX27" s="80">
        <f t="shared" si="2"/>
        <v>201846.88554000002</v>
      </c>
      <c r="AY27" s="82">
        <f t="shared" si="3"/>
        <v>2.0002086988045925E-2</v>
      </c>
      <c r="AZ27" s="83">
        <f t="shared" si="4"/>
        <v>1.6637876491682999E-2</v>
      </c>
      <c r="BA27" s="84">
        <f>'Avg Bill by RS'!BG34</f>
        <v>0.02</v>
      </c>
    </row>
    <row r="28" spans="2:53" x14ac:dyDescent="0.3">
      <c r="B28" s="279">
        <v>12</v>
      </c>
      <c r="C28" s="767" t="s">
        <v>345</v>
      </c>
      <c r="D28" s="79">
        <f>'Rate Impacts - Rev Req ONLY'!D28</f>
        <v>0</v>
      </c>
      <c r="E28" s="80">
        <f>'Rate Impacts - Rev Req ONLY'!E28</f>
        <v>0</v>
      </c>
      <c r="F28" s="94">
        <f>SUM('Rev Req Proof Yr1'!AF37:AH37)</f>
        <v>0</v>
      </c>
      <c r="G28" s="84">
        <f>IFERROR((F28/D28),0)</f>
        <v>0</v>
      </c>
      <c r="H28" s="94">
        <f>SUM('Rev Req Proof Yr1'!AM37:AO37)</f>
        <v>0</v>
      </c>
      <c r="I28" s="83">
        <f t="shared" si="5"/>
        <v>0</v>
      </c>
      <c r="J28" s="95">
        <f>SUM('Temps Proof'!W37:Y37)</f>
        <v>0</v>
      </c>
      <c r="K28" s="83">
        <f t="shared" si="6"/>
        <v>0</v>
      </c>
      <c r="L28" s="83">
        <f t="shared" si="7"/>
        <v>0</v>
      </c>
      <c r="M28" s="95">
        <f>SUM('Temps Proof'!Y37:AA37)</f>
        <v>0</v>
      </c>
      <c r="N28" s="83">
        <f t="shared" si="8"/>
        <v>0</v>
      </c>
      <c r="O28" s="83">
        <f t="shared" si="9"/>
        <v>0</v>
      </c>
      <c r="P28" s="95">
        <f>SUM('Temps Proof'!AE37:AG37)</f>
        <v>0</v>
      </c>
      <c r="Q28" s="83">
        <f t="shared" si="10"/>
        <v>0</v>
      </c>
      <c r="R28" s="84">
        <f t="shared" si="11"/>
        <v>0</v>
      </c>
      <c r="S28" s="1539">
        <f t="shared" si="12"/>
        <v>0</v>
      </c>
      <c r="T28" s="1341">
        <f t="shared" si="13"/>
        <v>0</v>
      </c>
      <c r="U28" s="1342">
        <f t="shared" si="14"/>
        <v>0</v>
      </c>
      <c r="V28" s="1343">
        <f t="shared" si="15"/>
        <v>0</v>
      </c>
      <c r="W28" s="80">
        <f t="shared" si="16"/>
        <v>0</v>
      </c>
      <c r="X28" s="80">
        <f t="shared" si="17"/>
        <v>0</v>
      </c>
      <c r="Y28" s="82">
        <f t="shared" si="0"/>
        <v>0</v>
      </c>
      <c r="Z28" s="83">
        <f t="shared" si="1"/>
        <v>0</v>
      </c>
      <c r="AA28" s="84">
        <f>'Avg Bill by RS'!AK37</f>
        <v>0</v>
      </c>
      <c r="AB28" s="83"/>
      <c r="AC28" s="83"/>
      <c r="AD28" s="279">
        <v>12</v>
      </c>
      <c r="AE28" s="1257" t="s">
        <v>345</v>
      </c>
      <c r="AF28" s="1049">
        <f>'Rate Impacts - Rev Req ONLY'!N28</f>
        <v>0</v>
      </c>
      <c r="AG28" s="80">
        <f>'Rate Impacts - Rev Req ONLY'!O28</f>
        <v>0</v>
      </c>
      <c r="AH28" s="94">
        <f>SUM('Rev Req Proof Yr2'!AF37:AH37)</f>
        <v>0</v>
      </c>
      <c r="AI28" s="84">
        <f>IFERROR((AH28/AF28),0)</f>
        <v>0</v>
      </c>
      <c r="AJ28" s="95">
        <f>SUM('Temps Proof'!AI37:AK37)</f>
        <v>0</v>
      </c>
      <c r="AK28" s="83">
        <f t="shared" si="18"/>
        <v>0</v>
      </c>
      <c r="AL28" s="84">
        <f t="shared" si="19"/>
        <v>0</v>
      </c>
      <c r="AM28" s="1153">
        <f>SUM('Temps Proof'!AM37:AO37)</f>
        <v>0</v>
      </c>
      <c r="AN28" s="83">
        <f t="shared" si="20"/>
        <v>0</v>
      </c>
      <c r="AO28" s="83">
        <f t="shared" si="21"/>
        <v>0</v>
      </c>
      <c r="AP28" s="94">
        <f>SUM('Temps Proof'!AQ37:AS37)</f>
        <v>0</v>
      </c>
      <c r="AQ28" s="83">
        <f t="shared" si="22"/>
        <v>0</v>
      </c>
      <c r="AR28" s="84">
        <f t="shared" si="23"/>
        <v>0</v>
      </c>
      <c r="AS28" s="1510">
        <f t="shared" si="24"/>
        <v>0</v>
      </c>
      <c r="AT28" s="1514">
        <f t="shared" si="25"/>
        <v>0</v>
      </c>
      <c r="AU28" s="1510">
        <f t="shared" si="26"/>
        <v>0</v>
      </c>
      <c r="AV28" s="1356">
        <f t="shared" si="27"/>
        <v>0</v>
      </c>
      <c r="AW28" s="80">
        <f t="shared" si="28"/>
        <v>0</v>
      </c>
      <c r="AX28" s="80">
        <f t="shared" si="2"/>
        <v>0</v>
      </c>
      <c r="AY28" s="82">
        <f t="shared" si="3"/>
        <v>0</v>
      </c>
      <c r="AZ28" s="83">
        <f t="shared" si="4"/>
        <v>0</v>
      </c>
      <c r="BA28" s="84">
        <f>'Avg Bill by RS'!BG37</f>
        <v>0</v>
      </c>
    </row>
    <row r="29" spans="2:53" x14ac:dyDescent="0.3">
      <c r="B29" s="279">
        <v>13</v>
      </c>
      <c r="C29" s="767" t="s">
        <v>346</v>
      </c>
      <c r="D29" s="79">
        <f>'Rate Impacts - Rev Req ONLY'!D29</f>
        <v>219574.60083981926</v>
      </c>
      <c r="E29" s="80">
        <f>'Rate Impacts - Rev Req ONLY'!E29</f>
        <v>470188.60083981924</v>
      </c>
      <c r="F29" s="94">
        <f>SUM('Rev Req Proof Yr1'!AF44:AH44)</f>
        <v>25112.297418342769</v>
      </c>
      <c r="G29" s="84">
        <f t="shared" si="29"/>
        <v>0.11436795204133064</v>
      </c>
      <c r="H29" s="94">
        <f>SUM('Rev Req Proof Yr1'!AM44:AO44)</f>
        <v>-2055.595853643305</v>
      </c>
      <c r="I29" s="83">
        <f t="shared" si="5"/>
        <v>-9.361719642350037E-3</v>
      </c>
      <c r="J29" s="95">
        <f>SUM('Temps Proof'!W44:Y44)</f>
        <v>-3676.9133490107079</v>
      </c>
      <c r="K29" s="83">
        <f t="shared" si="6"/>
        <v>-7.4545329293277483E-3</v>
      </c>
      <c r="L29" s="83">
        <f t="shared" si="7"/>
        <v>-1.5027013604673282E-2</v>
      </c>
      <c r="M29" s="95">
        <f>SUM('Temps Proof'!Y44:AA44)</f>
        <v>-1954.2784699244257</v>
      </c>
      <c r="N29" s="83">
        <f t="shared" si="8"/>
        <v>-3.9620822750820427E-3</v>
      </c>
      <c r="O29" s="83">
        <f t="shared" si="9"/>
        <v>-7.9868537458941645E-3</v>
      </c>
      <c r="P29" s="95">
        <f>SUM('Temps Proof'!AE44:AG44)</f>
        <v>690.93709469138048</v>
      </c>
      <c r="Q29" s="83">
        <f t="shared" si="10"/>
        <v>1.4007981248339014E-3</v>
      </c>
      <c r="R29" s="84">
        <f t="shared" si="11"/>
        <v>2.8237600771022602E-3</v>
      </c>
      <c r="S29" s="1539">
        <f t="shared" si="12"/>
        <v>23056.701564699462</v>
      </c>
      <c r="T29" s="1341">
        <f t="shared" si="13"/>
        <v>0.1050062323989806</v>
      </c>
      <c r="U29" s="1342">
        <f t="shared" si="14"/>
        <v>18116.446840455708</v>
      </c>
      <c r="V29" s="1343">
        <f t="shared" si="15"/>
        <v>3.8530170251038262E-2</v>
      </c>
      <c r="W29" s="80">
        <f t="shared" si="16"/>
        <v>242631.30240451873</v>
      </c>
      <c r="X29" s="80">
        <f t="shared" si="17"/>
        <v>488305.04768027493</v>
      </c>
      <c r="Y29" s="82">
        <f t="shared" si="0"/>
        <v>0.10500623239898063</v>
      </c>
      <c r="Z29" s="83">
        <f t="shared" si="1"/>
        <v>3.8530170251038241E-2</v>
      </c>
      <c r="AA29" s="84">
        <f>'Avg Bill by RS'!AK44</f>
        <v>0.23499999999999999</v>
      </c>
      <c r="AB29" s="83"/>
      <c r="AC29" s="83"/>
      <c r="AD29" s="279">
        <v>13</v>
      </c>
      <c r="AE29" s="1257" t="s">
        <v>346</v>
      </c>
      <c r="AF29" s="1049">
        <f>'Rate Impacts - Rev Req ONLY'!N29</f>
        <v>242631.3024045187</v>
      </c>
      <c r="AG29" s="80">
        <f>'Rate Impacts - Rev Req ONLY'!O29</f>
        <v>493245.3024045187</v>
      </c>
      <c r="AH29" s="94">
        <f>SUM('Rev Req Proof Yr2'!AF44:AH44)</f>
        <v>13927.917812603351</v>
      </c>
      <c r="AI29" s="84">
        <f t="shared" ref="AI29:AI34" si="32">IFERROR((AH29/AF29),0)</f>
        <v>5.7403631248628045E-2</v>
      </c>
      <c r="AJ29" s="95">
        <f>SUM('Temps Proof'!AI44:AK44)</f>
        <v>-3676.9133490107079</v>
      </c>
      <c r="AK29" s="83">
        <f t="shared" si="18"/>
        <v>-7.2498176213574772E-3</v>
      </c>
      <c r="AL29" s="84">
        <f t="shared" si="19"/>
        <v>-1.4331635970435963E-2</v>
      </c>
      <c r="AM29" s="1153">
        <f>SUM('Temps Proof'!AM44:AO44)</f>
        <v>-1957.3455035389716</v>
      </c>
      <c r="AN29" s="83">
        <f t="shared" si="20"/>
        <v>-3.8593234530423892E-3</v>
      </c>
      <c r="AO29" s="83">
        <f t="shared" si="21"/>
        <v>-7.6292152037354208E-3</v>
      </c>
      <c r="AP29" s="94">
        <f>SUM('Temps Proof'!AQ44:AS44)</f>
        <v>-200.12600717261603</v>
      </c>
      <c r="AQ29" s="83">
        <f t="shared" si="22"/>
        <v>-3.9459103752942951E-4</v>
      </c>
      <c r="AR29" s="84">
        <f t="shared" si="23"/>
        <v>-7.8003825784648281E-4</v>
      </c>
      <c r="AS29" s="1510">
        <f t="shared" si="24"/>
        <v>13927.917812603351</v>
      </c>
      <c r="AT29" s="1514">
        <f t="shared" si="25"/>
        <v>5.7403631248628045E-2</v>
      </c>
      <c r="AU29" s="1510">
        <f t="shared" si="26"/>
        <v>13033.787677124808</v>
      </c>
      <c r="AV29" s="1356">
        <f t="shared" si="27"/>
        <v>2.6424555112003038E-2</v>
      </c>
      <c r="AW29" s="80">
        <f t="shared" si="28"/>
        <v>256559.22021712206</v>
      </c>
      <c r="AX29" s="80">
        <f t="shared" si="2"/>
        <v>506279.09008164349</v>
      </c>
      <c r="AY29" s="82">
        <f t="shared" si="3"/>
        <v>5.7403631248628045E-2</v>
      </c>
      <c r="AZ29" s="83">
        <f t="shared" si="4"/>
        <v>2.6424555112002986E-2</v>
      </c>
      <c r="BA29" s="84">
        <f>'Avg Bill by RS'!BG44</f>
        <v>0.36599999999999999</v>
      </c>
    </row>
    <row r="30" spans="2:53" x14ac:dyDescent="0.3">
      <c r="B30" s="279">
        <v>14</v>
      </c>
      <c r="C30" s="767" t="s">
        <v>347</v>
      </c>
      <c r="D30" s="79">
        <f>'Rate Impacts - Rev Req ONLY'!D30</f>
        <v>511672.37933789124</v>
      </c>
      <c r="E30" s="80">
        <f>'Rate Impacts - Rev Req ONLY'!E30</f>
        <v>1154958.3793378912</v>
      </c>
      <c r="F30" s="94">
        <f>SUM('Rev Req Proof Yr1'!AF51:AH51)</f>
        <v>28251.710180000027</v>
      </c>
      <c r="G30" s="84">
        <f t="shared" si="29"/>
        <v>5.5214452295740492E-2</v>
      </c>
      <c r="H30" s="94">
        <f>SUM('Rev Req Proof Yr1'!AM51:AO51)</f>
        <v>-4788.9728660000001</v>
      </c>
      <c r="I30" s="83">
        <f t="shared" si="5"/>
        <v>-9.3594515932186439E-3</v>
      </c>
      <c r="J30" s="95">
        <f>SUM('Temps Proof'!W51:Y51)</f>
        <v>0</v>
      </c>
      <c r="K30" s="83">
        <f t="shared" si="6"/>
        <v>0</v>
      </c>
      <c r="L30" s="83">
        <f t="shared" si="7"/>
        <v>0</v>
      </c>
      <c r="M30" s="95">
        <f>SUM('Temps Proof'!Y51:AA51)</f>
        <v>-4308.4706760000008</v>
      </c>
      <c r="N30" s="83">
        <f t="shared" si="8"/>
        <v>-3.6561383830605054E-3</v>
      </c>
      <c r="O30" s="83">
        <f t="shared" si="9"/>
        <v>-7.9797711560658791E-3</v>
      </c>
      <c r="P30" s="95">
        <f>SUM('Temps Proof'!AE51:AG51)</f>
        <v>1516.3915260000001</v>
      </c>
      <c r="Q30" s="83">
        <f t="shared" si="10"/>
        <v>1.2867993492074754E-3</v>
      </c>
      <c r="R30" s="84">
        <f t="shared" si="11"/>
        <v>2.8085272641826661E-3</v>
      </c>
      <c r="S30" s="1539">
        <f t="shared" si="12"/>
        <v>23462.737314000027</v>
      </c>
      <c r="T30" s="1341">
        <f t="shared" si="13"/>
        <v>4.5855000702521846E-2</v>
      </c>
      <c r="U30" s="1342">
        <f t="shared" si="14"/>
        <v>20670.658164000026</v>
      </c>
      <c r="V30" s="1343">
        <f t="shared" si="15"/>
        <v>1.7897318668617303E-2</v>
      </c>
      <c r="W30" s="80">
        <f t="shared" si="16"/>
        <v>535135.11665189127</v>
      </c>
      <c r="X30" s="80">
        <f t="shared" si="17"/>
        <v>1175629.0375018914</v>
      </c>
      <c r="Y30" s="82">
        <f t="shared" si="0"/>
        <v>4.5855000702521846E-2</v>
      </c>
      <c r="Z30" s="83">
        <f t="shared" si="1"/>
        <v>1.78973186686174E-2</v>
      </c>
      <c r="AA30" s="84">
        <f>'Avg Bill by RS'!AK51</f>
        <v>0.21299999999999999</v>
      </c>
      <c r="AB30" s="83"/>
      <c r="AC30" s="83"/>
      <c r="AD30" s="279">
        <v>14</v>
      </c>
      <c r="AE30" s="1257" t="s">
        <v>347</v>
      </c>
      <c r="AF30" s="1049">
        <f>'Rate Impacts - Rev Req ONLY'!N30</f>
        <v>535135.11665189127</v>
      </c>
      <c r="AG30" s="80">
        <f>'Rate Impacts - Rev Req ONLY'!O30</f>
        <v>1178421.1166518913</v>
      </c>
      <c r="AH30" s="94">
        <f>SUM('Rev Req Proof Yr2'!AF51:AH51)</f>
        <v>10697.382511000014</v>
      </c>
      <c r="AI30" s="84">
        <f t="shared" si="32"/>
        <v>1.9990058918070833E-2</v>
      </c>
      <c r="AJ30" s="95">
        <f>SUM('Temps Proof'!AI51:AK51)</f>
        <v>0</v>
      </c>
      <c r="AK30" s="83">
        <f t="shared" si="18"/>
        <v>0</v>
      </c>
      <c r="AL30" s="84">
        <f t="shared" si="19"/>
        <v>0</v>
      </c>
      <c r="AM30" s="1153">
        <f>SUM('Temps Proof'!AM51:AO51)</f>
        <v>-4163.1570730000012</v>
      </c>
      <c r="AN30" s="83">
        <f t="shared" si="20"/>
        <v>-3.5010447452720286E-3</v>
      </c>
      <c r="AO30" s="83">
        <f t="shared" si="21"/>
        <v>-7.6271696525669896E-3</v>
      </c>
      <c r="AP30" s="94">
        <f>SUM('Temps Proof'!AQ51:AS51)</f>
        <v>-421.82319800000005</v>
      </c>
      <c r="AQ30" s="83">
        <f t="shared" si="22"/>
        <v>-3.5473604884370455E-4</v>
      </c>
      <c r="AR30" s="84">
        <f t="shared" si="23"/>
        <v>-7.728070399745775E-4</v>
      </c>
      <c r="AS30" s="1510">
        <f t="shared" si="24"/>
        <v>10697.382511000014</v>
      </c>
      <c r="AT30" s="1514">
        <f t="shared" si="25"/>
        <v>1.9990058918070833E-2</v>
      </c>
      <c r="AU30" s="1510">
        <f t="shared" si="26"/>
        <v>8904.4813900000136</v>
      </c>
      <c r="AV30" s="1356">
        <f t="shared" si="27"/>
        <v>7.5562812513910692E-3</v>
      </c>
      <c r="AW30" s="80">
        <f t="shared" si="28"/>
        <v>545832.4991628913</v>
      </c>
      <c r="AX30" s="80">
        <f t="shared" si="2"/>
        <v>1187325.5980418914</v>
      </c>
      <c r="AY30" s="82">
        <f t="shared" si="3"/>
        <v>1.9990058918070867E-2</v>
      </c>
      <c r="AZ30" s="83">
        <f t="shared" si="4"/>
        <v>7.5562812513911316E-3</v>
      </c>
      <c r="BA30" s="84">
        <f>'Avg Bill by RS'!BG51</f>
        <v>0.39500000000000002</v>
      </c>
    </row>
    <row r="31" spans="2:53" x14ac:dyDescent="0.3">
      <c r="B31" s="279">
        <v>15</v>
      </c>
      <c r="C31" s="767" t="s">
        <v>348</v>
      </c>
      <c r="D31" s="79">
        <f>'Rate Impacts - Rev Req ONLY'!D31</f>
        <v>360784.67333999998</v>
      </c>
      <c r="E31" s="80">
        <f>'Rate Impacts - Rev Req ONLY'!E31</f>
        <v>360784.67333999998</v>
      </c>
      <c r="F31" s="94">
        <f>SUM('Rev Req Proof Yr1'!AF58:AH58)</f>
        <v>25027.144079999984</v>
      </c>
      <c r="G31" s="84">
        <f t="shared" si="29"/>
        <v>6.9368645425840036E-2</v>
      </c>
      <c r="H31" s="94">
        <f>SUM('Rev Req Proof Yr1'!AM58:AO58)</f>
        <v>-3383.8287</v>
      </c>
      <c r="I31" s="83">
        <f t="shared" si="5"/>
        <v>-9.3790810698078427E-3</v>
      </c>
      <c r="J31" s="95">
        <f>SUM('Temps Proof'!W58:Y58)</f>
        <v>0</v>
      </c>
      <c r="K31" s="83">
        <f t="shared" si="6"/>
        <v>0</v>
      </c>
      <c r="L31" s="83">
        <f t="shared" si="7"/>
        <v>0</v>
      </c>
      <c r="M31" s="551">
        <f>SUM('Temps Proof'!Y58:AA58)</f>
        <v>-3081.7999300000001</v>
      </c>
      <c r="N31" s="83">
        <f t="shared" si="8"/>
        <v>-8.0585104147708787E-3</v>
      </c>
      <c r="O31" s="83">
        <f t="shared" si="9"/>
        <v>-7.9878318673818928E-3</v>
      </c>
      <c r="P31" s="551">
        <f>SUM('Temps Proof'!AE58:AG58)</f>
        <v>1086.0660399999999</v>
      </c>
      <c r="Q31" s="83">
        <f t="shared" si="10"/>
        <v>2.8399229973598466E-3</v>
      </c>
      <c r="R31" s="84">
        <f t="shared" si="11"/>
        <v>2.815014965748687E-3</v>
      </c>
      <c r="S31" s="1539">
        <f t="shared" si="12"/>
        <v>21643.315379999985</v>
      </c>
      <c r="T31" s="1341">
        <f t="shared" si="13"/>
        <v>5.9989564356032206E-2</v>
      </c>
      <c r="U31" s="1342">
        <f t="shared" si="14"/>
        <v>19647.581489999986</v>
      </c>
      <c r="V31" s="1343">
        <f t="shared" si="15"/>
        <v>5.4457916152896815E-2</v>
      </c>
      <c r="W31" s="80">
        <f t="shared" si="16"/>
        <v>382427.98871999996</v>
      </c>
      <c r="X31" s="80">
        <f t="shared" si="17"/>
        <v>380432.25482999999</v>
      </c>
      <c r="Y31" s="82">
        <f t="shared" si="0"/>
        <v>5.9989564356032206E-2</v>
      </c>
      <c r="Z31" s="83">
        <f t="shared" si="1"/>
        <v>5.4457916152896885E-2</v>
      </c>
      <c r="AA31" s="84">
        <f>'Avg Bill by RS'!AK58</f>
        <v>6.3E-2</v>
      </c>
      <c r="AB31" s="83"/>
      <c r="AC31" s="83"/>
      <c r="AD31" s="279">
        <v>15</v>
      </c>
      <c r="AE31" s="1257" t="s">
        <v>348</v>
      </c>
      <c r="AF31" s="1049">
        <f>'Rate Impacts - Rev Req ONLY'!N31</f>
        <v>382427.98871999996</v>
      </c>
      <c r="AG31" s="80">
        <f>'Rate Impacts - Rev Req ONLY'!O31</f>
        <v>382427.98871999996</v>
      </c>
      <c r="AH31" s="94">
        <f>SUM('Rev Req Proof Yr2'!AF58:AH58)</f>
        <v>11469.364369999996</v>
      </c>
      <c r="AI31" s="84">
        <f t="shared" si="32"/>
        <v>2.9990912559481761E-2</v>
      </c>
      <c r="AJ31" s="95">
        <f>SUM('Temps Proof'!AI58:AK58)</f>
        <v>0</v>
      </c>
      <c r="AK31" s="83">
        <f t="shared" si="18"/>
        <v>0</v>
      </c>
      <c r="AL31" s="84">
        <f t="shared" si="19"/>
        <v>0</v>
      </c>
      <c r="AM31" s="1153">
        <f>SUM('Temps Proof'!AM58:AO58)</f>
        <v>-3005.4425199999996</v>
      </c>
      <c r="AN31" s="83">
        <f t="shared" si="20"/>
        <v>-7.6300145112000745E-3</v>
      </c>
      <c r="AO31" s="83">
        <f t="shared" si="21"/>
        <v>-7.6300145112000745E-3</v>
      </c>
      <c r="AP31" s="94">
        <f>SUM('Temps Proof'!AQ58:AS58)</f>
        <v>-308.0181</v>
      </c>
      <c r="AQ31" s="83">
        <f t="shared" si="22"/>
        <v>-7.8197555171085958E-4</v>
      </c>
      <c r="AR31" s="84">
        <f t="shared" si="23"/>
        <v>-7.8197555171085958E-4</v>
      </c>
      <c r="AS31" s="1510">
        <f t="shared" si="24"/>
        <v>11469.364369999996</v>
      </c>
      <c r="AT31" s="1514">
        <f t="shared" si="25"/>
        <v>2.9990912559481761E-2</v>
      </c>
      <c r="AU31" s="1510">
        <f t="shared" si="26"/>
        <v>10151.637639999995</v>
      </c>
      <c r="AV31" s="1356">
        <f t="shared" si="27"/>
        <v>2.6545226655553863E-2</v>
      </c>
      <c r="AW31" s="80">
        <f t="shared" si="28"/>
        <v>393897.35308999999</v>
      </c>
      <c r="AX31" s="80">
        <f t="shared" si="2"/>
        <v>392579.62635999994</v>
      </c>
      <c r="AY31" s="82">
        <f t="shared" si="3"/>
        <v>2.9990912559481837E-2</v>
      </c>
      <c r="AZ31" s="83">
        <f t="shared" si="4"/>
        <v>2.65452266555538E-2</v>
      </c>
      <c r="BA31" s="84">
        <f>'Avg Bill by RS'!BG58</f>
        <v>2.1999999999999999E-2</v>
      </c>
    </row>
    <row r="32" spans="2:53" x14ac:dyDescent="0.3">
      <c r="B32" s="279">
        <v>16</v>
      </c>
      <c r="C32" s="767" t="s">
        <v>349</v>
      </c>
      <c r="D32" s="79">
        <f>'Rate Impacts - Rev Req ONLY'!D32</f>
        <v>823615.79209999996</v>
      </c>
      <c r="E32" s="80">
        <f>'Rate Impacts - Rev Req ONLY'!E32</f>
        <v>823615.79209999996</v>
      </c>
      <c r="F32" s="94">
        <f>SUM('Rev Req Proof Yr1'!AF65:AH65)</f>
        <v>45461.501829999994</v>
      </c>
      <c r="G32" s="84">
        <f t="shared" si="29"/>
        <v>5.519746253782401E-2</v>
      </c>
      <c r="H32" s="94">
        <f>SUM('Rev Req Proof Yr1'!AM65:AO65)</f>
        <v>-7716.6626000000006</v>
      </c>
      <c r="I32" s="83">
        <f t="shared" si="5"/>
        <v>-9.3692504126524512E-3</v>
      </c>
      <c r="J32" s="95">
        <f>SUM('Temps Proof'!W65:Y65)</f>
        <v>0</v>
      </c>
      <c r="K32" s="83">
        <f t="shared" si="6"/>
        <v>0</v>
      </c>
      <c r="L32" s="83">
        <f t="shared" si="7"/>
        <v>0</v>
      </c>
      <c r="M32" s="95">
        <f>SUM('Temps Proof'!Y65:AA65)</f>
        <v>-6919.0564000000013</v>
      </c>
      <c r="N32" s="83">
        <f t="shared" si="8"/>
        <v>-8.0327056384229024E-3</v>
      </c>
      <c r="O32" s="83">
        <f t="shared" si="9"/>
        <v>-7.961382086870283E-3</v>
      </c>
      <c r="P32" s="95">
        <f>SUM('Temps Proof'!AE65:AG65)</f>
        <v>2455.9456000000005</v>
      </c>
      <c r="Q32" s="83">
        <f t="shared" si="10"/>
        <v>2.8512396674176435E-3</v>
      </c>
      <c r="R32" s="84">
        <f t="shared" si="11"/>
        <v>2.8259230993069938E-3</v>
      </c>
      <c r="S32" s="1539">
        <f t="shared" si="12"/>
        <v>37744.83922999999</v>
      </c>
      <c r="T32" s="1341">
        <f t="shared" si="13"/>
        <v>4.5828212125171554E-2</v>
      </c>
      <c r="U32" s="1342">
        <f t="shared" si="14"/>
        <v>33281.728429999988</v>
      </c>
      <c r="V32" s="1343">
        <f t="shared" si="15"/>
        <v>4.0409288832527708E-2</v>
      </c>
      <c r="W32" s="80">
        <f t="shared" si="16"/>
        <v>861360.63133</v>
      </c>
      <c r="X32" s="80">
        <f t="shared" si="17"/>
        <v>856897.52052999998</v>
      </c>
      <c r="Y32" s="82">
        <f t="shared" si="0"/>
        <v>4.5828212125171616E-2</v>
      </c>
      <c r="Z32" s="83">
        <f t="shared" si="1"/>
        <v>4.0409288832527743E-2</v>
      </c>
      <c r="AA32" s="84">
        <f>'Avg Bill by RS'!AK65</f>
        <v>5.0999999999999997E-2</v>
      </c>
      <c r="AB32" s="83"/>
      <c r="AC32" s="83"/>
      <c r="AD32" s="279">
        <v>16</v>
      </c>
      <c r="AE32" s="1257" t="s">
        <v>349</v>
      </c>
      <c r="AF32" s="1049">
        <f>'Rate Impacts - Rev Req ONLY'!N32</f>
        <v>861360.63132999989</v>
      </c>
      <c r="AG32" s="80">
        <f>'Rate Impacts - Rev Req ONLY'!O32</f>
        <v>861360.63132999989</v>
      </c>
      <c r="AH32" s="94">
        <f>SUM('Rev Req Proof Yr2'!AF65:AH65)</f>
        <v>17230.849550000014</v>
      </c>
      <c r="AI32" s="84">
        <f t="shared" si="32"/>
        <v>2.0004222300471754E-2</v>
      </c>
      <c r="AJ32" s="95">
        <f>SUM('Temps Proof'!AI65:AK65)</f>
        <v>0</v>
      </c>
      <c r="AK32" s="83">
        <f t="shared" si="18"/>
        <v>0</v>
      </c>
      <c r="AL32" s="84">
        <f t="shared" si="19"/>
        <v>0</v>
      </c>
      <c r="AM32" s="1153">
        <f>SUM('Temps Proof'!AM65:AO65)</f>
        <v>-6715.2289000000001</v>
      </c>
      <c r="AN32" s="83">
        <f t="shared" si="20"/>
        <v>-7.6431755214311963E-3</v>
      </c>
      <c r="AO32" s="83">
        <f t="shared" si="21"/>
        <v>-7.6431755214311963E-3</v>
      </c>
      <c r="AP32" s="94">
        <f>SUM('Temps Proof'!AQ65:AS65)</f>
        <v>-700.81233000000009</v>
      </c>
      <c r="AQ32" s="83">
        <f t="shared" si="22"/>
        <v>-7.9765436525524279E-4</v>
      </c>
      <c r="AR32" s="84">
        <f t="shared" si="23"/>
        <v>-7.9765436525524279E-4</v>
      </c>
      <c r="AS32" s="1510">
        <f t="shared" si="24"/>
        <v>17230.849550000014</v>
      </c>
      <c r="AT32" s="1514">
        <f t="shared" si="25"/>
        <v>2.0004222300471754E-2</v>
      </c>
      <c r="AU32" s="1510">
        <f t="shared" si="26"/>
        <v>14277.919120000013</v>
      </c>
      <c r="AV32" s="1356">
        <f t="shared" si="27"/>
        <v>1.6576006147336831E-2</v>
      </c>
      <c r="AW32" s="80">
        <f t="shared" si="28"/>
        <v>878591.48087999993</v>
      </c>
      <c r="AX32" s="80">
        <f t="shared" si="2"/>
        <v>875638.55044999986</v>
      </c>
      <c r="AY32" s="82">
        <f t="shared" si="3"/>
        <v>2.0004222300471788E-2</v>
      </c>
      <c r="AZ32" s="83">
        <f t="shared" si="4"/>
        <v>1.6576006147336789E-2</v>
      </c>
      <c r="BA32" s="84">
        <f>'Avg Bill by RS'!BG65</f>
        <v>1.2E-2</v>
      </c>
    </row>
    <row r="33" spans="1:53" x14ac:dyDescent="0.3">
      <c r="B33" s="279">
        <v>17</v>
      </c>
      <c r="C33" s="767" t="s">
        <v>350</v>
      </c>
      <c r="D33" s="79">
        <f>'Rate Impacts - Rev Req ONLY'!D33</f>
        <v>160512.61187958997</v>
      </c>
      <c r="E33" s="80">
        <f>'Rate Impacts - Rev Req ONLY'!E33</f>
        <v>430728.61187958985</v>
      </c>
      <c r="F33" s="94">
        <f>SUM('Rev Req Proof Yr1'!AF72:AH72)</f>
        <v>18359.480149999996</v>
      </c>
      <c r="G33" s="84">
        <f t="shared" si="29"/>
        <v>0.1143802965699202</v>
      </c>
      <c r="H33" s="94">
        <f>SUM('Rev Req Proof Yr1'!AM72:AO72)</f>
        <v>-1501.3931600000001</v>
      </c>
      <c r="I33" s="83">
        <f t="shared" si="5"/>
        <v>-9.3537395125454954E-3</v>
      </c>
      <c r="J33" s="95">
        <f>SUM('Temps Proof'!W72:Y72)</f>
        <v>-2684.9657399999996</v>
      </c>
      <c r="K33" s="83">
        <f t="shared" si="6"/>
        <v>-5.9987612383948404E-3</v>
      </c>
      <c r="L33" s="83">
        <f t="shared" si="7"/>
        <v>-1.5010534676118388E-2</v>
      </c>
      <c r="M33" s="95">
        <f>SUM('Temps Proof'!Y72:AA72)</f>
        <v>-1428.40164</v>
      </c>
      <c r="N33" s="83">
        <f t="shared" si="8"/>
        <v>-3.1913406801576628E-3</v>
      </c>
      <c r="O33" s="83">
        <f t="shared" si="9"/>
        <v>-7.9856037003453086E-3</v>
      </c>
      <c r="P33" s="95">
        <f>SUM('Temps Proof'!AE72:AG72)</f>
        <v>503.68345000000005</v>
      </c>
      <c r="Q33" s="83">
        <f t="shared" si="10"/>
        <v>1.1253315866447467E-3</v>
      </c>
      <c r="R33" s="84">
        <f t="shared" si="11"/>
        <v>2.8158861691888644E-3</v>
      </c>
      <c r="S33" s="1539">
        <f t="shared" si="12"/>
        <v>16858.086989999996</v>
      </c>
      <c r="T33" s="1341">
        <f t="shared" si="13"/>
        <v>0.10502655705737471</v>
      </c>
      <c r="U33" s="1342">
        <f t="shared" si="14"/>
        <v>13248.403059999997</v>
      </c>
      <c r="V33" s="1343">
        <f t="shared" si="15"/>
        <v>3.0758121691028008E-2</v>
      </c>
      <c r="W33" s="80">
        <f t="shared" si="16"/>
        <v>177370.69886958995</v>
      </c>
      <c r="X33" s="80">
        <f t="shared" si="17"/>
        <v>443977.01493958983</v>
      </c>
      <c r="Y33" s="82">
        <f t="shared" si="0"/>
        <v>0.10502655705737461</v>
      </c>
      <c r="Z33" s="83">
        <f t="shared" si="1"/>
        <v>3.0758121691027974E-2</v>
      </c>
      <c r="AA33" s="84">
        <f>'Avg Bill by RS'!AK72</f>
        <v>0.316</v>
      </c>
      <c r="AB33" s="83"/>
      <c r="AC33" s="83"/>
      <c r="AD33" s="279">
        <v>17</v>
      </c>
      <c r="AE33" s="1257" t="s">
        <v>350</v>
      </c>
      <c r="AF33" s="1049">
        <f>'Rate Impacts - Rev Req ONLY'!N33</f>
        <v>177370.69886958995</v>
      </c>
      <c r="AG33" s="80">
        <f>'Rate Impacts - Rev Req ONLY'!O33</f>
        <v>447586.69886958989</v>
      </c>
      <c r="AH33" s="94">
        <f>SUM('Rev Req Proof Yr2'!AF72:AH72)</f>
        <v>10182.187340000004</v>
      </c>
      <c r="AI33" s="84">
        <f t="shared" si="32"/>
        <v>5.7406253709843903E-2</v>
      </c>
      <c r="AJ33" s="95">
        <f>SUM('Temps Proof'!AI72:AK72)</f>
        <v>-2684.9657399999996</v>
      </c>
      <c r="AK33" s="83">
        <f t="shared" si="18"/>
        <v>-5.8653303465685648E-3</v>
      </c>
      <c r="AL33" s="84">
        <f t="shared" si="19"/>
        <v>-1.4315779374355008E-2</v>
      </c>
      <c r="AM33" s="1153">
        <f>SUM('Temps Proof'!AM72:AO72)</f>
        <v>-1433.0767499999997</v>
      </c>
      <c r="AN33" s="83">
        <f t="shared" si="20"/>
        <v>-3.1305682696483312E-3</v>
      </c>
      <c r="AO33" s="83">
        <f t="shared" si="21"/>
        <v>-7.6409208035249296E-3</v>
      </c>
      <c r="AP33" s="94">
        <f>SUM('Temps Proof'!AQ72:AS72)</f>
        <v>-145.98303999999999</v>
      </c>
      <c r="AQ33" s="83">
        <f t="shared" si="22"/>
        <v>-3.1890118441374698E-4</v>
      </c>
      <c r="AR33" s="84">
        <f t="shared" si="23"/>
        <v>-7.7835667021868297E-4</v>
      </c>
      <c r="AS33" s="1510">
        <f t="shared" si="24"/>
        <v>10182.187340000004</v>
      </c>
      <c r="AT33" s="1514">
        <f t="shared" si="25"/>
        <v>5.7406253709843903E-2</v>
      </c>
      <c r="AU33" s="1510">
        <f t="shared" si="26"/>
        <v>9527.8457400000043</v>
      </c>
      <c r="AV33" s="1356">
        <f t="shared" si="27"/>
        <v>2.1287151213526263E-2</v>
      </c>
      <c r="AW33" s="80">
        <f t="shared" si="28"/>
        <v>187552.88620958995</v>
      </c>
      <c r="AX33" s="80">
        <f t="shared" si="2"/>
        <v>457114.54460958991</v>
      </c>
      <c r="AY33" s="82">
        <f t="shared" si="3"/>
        <v>5.7406253709843903E-2</v>
      </c>
      <c r="AZ33" s="83">
        <f t="shared" si="4"/>
        <v>2.1287151213526295E-2</v>
      </c>
      <c r="BA33" s="84">
        <f>'Avg Bill by RS'!BG72</f>
        <v>0.35599999999999998</v>
      </c>
    </row>
    <row r="34" spans="1:53" x14ac:dyDescent="0.3">
      <c r="B34" s="279">
        <v>18</v>
      </c>
      <c r="C34" s="767" t="s">
        <v>351</v>
      </c>
      <c r="D34" s="79">
        <f>'Rate Impacts - Rev Req ONLY'!D34</f>
        <v>81130.03459599179</v>
      </c>
      <c r="E34" s="80">
        <f>'Rate Impacts - Rev Req ONLY'!E34</f>
        <v>171731.03459599178</v>
      </c>
      <c r="F34" s="94">
        <f>SUM('Rev Req Proof Yr1'!AF79:AH79)</f>
        <v>4479.9151999999995</v>
      </c>
      <c r="G34" s="84">
        <f t="shared" si="29"/>
        <v>5.5218948473384835E-2</v>
      </c>
      <c r="H34" s="94">
        <f>SUM('Rev Req Proof Yr1'!AM79:AO79)</f>
        <v>-760.61590000000001</v>
      </c>
      <c r="I34" s="83">
        <f t="shared" si="5"/>
        <v>-9.3752690207478118E-3</v>
      </c>
      <c r="J34" s="95">
        <f>SUM('Temps Proof'!W79:Y79)</f>
        <v>0</v>
      </c>
      <c r="K34" s="83">
        <f t="shared" si="6"/>
        <v>0</v>
      </c>
      <c r="L34" s="83">
        <f t="shared" si="7"/>
        <v>0</v>
      </c>
      <c r="M34" s="95">
        <f>SUM('Temps Proof'!Y79:AA79)</f>
        <v>-683.13480000000004</v>
      </c>
      <c r="N34" s="83">
        <f t="shared" si="8"/>
        <v>-3.8936078651464257E-3</v>
      </c>
      <c r="O34" s="83">
        <f t="shared" si="9"/>
        <v>-7.9796192104762097E-3</v>
      </c>
      <c r="P34" s="95">
        <f>SUM('Temps Proof'!AE79:AG79)</f>
        <v>240.36880000000002</v>
      </c>
      <c r="Q34" s="83">
        <f t="shared" si="10"/>
        <v>1.3700105019035895E-3</v>
      </c>
      <c r="R34" s="84">
        <f t="shared" si="11"/>
        <v>2.8077203709708743E-3</v>
      </c>
      <c r="S34" s="1539">
        <f t="shared" si="12"/>
        <v>3719.2992999999997</v>
      </c>
      <c r="T34" s="1341">
        <f t="shared" si="13"/>
        <v>4.5843679452637023E-2</v>
      </c>
      <c r="U34" s="1342">
        <f t="shared" si="14"/>
        <v>3276.5333000000001</v>
      </c>
      <c r="V34" s="1343">
        <f t="shared" si="15"/>
        <v>1.9079447740521997E-2</v>
      </c>
      <c r="W34" s="80">
        <f t="shared" si="16"/>
        <v>84849.333895991789</v>
      </c>
      <c r="X34" s="80">
        <f t="shared" si="17"/>
        <v>175007.56789599179</v>
      </c>
      <c r="Y34" s="82">
        <f t="shared" si="0"/>
        <v>4.5843679452637009E-2</v>
      </c>
      <c r="Z34" s="83">
        <f t="shared" si="1"/>
        <v>1.9079447740522053E-2</v>
      </c>
      <c r="AA34" s="84">
        <f>'Avg Bill by RS'!AK79</f>
        <v>0.26100000000000001</v>
      </c>
      <c r="AB34" s="83"/>
      <c r="AC34" s="83"/>
      <c r="AD34" s="279">
        <v>18</v>
      </c>
      <c r="AE34" s="1257" t="s">
        <v>351</v>
      </c>
      <c r="AF34" s="1049">
        <f>'Rate Impacts - Rev Req ONLY'!N34</f>
        <v>84849.333895991789</v>
      </c>
      <c r="AG34" s="80">
        <f>'Rate Impacts - Rev Req ONLY'!O34</f>
        <v>175450.33389599176</v>
      </c>
      <c r="AH34" s="94">
        <f>SUM('Rev Req Proof Yr2'!AF79:AH79)</f>
        <v>1696.7766999999985</v>
      </c>
      <c r="AI34" s="84">
        <f t="shared" si="32"/>
        <v>1.9997525284994051E-2</v>
      </c>
      <c r="AJ34" s="95">
        <f>SUM('Temps Proof'!AI79:AK79)</f>
        <v>0</v>
      </c>
      <c r="AK34" s="83">
        <f t="shared" si="18"/>
        <v>0</v>
      </c>
      <c r="AL34" s="84">
        <f t="shared" si="19"/>
        <v>0</v>
      </c>
      <c r="AM34" s="1153">
        <f>SUM('Temps Proof'!AM79:AO79)</f>
        <v>-660.98469999999998</v>
      </c>
      <c r="AN34" s="83">
        <f t="shared" si="20"/>
        <v>-3.7312756486752195E-3</v>
      </c>
      <c r="AO34" s="83">
        <f t="shared" si="21"/>
        <v>-7.6373703618590125E-3</v>
      </c>
      <c r="AP34" s="94">
        <f>SUM('Temps Proof'!AQ79:AS79)</f>
        <v>-66.420800000000014</v>
      </c>
      <c r="AQ34" s="83">
        <f t="shared" si="22"/>
        <v>-3.7494712601596843E-4</v>
      </c>
      <c r="AR34" s="84">
        <f t="shared" si="23"/>
        <v>-7.6746140921410931E-4</v>
      </c>
      <c r="AS34" s="1510">
        <f t="shared" si="24"/>
        <v>1696.7766999999985</v>
      </c>
      <c r="AT34" s="1514">
        <f t="shared" si="25"/>
        <v>1.9997525284994051E-2</v>
      </c>
      <c r="AU34" s="1510">
        <f t="shared" si="26"/>
        <v>1412.1371999999985</v>
      </c>
      <c r="AV34" s="1356">
        <f t="shared" si="27"/>
        <v>8.0486435599325997E-3</v>
      </c>
      <c r="AW34" s="80">
        <f t="shared" si="28"/>
        <v>86546.110595991791</v>
      </c>
      <c r="AX34" s="80">
        <f t="shared" si="2"/>
        <v>176862.47109599176</v>
      </c>
      <c r="AY34" s="82">
        <f t="shared" si="3"/>
        <v>1.9997525284994093E-2</v>
      </c>
      <c r="AZ34" s="83">
        <f t="shared" si="4"/>
        <v>8.0486435599325945E-3</v>
      </c>
      <c r="BA34" s="84">
        <f>'Avg Bill by RS'!BG79</f>
        <v>0.317</v>
      </c>
    </row>
    <row r="35" spans="1:53" x14ac:dyDescent="0.3">
      <c r="B35" s="279">
        <v>19</v>
      </c>
      <c r="C35" s="767" t="s">
        <v>353</v>
      </c>
      <c r="D35" s="79">
        <f>'Rate Impacts - Rev Req ONLY'!D35</f>
        <v>0</v>
      </c>
      <c r="E35" s="80">
        <f>'Rate Impacts - Rev Req ONLY'!E35</f>
        <v>0</v>
      </c>
      <c r="F35" s="94">
        <f>SUM('Rev Req Proof Yr1'!AF86:AH86)</f>
        <v>0</v>
      </c>
      <c r="G35" s="84">
        <f>IFERROR((F35/D35),0)</f>
        <v>0</v>
      </c>
      <c r="H35" s="94">
        <f>SUM('Rev Req Proof Yr1'!AM86:AO86)</f>
        <v>0</v>
      </c>
      <c r="I35" s="83">
        <f t="shared" si="5"/>
        <v>0</v>
      </c>
      <c r="J35" s="95">
        <f>SUM('Temps Proof'!W86:Y86)</f>
        <v>0</v>
      </c>
      <c r="K35" s="83">
        <f t="shared" si="6"/>
        <v>0</v>
      </c>
      <c r="L35" s="83">
        <f t="shared" si="7"/>
        <v>0</v>
      </c>
      <c r="M35" s="95">
        <f>SUM('Temps Proof'!Y86:AA86)</f>
        <v>0</v>
      </c>
      <c r="N35" s="83">
        <f t="shared" si="8"/>
        <v>0</v>
      </c>
      <c r="O35" s="83">
        <f t="shared" si="9"/>
        <v>0</v>
      </c>
      <c r="P35" s="95">
        <f>SUM('Temps Proof'!AE86:AG86)</f>
        <v>0</v>
      </c>
      <c r="Q35" s="83">
        <f t="shared" si="10"/>
        <v>0</v>
      </c>
      <c r="R35" s="84">
        <f t="shared" si="11"/>
        <v>0</v>
      </c>
      <c r="S35" s="1539">
        <f t="shared" si="12"/>
        <v>0</v>
      </c>
      <c r="T35" s="1341">
        <f t="shared" si="13"/>
        <v>0</v>
      </c>
      <c r="U35" s="1342">
        <f t="shared" si="14"/>
        <v>0</v>
      </c>
      <c r="V35" s="1343">
        <f t="shared" si="15"/>
        <v>0</v>
      </c>
      <c r="W35" s="80">
        <f t="shared" si="16"/>
        <v>0</v>
      </c>
      <c r="X35" s="80">
        <f t="shared" si="17"/>
        <v>0</v>
      </c>
      <c r="Y35" s="82">
        <f t="shared" si="0"/>
        <v>0</v>
      </c>
      <c r="Z35" s="83">
        <f t="shared" si="1"/>
        <v>0</v>
      </c>
      <c r="AA35" s="84">
        <f>'Avg Bill by RS'!AK86</f>
        <v>0</v>
      </c>
      <c r="AB35" s="83"/>
      <c r="AC35" s="83"/>
      <c r="AD35" s="279">
        <v>19</v>
      </c>
      <c r="AE35" s="1257" t="s">
        <v>353</v>
      </c>
      <c r="AF35" s="1049">
        <f>'Rate Impacts - Rev Req ONLY'!N35</f>
        <v>0</v>
      </c>
      <c r="AG35" s="80">
        <f>'Rate Impacts - Rev Req ONLY'!O35</f>
        <v>0</v>
      </c>
      <c r="AH35" s="94">
        <f>SUM('Rev Req Proof Yr2'!AF86:AH86)</f>
        <v>0</v>
      </c>
      <c r="AI35" s="84">
        <f>IFERROR((AH35/AF35),0)</f>
        <v>0</v>
      </c>
      <c r="AJ35" s="95">
        <f>SUM('Temps Proof'!AI86:AK86)</f>
        <v>0</v>
      </c>
      <c r="AK35" s="83">
        <f t="shared" si="18"/>
        <v>0</v>
      </c>
      <c r="AL35" s="84">
        <f t="shared" si="19"/>
        <v>0</v>
      </c>
      <c r="AM35" s="1153">
        <f>SUM('Temps Proof'!AM86:AO86)</f>
        <v>0</v>
      </c>
      <c r="AN35" s="83">
        <f t="shared" si="20"/>
        <v>0</v>
      </c>
      <c r="AO35" s="83">
        <f t="shared" si="21"/>
        <v>0</v>
      </c>
      <c r="AP35" s="94">
        <f>SUM('Temps Proof'!AQ86:AS86)</f>
        <v>0</v>
      </c>
      <c r="AQ35" s="83">
        <f t="shared" si="22"/>
        <v>0</v>
      </c>
      <c r="AR35" s="84">
        <f t="shared" si="23"/>
        <v>0</v>
      </c>
      <c r="AS35" s="1510">
        <f t="shared" si="24"/>
        <v>0</v>
      </c>
      <c r="AT35" s="1514">
        <f t="shared" si="25"/>
        <v>0</v>
      </c>
      <c r="AU35" s="1510">
        <f t="shared" si="26"/>
        <v>0</v>
      </c>
      <c r="AV35" s="1356">
        <f t="shared" si="27"/>
        <v>0</v>
      </c>
      <c r="AW35" s="80">
        <f t="shared" si="28"/>
        <v>0</v>
      </c>
      <c r="AX35" s="80">
        <f t="shared" si="2"/>
        <v>0</v>
      </c>
      <c r="AY35" s="82">
        <f t="shared" si="3"/>
        <v>0</v>
      </c>
      <c r="AZ35" s="83">
        <f t="shared" si="4"/>
        <v>0</v>
      </c>
      <c r="BA35" s="84">
        <f>'Avg Bill by RS'!BG86</f>
        <v>0</v>
      </c>
    </row>
    <row r="36" spans="1:53" x14ac:dyDescent="0.3">
      <c r="B36" s="279">
        <v>20</v>
      </c>
      <c r="C36" s="767" t="s">
        <v>354</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5"/>
        <v>-9.3673777248485142E-3</v>
      </c>
      <c r="J36" s="95">
        <f>SUM('Temps Proof'!W93:Y93)</f>
        <v>0</v>
      </c>
      <c r="K36" s="83">
        <f t="shared" si="6"/>
        <v>0</v>
      </c>
      <c r="L36" s="83">
        <f t="shared" si="7"/>
        <v>0</v>
      </c>
      <c r="M36" s="95">
        <f>SUM('Temps Proof'!Y93:AA93)</f>
        <v>-6964.8609200000001</v>
      </c>
      <c r="N36" s="83">
        <f t="shared" si="8"/>
        <v>-8.067348952806766E-3</v>
      </c>
      <c r="O36" s="83">
        <f t="shared" si="9"/>
        <v>-7.9957343842857707E-3</v>
      </c>
      <c r="P36" s="95">
        <f>SUM('Temps Proof'!AE93:AG93)</f>
        <v>2437.8116799999998</v>
      </c>
      <c r="Q36" s="83">
        <f t="shared" si="10"/>
        <v>2.8236999603702211E-3</v>
      </c>
      <c r="R36" s="84">
        <f t="shared" si="11"/>
        <v>2.7986337266573099E-3</v>
      </c>
      <c r="S36" s="1539">
        <f>SUM(F36,H36)</f>
        <v>37859.415490000014</v>
      </c>
      <c r="T36" s="1341">
        <f t="shared" si="13"/>
        <v>4.5863512299257295E-2</v>
      </c>
      <c r="U36" s="1342">
        <f t="shared" si="14"/>
        <v>33332.366250000014</v>
      </c>
      <c r="V36" s="1343">
        <f t="shared" si="15"/>
        <v>4.0379371146763154E-2</v>
      </c>
      <c r="W36" s="80">
        <f t="shared" si="16"/>
        <v>863339.48869000003</v>
      </c>
      <c r="X36" s="80">
        <f>E36+U36</f>
        <v>858812.43944999995</v>
      </c>
      <c r="Y36" s="82">
        <f t="shared" si="0"/>
        <v>4.5863512299257336E-2</v>
      </c>
      <c r="Z36" s="83">
        <f t="shared" si="1"/>
        <v>4.0379371146763092E-2</v>
      </c>
      <c r="AA36" s="84">
        <f>'Avg Bill by RS'!AK93</f>
        <v>4.7E-2</v>
      </c>
      <c r="AB36" s="83"/>
      <c r="AC36" s="83"/>
      <c r="AD36" s="279">
        <v>20</v>
      </c>
      <c r="AE36" s="1257" t="s">
        <v>354</v>
      </c>
      <c r="AF36" s="1049">
        <f>'Rate Impacts - Rev Req ONLY'!N36</f>
        <v>863339.48868999991</v>
      </c>
      <c r="AG36" s="80">
        <f>'Rate Impacts - Rev Req ONLY'!O36</f>
        <v>863339.48868999991</v>
      </c>
      <c r="AH36" s="94">
        <f>SUM('Rev Req Proof Yr2'!AF93:AH93)</f>
        <v>17271.723759999964</v>
      </c>
      <c r="AI36" s="84">
        <f>IFERROR((AH36/AF36),0)</f>
        <v>2.0005715001183894E-2</v>
      </c>
      <c r="AJ36" s="95">
        <f>SUM('Temps Proof'!AI93:AK93)</f>
        <v>0</v>
      </c>
      <c r="AK36" s="83">
        <f t="shared" si="18"/>
        <v>0</v>
      </c>
      <c r="AL36" s="84">
        <f t="shared" si="19"/>
        <v>0</v>
      </c>
      <c r="AM36" s="1153">
        <f>SUM('Temps Proof'!AM93:AO93)</f>
        <v>-6714.4615800000001</v>
      </c>
      <c r="AN36" s="83">
        <f t="shared" si="20"/>
        <v>-7.6247741171944702E-3</v>
      </c>
      <c r="AO36" s="83">
        <f t="shared" si="21"/>
        <v>-7.6247741171944702E-3</v>
      </c>
      <c r="AP36" s="94">
        <f>SUM('Temps Proof'!AQ93:AS93)</f>
        <v>-678.94928000000004</v>
      </c>
      <c r="AQ36" s="83">
        <f t="shared" si="22"/>
        <v>-7.7099776882360563E-4</v>
      </c>
      <c r="AR36" s="84">
        <f t="shared" si="23"/>
        <v>-7.7099776882360563E-4</v>
      </c>
      <c r="AS36" s="1510">
        <f t="shared" si="24"/>
        <v>17271.723759999964</v>
      </c>
      <c r="AT36" s="1514">
        <f t="shared" si="25"/>
        <v>2.0005715001183894E-2</v>
      </c>
      <c r="AU36" s="1510">
        <f t="shared" si="26"/>
        <v>14405.362139999965</v>
      </c>
      <c r="AV36" s="1356">
        <f t="shared" si="27"/>
        <v>1.6685628688035734E-2</v>
      </c>
      <c r="AW36" s="80">
        <f t="shared" si="28"/>
        <v>880611.21244999988</v>
      </c>
      <c r="AX36" s="80">
        <f t="shared" si="2"/>
        <v>877744.85082999989</v>
      </c>
      <c r="AY36" s="82">
        <f t="shared" si="3"/>
        <v>2.0005715001183894E-2</v>
      </c>
      <c r="AZ36" s="83">
        <f t="shared" si="4"/>
        <v>1.6685628688035754E-2</v>
      </c>
      <c r="BA36" s="84">
        <f>'Avg Bill by RS'!BG93</f>
        <v>0.01</v>
      </c>
    </row>
    <row r="37" spans="1:53" x14ac:dyDescent="0.3">
      <c r="B37" s="279">
        <v>21</v>
      </c>
      <c r="C37" s="767" t="s">
        <v>56</v>
      </c>
      <c r="D37" s="79">
        <f>'Rate Impacts - Rev Req ONLY'!D37</f>
        <v>0</v>
      </c>
      <c r="E37" s="80">
        <f>'Rate Impacts - Rev Req ONLY'!E37</f>
        <v>0</v>
      </c>
      <c r="F37" s="94">
        <f>SUM('Rev Req Proof Yr1'!AF94:AH94)</f>
        <v>0</v>
      </c>
      <c r="G37" s="84">
        <f>IFERROR((F37/D37),0)</f>
        <v>0</v>
      </c>
      <c r="H37" s="94">
        <f>SUM('Rev Req Proof Yr1'!AM94:AO94)</f>
        <v>0</v>
      </c>
      <c r="I37" s="83">
        <f t="shared" si="5"/>
        <v>0</v>
      </c>
      <c r="J37" s="95">
        <f>SUM('Temps Proof'!W94:Y94)</f>
        <v>0</v>
      </c>
      <c r="K37" s="83">
        <f t="shared" si="6"/>
        <v>0</v>
      </c>
      <c r="L37" s="83">
        <f t="shared" si="7"/>
        <v>0</v>
      </c>
      <c r="M37" s="95">
        <f>SUM('Temps Proof'!Y94:AA94)</f>
        <v>0</v>
      </c>
      <c r="N37" s="83">
        <f t="shared" si="8"/>
        <v>0</v>
      </c>
      <c r="O37" s="83">
        <f t="shared" si="9"/>
        <v>0</v>
      </c>
      <c r="P37" s="95">
        <f>SUM('Temps Proof'!AE94:AG94)</f>
        <v>0</v>
      </c>
      <c r="Q37" s="83">
        <f t="shared" si="10"/>
        <v>0</v>
      </c>
      <c r="R37" s="84">
        <f t="shared" si="11"/>
        <v>0</v>
      </c>
      <c r="S37" s="1539">
        <f t="shared" si="12"/>
        <v>0</v>
      </c>
      <c r="T37" s="1341">
        <f t="shared" si="13"/>
        <v>0</v>
      </c>
      <c r="U37" s="1342">
        <f t="shared" si="14"/>
        <v>0</v>
      </c>
      <c r="V37" s="1343">
        <f t="shared" si="15"/>
        <v>0</v>
      </c>
      <c r="W37" s="80">
        <f t="shared" si="16"/>
        <v>0</v>
      </c>
      <c r="X37" s="80">
        <f t="shared" si="17"/>
        <v>0</v>
      </c>
      <c r="Y37" s="82">
        <f t="shared" si="0"/>
        <v>0</v>
      </c>
      <c r="Z37" s="83">
        <f t="shared" si="1"/>
        <v>0</v>
      </c>
      <c r="AA37" s="84">
        <f>'Avg Bill by RS'!AK94</f>
        <v>0</v>
      </c>
      <c r="AB37" s="83"/>
      <c r="AC37" s="83"/>
      <c r="AD37" s="279">
        <v>21</v>
      </c>
      <c r="AE37" s="1257" t="s">
        <v>56</v>
      </c>
      <c r="AF37" s="1049">
        <f>'Rate Impacts - Rev Req ONLY'!N37</f>
        <v>0</v>
      </c>
      <c r="AG37" s="80">
        <f>'Rate Impacts - Rev Req ONLY'!O37</f>
        <v>0</v>
      </c>
      <c r="AH37" s="94">
        <f>SUM('Rev Req Proof Yr2'!AF94:AH94)</f>
        <v>0</v>
      </c>
      <c r="AI37" s="84">
        <f>IFERROR((AH37/AF37),0)</f>
        <v>0</v>
      </c>
      <c r="AJ37" s="95">
        <f>SUM('Temps Proof'!AI94:AK94)</f>
        <v>0</v>
      </c>
      <c r="AK37" s="83">
        <f t="shared" si="18"/>
        <v>0</v>
      </c>
      <c r="AL37" s="84">
        <f t="shared" si="19"/>
        <v>0</v>
      </c>
      <c r="AM37" s="1153">
        <f>SUM('Temps Proof'!AM94:AO94)</f>
        <v>0</v>
      </c>
      <c r="AN37" s="83">
        <f t="shared" si="20"/>
        <v>0</v>
      </c>
      <c r="AO37" s="83">
        <f t="shared" si="21"/>
        <v>0</v>
      </c>
      <c r="AP37" s="94">
        <f>SUM('Temps Proof'!AQ94:AS94)</f>
        <v>0</v>
      </c>
      <c r="AQ37" s="83">
        <f t="shared" si="22"/>
        <v>0</v>
      </c>
      <c r="AR37" s="84">
        <f t="shared" si="23"/>
        <v>0</v>
      </c>
      <c r="AS37" s="1510">
        <f t="shared" si="24"/>
        <v>0</v>
      </c>
      <c r="AT37" s="1514">
        <f t="shared" si="25"/>
        <v>0</v>
      </c>
      <c r="AU37" s="1510">
        <f t="shared" si="26"/>
        <v>0</v>
      </c>
      <c r="AV37" s="1356">
        <f t="shared" si="27"/>
        <v>0</v>
      </c>
      <c r="AW37" s="80">
        <f t="shared" si="28"/>
        <v>0</v>
      </c>
      <c r="AX37" s="80">
        <f t="shared" si="2"/>
        <v>0</v>
      </c>
      <c r="AY37" s="82">
        <f t="shared" si="3"/>
        <v>0</v>
      </c>
      <c r="AZ37" s="83">
        <f t="shared" si="4"/>
        <v>0</v>
      </c>
      <c r="BA37" s="84">
        <f>'Avg Bill by RS'!BG94</f>
        <v>0</v>
      </c>
    </row>
    <row r="38" spans="1:53" x14ac:dyDescent="0.3">
      <c r="B38" s="279">
        <v>22</v>
      </c>
      <c r="C38" s="767" t="s">
        <v>335</v>
      </c>
      <c r="D38" s="79">
        <f>'Rate Impacts - Rev Req ONLY'!D38</f>
        <v>0</v>
      </c>
      <c r="E38" s="80">
        <f>'Rate Impacts - Rev Req ONLY'!E38</f>
        <v>0</v>
      </c>
      <c r="F38" s="94">
        <f>SUM('Rev Req Proof Yr1'!AF95:AH95)</f>
        <v>0</v>
      </c>
      <c r="G38" s="84">
        <f>IFERROR((F38/D38),0)</f>
        <v>0</v>
      </c>
      <c r="H38" s="94">
        <f>SUM('Rev Req Proof Yr1'!AM95:AO95)</f>
        <v>0</v>
      </c>
      <c r="I38" s="83">
        <f t="shared" si="5"/>
        <v>0</v>
      </c>
      <c r="J38" s="95">
        <f>SUM('Temps Proof'!W95:Y95)</f>
        <v>0</v>
      </c>
      <c r="K38" s="83">
        <f t="shared" si="6"/>
        <v>0</v>
      </c>
      <c r="L38" s="83">
        <f t="shared" si="7"/>
        <v>0</v>
      </c>
      <c r="M38" s="95">
        <f>SUM('Temps Proof'!Y95:AA95)</f>
        <v>0</v>
      </c>
      <c r="N38" s="83">
        <f t="shared" si="8"/>
        <v>0</v>
      </c>
      <c r="O38" s="83">
        <f t="shared" si="9"/>
        <v>0</v>
      </c>
      <c r="P38" s="95">
        <f>SUM('Temps Proof'!AE95:AG95)</f>
        <v>0</v>
      </c>
      <c r="Q38" s="83">
        <f t="shared" si="10"/>
        <v>0</v>
      </c>
      <c r="R38" s="84">
        <f t="shared" si="11"/>
        <v>0</v>
      </c>
      <c r="S38" s="1539">
        <f t="shared" si="12"/>
        <v>0</v>
      </c>
      <c r="T38" s="1341">
        <f t="shared" si="13"/>
        <v>0</v>
      </c>
      <c r="U38" s="1342">
        <f t="shared" si="14"/>
        <v>0</v>
      </c>
      <c r="V38" s="1343">
        <f t="shared" si="15"/>
        <v>0</v>
      </c>
      <c r="W38" s="80">
        <f t="shared" si="16"/>
        <v>0</v>
      </c>
      <c r="X38" s="80">
        <f t="shared" si="17"/>
        <v>0</v>
      </c>
      <c r="Y38" s="82">
        <f t="shared" si="0"/>
        <v>0</v>
      </c>
      <c r="Z38" s="83">
        <f t="shared" si="1"/>
        <v>0</v>
      </c>
      <c r="AA38" s="84">
        <f>'Avg Bill by RS'!AK95</f>
        <v>0</v>
      </c>
      <c r="AB38" s="83"/>
      <c r="AC38" s="83"/>
      <c r="AD38" s="279">
        <v>22</v>
      </c>
      <c r="AE38" s="1257" t="s">
        <v>335</v>
      </c>
      <c r="AF38" s="1049">
        <f>'Rate Impacts - Rev Req ONLY'!N38</f>
        <v>0</v>
      </c>
      <c r="AG38" s="80">
        <f>'Rate Impacts - Rev Req ONLY'!O38</f>
        <v>0</v>
      </c>
      <c r="AH38" s="94">
        <f>SUM('Rev Req Proof Yr2'!AF95:AH95)</f>
        <v>0</v>
      </c>
      <c r="AI38" s="84">
        <f>IFERROR((AH38/AF38),0)</f>
        <v>0</v>
      </c>
      <c r="AJ38" s="95">
        <f>SUM('Temps Proof'!AI95:AK95)</f>
        <v>0</v>
      </c>
      <c r="AK38" s="83">
        <f t="shared" si="18"/>
        <v>0</v>
      </c>
      <c r="AL38" s="84">
        <f t="shared" si="19"/>
        <v>0</v>
      </c>
      <c r="AM38" s="1153">
        <f>SUM('Temps Proof'!AM95:AO95)</f>
        <v>0</v>
      </c>
      <c r="AN38" s="83">
        <f t="shared" si="20"/>
        <v>0</v>
      </c>
      <c r="AO38" s="83">
        <f t="shared" si="21"/>
        <v>0</v>
      </c>
      <c r="AP38" s="94">
        <f>SUM('Temps Proof'!AQ95:AS95)</f>
        <v>0</v>
      </c>
      <c r="AQ38" s="83">
        <f t="shared" si="22"/>
        <v>0</v>
      </c>
      <c r="AR38" s="84">
        <f t="shared" si="23"/>
        <v>0</v>
      </c>
      <c r="AS38" s="1510">
        <f t="shared" si="24"/>
        <v>0</v>
      </c>
      <c r="AT38" s="1514">
        <f t="shared" si="25"/>
        <v>0</v>
      </c>
      <c r="AU38" s="1510">
        <f t="shared" si="26"/>
        <v>0</v>
      </c>
      <c r="AV38" s="1356">
        <f t="shared" si="27"/>
        <v>0</v>
      </c>
      <c r="AW38" s="80">
        <f t="shared" si="28"/>
        <v>0</v>
      </c>
      <c r="AX38" s="80">
        <f t="shared" si="2"/>
        <v>0</v>
      </c>
      <c r="AY38" s="82">
        <f t="shared" si="3"/>
        <v>0</v>
      </c>
      <c r="AZ38" s="83">
        <f t="shared" si="4"/>
        <v>0</v>
      </c>
      <c r="BA38" s="84">
        <f>'Avg Bill by RS'!BG95</f>
        <v>0</v>
      </c>
    </row>
    <row r="39" spans="1:53" x14ac:dyDescent="0.3">
      <c r="B39" s="279">
        <v>23</v>
      </c>
      <c r="C39" s="767" t="s">
        <v>373</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5"/>
        <v>0</v>
      </c>
      <c r="J39" s="95">
        <f>SUM('Temps Proof'!W96:Y96)</f>
        <v>0</v>
      </c>
      <c r="K39" s="83">
        <f t="shared" si="6"/>
        <v>0</v>
      </c>
      <c r="L39" s="83">
        <f t="shared" si="7"/>
        <v>0</v>
      </c>
      <c r="M39" s="95">
        <f>SUM('Temps Proof'!Y96:AA96)</f>
        <v>0</v>
      </c>
      <c r="N39" s="83">
        <f t="shared" si="8"/>
        <v>0</v>
      </c>
      <c r="O39" s="83">
        <f t="shared" si="9"/>
        <v>0</v>
      </c>
      <c r="P39" s="95">
        <f>SUM('Temps Proof'!AE96:AG96)</f>
        <v>0</v>
      </c>
      <c r="Q39" s="83">
        <f t="shared" si="10"/>
        <v>0</v>
      </c>
      <c r="R39" s="84">
        <f t="shared" si="11"/>
        <v>0</v>
      </c>
      <c r="S39" s="1539">
        <f>SUM(F39,H39)</f>
        <v>0</v>
      </c>
      <c r="T39" s="1341">
        <f t="shared" si="13"/>
        <v>0</v>
      </c>
      <c r="U39" s="1342">
        <f t="shared" si="14"/>
        <v>0</v>
      </c>
      <c r="V39" s="1343">
        <f t="shared" si="15"/>
        <v>0</v>
      </c>
      <c r="W39" s="80">
        <f t="shared" si="16"/>
        <v>242994.60207180592</v>
      </c>
      <c r="X39" s="80">
        <f t="shared" si="17"/>
        <v>242994.60207180592</v>
      </c>
      <c r="Y39" s="82">
        <f t="shared" si="0"/>
        <v>0</v>
      </c>
      <c r="Z39" s="83">
        <f t="shared" si="1"/>
        <v>0</v>
      </c>
      <c r="AA39" s="84">
        <f>'Avg Bill by RS'!AK96</f>
        <v>0</v>
      </c>
      <c r="AB39" s="83"/>
      <c r="AC39" s="83"/>
      <c r="AD39" s="279">
        <v>23</v>
      </c>
      <c r="AE39" s="1257" t="s">
        <v>373</v>
      </c>
      <c r="AF39" s="1049">
        <f>'Rate Impacts - Rev Req ONLY'!N39</f>
        <v>242994.60207180592</v>
      </c>
      <c r="AG39" s="80">
        <f>'Rate Impacts - Rev Req ONLY'!O39</f>
        <v>242994.60207180592</v>
      </c>
      <c r="AH39" s="94">
        <f>SUM('Rev Req Proof Yr2'!AF96:AH96)</f>
        <v>0</v>
      </c>
      <c r="AI39" s="84">
        <f>IFERROR((AH39/AF39),0)</f>
        <v>0</v>
      </c>
      <c r="AJ39" s="95">
        <f>SUM('Temps Proof'!AI96:AK96)</f>
        <v>0</v>
      </c>
      <c r="AK39" s="83">
        <f t="shared" si="18"/>
        <v>0</v>
      </c>
      <c r="AL39" s="84">
        <f t="shared" si="19"/>
        <v>0</v>
      </c>
      <c r="AM39" s="1153">
        <f>SUM('Temps Proof'!AM96:AO96)</f>
        <v>0</v>
      </c>
      <c r="AN39" s="83">
        <f t="shared" si="20"/>
        <v>0</v>
      </c>
      <c r="AO39" s="83">
        <f t="shared" si="21"/>
        <v>0</v>
      </c>
      <c r="AP39" s="94">
        <f>SUM('Temps Proof'!AQ96:AS96)</f>
        <v>0</v>
      </c>
      <c r="AQ39" s="83">
        <f t="shared" si="22"/>
        <v>0</v>
      </c>
      <c r="AR39" s="84">
        <f t="shared" si="23"/>
        <v>0</v>
      </c>
      <c r="AS39" s="1510">
        <f t="shared" si="24"/>
        <v>0</v>
      </c>
      <c r="AT39" s="1514">
        <f t="shared" si="25"/>
        <v>0</v>
      </c>
      <c r="AU39" s="1510">
        <f t="shared" si="26"/>
        <v>0</v>
      </c>
      <c r="AV39" s="1356">
        <f t="shared" si="27"/>
        <v>0</v>
      </c>
      <c r="AW39" s="80">
        <f t="shared" si="28"/>
        <v>242994.60207180592</v>
      </c>
      <c r="AX39" s="80">
        <f t="shared" si="2"/>
        <v>242994.60207180592</v>
      </c>
      <c r="AY39" s="82">
        <f t="shared" si="3"/>
        <v>0</v>
      </c>
      <c r="AZ39" s="83">
        <f t="shared" si="4"/>
        <v>0</v>
      </c>
      <c r="BA39" s="84">
        <f>'Avg Bill by RS'!BG96</f>
        <v>0</v>
      </c>
    </row>
    <row r="40" spans="1:53" ht="13.5" thickBot="1" x14ac:dyDescent="0.35">
      <c r="B40" s="52"/>
      <c r="C40" s="86"/>
      <c r="D40" s="53"/>
      <c r="E40" s="53"/>
      <c r="F40" s="52"/>
      <c r="G40" s="994"/>
      <c r="H40" s="52"/>
      <c r="I40" s="995"/>
      <c r="J40" s="996"/>
      <c r="K40" s="1556"/>
      <c r="L40" s="1556"/>
      <c r="M40" s="1557"/>
      <c r="N40" s="1556"/>
      <c r="O40" s="1556"/>
      <c r="P40" s="1557"/>
      <c r="Q40" s="1556"/>
      <c r="R40" s="1558"/>
      <c r="S40" s="1344"/>
      <c r="T40" s="1344"/>
      <c r="U40" s="1344"/>
      <c r="V40" s="1345"/>
      <c r="W40" s="53"/>
      <c r="X40" s="53"/>
      <c r="Y40" s="1008"/>
      <c r="Z40" s="1009"/>
      <c r="AA40" s="1010"/>
      <c r="AB40" s="1276"/>
      <c r="AC40" s="1276"/>
      <c r="AD40" s="52"/>
      <c r="AE40" s="1259"/>
      <c r="AF40" s="52"/>
      <c r="AG40" s="53"/>
      <c r="AH40" s="52"/>
      <c r="AI40" s="994"/>
      <c r="AJ40" s="1493"/>
      <c r="AK40" s="1562"/>
      <c r="AL40" s="1563"/>
      <c r="AM40" s="1562"/>
      <c r="AN40" s="1562"/>
      <c r="AO40" s="1562"/>
      <c r="AP40" s="1564"/>
      <c r="AQ40" s="1562"/>
      <c r="AR40" s="1563"/>
      <c r="AS40" s="1511"/>
      <c r="AT40" s="1511"/>
      <c r="AU40" s="1511"/>
      <c r="AV40" s="1357"/>
      <c r="AW40" s="53"/>
      <c r="AX40" s="53"/>
      <c r="AY40" s="1008"/>
      <c r="AZ40" s="1009"/>
      <c r="BA40" s="1010"/>
    </row>
    <row r="41" spans="1:53" s="91" customFormat="1" x14ac:dyDescent="0.3">
      <c r="A41" s="55"/>
      <c r="B41" s="989"/>
      <c r="C41" s="1364" t="s">
        <v>32</v>
      </c>
      <c r="D41" s="982">
        <f>SUM(D17:D39)</f>
        <v>49604902.662138224</v>
      </c>
      <c r="E41" s="983">
        <f>SUM(E17:E39)</f>
        <v>78333454.662138224</v>
      </c>
      <c r="F41" s="1140">
        <f>SUM(F17:F39)</f>
        <v>5462264.5776675073</v>
      </c>
      <c r="G41" s="987">
        <f>IFERROR((F41/(D41-D39)),0)</f>
        <v>0.11065748453282456</v>
      </c>
      <c r="H41" s="983">
        <f>SUM(H17:H39)</f>
        <v>-462278.66210878297</v>
      </c>
      <c r="I41" s="1384">
        <f>IFERROR((H41/(D41-D39)),0)</f>
        <v>-9.3650889983072708E-3</v>
      </c>
      <c r="J41" s="1001">
        <f>SUM(J17:J39)</f>
        <v>-770801.0344698329</v>
      </c>
      <c r="K41" s="1237">
        <f>IFERROR((J41/(E41-E39+F41+H41)),0)</f>
        <v>-9.2766505874327596E-3</v>
      </c>
      <c r="L41" s="1237">
        <f>IFERROR((J41/(SUM(D41-D21-D24-D27-D30-D31-D32-D34-D36-D39,F41-F21-F24-F27-F30-F31-F32-F34-F36-F39))),0)</f>
        <v>-1.502537522644176E-2</v>
      </c>
      <c r="M41" s="1555">
        <f>SUM(M17:M39)</f>
        <v>-437544.81737369846</v>
      </c>
      <c r="N41" s="1237">
        <f>IFERROR((M41/(E41-E39+F41+H41)),0)</f>
        <v>-5.2658860141640553E-3</v>
      </c>
      <c r="O41" s="1237">
        <f>IFERROR((M41/SUM(D41-D39,F41-F39)),0)</f>
        <v>-7.980874061974421E-3</v>
      </c>
      <c r="P41" s="1555">
        <f>SUM(P17:P39)</f>
        <v>154321.70340641376</v>
      </c>
      <c r="Q41" s="1237">
        <f>IFERROR((P41/(E41-E39+F41+H41)),0)</f>
        <v>1.8572737406137468E-3</v>
      </c>
      <c r="R41" s="1559">
        <f>IFERROR((P41/SUM(D41-D39,F41-F39)),0)</f>
        <v>2.8148478304659084E-3</v>
      </c>
      <c r="S41" s="1346">
        <f>SUM(S17:S39)</f>
        <v>4999985.91555872</v>
      </c>
      <c r="T41" s="1347">
        <f>IFERROR((S41)/(D41-D39),0)</f>
        <v>0.1012923955345172</v>
      </c>
      <c r="U41" s="1348">
        <f>SUM(U17:U39)</f>
        <v>3945961.7671216042</v>
      </c>
      <c r="V41" s="1349">
        <f>IFERROR((U41)/(E41-E39),0)</f>
        <v>5.0530650787386951E-2</v>
      </c>
      <c r="W41" s="988">
        <f>SUM(W17:W39)</f>
        <v>54604888.577696949</v>
      </c>
      <c r="X41" s="1046">
        <f>SUM(X17:X39)</f>
        <v>82279416.429259822</v>
      </c>
      <c r="Y41" s="985">
        <f>IFERROR(SUM((W41-W39)-SUM(D41-D39))/SUM(D41-D39),0)</f>
        <v>0.10129239553451731</v>
      </c>
      <c r="Z41" s="986">
        <f>IFERROR(SUM((X41-X39)-SUM(E41-E39))/SUM(E41-E39),0)</f>
        <v>5.0530650787386874E-2</v>
      </c>
      <c r="AA41" s="987"/>
      <c r="AB41" s="1237"/>
      <c r="AC41" s="1237"/>
      <c r="AD41" s="989"/>
      <c r="AE41" s="1210" t="s">
        <v>32</v>
      </c>
      <c r="AF41" s="988">
        <f>SUM(AF17:AF39)</f>
        <v>54604888.577696942</v>
      </c>
      <c r="AG41" s="983">
        <f>SUM(AG17:AG39)</f>
        <v>83333440.577696964</v>
      </c>
      <c r="AH41" s="1140">
        <f>SUM(AH17:AH39)</f>
        <v>3000103.941193596</v>
      </c>
      <c r="AI41" s="987">
        <f>IFERROR((AH41/(AF41-AF39)),0)</f>
        <v>5.5187627247475723E-2</v>
      </c>
      <c r="AJ41" s="1140">
        <f>SUM(AJ17:AJ39)</f>
        <v>-770801.0344698329</v>
      </c>
      <c r="AK41" s="1237">
        <f>IFERROR((AJ41/(AG41-AG39+AH41)),0)</f>
        <v>-8.9533756633519684E-3</v>
      </c>
      <c r="AL41" s="1559">
        <f>IFERROR((AJ41/(SUM(AF41-AF21-AF24-AF27-AF30-AF31-AF32-AF34-AF36-AF39,AH41-AH21-AH24-AH27-AH30-AH31-AH32-AH34-AH36-AH39))),0)</f>
        <v>-1.4329981134482708E-2</v>
      </c>
      <c r="AM41" s="1560">
        <f>SUM(AM17:AM39)</f>
        <v>-438192.71031602036</v>
      </c>
      <c r="AN41" s="1237">
        <f>IFERROR((AM41/(AG41-AG39+AH41)),0)</f>
        <v>-5.0899048820039483E-3</v>
      </c>
      <c r="AO41" s="1237">
        <f>IFERROR((AM41/SUM(AF41-AF39,AH41-AH39)),0)</f>
        <v>-7.6390768493009688E-3</v>
      </c>
      <c r="AP41" s="1561">
        <f>SUM(AP17:AP39)</f>
        <v>-44647.663027564136</v>
      </c>
      <c r="AQ41" s="1237">
        <f>IFERROR((AP41/(AG41-AG39+AH41)),0)</f>
        <v>-5.1861282185678911E-4</v>
      </c>
      <c r="AR41" s="1559">
        <f>IFERROR((AP41/SUM(AF41-AF39,AH41-AH39)),0)</f>
        <v>-7.7834916232011667E-4</v>
      </c>
      <c r="AS41" s="1550">
        <f t="shared" ref="AS41" si="33">AH41</f>
        <v>3000103.941193596</v>
      </c>
      <c r="AT41" s="1551">
        <f t="shared" ref="AT41" si="34">AI41</f>
        <v>5.5187627247475723E-2</v>
      </c>
      <c r="AU41" s="1552">
        <f>SUM(AU17:AU39)</f>
        <v>2800486.6818172955</v>
      </c>
      <c r="AV41" s="1553">
        <f>IFERROR((AU41/(AG41-AG39)),0)</f>
        <v>3.3704075708521616E-2</v>
      </c>
      <c r="AW41" s="982">
        <f>SUM(AW17:AW39)</f>
        <v>57604992.518890552</v>
      </c>
      <c r="AX41" s="983">
        <f>SUM(AX17:AX39)</f>
        <v>86133927.259514228</v>
      </c>
      <c r="AY41" s="985">
        <f>IFERROR(SUM((AW41-AW39)-SUM(AF41-AF39))/SUM(AF41-AF39),0)</f>
        <v>5.5187627247475987E-2</v>
      </c>
      <c r="AZ41" s="986">
        <f>IFERROR(SUM((AX41-AX39)-SUM(AG41-AG39))/SUM(AG41-AG39),0)</f>
        <v>3.3704075708521228E-2</v>
      </c>
      <c r="BA41" s="987"/>
    </row>
    <row r="42" spans="1:53" ht="15" thickBot="1" x14ac:dyDescent="0.4">
      <c r="A42" s="59"/>
      <c r="B42" s="1365"/>
      <c r="C42" s="1157"/>
      <c r="D42" s="1218"/>
      <c r="E42" s="1283"/>
      <c r="F42" s="1284" t="s">
        <v>526</v>
      </c>
      <c r="G42" s="1157"/>
      <c r="H42" s="1284" t="s">
        <v>526</v>
      </c>
      <c r="I42" s="1283"/>
      <c r="J42" s="1284" t="s">
        <v>526</v>
      </c>
      <c r="K42" s="88"/>
      <c r="L42" s="88"/>
      <c r="M42" s="1284" t="s">
        <v>526</v>
      </c>
      <c r="N42" s="88"/>
      <c r="O42" s="88"/>
      <c r="P42" s="1505" t="s">
        <v>526</v>
      </c>
      <c r="Q42" s="88"/>
      <c r="R42" s="89"/>
      <c r="S42" s="1501" t="s">
        <v>526</v>
      </c>
      <c r="T42" s="1350"/>
      <c r="U42" s="1501" t="s">
        <v>526</v>
      </c>
      <c r="V42" s="1351"/>
      <c r="W42" s="1217"/>
      <c r="X42" s="1047"/>
      <c r="Y42" s="1285"/>
      <c r="Z42" s="1156"/>
      <c r="AA42" s="1246" t="s">
        <v>678</v>
      </c>
      <c r="AB42" s="1330"/>
      <c r="AC42" s="1277"/>
      <c r="AD42" s="1260"/>
      <c r="AE42" s="1261"/>
      <c r="AF42" s="1549"/>
      <c r="AG42" s="1002"/>
      <c r="AH42" s="1284" t="s">
        <v>525</v>
      </c>
      <c r="AI42" s="1004"/>
      <c r="AJ42" s="1505" t="s">
        <v>525</v>
      </c>
      <c r="AK42" s="1002"/>
      <c r="AL42" s="1004"/>
      <c r="AM42" s="1544" t="s">
        <v>525</v>
      </c>
      <c r="AN42" s="1002"/>
      <c r="AO42" s="1002"/>
      <c r="AP42" s="1505" t="s">
        <v>525</v>
      </c>
      <c r="AQ42" s="1002"/>
      <c r="AR42" s="1004"/>
      <c r="AS42" s="1513"/>
      <c r="AT42" s="1515"/>
      <c r="AU42" s="1513"/>
      <c r="AV42" s="1359"/>
      <c r="AW42" s="1002"/>
      <c r="AX42" s="1045"/>
      <c r="AY42" s="1285"/>
      <c r="AZ42" s="88"/>
      <c r="BA42" s="1554" t="s">
        <v>526</v>
      </c>
    </row>
    <row r="43" spans="1:53" ht="7" customHeight="1" x14ac:dyDescent="0.3">
      <c r="D43" s="87"/>
      <c r="E43" s="87"/>
      <c r="F43" s="87"/>
      <c r="G43" s="87"/>
      <c r="H43" s="87"/>
      <c r="I43" s="87"/>
      <c r="J43" s="87"/>
      <c r="K43" s="87"/>
      <c r="L43" s="87"/>
      <c r="M43" s="87"/>
      <c r="N43" s="87"/>
      <c r="O43" s="87"/>
      <c r="P43" s="87"/>
      <c r="Q43" s="87"/>
      <c r="R43" s="87"/>
      <c r="S43" s="87"/>
      <c r="T43" s="1220" t="s">
        <v>502</v>
      </c>
      <c r="U43" s="87"/>
      <c r="V43" s="87"/>
      <c r="W43" s="87"/>
    </row>
    <row r="44" spans="1:53" ht="12" customHeight="1" x14ac:dyDescent="0.3">
      <c r="B44" s="880" t="s">
        <v>702</v>
      </c>
      <c r="C44" s="876"/>
      <c r="D44" s="97"/>
      <c r="E44" s="98"/>
      <c r="F44" s="61"/>
      <c r="G44" s="61"/>
      <c r="H44" s="98"/>
      <c r="I44" s="61"/>
      <c r="J44" s="98"/>
      <c r="K44" s="98"/>
      <c r="L44" s="98"/>
      <c r="M44" s="98"/>
      <c r="N44" s="98"/>
      <c r="O44" s="98"/>
      <c r="P44" s="98"/>
      <c r="Q44" s="98"/>
      <c r="R44" s="98"/>
      <c r="S44" s="98"/>
      <c r="T44" s="98"/>
      <c r="U44" s="98"/>
      <c r="V44" s="98"/>
      <c r="W44" s="61"/>
      <c r="X44" s="99"/>
      <c r="Y44" s="573"/>
      <c r="Z44" s="61"/>
      <c r="AA44" s="61"/>
      <c r="AB44" s="61"/>
      <c r="AC44" s="61"/>
      <c r="AD44" s="880" t="s">
        <v>702</v>
      </c>
      <c r="AE44" s="876"/>
      <c r="AG44" s="943"/>
    </row>
    <row r="45" spans="1:53" ht="12" customHeight="1" x14ac:dyDescent="0.3">
      <c r="B45" s="880" t="s">
        <v>522</v>
      </c>
      <c r="C45" s="881"/>
      <c r="D45" s="97"/>
      <c r="E45" s="98"/>
      <c r="F45" s="99"/>
      <c r="G45" s="99"/>
      <c r="H45" s="98"/>
      <c r="I45" s="99"/>
      <c r="J45" s="98"/>
      <c r="K45" s="98"/>
      <c r="L45" s="98"/>
      <c r="M45" s="98"/>
      <c r="N45" s="98"/>
      <c r="O45" s="98"/>
      <c r="P45" s="98"/>
      <c r="Q45" s="98"/>
      <c r="R45" s="98"/>
      <c r="S45" s="98"/>
      <c r="T45" s="98"/>
      <c r="U45" s="98"/>
      <c r="V45" s="98"/>
      <c r="W45" s="61"/>
      <c r="X45" s="1216"/>
      <c r="Y45" s="573"/>
      <c r="Z45" s="61"/>
      <c r="AA45" s="61"/>
      <c r="AB45" s="61"/>
      <c r="AC45" s="61"/>
      <c r="AD45" s="880" t="s">
        <v>634</v>
      </c>
    </row>
    <row r="46" spans="1:53" ht="12" customHeight="1" x14ac:dyDescent="0.3">
      <c r="B46" s="880" t="s">
        <v>523</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880" t="s">
        <v>635</v>
      </c>
    </row>
    <row r="47" spans="1:53" ht="12" customHeight="1" x14ac:dyDescent="0.3">
      <c r="B47" s="880" t="s">
        <v>524</v>
      </c>
      <c r="D47" s="97"/>
      <c r="E47" s="98"/>
      <c r="F47" s="61"/>
      <c r="G47" s="61"/>
      <c r="H47" s="98"/>
      <c r="I47" s="61"/>
      <c r="J47" s="98"/>
      <c r="K47" s="98"/>
      <c r="L47" s="98"/>
      <c r="M47" s="98"/>
      <c r="N47" s="98"/>
      <c r="O47" s="98"/>
      <c r="P47" s="98"/>
      <c r="Q47" s="98"/>
      <c r="R47" s="98"/>
      <c r="S47" s="98"/>
      <c r="T47" s="98"/>
      <c r="U47" s="98"/>
      <c r="V47" s="98"/>
      <c r="W47" s="61"/>
      <c r="X47" s="61"/>
      <c r="Y47" s="61"/>
      <c r="Z47" s="61"/>
      <c r="AA47" s="61"/>
      <c r="AB47" s="61"/>
      <c r="AC47" s="61"/>
      <c r="AD47" s="880" t="s">
        <v>636</v>
      </c>
    </row>
    <row r="48" spans="1:53" ht="12" customHeight="1" x14ac:dyDescent="0.3">
      <c r="B48" s="880" t="s">
        <v>679</v>
      </c>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880" t="s">
        <v>704</v>
      </c>
      <c r="AE48" s="876"/>
    </row>
    <row r="49" spans="2:50" x14ac:dyDescent="0.3">
      <c r="B49" s="880" t="s">
        <v>703</v>
      </c>
      <c r="C49" s="876"/>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880" t="s">
        <v>527</v>
      </c>
    </row>
    <row r="50" spans="2:50" ht="13" customHeight="1" x14ac:dyDescent="0.3">
      <c r="B50" s="880" t="s">
        <v>681</v>
      </c>
      <c r="C50" s="881"/>
      <c r="D50" s="96"/>
      <c r="E50" s="61"/>
      <c r="F50" s="61"/>
      <c r="G50" s="61"/>
      <c r="H50" s="61"/>
      <c r="I50" s="61"/>
      <c r="J50" s="61"/>
      <c r="K50" s="61"/>
      <c r="L50" s="61"/>
      <c r="M50" s="61"/>
      <c r="N50" s="61"/>
      <c r="O50" s="61"/>
      <c r="P50" s="61"/>
      <c r="Q50" s="61"/>
      <c r="R50" s="61"/>
      <c r="S50" s="61"/>
      <c r="T50" s="61"/>
      <c r="U50" s="61"/>
      <c r="V50" s="61"/>
      <c r="W50" s="1262"/>
      <c r="X50" s="1262"/>
      <c r="Y50" s="1262"/>
      <c r="Z50" s="1262"/>
      <c r="AA50" s="1262"/>
      <c r="AB50" s="1262"/>
      <c r="AC50" s="1262"/>
      <c r="AD50" s="1281"/>
      <c r="AE50" s="96"/>
      <c r="AF50" s="53"/>
      <c r="AG50" s="53"/>
      <c r="AH50" s="53"/>
      <c r="AI50" s="53"/>
      <c r="AJ50" s="53"/>
      <c r="AK50" s="53"/>
      <c r="AL50" s="53"/>
      <c r="AM50" s="53"/>
      <c r="AN50" s="53"/>
      <c r="AO50" s="53"/>
      <c r="AP50" s="53"/>
      <c r="AQ50" s="53"/>
      <c r="AR50" s="53"/>
      <c r="AS50" s="53"/>
      <c r="AT50" s="53"/>
      <c r="AU50" s="53"/>
      <c r="AV50" s="53"/>
      <c r="AW50" s="53"/>
      <c r="AX50" s="53"/>
    </row>
    <row r="51" spans="2:50" ht="12" customHeight="1" x14ac:dyDescent="0.3">
      <c r="D51" s="96"/>
      <c r="E51" s="61"/>
      <c r="F51" s="61"/>
      <c r="G51" s="61"/>
      <c r="H51" s="61"/>
      <c r="I51" s="61"/>
      <c r="J51" s="61"/>
      <c r="K51" s="61"/>
      <c r="L51" s="61"/>
      <c r="M51" s="61"/>
      <c r="N51" s="61"/>
      <c r="O51" s="61"/>
      <c r="P51" s="61"/>
      <c r="Q51" s="61"/>
      <c r="R51" s="61"/>
      <c r="S51" s="61"/>
      <c r="T51" s="61"/>
      <c r="U51" s="61"/>
      <c r="V51" s="61"/>
      <c r="W51" s="1262"/>
      <c r="X51" s="1262"/>
      <c r="Y51" s="1262"/>
      <c r="Z51" s="1262"/>
      <c r="AA51" s="1262"/>
      <c r="AB51" s="1262"/>
      <c r="AC51" s="1262"/>
      <c r="AD51" s="1281"/>
      <c r="AE51" s="97"/>
      <c r="AF51" s="53"/>
      <c r="AG51" s="53"/>
      <c r="AH51" s="53"/>
      <c r="AI51" s="53"/>
      <c r="AJ51" s="53"/>
      <c r="AK51" s="53"/>
      <c r="AL51" s="53"/>
      <c r="AM51" s="53"/>
      <c r="AN51" s="53"/>
      <c r="AO51" s="53"/>
      <c r="AP51" s="53"/>
      <c r="AQ51" s="53"/>
      <c r="AR51" s="53"/>
      <c r="AS51" s="53"/>
      <c r="AT51" s="53"/>
      <c r="AU51" s="53"/>
      <c r="AV51" s="53"/>
      <c r="AW51" s="53"/>
      <c r="AX51" s="53"/>
    </row>
    <row r="52" spans="2:50" ht="12" customHeight="1" x14ac:dyDescent="0.3">
      <c r="B52" s="1281"/>
      <c r="C52" s="97"/>
      <c r="D52" s="61"/>
      <c r="E52" s="61"/>
      <c r="F52" s="61"/>
      <c r="G52" s="61"/>
      <c r="H52" s="61"/>
      <c r="I52" s="61"/>
      <c r="J52" s="61"/>
      <c r="K52" s="61"/>
      <c r="L52" s="61"/>
      <c r="M52" s="61"/>
      <c r="N52" s="61"/>
      <c r="O52" s="61"/>
      <c r="P52" s="61"/>
      <c r="Q52" s="61"/>
      <c r="R52" s="61"/>
      <c r="S52" s="61"/>
      <c r="T52" s="61"/>
      <c r="U52" s="61"/>
      <c r="V52" s="61"/>
      <c r="W52" s="1263"/>
      <c r="X52" s="1974"/>
      <c r="Y52" s="1974"/>
      <c r="Z52" s="1974"/>
      <c r="AA52" s="1974"/>
      <c r="AB52" s="1278"/>
      <c r="AC52" s="1278"/>
      <c r="AD52" s="1281"/>
      <c r="AE52" s="97"/>
      <c r="AF52" s="1974"/>
      <c r="AG52" s="1974"/>
      <c r="AH52" s="1974"/>
      <c r="AI52" s="1974"/>
      <c r="AJ52" s="1490"/>
      <c r="AK52" s="1490"/>
      <c r="AL52" s="1497"/>
      <c r="AM52" s="1490"/>
      <c r="AN52" s="1490"/>
      <c r="AO52" s="1497"/>
      <c r="AP52" s="53"/>
      <c r="AQ52" s="1974"/>
      <c r="AR52" s="1974"/>
      <c r="AS52" s="1974"/>
      <c r="AT52" s="1974"/>
      <c r="AU52" s="1974"/>
      <c r="AV52" s="53"/>
      <c r="AW52" s="1228"/>
      <c r="AX52" s="1228"/>
    </row>
    <row r="53" spans="2:50" x14ac:dyDescent="0.3">
      <c r="W53" s="53"/>
      <c r="X53" s="1228"/>
      <c r="Y53" s="1228"/>
      <c r="Z53" s="1228"/>
      <c r="AA53" s="1228"/>
      <c r="AB53" s="1228"/>
      <c r="AC53" s="1228"/>
      <c r="AF53" s="1228"/>
      <c r="AG53" s="1228"/>
      <c r="AH53" s="1228"/>
      <c r="AI53" s="1228"/>
      <c r="AJ53" s="1228"/>
      <c r="AK53" s="1228"/>
      <c r="AL53" s="1228"/>
      <c r="AM53" s="1228"/>
      <c r="AN53" s="1228"/>
      <c r="AO53" s="1228"/>
      <c r="AP53" s="53"/>
      <c r="AQ53" s="1228"/>
      <c r="AR53" s="1228"/>
      <c r="AS53" s="1228"/>
      <c r="AT53" s="1228"/>
      <c r="AU53" s="1228"/>
      <c r="AV53" s="53"/>
      <c r="AW53" s="1228"/>
      <c r="AX53" s="1228"/>
    </row>
    <row r="54" spans="2:50" x14ac:dyDescent="0.3">
      <c r="W54" s="53"/>
      <c r="X54" s="1264"/>
      <c r="Y54" s="1264"/>
      <c r="Z54" s="1264"/>
      <c r="AA54" s="1265"/>
      <c r="AB54" s="1265"/>
      <c r="AC54" s="1265"/>
      <c r="AF54" s="1264"/>
      <c r="AG54" s="1264"/>
      <c r="AH54" s="1264"/>
      <c r="AI54" s="1265"/>
      <c r="AJ54" s="1265"/>
      <c r="AK54" s="1265"/>
      <c r="AL54" s="1265"/>
      <c r="AM54" s="1265"/>
      <c r="AN54" s="1265"/>
      <c r="AO54" s="1265"/>
      <c r="AP54" s="53"/>
      <c r="AQ54" s="1264"/>
      <c r="AR54" s="1264"/>
      <c r="AS54" s="1264"/>
      <c r="AT54" s="1264"/>
      <c r="AU54" s="1265"/>
      <c r="AV54" s="53"/>
      <c r="AW54" s="1266"/>
      <c r="AX54" s="1267"/>
    </row>
    <row r="55" spans="2:50" x14ac:dyDescent="0.3">
      <c r="F55" s="943"/>
      <c r="W55" s="53"/>
      <c r="X55" s="1264"/>
      <c r="Y55" s="1264"/>
      <c r="Z55" s="1264"/>
      <c r="AA55" s="1265"/>
      <c r="AB55" s="1265"/>
      <c r="AC55" s="1265"/>
      <c r="AF55" s="1264"/>
      <c r="AG55" s="1264"/>
      <c r="AH55" s="1264"/>
      <c r="AI55" s="1265"/>
      <c r="AJ55" s="1265"/>
      <c r="AK55" s="1265"/>
      <c r="AL55" s="1265"/>
      <c r="AM55" s="1265"/>
      <c r="AN55" s="1265"/>
      <c r="AO55" s="1265"/>
      <c r="AP55" s="53"/>
      <c r="AQ55" s="1264"/>
      <c r="AR55" s="1264"/>
      <c r="AS55" s="1264"/>
      <c r="AT55" s="1264"/>
      <c r="AU55" s="1265"/>
      <c r="AV55" s="53"/>
      <c r="AW55" s="1266"/>
      <c r="AX55" s="1267"/>
    </row>
    <row r="56" spans="2:50" x14ac:dyDescent="0.3">
      <c r="W56" s="53"/>
      <c r="X56" s="1264"/>
      <c r="Y56" s="1264"/>
      <c r="Z56" s="1264"/>
      <c r="AA56" s="1265"/>
      <c r="AB56" s="1265"/>
      <c r="AC56" s="1265"/>
      <c r="AF56" s="1264"/>
      <c r="AG56" s="1264"/>
      <c r="AH56" s="1264"/>
      <c r="AI56" s="1265"/>
      <c r="AJ56" s="1265"/>
      <c r="AK56" s="1265"/>
      <c r="AL56" s="1265"/>
      <c r="AM56" s="1265"/>
      <c r="AN56" s="1265"/>
      <c r="AO56" s="1265"/>
      <c r="AP56" s="53"/>
      <c r="AQ56" s="1264"/>
      <c r="AR56" s="1264"/>
      <c r="AS56" s="1264"/>
      <c r="AT56" s="1264"/>
      <c r="AU56" s="1265"/>
      <c r="AV56" s="53"/>
      <c r="AW56" s="1266"/>
      <c r="AX56" s="1267"/>
    </row>
    <row r="57" spans="2:50" x14ac:dyDescent="0.3">
      <c r="W57" s="53"/>
      <c r="X57" s="1264"/>
      <c r="Y57" s="1264"/>
      <c r="Z57" s="1264"/>
      <c r="AA57" s="1265"/>
      <c r="AB57" s="1265"/>
      <c r="AC57" s="1265"/>
      <c r="AF57" s="1264"/>
      <c r="AG57" s="1264"/>
      <c r="AH57" s="1264"/>
      <c r="AI57" s="1265"/>
      <c r="AJ57" s="1265"/>
      <c r="AK57" s="1265"/>
      <c r="AL57" s="1265"/>
      <c r="AM57" s="1265"/>
      <c r="AN57" s="1265"/>
      <c r="AO57" s="1265"/>
      <c r="AP57" s="53"/>
      <c r="AQ57" s="1264"/>
      <c r="AR57" s="1264"/>
      <c r="AS57" s="1264"/>
      <c r="AT57" s="1264"/>
      <c r="AU57" s="1265"/>
      <c r="AV57" s="53"/>
      <c r="AW57" s="1266"/>
      <c r="AX57" s="1267"/>
    </row>
    <row r="58" spans="2:50" x14ac:dyDescent="0.3">
      <c r="W58" s="1268"/>
      <c r="X58" s="1264"/>
      <c r="Y58" s="1264"/>
      <c r="Z58" s="1264"/>
      <c r="AA58" s="1265"/>
      <c r="AB58" s="1265"/>
      <c r="AC58" s="1265"/>
      <c r="AF58" s="1264"/>
      <c r="AG58" s="1264"/>
      <c r="AH58" s="1264"/>
      <c r="AI58" s="1265"/>
      <c r="AJ58" s="1265"/>
      <c r="AK58" s="1265"/>
      <c r="AL58" s="1265"/>
      <c r="AM58" s="1265"/>
      <c r="AN58" s="1265"/>
      <c r="AO58" s="1265"/>
      <c r="AP58" s="53"/>
      <c r="AQ58" s="1264"/>
      <c r="AR58" s="1264"/>
      <c r="AS58" s="1264"/>
      <c r="AT58" s="1264"/>
      <c r="AU58" s="1265"/>
      <c r="AV58" s="53"/>
      <c r="AW58" s="1266"/>
      <c r="AX58" s="1267"/>
    </row>
    <row r="59" spans="2:50" x14ac:dyDescent="0.3">
      <c r="W59" s="53"/>
      <c r="X59" s="1264"/>
      <c r="Y59" s="1264"/>
      <c r="Z59" s="1264"/>
      <c r="AA59" s="1265"/>
      <c r="AB59" s="1265"/>
      <c r="AC59" s="1265"/>
      <c r="AF59" s="1264"/>
      <c r="AG59" s="1264"/>
      <c r="AH59" s="1264"/>
      <c r="AI59" s="1265"/>
      <c r="AJ59" s="1265"/>
      <c r="AK59" s="1265"/>
      <c r="AL59" s="1265"/>
      <c r="AM59" s="1265"/>
      <c r="AN59" s="1265"/>
      <c r="AO59" s="1265"/>
      <c r="AP59" s="53"/>
      <c r="AQ59" s="1264"/>
      <c r="AR59" s="1264"/>
      <c r="AS59" s="1264"/>
      <c r="AT59" s="1264"/>
      <c r="AU59" s="1265"/>
      <c r="AV59" s="53"/>
      <c r="AW59" s="1269"/>
      <c r="AX59" s="1270"/>
    </row>
    <row r="60" spans="2:50" x14ac:dyDescent="0.3">
      <c r="W60" s="53"/>
      <c r="X60" s="53"/>
      <c r="Y60" s="53"/>
      <c r="Z60" s="53"/>
      <c r="AA60" s="53"/>
      <c r="AB60" s="53"/>
      <c r="AC60" s="53"/>
      <c r="AF60" s="53"/>
      <c r="AG60" s="53"/>
      <c r="AH60" s="53"/>
      <c r="AI60" s="53"/>
      <c r="AJ60" s="53"/>
      <c r="AK60" s="53"/>
      <c r="AL60" s="53"/>
      <c r="AM60" s="53"/>
      <c r="AN60" s="53"/>
      <c r="AO60" s="53"/>
      <c r="AP60" s="53"/>
      <c r="AQ60" s="53"/>
      <c r="AR60" s="53"/>
      <c r="AS60" s="53"/>
      <c r="AT60" s="53"/>
      <c r="AU60" s="53"/>
      <c r="AV60" s="53"/>
      <c r="AW60" s="53"/>
      <c r="AX60" s="53"/>
    </row>
    <row r="61" spans="2:50" x14ac:dyDescent="0.3">
      <c r="W61" s="1268"/>
      <c r="X61" s="53"/>
      <c r="Y61" s="53"/>
      <c r="Z61" s="1271"/>
      <c r="AA61" s="53"/>
      <c r="AB61" s="53"/>
      <c r="AC61" s="53"/>
      <c r="AF61" s="53"/>
      <c r="AG61" s="53"/>
      <c r="AH61" s="53"/>
      <c r="AI61" s="53"/>
      <c r="AJ61" s="53"/>
      <c r="AK61" s="53"/>
      <c r="AL61" s="53"/>
      <c r="AM61" s="53"/>
      <c r="AN61" s="53"/>
      <c r="AO61" s="53"/>
      <c r="AP61" s="53"/>
      <c r="AQ61" s="53"/>
      <c r="AR61" s="53"/>
      <c r="AS61" s="53"/>
      <c r="AT61" s="53"/>
      <c r="AU61" s="53"/>
      <c r="AV61" s="53"/>
      <c r="AW61" s="53"/>
      <c r="AX61" s="53"/>
    </row>
    <row r="62" spans="2:50" x14ac:dyDescent="0.3">
      <c r="W62" s="53"/>
      <c r="X62" s="53"/>
      <c r="Y62" s="53"/>
      <c r="Z62" s="1271"/>
      <c r="AA62" s="53"/>
      <c r="AB62" s="53"/>
      <c r="AC62" s="53"/>
      <c r="AF62" s="53"/>
      <c r="AG62" s="53"/>
      <c r="AH62" s="53"/>
      <c r="AI62" s="53"/>
      <c r="AJ62" s="53"/>
      <c r="AK62" s="53"/>
      <c r="AL62" s="53"/>
      <c r="AM62" s="53"/>
      <c r="AN62" s="53"/>
      <c r="AO62" s="53"/>
      <c r="AP62" s="53"/>
      <c r="AQ62" s="53"/>
      <c r="AR62" s="53"/>
      <c r="AS62" s="53"/>
      <c r="AT62" s="53"/>
      <c r="AU62" s="53"/>
      <c r="AV62" s="53"/>
      <c r="AW62" s="53"/>
      <c r="AX62" s="53"/>
    </row>
    <row r="63" spans="2:50" x14ac:dyDescent="0.3">
      <c r="W63" s="1263"/>
      <c r="X63" s="1974"/>
      <c r="Y63" s="1974"/>
      <c r="Z63" s="1974"/>
      <c r="AA63" s="1974"/>
      <c r="AB63" s="1278"/>
      <c r="AC63" s="1278"/>
      <c r="AF63" s="1974"/>
      <c r="AG63" s="1974"/>
      <c r="AH63" s="1974"/>
      <c r="AI63" s="1974"/>
      <c r="AJ63" s="1490"/>
      <c r="AK63" s="1490"/>
      <c r="AL63" s="1497"/>
      <c r="AM63" s="1490"/>
      <c r="AN63" s="1490"/>
      <c r="AO63" s="1497"/>
      <c r="AP63" s="53"/>
      <c r="AQ63" s="1974"/>
      <c r="AR63" s="1974"/>
      <c r="AS63" s="1974"/>
      <c r="AT63" s="1974"/>
      <c r="AU63" s="1974"/>
      <c r="AV63" s="53"/>
      <c r="AW63" s="1228"/>
      <c r="AX63" s="1228"/>
    </row>
    <row r="64" spans="2:50" x14ac:dyDescent="0.3">
      <c r="W64" s="53"/>
      <c r="X64" s="1228"/>
      <c r="Y64" s="1228"/>
      <c r="Z64" s="1228"/>
      <c r="AA64" s="1228"/>
      <c r="AB64" s="1228"/>
      <c r="AC64" s="1228"/>
      <c r="AF64" s="1228"/>
      <c r="AG64" s="1228"/>
      <c r="AH64" s="1228"/>
      <c r="AI64" s="1228"/>
      <c r="AJ64" s="1228"/>
      <c r="AK64" s="1228"/>
      <c r="AL64" s="1228"/>
      <c r="AM64" s="1228"/>
      <c r="AN64" s="1228"/>
      <c r="AO64" s="1228"/>
      <c r="AP64" s="53"/>
      <c r="AQ64" s="1228"/>
      <c r="AR64" s="1228"/>
      <c r="AS64" s="1228"/>
      <c r="AT64" s="1228"/>
      <c r="AU64" s="1228"/>
      <c r="AV64" s="53"/>
      <c r="AW64" s="1228"/>
      <c r="AX64" s="1228"/>
    </row>
    <row r="65" spans="23:50" x14ac:dyDescent="0.3">
      <c r="W65" s="53"/>
      <c r="X65" s="1264"/>
      <c r="Y65" s="1264"/>
      <c r="Z65" s="1264"/>
      <c r="AA65" s="1265"/>
      <c r="AB65" s="1265"/>
      <c r="AC65" s="1265"/>
      <c r="AF65" s="1264"/>
      <c r="AG65" s="1264"/>
      <c r="AH65" s="1264"/>
      <c r="AI65" s="1265"/>
      <c r="AJ65" s="1265"/>
      <c r="AK65" s="1265"/>
      <c r="AL65" s="1265"/>
      <c r="AM65" s="1265"/>
      <c r="AN65" s="1265"/>
      <c r="AO65" s="1265"/>
      <c r="AP65" s="53"/>
      <c r="AQ65" s="1264"/>
      <c r="AR65" s="1264"/>
      <c r="AS65" s="1264"/>
      <c r="AT65" s="1264"/>
      <c r="AU65" s="1265"/>
      <c r="AV65" s="53"/>
      <c r="AW65" s="1272"/>
      <c r="AX65" s="1267"/>
    </row>
    <row r="66" spans="23:50" x14ac:dyDescent="0.3">
      <c r="W66" s="53"/>
      <c r="X66" s="1264"/>
      <c r="Y66" s="1264"/>
      <c r="Z66" s="1264"/>
      <c r="AA66" s="1265"/>
      <c r="AB66" s="1265"/>
      <c r="AC66" s="1265"/>
      <c r="AF66" s="1264"/>
      <c r="AG66" s="1264"/>
      <c r="AH66" s="1264"/>
      <c r="AI66" s="1265"/>
      <c r="AJ66" s="1265"/>
      <c r="AK66" s="1265"/>
      <c r="AL66" s="1265"/>
      <c r="AM66" s="1265"/>
      <c r="AN66" s="1265"/>
      <c r="AO66" s="1265"/>
      <c r="AP66" s="53"/>
      <c r="AQ66" s="1264"/>
      <c r="AR66" s="1264"/>
      <c r="AS66" s="1264"/>
      <c r="AT66" s="1264"/>
      <c r="AU66" s="1265"/>
      <c r="AV66" s="53"/>
      <c r="AW66" s="1272"/>
      <c r="AX66" s="1267"/>
    </row>
    <row r="67" spans="23:50" x14ac:dyDescent="0.3">
      <c r="W67" s="53"/>
      <c r="X67" s="1264"/>
      <c r="Y67" s="1264"/>
      <c r="Z67" s="1264"/>
      <c r="AA67" s="1265"/>
      <c r="AB67" s="1265"/>
      <c r="AC67" s="1265"/>
      <c r="AF67" s="1264"/>
      <c r="AG67" s="1264"/>
      <c r="AH67" s="1264"/>
      <c r="AI67" s="1265"/>
      <c r="AJ67" s="1265"/>
      <c r="AK67" s="1265"/>
      <c r="AL67" s="1265"/>
      <c r="AM67" s="1265"/>
      <c r="AN67" s="1265"/>
      <c r="AO67" s="1265"/>
      <c r="AP67" s="53"/>
      <c r="AQ67" s="1264"/>
      <c r="AR67" s="1264"/>
      <c r="AS67" s="1264"/>
      <c r="AT67" s="1264"/>
      <c r="AU67" s="1265"/>
      <c r="AV67" s="53"/>
      <c r="AW67" s="1272"/>
      <c r="AX67" s="1267"/>
    </row>
    <row r="68" spans="23:50" x14ac:dyDescent="0.3">
      <c r="W68" s="53"/>
      <c r="X68" s="1264"/>
      <c r="Y68" s="1264"/>
      <c r="Z68" s="1264"/>
      <c r="AA68" s="1265"/>
      <c r="AB68" s="1265"/>
      <c r="AC68" s="1265"/>
      <c r="AF68" s="1264"/>
      <c r="AG68" s="1264"/>
      <c r="AH68" s="1264"/>
      <c r="AI68" s="1265"/>
      <c r="AJ68" s="1265"/>
      <c r="AK68" s="1265"/>
      <c r="AL68" s="1265"/>
      <c r="AM68" s="1265"/>
      <c r="AN68" s="1265"/>
      <c r="AO68" s="1265"/>
      <c r="AP68" s="53"/>
      <c r="AQ68" s="1264"/>
      <c r="AR68" s="1264"/>
      <c r="AS68" s="1264"/>
      <c r="AT68" s="1264"/>
      <c r="AU68" s="1265"/>
      <c r="AV68" s="53"/>
      <c r="AW68" s="1272"/>
      <c r="AX68" s="1267"/>
    </row>
    <row r="69" spans="23:50" x14ac:dyDescent="0.3">
      <c r="W69" s="1268"/>
      <c r="X69" s="1264"/>
      <c r="Y69" s="1264"/>
      <c r="Z69" s="1264"/>
      <c r="AA69" s="1265"/>
      <c r="AB69" s="1265"/>
      <c r="AC69" s="1265"/>
      <c r="AF69" s="1264"/>
      <c r="AG69" s="1264"/>
      <c r="AH69" s="1264"/>
      <c r="AI69" s="1265"/>
      <c r="AJ69" s="1265"/>
      <c r="AK69" s="1265"/>
      <c r="AL69" s="1265"/>
      <c r="AM69" s="1265"/>
      <c r="AN69" s="1265"/>
      <c r="AO69" s="1265"/>
      <c r="AP69" s="53"/>
      <c r="AQ69" s="1264"/>
      <c r="AR69" s="1264"/>
      <c r="AS69" s="1264"/>
      <c r="AT69" s="1264"/>
      <c r="AU69" s="1265"/>
      <c r="AV69" s="53"/>
      <c r="AW69" s="1272"/>
      <c r="AX69" s="1267"/>
    </row>
    <row r="70" spans="23:50" x14ac:dyDescent="0.3">
      <c r="W70" s="53"/>
      <c r="X70" s="1264"/>
      <c r="Y70" s="1264"/>
      <c r="Z70" s="1264"/>
      <c r="AA70" s="1265"/>
      <c r="AB70" s="1265"/>
      <c r="AC70" s="1265"/>
      <c r="AF70" s="1264"/>
      <c r="AG70" s="1264"/>
      <c r="AH70" s="1264"/>
      <c r="AI70" s="1265"/>
      <c r="AJ70" s="1265"/>
      <c r="AK70" s="1265"/>
      <c r="AL70" s="1265"/>
      <c r="AM70" s="1265"/>
      <c r="AN70" s="1265"/>
      <c r="AO70" s="1265"/>
      <c r="AP70" s="53"/>
      <c r="AQ70" s="1264"/>
      <c r="AR70" s="1264"/>
      <c r="AS70" s="1264"/>
      <c r="AT70" s="1264"/>
      <c r="AU70" s="1265"/>
      <c r="AV70" s="53"/>
      <c r="AW70" s="1272"/>
      <c r="AX70" s="1270"/>
    </row>
    <row r="71" spans="23:50" x14ac:dyDescent="0.3">
      <c r="W71" s="53"/>
      <c r="X71" s="53"/>
      <c r="Y71" s="53"/>
      <c r="Z71" s="1271"/>
      <c r="AA71" s="53"/>
      <c r="AB71" s="53"/>
      <c r="AC71" s="53"/>
      <c r="AF71" s="53"/>
      <c r="AG71" s="1271"/>
      <c r="AH71" s="1271"/>
      <c r="AI71" s="53"/>
      <c r="AJ71" s="53"/>
      <c r="AK71" s="53"/>
      <c r="AL71" s="53"/>
      <c r="AM71" s="53"/>
      <c r="AN71" s="53"/>
      <c r="AO71" s="53"/>
      <c r="AP71" s="53"/>
      <c r="AQ71" s="53"/>
      <c r="AR71" s="53"/>
      <c r="AS71" s="53"/>
      <c r="AT71" s="53"/>
      <c r="AU71" s="53"/>
      <c r="AV71" s="53"/>
      <c r="AW71" s="53"/>
      <c r="AX71" s="53"/>
    </row>
    <row r="72" spans="23:50" x14ac:dyDescent="0.3">
      <c r="W72" s="1268"/>
      <c r="X72" s="53"/>
      <c r="Y72" s="53"/>
      <c r="Z72" s="1271"/>
      <c r="AA72" s="53"/>
      <c r="AB72" s="53"/>
      <c r="AC72" s="53"/>
      <c r="AF72" s="53"/>
      <c r="AG72" s="53"/>
      <c r="AH72" s="1271"/>
      <c r="AI72" s="53"/>
      <c r="AJ72" s="53"/>
      <c r="AK72" s="53"/>
      <c r="AL72" s="53"/>
      <c r="AM72" s="53"/>
      <c r="AN72" s="53"/>
      <c r="AO72" s="53"/>
      <c r="AP72" s="53"/>
      <c r="AQ72" s="53"/>
      <c r="AR72" s="53"/>
      <c r="AS72" s="53"/>
      <c r="AT72" s="53"/>
      <c r="AU72" s="53"/>
      <c r="AV72" s="53"/>
      <c r="AW72" s="53"/>
      <c r="AX72" s="53"/>
    </row>
    <row r="73" spans="23:50" x14ac:dyDescent="0.3">
      <c r="W73" s="53"/>
      <c r="X73" s="53"/>
      <c r="Y73" s="53"/>
      <c r="Z73" s="53"/>
      <c r="AA73" s="53"/>
      <c r="AB73" s="53"/>
      <c r="AC73" s="53"/>
      <c r="AF73" s="53"/>
      <c r="AG73" s="53"/>
      <c r="AH73" s="53"/>
      <c r="AI73" s="53"/>
      <c r="AJ73" s="53"/>
      <c r="AK73" s="53"/>
      <c r="AL73" s="53"/>
      <c r="AM73" s="53"/>
      <c r="AN73" s="53"/>
      <c r="AO73" s="53"/>
      <c r="AP73" s="53"/>
      <c r="AQ73" s="53"/>
      <c r="AR73" s="53"/>
      <c r="AS73" s="53"/>
      <c r="AT73" s="53"/>
      <c r="AU73" s="53"/>
      <c r="AV73" s="53"/>
      <c r="AW73" s="53"/>
      <c r="AX73" s="53"/>
    </row>
  </sheetData>
  <mergeCells count="29">
    <mergeCell ref="X63:AA63"/>
    <mergeCell ref="AF63:AI63"/>
    <mergeCell ref="AQ63:AU63"/>
    <mergeCell ref="AS12:AV12"/>
    <mergeCell ref="AY12:BA12"/>
    <mergeCell ref="X52:AA52"/>
    <mergeCell ref="AF52:AI52"/>
    <mergeCell ref="AQ52:AU52"/>
    <mergeCell ref="AM12:AO12"/>
    <mergeCell ref="AP12:AR12"/>
    <mergeCell ref="AJ12:AL12"/>
    <mergeCell ref="F12:G12"/>
    <mergeCell ref="H12:I12"/>
    <mergeCell ref="S12:V12"/>
    <mergeCell ref="Y12:AA12"/>
    <mergeCell ref="AH12:AI12"/>
    <mergeCell ref="J12:L12"/>
    <mergeCell ref="M12:O12"/>
    <mergeCell ref="P12:R12"/>
    <mergeCell ref="D11:AA11"/>
    <mergeCell ref="AF11:BA11"/>
    <mergeCell ref="X1:Z1"/>
    <mergeCell ref="AX1:AZ1"/>
    <mergeCell ref="X2:X3"/>
    <mergeCell ref="Y2:Y3"/>
    <mergeCell ref="Z2:Z3"/>
    <mergeCell ref="AX2:AX3"/>
    <mergeCell ref="AY2:AY3"/>
    <mergeCell ref="AZ2:AZ3"/>
  </mergeCells>
  <printOptions verticalCentered="1"/>
  <pageMargins left="0.25" right="0.25" top="0.5" bottom="0.5" header="0.25" footer="0.25"/>
  <pageSetup scale="38" orientation="landscape" r:id="rId1"/>
  <headerFooter alignWithMargins="0">
    <oddHeader>&amp;RUG 388 - NW Natural/2500
Wyman/WP02</oddHeader>
    <oddFooter xml:space="preserve">&amp;C&amp;F &amp;D &amp;T
&amp;A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CF7B-50F3-4A02-9E18-3C0848606ECB}">
  <sheetPr>
    <tabColor rgb="FFFFFFCC"/>
    <pageSetUpPr fitToPage="1"/>
  </sheetPr>
  <dimension ref="A1:BE73"/>
  <sheetViews>
    <sheetView workbookViewId="0"/>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hidden="1" customWidth="1"/>
    <col min="5" max="6" width="16.296875" style="51" hidden="1" customWidth="1"/>
    <col min="7" max="7" width="12.19921875" style="51" hidden="1" customWidth="1"/>
    <col min="8" max="8" width="16.296875" style="51" hidden="1" customWidth="1"/>
    <col min="9" max="9" width="12.19921875" style="51" hidden="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hidden="1" customWidth="1"/>
    <col min="18" max="18" width="14.296875" style="51" hidden="1" customWidth="1" outlineLevel="1"/>
    <col min="19" max="19" width="17.296875" style="51" hidden="1" customWidth="1" collapsed="1"/>
    <col min="20" max="20" width="12.19921875" style="51" hidden="1" customWidth="1"/>
    <col min="21" max="21" width="15.796875" style="51" hidden="1" customWidth="1"/>
    <col min="22" max="22" width="12.19921875" style="51" hidden="1" customWidth="1"/>
    <col min="23" max="23" width="17.5" style="51" hidden="1" customWidth="1"/>
    <col min="24" max="24" width="20.5" style="51" hidden="1" customWidth="1"/>
    <col min="25" max="25" width="17.5" style="51" hidden="1" customWidth="1"/>
    <col min="26" max="26" width="12.69921875" style="51" hidden="1" customWidth="1"/>
    <col min="27" max="27" width="11.19921875" style="51" hidden="1" customWidth="1"/>
    <col min="28" max="31" width="11.19921875" style="51" customWidth="1"/>
    <col min="32" max="33" width="3.19921875" style="51" customWidth="1"/>
    <col min="34" max="34" width="7.69921875" style="51" customWidth="1"/>
    <col min="35" max="35" width="11.296875" style="51" bestFit="1" customWidth="1"/>
    <col min="36" max="36" width="17.19921875" style="51" hidden="1" customWidth="1"/>
    <col min="37" max="37" width="16.296875" style="51" hidden="1" customWidth="1"/>
    <col min="38" max="38" width="17.296875" style="51" hidden="1" customWidth="1"/>
    <col min="39" max="39" width="18.5" style="51" hidden="1" customWidth="1"/>
    <col min="40" max="41" width="14.296875" style="51" customWidth="1"/>
    <col min="42" max="42" width="14.296875" style="51" customWidth="1" outlineLevel="1"/>
    <col min="43" max="44" width="14.296875" style="51" customWidth="1"/>
    <col min="45" max="45" width="14.296875" style="51" customWidth="1" outlineLevel="1"/>
    <col min="46" max="47" width="14.19921875" style="51" customWidth="1"/>
    <col min="48" max="48" width="14.19921875" style="51" customWidth="1" outlineLevel="1"/>
    <col min="49" max="50" width="14.19921875" style="51" hidden="1" customWidth="1"/>
    <col min="51" max="51" width="14.69921875" style="51" hidden="1" customWidth="1"/>
    <col min="52" max="52" width="13.19921875" style="51" hidden="1" customWidth="1"/>
    <col min="53" max="54" width="17.19921875" style="51" hidden="1" customWidth="1"/>
    <col min="55" max="55" width="12.69921875" style="51" hidden="1" customWidth="1"/>
    <col min="56" max="57" width="11" style="51" hidden="1" customWidth="1"/>
    <col min="58" max="58" width="3.19921875" style="51" customWidth="1"/>
    <col min="59" max="59" width="4.69921875" style="51" customWidth="1"/>
    <col min="60" max="16384" width="9.296875" style="51"/>
  </cols>
  <sheetData>
    <row r="1" spans="2:57" x14ac:dyDescent="0.3">
      <c r="B1" s="873" t="s">
        <v>0</v>
      </c>
      <c r="C1" s="62"/>
      <c r="D1" s="62"/>
      <c r="E1" s="62"/>
      <c r="F1" s="62"/>
      <c r="G1" s="62"/>
      <c r="H1" s="62"/>
      <c r="I1" s="62"/>
      <c r="J1" s="62"/>
      <c r="K1" s="62"/>
      <c r="L1" s="62"/>
      <c r="M1" s="62"/>
      <c r="N1" s="62"/>
      <c r="O1" s="62"/>
      <c r="P1" s="62"/>
      <c r="Q1" s="62"/>
      <c r="R1" s="62"/>
      <c r="S1" s="62"/>
      <c r="T1" s="62"/>
      <c r="U1" s="62"/>
      <c r="V1" s="62"/>
      <c r="W1" s="1247"/>
      <c r="X1" s="1938"/>
      <c r="Y1" s="1938"/>
      <c r="Z1" s="1938"/>
      <c r="AH1" s="873" t="s">
        <v>0</v>
      </c>
      <c r="AI1" s="62"/>
      <c r="BA1" s="1247"/>
      <c r="BB1" s="1938"/>
      <c r="BC1" s="1938"/>
      <c r="BD1" s="1938"/>
      <c r="BE1" s="53"/>
    </row>
    <row r="2" spans="2:57" x14ac:dyDescent="0.3">
      <c r="B2" s="873" t="s">
        <v>656</v>
      </c>
      <c r="C2" s="62"/>
      <c r="D2" s="62"/>
      <c r="E2" s="62"/>
      <c r="F2" s="62"/>
      <c r="G2" s="62"/>
      <c r="H2" s="62"/>
      <c r="I2" s="62"/>
      <c r="J2" s="62"/>
      <c r="K2" s="62"/>
      <c r="L2" s="62"/>
      <c r="M2" s="62"/>
      <c r="N2" s="62"/>
      <c r="O2" s="62"/>
      <c r="P2" s="62"/>
      <c r="Q2" s="62"/>
      <c r="R2" s="62"/>
      <c r="S2" s="62"/>
      <c r="T2" s="62"/>
      <c r="U2" s="62"/>
      <c r="V2" s="62"/>
      <c r="W2" s="333"/>
      <c r="X2" s="1939"/>
      <c r="Y2" s="1939"/>
      <c r="Z2" s="1939"/>
      <c r="AA2" s="55"/>
      <c r="AB2" s="55"/>
      <c r="AC2" s="55"/>
      <c r="AD2" s="55"/>
      <c r="AE2" s="55"/>
      <c r="AF2" s="55"/>
      <c r="AG2" s="55"/>
      <c r="AH2" s="873" t="s">
        <v>657</v>
      </c>
      <c r="AI2" s="62"/>
      <c r="AJ2" s="873"/>
      <c r="BA2" s="333"/>
      <c r="BB2" s="1939"/>
      <c r="BC2" s="1939"/>
      <c r="BD2" s="1939"/>
      <c r="BE2" s="53"/>
    </row>
    <row r="3" spans="2:57" x14ac:dyDescent="0.3">
      <c r="B3" s="873" t="s">
        <v>266</v>
      </c>
      <c r="C3" s="62"/>
      <c r="D3" s="62"/>
      <c r="E3" s="62"/>
      <c r="F3" s="62"/>
      <c r="G3" s="62"/>
      <c r="H3" s="62"/>
      <c r="I3" s="62"/>
      <c r="J3" s="62"/>
      <c r="K3" s="62"/>
      <c r="L3" s="62"/>
      <c r="M3" s="62"/>
      <c r="N3" s="62"/>
      <c r="O3" s="62"/>
      <c r="P3" s="62"/>
      <c r="Q3" s="62"/>
      <c r="R3" s="62"/>
      <c r="S3" s="62"/>
      <c r="T3" s="62"/>
      <c r="U3" s="62"/>
      <c r="V3" s="62"/>
      <c r="W3" s="54"/>
      <c r="X3" s="1939"/>
      <c r="Y3" s="1939"/>
      <c r="Z3" s="1939"/>
      <c r="AA3" s="55"/>
      <c r="AB3" s="55"/>
      <c r="AC3" s="55"/>
      <c r="AD3" s="55"/>
      <c r="AE3" s="55"/>
      <c r="AF3" s="55"/>
      <c r="AG3" s="55"/>
      <c r="AH3" s="873" t="s">
        <v>266</v>
      </c>
      <c r="AI3" s="62"/>
      <c r="AJ3" s="873"/>
      <c r="BA3" s="54"/>
      <c r="BB3" s="1939"/>
      <c r="BC3" s="1939"/>
      <c r="BD3" s="1939"/>
      <c r="BE3" s="53"/>
    </row>
    <row r="4" spans="2:57" x14ac:dyDescent="0.3">
      <c r="B4" s="873" t="s">
        <v>688</v>
      </c>
      <c r="C4" s="62"/>
      <c r="D4" s="62"/>
      <c r="E4" s="62"/>
      <c r="F4" s="62"/>
      <c r="G4" s="62"/>
      <c r="H4" s="62"/>
      <c r="I4" s="62"/>
      <c r="J4" s="62"/>
      <c r="K4" s="62"/>
      <c r="L4" s="62"/>
      <c r="M4" s="62"/>
      <c r="N4" s="62"/>
      <c r="O4" s="62"/>
      <c r="P4" s="62"/>
      <c r="Q4" s="62"/>
      <c r="R4" s="62"/>
      <c r="S4" s="62"/>
      <c r="T4" s="62"/>
      <c r="U4" s="62"/>
      <c r="V4" s="62"/>
      <c r="W4" s="54"/>
      <c r="X4" s="1248"/>
      <c r="Y4" s="1503"/>
      <c r="Z4" s="1248"/>
      <c r="AA4" s="55"/>
      <c r="AB4" s="55"/>
      <c r="AC4" s="55"/>
      <c r="AD4" s="55"/>
      <c r="AE4" s="55"/>
      <c r="AF4" s="55"/>
      <c r="AG4" s="55"/>
      <c r="AH4" s="873" t="s">
        <v>689</v>
      </c>
      <c r="AI4" s="62"/>
      <c r="AJ4" s="873"/>
      <c r="BA4" s="54"/>
      <c r="BB4" s="1273"/>
      <c r="BC4" s="1503"/>
      <c r="BD4" s="1273"/>
      <c r="BE4" s="53"/>
    </row>
    <row r="5" spans="2:57" x14ac:dyDescent="0.3">
      <c r="B5" s="873" t="s">
        <v>705</v>
      </c>
      <c r="C5" s="62"/>
      <c r="D5" s="62"/>
      <c r="E5" s="62"/>
      <c r="F5" s="62"/>
      <c r="G5" s="62"/>
      <c r="H5" s="62"/>
      <c r="I5" s="62"/>
      <c r="J5" s="62"/>
      <c r="K5" s="62"/>
      <c r="L5" s="62"/>
      <c r="M5" s="62"/>
      <c r="N5" s="62"/>
      <c r="O5" s="62"/>
      <c r="P5" s="62"/>
      <c r="Q5" s="62"/>
      <c r="R5" s="62"/>
      <c r="S5" s="62"/>
      <c r="T5" s="62"/>
      <c r="U5" s="62"/>
      <c r="V5" s="62"/>
      <c r="W5" s="54"/>
      <c r="X5" s="1248"/>
      <c r="Y5" s="1503"/>
      <c r="Z5" s="1248"/>
      <c r="AA5" s="55"/>
      <c r="AB5" s="55"/>
      <c r="AC5" s="55"/>
      <c r="AD5" s="55"/>
      <c r="AE5" s="55"/>
      <c r="AF5" s="55"/>
      <c r="AG5" s="55"/>
      <c r="AH5" s="873" t="s">
        <v>705</v>
      </c>
      <c r="AI5" s="62"/>
      <c r="AJ5" s="873"/>
      <c r="BA5" s="54"/>
      <c r="BB5" s="1273"/>
      <c r="BC5" s="1503"/>
      <c r="BD5" s="1273"/>
      <c r="BE5" s="53"/>
    </row>
    <row r="6" spans="2:57" x14ac:dyDescent="0.3">
      <c r="C6" s="62"/>
      <c r="D6" s="62"/>
      <c r="E6" s="62"/>
      <c r="F6" s="62"/>
      <c r="G6" s="62"/>
      <c r="H6" s="62"/>
      <c r="I6" s="62"/>
      <c r="J6" s="62"/>
      <c r="K6" s="62"/>
      <c r="L6" s="62"/>
      <c r="M6" s="62"/>
      <c r="N6" s="62"/>
      <c r="O6" s="62"/>
      <c r="P6" s="62"/>
      <c r="Q6" s="62"/>
      <c r="R6" s="62"/>
      <c r="S6" s="62"/>
      <c r="T6" s="62"/>
      <c r="U6" s="62"/>
      <c r="V6" s="62"/>
      <c r="W6" s="54"/>
      <c r="X6" s="1248"/>
      <c r="Y6" s="1503"/>
      <c r="Z6" s="1248"/>
      <c r="AA6" s="55"/>
      <c r="AB6" s="55"/>
      <c r="AC6" s="55"/>
      <c r="AD6" s="55"/>
      <c r="AE6" s="55"/>
      <c r="AF6" s="55"/>
      <c r="AG6" s="55"/>
      <c r="AI6" s="62"/>
      <c r="AJ6" s="873"/>
      <c r="BA6" s="54"/>
      <c r="BB6" s="1273"/>
      <c r="BC6" s="1503"/>
      <c r="BD6" s="1273"/>
      <c r="BE6" s="53"/>
    </row>
    <row r="7" spans="2:57" x14ac:dyDescent="0.3">
      <c r="B7" s="167" t="s">
        <v>509</v>
      </c>
      <c r="C7" s="62"/>
      <c r="D7" s="62"/>
      <c r="E7" s="62"/>
      <c r="F7" s="62"/>
      <c r="G7" s="62"/>
      <c r="H7" s="62"/>
      <c r="I7" s="62"/>
      <c r="J7" s="62"/>
      <c r="K7" s="62"/>
      <c r="L7" s="62"/>
      <c r="M7" s="62"/>
      <c r="N7" s="62"/>
      <c r="O7" s="62"/>
      <c r="P7" s="62"/>
      <c r="Q7" s="62"/>
      <c r="R7" s="62"/>
      <c r="S7" s="62"/>
      <c r="T7" s="62"/>
      <c r="U7" s="62"/>
      <c r="V7" s="62"/>
      <c r="W7" s="54"/>
      <c r="X7" s="1248"/>
      <c r="Y7" s="1503"/>
      <c r="Z7" s="1248"/>
      <c r="AA7" s="55"/>
      <c r="AB7" s="55"/>
      <c r="AC7" s="55"/>
      <c r="AD7" s="55"/>
      <c r="AE7" s="55"/>
      <c r="AF7" s="55"/>
      <c r="AG7" s="55"/>
      <c r="AH7" s="167" t="s">
        <v>510</v>
      </c>
      <c r="AI7" s="62"/>
      <c r="BA7" s="54"/>
      <c r="BB7" s="1274"/>
      <c r="BC7" s="1503"/>
      <c r="BD7" s="1273"/>
      <c r="BE7" s="53"/>
    </row>
    <row r="8" spans="2:57" x14ac:dyDescent="0.3">
      <c r="B8" s="593" t="s">
        <v>694</v>
      </c>
      <c r="C8" s="62"/>
      <c r="D8" s="62"/>
      <c r="E8" s="62"/>
      <c r="F8" s="62"/>
      <c r="G8" s="62"/>
      <c r="H8" s="62"/>
      <c r="I8" s="62"/>
      <c r="J8" s="62"/>
      <c r="K8" s="62"/>
      <c r="L8" s="62"/>
      <c r="M8" s="62"/>
      <c r="N8" s="62"/>
      <c r="O8" s="62"/>
      <c r="P8" s="62"/>
      <c r="Q8" s="62"/>
      <c r="R8" s="62"/>
      <c r="S8" s="62"/>
      <c r="T8" s="62"/>
      <c r="U8" s="62"/>
      <c r="V8" s="62"/>
      <c r="W8" s="54"/>
      <c r="X8" s="1248"/>
      <c r="Y8" s="1503"/>
      <c r="Z8" s="1248"/>
      <c r="AA8" s="55"/>
      <c r="AB8" s="55"/>
      <c r="AC8" s="55"/>
      <c r="AD8" s="55"/>
      <c r="AE8" s="55"/>
      <c r="AF8" s="55"/>
      <c r="AG8" s="55"/>
      <c r="AH8" s="593" t="s">
        <v>696</v>
      </c>
      <c r="AI8" s="62"/>
      <c r="BA8" s="54"/>
      <c r="BB8" s="1274"/>
      <c r="BC8" s="1503"/>
      <c r="BD8" s="1273"/>
      <c r="BE8" s="53"/>
    </row>
    <row r="9" spans="2:57" x14ac:dyDescent="0.3">
      <c r="B9" s="593" t="s">
        <v>695</v>
      </c>
      <c r="C9" s="62"/>
      <c r="D9" s="62"/>
      <c r="E9" s="62"/>
      <c r="F9" s="62"/>
      <c r="G9" s="62"/>
      <c r="H9" s="62"/>
      <c r="I9" s="62"/>
      <c r="J9" s="62"/>
      <c r="K9" s="62"/>
      <c r="L9" s="62"/>
      <c r="M9" s="62"/>
      <c r="N9" s="62"/>
      <c r="O9" s="62"/>
      <c r="P9" s="62"/>
      <c r="Q9" s="62"/>
      <c r="R9" s="62"/>
      <c r="S9" s="62"/>
      <c r="T9" s="62"/>
      <c r="U9" s="62"/>
      <c r="V9" s="62"/>
      <c r="W9" s="62"/>
      <c r="X9" s="62"/>
      <c r="Y9" s="64"/>
      <c r="AH9" s="593" t="s">
        <v>697</v>
      </c>
      <c r="AI9" s="62"/>
    </row>
    <row r="10" spans="2:57" ht="13.5" thickBot="1" x14ac:dyDescent="0.35">
      <c r="B10" s="593"/>
      <c r="C10" s="62"/>
      <c r="D10" s="62"/>
      <c r="E10" s="62"/>
      <c r="F10" s="62"/>
      <c r="G10" s="62"/>
      <c r="H10" s="62"/>
      <c r="I10" s="62"/>
      <c r="J10" s="62"/>
      <c r="K10" s="62"/>
      <c r="L10" s="62"/>
      <c r="M10" s="62"/>
      <c r="N10" s="62"/>
      <c r="O10" s="62"/>
      <c r="P10" s="62"/>
      <c r="Q10" s="62"/>
      <c r="R10" s="62"/>
      <c r="S10" s="62"/>
      <c r="T10" s="62"/>
      <c r="U10" s="62"/>
      <c r="V10" s="62"/>
      <c r="W10" s="62"/>
      <c r="X10" s="62"/>
      <c r="Y10" s="64"/>
      <c r="AH10" s="63"/>
      <c r="AI10" s="62"/>
    </row>
    <row r="11" spans="2:57" ht="13.5" thickBot="1" x14ac:dyDescent="0.35">
      <c r="B11" s="63"/>
      <c r="C11" s="62"/>
      <c r="E11" s="1541"/>
      <c r="F11" s="1541"/>
      <c r="G11" s="1541"/>
      <c r="H11" s="1541"/>
      <c r="I11" s="1541"/>
      <c r="J11" s="1945" t="s">
        <v>511</v>
      </c>
      <c r="K11" s="1946"/>
      <c r="L11" s="1946"/>
      <c r="M11" s="1946"/>
      <c r="N11" s="1946"/>
      <c r="O11" s="1947"/>
      <c r="P11" s="1541"/>
      <c r="Q11" s="1541"/>
      <c r="R11" s="1541"/>
      <c r="S11" s="1541"/>
      <c r="T11" s="1541"/>
      <c r="U11" s="1541"/>
      <c r="V11" s="1541"/>
      <c r="W11" s="1541"/>
      <c r="X11" s="1541"/>
      <c r="Y11" s="1541"/>
      <c r="Z11" s="1541"/>
      <c r="AA11" s="1542"/>
      <c r="AB11" s="1545"/>
      <c r="AC11" s="1545"/>
      <c r="AD11" s="1545"/>
      <c r="AE11" s="1545"/>
      <c r="AF11" s="1279"/>
      <c r="AG11" s="1280"/>
      <c r="AH11" s="63"/>
      <c r="AI11" s="62"/>
      <c r="AK11" s="1547"/>
      <c r="AL11" s="1547"/>
      <c r="AM11" s="1547"/>
      <c r="AN11" s="1966" t="s">
        <v>512</v>
      </c>
      <c r="AO11" s="1967"/>
      <c r="AP11" s="1967"/>
      <c r="AQ11" s="1967"/>
      <c r="AR11" s="1967"/>
      <c r="AS11" s="1967"/>
      <c r="AT11" s="1967"/>
      <c r="AU11" s="1967"/>
      <c r="AV11" s="1968"/>
      <c r="AW11" s="1547"/>
      <c r="AX11" s="1547"/>
      <c r="AY11" s="1547"/>
      <c r="AZ11" s="1547"/>
      <c r="BA11" s="1547"/>
      <c r="BB11" s="1547"/>
      <c r="BC11" s="1547"/>
      <c r="BD11" s="1547"/>
      <c r="BE11" s="1548"/>
    </row>
    <row r="12" spans="2:57" ht="13.5" customHeight="1" thickBot="1" x14ac:dyDescent="0.35">
      <c r="D12" s="1035"/>
      <c r="E12" s="1036"/>
      <c r="F12" s="1943" t="s">
        <v>172</v>
      </c>
      <c r="G12" s="1944"/>
      <c r="H12" s="1969" t="s">
        <v>385</v>
      </c>
      <c r="I12" s="1970"/>
      <c r="J12" s="1969" t="s">
        <v>692</v>
      </c>
      <c r="K12" s="1970"/>
      <c r="L12" s="1973"/>
      <c r="M12" s="1969" t="s">
        <v>693</v>
      </c>
      <c r="N12" s="1970"/>
      <c r="O12" s="1973"/>
      <c r="P12" s="1970" t="s">
        <v>664</v>
      </c>
      <c r="Q12" s="1970"/>
      <c r="R12" s="1973"/>
      <c r="S12" s="1971" t="s">
        <v>519</v>
      </c>
      <c r="T12" s="1971"/>
      <c r="U12" s="1971"/>
      <c r="V12" s="1972"/>
      <c r="W12" s="1037"/>
      <c r="X12" s="1037"/>
      <c r="Y12" s="1942" t="s">
        <v>192</v>
      </c>
      <c r="Z12" s="1943"/>
      <c r="AA12" s="1944"/>
      <c r="AB12" s="1275"/>
      <c r="AC12" s="1275"/>
      <c r="AD12" s="1275"/>
      <c r="AE12" s="1275"/>
      <c r="AF12" s="1275"/>
      <c r="AG12" s="1275"/>
      <c r="AJ12" s="52"/>
      <c r="AK12" s="53"/>
      <c r="AL12" s="1936" t="s">
        <v>172</v>
      </c>
      <c r="AM12" s="1885"/>
      <c r="AN12" s="1969" t="s">
        <v>692</v>
      </c>
      <c r="AO12" s="1970"/>
      <c r="AP12" s="1973"/>
      <c r="AQ12" s="1969" t="s">
        <v>693</v>
      </c>
      <c r="AR12" s="1970"/>
      <c r="AS12" s="1973"/>
      <c r="AT12" s="1969" t="s">
        <v>698</v>
      </c>
      <c r="AU12" s="1970"/>
      <c r="AV12" s="1973"/>
      <c r="AW12" s="1975" t="s">
        <v>520</v>
      </c>
      <c r="AX12" s="1975"/>
      <c r="AY12" s="1975"/>
      <c r="AZ12" s="1976"/>
      <c r="BA12" s="53"/>
      <c r="BB12" s="53"/>
      <c r="BC12" s="1942" t="s">
        <v>192</v>
      </c>
      <c r="BD12" s="1943"/>
      <c r="BE12" s="1944"/>
    </row>
    <row r="13" spans="2:57" ht="52" x14ac:dyDescent="0.3">
      <c r="B13" s="1249" t="s">
        <v>167</v>
      </c>
      <c r="C13" s="1245" t="s">
        <v>153</v>
      </c>
      <c r="D13" s="68" t="s">
        <v>200</v>
      </c>
      <c r="E13" s="68" t="s">
        <v>201</v>
      </c>
      <c r="F13" s="67" t="s">
        <v>194</v>
      </c>
      <c r="G13" s="69" t="s">
        <v>193</v>
      </c>
      <c r="H13" s="67" t="s">
        <v>405</v>
      </c>
      <c r="I13" s="68" t="s">
        <v>406</v>
      </c>
      <c r="J13" s="67" t="s">
        <v>463</v>
      </c>
      <c r="K13" s="65" t="s">
        <v>464</v>
      </c>
      <c r="L13" s="69" t="s">
        <v>683</v>
      </c>
      <c r="M13" s="67" t="s">
        <v>463</v>
      </c>
      <c r="N13" s="68" t="s">
        <v>464</v>
      </c>
      <c r="O13" s="69" t="s">
        <v>683</v>
      </c>
      <c r="P13" s="68" t="s">
        <v>470</v>
      </c>
      <c r="Q13" s="68" t="s">
        <v>666</v>
      </c>
      <c r="R13" s="69" t="s">
        <v>683</v>
      </c>
      <c r="S13" s="1333" t="s">
        <v>407</v>
      </c>
      <c r="T13" s="1333" t="s">
        <v>407</v>
      </c>
      <c r="U13" s="1333" t="s">
        <v>470</v>
      </c>
      <c r="V13" s="1334" t="s">
        <v>470</v>
      </c>
      <c r="W13" s="68" t="s">
        <v>195</v>
      </c>
      <c r="X13" s="68" t="s">
        <v>196</v>
      </c>
      <c r="Y13" s="67" t="s">
        <v>197</v>
      </c>
      <c r="Z13" s="68" t="s">
        <v>198</v>
      </c>
      <c r="AA13" s="69" t="s">
        <v>199</v>
      </c>
      <c r="AB13" s="68"/>
      <c r="AC13" s="68"/>
      <c r="AD13" s="68"/>
      <c r="AE13" s="68"/>
      <c r="AF13" s="68"/>
      <c r="AG13" s="68"/>
      <c r="AH13" s="1249" t="s">
        <v>167</v>
      </c>
      <c r="AI13" s="1250" t="s">
        <v>153</v>
      </c>
      <c r="AJ13" s="1048" t="s">
        <v>200</v>
      </c>
      <c r="AK13" s="65" t="s">
        <v>201</v>
      </c>
      <c r="AL13" s="67" t="s">
        <v>194</v>
      </c>
      <c r="AM13" s="68" t="s">
        <v>193</v>
      </c>
      <c r="AN13" s="67" t="s">
        <v>463</v>
      </c>
      <c r="AO13" s="68" t="s">
        <v>464</v>
      </c>
      <c r="AP13" s="69" t="s">
        <v>406</v>
      </c>
      <c r="AQ13" s="67" t="s">
        <v>463</v>
      </c>
      <c r="AR13" s="65" t="s">
        <v>464</v>
      </c>
      <c r="AS13" s="69" t="s">
        <v>406</v>
      </c>
      <c r="AT13" s="67" t="s">
        <v>465</v>
      </c>
      <c r="AU13" s="68" t="s">
        <v>464</v>
      </c>
      <c r="AV13" s="69" t="s">
        <v>406</v>
      </c>
      <c r="AW13" s="1517" t="s">
        <v>194</v>
      </c>
      <c r="AX13" s="1517" t="s">
        <v>193</v>
      </c>
      <c r="AY13" s="1506" t="s">
        <v>470</v>
      </c>
      <c r="AZ13" s="1352" t="s">
        <v>485</v>
      </c>
      <c r="BA13" s="65" t="s">
        <v>195</v>
      </c>
      <c r="BB13" s="65" t="s">
        <v>196</v>
      </c>
      <c r="BC13" s="67" t="s">
        <v>197</v>
      </c>
      <c r="BD13" s="68" t="s">
        <v>198</v>
      </c>
      <c r="BE13" s="69" t="s">
        <v>199</v>
      </c>
    </row>
    <row r="14" spans="2:57" x14ac:dyDescent="0.3">
      <c r="B14" s="1251"/>
      <c r="C14" s="73"/>
      <c r="D14" s="71"/>
      <c r="E14" s="71"/>
      <c r="F14" s="1282"/>
      <c r="G14" s="73"/>
      <c r="H14" s="1282"/>
      <c r="I14" s="71"/>
      <c r="J14" s="1282" t="s">
        <v>190</v>
      </c>
      <c r="K14" s="1151"/>
      <c r="L14" s="1151"/>
      <c r="M14" s="1282" t="s">
        <v>191</v>
      </c>
      <c r="N14" s="1151"/>
      <c r="O14" s="92"/>
      <c r="P14" s="1492"/>
      <c r="Q14" s="1151"/>
      <c r="R14" s="1540"/>
      <c r="S14" s="1335" t="s">
        <v>672</v>
      </c>
      <c r="T14" s="1335"/>
      <c r="U14" s="1335" t="s">
        <v>682</v>
      </c>
      <c r="V14" s="1336"/>
      <c r="W14" s="586" t="s">
        <v>674</v>
      </c>
      <c r="X14" s="586" t="s">
        <v>675</v>
      </c>
      <c r="Y14" s="587"/>
      <c r="Z14" s="586"/>
      <c r="AA14" s="73"/>
      <c r="AB14" s="68"/>
      <c r="AC14" s="68"/>
      <c r="AD14" s="68"/>
      <c r="AE14" s="68"/>
      <c r="AF14" s="68"/>
      <c r="AG14" s="68"/>
      <c r="AH14" s="1251"/>
      <c r="AI14" s="1252"/>
      <c r="AJ14" s="72"/>
      <c r="AK14" s="71"/>
      <c r="AL14" s="1282"/>
      <c r="AM14" s="71"/>
      <c r="AN14" s="1282" t="s">
        <v>190</v>
      </c>
      <c r="AO14" s="1151"/>
      <c r="AP14" s="92"/>
      <c r="AQ14" s="1282" t="s">
        <v>191</v>
      </c>
      <c r="AR14" s="1151"/>
      <c r="AS14" s="92"/>
      <c r="AT14" s="1282" t="s">
        <v>452</v>
      </c>
      <c r="AU14" s="71"/>
      <c r="AV14" s="73"/>
      <c r="AW14" s="1507"/>
      <c r="AX14" s="1507"/>
      <c r="AY14" s="1507"/>
      <c r="AZ14" s="1353"/>
      <c r="BA14" s="1494" t="s">
        <v>637</v>
      </c>
      <c r="BB14" s="1494" t="s">
        <v>638</v>
      </c>
      <c r="BC14" s="587"/>
      <c r="BD14" s="586"/>
      <c r="BE14" s="73"/>
    </row>
    <row r="15" spans="2:57" ht="13.5" thickBot="1" x14ac:dyDescent="0.35">
      <c r="B15" s="1253"/>
      <c r="C15" s="1362"/>
      <c r="D15" s="108" t="s">
        <v>35</v>
      </c>
      <c r="E15" s="108" t="s">
        <v>36</v>
      </c>
      <c r="F15" s="124" t="s">
        <v>13</v>
      </c>
      <c r="G15" s="125" t="s">
        <v>37</v>
      </c>
      <c r="H15" s="124" t="s">
        <v>38</v>
      </c>
      <c r="I15" s="108" t="s">
        <v>39</v>
      </c>
      <c r="J15" s="126" t="s">
        <v>35</v>
      </c>
      <c r="K15" s="1152" t="s">
        <v>36</v>
      </c>
      <c r="L15" s="1152" t="s">
        <v>13</v>
      </c>
      <c r="M15" s="126" t="s">
        <v>37</v>
      </c>
      <c r="N15" s="1152" t="s">
        <v>38</v>
      </c>
      <c r="O15" s="127" t="s">
        <v>39</v>
      </c>
      <c r="P15" s="1152" t="s">
        <v>125</v>
      </c>
      <c r="Q15" s="1152" t="s">
        <v>43</v>
      </c>
      <c r="R15" s="127"/>
      <c r="S15" s="1337" t="s">
        <v>126</v>
      </c>
      <c r="T15" s="1337" t="s">
        <v>127</v>
      </c>
      <c r="U15" s="1337" t="s">
        <v>128</v>
      </c>
      <c r="V15" s="1338" t="s">
        <v>129</v>
      </c>
      <c r="W15" s="108" t="s">
        <v>130</v>
      </c>
      <c r="X15" s="108" t="s">
        <v>86</v>
      </c>
      <c r="Y15" s="124" t="s">
        <v>89</v>
      </c>
      <c r="Z15" s="108" t="s">
        <v>90</v>
      </c>
      <c r="AA15" s="125" t="s">
        <v>91</v>
      </c>
      <c r="AB15" s="611"/>
      <c r="AC15" s="611"/>
      <c r="AD15" s="611"/>
      <c r="AE15" s="611"/>
      <c r="AF15" s="611"/>
      <c r="AG15" s="611"/>
      <c r="AH15" s="1253"/>
      <c r="AI15" s="1254"/>
      <c r="AJ15" s="124" t="s">
        <v>35</v>
      </c>
      <c r="AK15" s="108" t="s">
        <v>36</v>
      </c>
      <c r="AL15" s="124" t="s">
        <v>13</v>
      </c>
      <c r="AM15" s="108" t="s">
        <v>37</v>
      </c>
      <c r="AN15" s="126" t="s">
        <v>35</v>
      </c>
      <c r="AO15" s="1152" t="s">
        <v>36</v>
      </c>
      <c r="AP15" s="127" t="s">
        <v>13</v>
      </c>
      <c r="AQ15" s="126" t="s">
        <v>37</v>
      </c>
      <c r="AR15" s="1152" t="s">
        <v>38</v>
      </c>
      <c r="AS15" s="125" t="s">
        <v>39</v>
      </c>
      <c r="AT15" s="124" t="s">
        <v>40</v>
      </c>
      <c r="AU15" s="108" t="s">
        <v>41</v>
      </c>
      <c r="AV15" s="125" t="s">
        <v>42</v>
      </c>
      <c r="AW15" s="1508"/>
      <c r="AX15" s="1508"/>
      <c r="AY15" s="1508" t="s">
        <v>125</v>
      </c>
      <c r="AZ15" s="1354" t="s">
        <v>43</v>
      </c>
      <c r="BA15" s="108" t="s">
        <v>126</v>
      </c>
      <c r="BB15" s="108" t="s">
        <v>127</v>
      </c>
      <c r="BC15" s="124" t="s">
        <v>128</v>
      </c>
      <c r="BD15" s="108" t="s">
        <v>129</v>
      </c>
      <c r="BE15" s="125" t="s">
        <v>130</v>
      </c>
    </row>
    <row r="16" spans="2:57" ht="18" customHeight="1" thickTop="1" x14ac:dyDescent="0.3">
      <c r="B16" s="279"/>
      <c r="C16" s="69"/>
      <c r="D16" s="77"/>
      <c r="E16" s="77"/>
      <c r="F16" s="93"/>
      <c r="G16" s="69"/>
      <c r="H16" s="52"/>
      <c r="I16" s="68"/>
      <c r="J16" s="52"/>
      <c r="K16" s="53"/>
      <c r="L16" s="53"/>
      <c r="M16" s="52"/>
      <c r="N16" s="53"/>
      <c r="O16" s="86"/>
      <c r="P16" s="53"/>
      <c r="Q16" s="53"/>
      <c r="R16" s="86"/>
      <c r="S16" s="1339"/>
      <c r="T16" s="1339"/>
      <c r="U16" s="1339"/>
      <c r="V16" s="1340"/>
      <c r="W16" s="77"/>
      <c r="X16" s="77"/>
      <c r="Y16" s="67"/>
      <c r="Z16" s="68"/>
      <c r="AA16" s="69"/>
      <c r="AB16" s="68"/>
      <c r="AC16" s="68"/>
      <c r="AD16" s="68"/>
      <c r="AE16" s="68"/>
      <c r="AF16" s="68"/>
      <c r="AG16" s="68"/>
      <c r="AH16" s="279"/>
      <c r="AI16" s="1255"/>
      <c r="AJ16" s="93"/>
      <c r="AK16" s="77"/>
      <c r="AL16" s="93"/>
      <c r="AM16" s="68"/>
      <c r="AN16" s="67"/>
      <c r="AO16" s="68"/>
      <c r="AP16" s="69"/>
      <c r="AQ16" s="67"/>
      <c r="AR16" s="68"/>
      <c r="AS16" s="69"/>
      <c r="AT16" s="52"/>
      <c r="AU16" s="68"/>
      <c r="AV16" s="69"/>
      <c r="AW16" s="1509"/>
      <c r="AX16" s="1509"/>
      <c r="AY16" s="1509"/>
      <c r="AZ16" s="1355"/>
      <c r="BA16" s="77"/>
      <c r="BB16" s="77"/>
      <c r="BC16" s="67"/>
      <c r="BD16" s="68"/>
      <c r="BE16" s="69"/>
    </row>
    <row r="17" spans="2:57" x14ac:dyDescent="0.3">
      <c r="B17" s="279">
        <v>1</v>
      </c>
      <c r="C17" s="1363" t="s">
        <v>268</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-3493.237344759551</v>
      </c>
      <c r="K17" s="83">
        <f>IFERROR((J17/SUM(E17,F17,H17)),0)</f>
        <v>-1.1430767352291264E-2</v>
      </c>
      <c r="L17" s="83">
        <f>IFERROR((J17/SUM(D17,F17)),0)</f>
        <v>-1.5024847551606187E-2</v>
      </c>
      <c r="M17" s="95">
        <f>SUM('Temps Proof'!Y14:AA14)</f>
        <v>-1857.1913357203514</v>
      </c>
      <c r="N17" s="83">
        <f>IFERROR((M17/SUM(E17,F17,H17)),0)</f>
        <v>-6.0772057527547288E-3</v>
      </c>
      <c r="O17" s="84">
        <f>IFERROR((M17/SUM(D17,F17)),0)</f>
        <v>-7.9880105298951159E-3</v>
      </c>
      <c r="P17" s="1153">
        <f>SUM('Temps Proof'!AE14:AG14)</f>
        <v>654.84781201700252</v>
      </c>
      <c r="Q17" s="83">
        <f>IFERROR((P17/SUM(E17,F17,H17)),0)</f>
        <v>2.1428297740927081E-3</v>
      </c>
      <c r="R17" s="84">
        <f>IFERROR((P17/SUM(D17,F17)),0)</f>
        <v>2.8165817475352718E-3</v>
      </c>
      <c r="S17" s="1539">
        <f>SUM(F17,H17)</f>
        <v>21908.416635480309</v>
      </c>
      <c r="T17" s="1341">
        <f>IFERROR((S17/D17),0)</f>
        <v>0.10500828126660205</v>
      </c>
      <c r="U17" s="1342">
        <f>SUM(F17,H17,J17,M17,P17)</f>
        <v>17212.835767017408</v>
      </c>
      <c r="V17" s="1343">
        <f>IFERROR((U17/E17),0)</f>
        <v>6.0674564053321327E-2</v>
      </c>
      <c r="W17" s="80">
        <f>D17+S17</f>
        <v>230543.5487528964</v>
      </c>
      <c r="X17" s="80">
        <f>E17+U17</f>
        <v>300903.96788443351</v>
      </c>
      <c r="Y17" s="82">
        <f t="shared" ref="Y17:Z39" si="0">IFERROR((W17-D17)/D17,0)</f>
        <v>0.10500828126660201</v>
      </c>
      <c r="Z17" s="83">
        <f t="shared" si="0"/>
        <v>6.067456405332125E-2</v>
      </c>
      <c r="AA17" s="84">
        <f>'Avg Bill by RS'!AK14</f>
        <v>0.13600000000000001</v>
      </c>
      <c r="AB17" s="83"/>
      <c r="AC17" s="83"/>
      <c r="AD17" s="83"/>
      <c r="AE17" s="83"/>
      <c r="AF17" s="83"/>
      <c r="AG17" s="83"/>
      <c r="AH17" s="279">
        <v>1</v>
      </c>
      <c r="AI17" s="1256" t="s">
        <v>268</v>
      </c>
      <c r="AJ17" s="1049">
        <f>'Rate Impacts - Rev Req ONLY'!N17</f>
        <v>230543.5487528964</v>
      </c>
      <c r="AK17" s="80">
        <f>'Rate Impacts - Rev Req ONLY'!O17</f>
        <v>305599.54875289643</v>
      </c>
      <c r="AL17" s="94">
        <f>SUM('Rev Req Proof Yr2'!AF14:AH14)</f>
        <v>13236.513970769913</v>
      </c>
      <c r="AM17" s="83">
        <f>IFERROR((AL17/AJ17),0)</f>
        <v>5.7414375905860682E-2</v>
      </c>
      <c r="AN17" s="94">
        <f>SUM('Temps Proof'!AI14:AK14)</f>
        <v>-3493.237344759551</v>
      </c>
      <c r="AO17" s="83">
        <f>IFERROR((AN17/SUM(AK17,AL17)),0)</f>
        <v>-1.0956217797066209E-2</v>
      </c>
      <c r="AP17" s="84">
        <f>IFERROR((AN17/SUM(AJ17,AL17)),0)</f>
        <v>-1.4329462818783768E-2</v>
      </c>
      <c r="AQ17" s="94">
        <f>SUM('Temps Proof'!AM14:AO14)</f>
        <v>-1861.4854197335778</v>
      </c>
      <c r="AR17" s="83">
        <f>IFERROR((AQ17/SUM(AK17,AL17)),0)</f>
        <v>-5.8383778918601132E-3</v>
      </c>
      <c r="AS17" s="84">
        <f>IFERROR((AQ17/SUM(AJ17,AL17)),0)</f>
        <v>-7.6359214897882772E-3</v>
      </c>
      <c r="AT17" s="94">
        <f>SUM('Temps Proof'!AQ14:AS14)</f>
        <v>-188.93969658195482</v>
      </c>
      <c r="AU17" s="83">
        <f>IFERROR((AT17/SUM(AK17,AL17)),0)</f>
        <v>-5.9259198902386384E-4</v>
      </c>
      <c r="AV17" s="84">
        <f>IFERROR((AT17/SUM(AJ17,AL17)),0)</f>
        <v>-7.7504162756789887E-4</v>
      </c>
      <c r="AW17" s="1510">
        <f>AL17</f>
        <v>13236.513970769913</v>
      </c>
      <c r="AX17" s="1514">
        <f>AM17</f>
        <v>5.7414375905860682E-2</v>
      </c>
      <c r="AY17" s="1510">
        <f>AL17+AN17+AQ17+AT17-(J17+M17+P17)</f>
        <v>12388.432378157728</v>
      </c>
      <c r="AZ17" s="1356">
        <f>IFERROR((AY17/AK17),0)</f>
        <v>4.0538123922999776E-2</v>
      </c>
      <c r="BA17" s="80">
        <f>AJ17+AL17</f>
        <v>243780.06272366631</v>
      </c>
      <c r="BB17" s="80">
        <f t="shared" ref="BB17:BB39" si="1">AK17+AY17</f>
        <v>317987.98113105417</v>
      </c>
      <c r="BC17" s="82">
        <f t="shared" ref="BC17:BD39" si="2">IFERROR((BA17-AJ17)/AJ17,0)</f>
        <v>5.7414375905860682E-2</v>
      </c>
      <c r="BD17" s="83">
        <f t="shared" si="2"/>
        <v>4.0538123922999818E-2</v>
      </c>
      <c r="BE17" s="84">
        <f>'Avg Bill by RS'!BG14</f>
        <v>0.15</v>
      </c>
    </row>
    <row r="18" spans="2:57" x14ac:dyDescent="0.3">
      <c r="B18" s="279">
        <v>2</v>
      </c>
      <c r="C18" s="767" t="s">
        <v>269</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3">IFERROR((H18/D18),0)</f>
        <v>-9.3562309582469836E-3</v>
      </c>
      <c r="J18" s="95">
        <f>SUM('Temps Proof'!W15:Y15)</f>
        <v>-630.13883373504575</v>
      </c>
      <c r="K18" s="83">
        <f t="shared" ref="K18:K39" si="4">IFERROR((J18/SUM(E18,F18,H18)),0)</f>
        <v>-1.0898243481089301E-2</v>
      </c>
      <c r="L18" s="83">
        <f t="shared" ref="L18:L39" si="5">IFERROR((J18/SUM(D18,F18)),0)</f>
        <v>-1.5037298777972261E-2</v>
      </c>
      <c r="M18" s="95">
        <f>SUM('Temps Proof'!Y15:AA15)</f>
        <v>-335.08121143961074</v>
      </c>
      <c r="N18" s="83">
        <f t="shared" ref="N18:N39" si="6">IFERROR((M18/SUM(E18,F18,H18)),0)</f>
        <v>-5.7952254847742218E-3</v>
      </c>
      <c r="O18" s="84">
        <f t="shared" ref="O18:O39" si="7">IFERROR((M18/SUM(D18,F18)),0)</f>
        <v>-7.9962002364401975E-3</v>
      </c>
      <c r="P18" s="1153">
        <f>SUM('Temps Proof'!AE15:AG15)</f>
        <v>118.20920514675159</v>
      </c>
      <c r="Q18" s="83">
        <f t="shared" ref="Q18:Q39" si="8">IFERROR((P18/SUM(E18,F18,H18)),0)</f>
        <v>2.0444267682397954E-3</v>
      </c>
      <c r="R18" s="84">
        <f t="shared" ref="R18:R39" si="9">IFERROR((P18/SUM(D18,F18)),0)</f>
        <v>2.8208817500775148E-3</v>
      </c>
      <c r="S18" s="1539">
        <f t="shared" ref="S18:S38" si="10">SUM(F18,H18)</f>
        <v>3948.8389987015212</v>
      </c>
      <c r="T18" s="1341">
        <f t="shared" ref="T18:T39" si="11">IFERROR((S18/D18),0)</f>
        <v>0.10501007894275873</v>
      </c>
      <c r="U18" s="1342">
        <f t="shared" ref="U18:U39" si="12">SUM(F18,H18,J18,M18,P18)</f>
        <v>3101.8281586736161</v>
      </c>
      <c r="V18" s="1343">
        <f t="shared" ref="V18:V39" si="13">IFERROR((U18/E18),0)</f>
        <v>5.7578404550798476E-2</v>
      </c>
      <c r="W18" s="80">
        <f t="shared" ref="W18:W39" si="14">D18+S18</f>
        <v>41553.219820603801</v>
      </c>
      <c r="X18" s="80">
        <f t="shared" ref="X18:X39" si="15">E18+U18</f>
        <v>56973.208980575902</v>
      </c>
      <c r="Y18" s="82">
        <f t="shared" si="0"/>
        <v>0.10501007894275864</v>
      </c>
      <c r="Z18" s="83">
        <f t="shared" si="0"/>
        <v>5.7578404550798531E-2</v>
      </c>
      <c r="AA18" s="84">
        <f>'Avg Bill by RS'!AK15</f>
        <v>0.14299999999999999</v>
      </c>
      <c r="AB18" s="83"/>
      <c r="AC18" s="83"/>
      <c r="AD18" s="83"/>
      <c r="AE18" s="83"/>
      <c r="AF18" s="83"/>
      <c r="AG18" s="83"/>
      <c r="AH18" s="279">
        <v>2</v>
      </c>
      <c r="AI18" s="1257" t="s">
        <v>269</v>
      </c>
      <c r="AJ18" s="1049">
        <f>'Rate Impacts - Rev Req ONLY'!N18</f>
        <v>41553.219820603801</v>
      </c>
      <c r="AK18" s="80">
        <f>'Rate Impacts - Rev Req ONLY'!O18</f>
        <v>57820.219820603801</v>
      </c>
      <c r="AL18" s="94">
        <f>SUM('Rev Req Proof Yr2'!AF15:AH15)</f>
        <v>2385.5920692214495</v>
      </c>
      <c r="AM18" s="83">
        <f>IFERROR((AL18/AJ18),0)</f>
        <v>5.7410522686826171E-2</v>
      </c>
      <c r="AN18" s="94">
        <f>SUM('Temps Proof'!AI15:AK15)</f>
        <v>-630.13883373504575</v>
      </c>
      <c r="AO18" s="83">
        <f t="shared" ref="AO18:AO39" si="16">IFERROR((AN18/SUM(AK18,AL18)),0)</f>
        <v>-1.0466412028263651E-2</v>
      </c>
      <c r="AP18" s="84">
        <f t="shared" ref="AP18:AP39" si="17">IFERROR((AN18/SUM(AJ18,AL18)),0)</f>
        <v>-1.4341280672656619E-2</v>
      </c>
      <c r="AQ18" s="94">
        <f>SUM('Temps Proof'!AM15:AO15)</f>
        <v>-335.08121143961074</v>
      </c>
      <c r="AR18" s="83">
        <f t="shared" ref="AR18:AR39" si="18">IFERROR((AQ18/SUM(AK18,AL18)),0)</f>
        <v>-5.5655957609673772E-3</v>
      </c>
      <c r="AS18" s="84">
        <f t="shared" ref="AS18:AS39" si="19">IFERROR((AQ18/SUM(AJ18,AL18)),0)</f>
        <v>-7.6260872114569909E-3</v>
      </c>
      <c r="AT18" s="94">
        <f>SUM('Temps Proof'!AQ15:AS15)</f>
        <v>-33.973511715404975</v>
      </c>
      <c r="AU18" s="83">
        <f t="shared" ref="AU18:AU39" si="20">IFERROR((AT18/SUM(AK18,AL18)),0)</f>
        <v>-5.6428957020919241E-4</v>
      </c>
      <c r="AV18" s="84">
        <f t="shared" ref="AV18:AV39" si="21">IFERROR((AT18/SUM(AJ18,AL18)),0)</f>
        <v>-7.7320050893938937E-4</v>
      </c>
      <c r="AW18" s="1510">
        <f t="shared" ref="AW18:AX39" si="22">AL18</f>
        <v>2385.5920692214495</v>
      </c>
      <c r="AX18" s="1514">
        <f t="shared" si="22"/>
        <v>5.7410522686826171E-2</v>
      </c>
      <c r="AY18" s="1510">
        <f t="shared" ref="AY18:AY39" si="23">AL18+AN18+AQ18+AT18-(J18+M18+P18)</f>
        <v>2233.4093523592928</v>
      </c>
      <c r="AZ18" s="1356">
        <f t="shared" ref="AZ18:AZ39" si="24">IFERROR((AY18/AK18),0)</f>
        <v>3.8626787640877042E-2</v>
      </c>
      <c r="BA18" s="80">
        <f t="shared" ref="BA18:BA39" si="25">AJ18+AL18</f>
        <v>43938.811889825251</v>
      </c>
      <c r="BB18" s="80">
        <f t="shared" si="1"/>
        <v>60053.62917296309</v>
      </c>
      <c r="BC18" s="82">
        <f t="shared" si="2"/>
        <v>5.7410522686826171E-2</v>
      </c>
      <c r="BD18" s="83">
        <f t="shared" si="2"/>
        <v>3.8626787640876979E-2</v>
      </c>
      <c r="BE18" s="84">
        <f>'Avg Bill by RS'!BG15</f>
        <v>0.16600000000000001</v>
      </c>
    </row>
    <row r="19" spans="2:57" x14ac:dyDescent="0.3">
      <c r="B19" s="279">
        <v>3</v>
      </c>
      <c r="C19" s="767" t="s">
        <v>12</v>
      </c>
      <c r="D19" s="79">
        <f>'Rate Impacts - Rev Req ONLY'!D19</f>
        <v>33798099.589697547</v>
      </c>
      <c r="E19" s="80">
        <f>'Rate Impacts - Rev Req ONLY'!E19</f>
        <v>53008197.589697547</v>
      </c>
      <c r="F19" s="94">
        <f>SUM('Rev Req Proof Yr1'!AF16:AH16)</f>
        <v>3865430.3003228158</v>
      </c>
      <c r="G19" s="84">
        <f t="shared" ref="G19:G34" si="26">IFERROR((F19/D19),0)</f>
        <v>0.11436827357894079</v>
      </c>
      <c r="H19" s="94">
        <f>SUM('Rev Req Proof Yr1'!AM16:AO16)</f>
        <v>-316532.25092208461</v>
      </c>
      <c r="I19" s="83">
        <f t="shared" si="3"/>
        <v>-9.3653860650369548E-3</v>
      </c>
      <c r="J19" s="95">
        <f>SUM('Temps Proof'!W16:Y16)</f>
        <v>-566021.21258636657</v>
      </c>
      <c r="K19" s="83">
        <f t="shared" si="4"/>
        <v>-1.0007961091182209E-2</v>
      </c>
      <c r="L19" s="83">
        <f t="shared" si="5"/>
        <v>-1.50283633594403E-2</v>
      </c>
      <c r="M19" s="95">
        <f>SUM('Temps Proof'!Y16:AA16)</f>
        <v>-300595.73134441016</v>
      </c>
      <c r="N19" s="83">
        <f t="shared" si="6"/>
        <v>-5.3149074921132692E-3</v>
      </c>
      <c r="O19" s="84">
        <f t="shared" si="7"/>
        <v>-7.9810822889454791E-3</v>
      </c>
      <c r="P19" s="1153">
        <f>SUM('Temps Proof'!AE16:AG16)</f>
        <v>106060.28546521238</v>
      </c>
      <c r="Q19" s="83">
        <f t="shared" si="8"/>
        <v>1.8752781462118119E-3</v>
      </c>
      <c r="R19" s="84">
        <f t="shared" si="9"/>
        <v>2.81599429939027E-3</v>
      </c>
      <c r="S19" s="1539">
        <f>SUM(F19,H19)</f>
        <v>3548898.049400731</v>
      </c>
      <c r="T19" s="1341">
        <f t="shared" si="11"/>
        <v>0.10500288751390384</v>
      </c>
      <c r="U19" s="1342">
        <f t="shared" si="12"/>
        <v>2788341.3909351667</v>
      </c>
      <c r="V19" s="1343">
        <f t="shared" si="13"/>
        <v>5.2602078880665377E-2</v>
      </c>
      <c r="W19" s="80">
        <f t="shared" si="14"/>
        <v>37346997.639098279</v>
      </c>
      <c r="X19" s="80">
        <f t="shared" si="15"/>
        <v>55796538.980632715</v>
      </c>
      <c r="Y19" s="82">
        <f t="shared" si="0"/>
        <v>0.10500288751390387</v>
      </c>
      <c r="Z19" s="83">
        <f t="shared" si="0"/>
        <v>5.2602078880665398E-2</v>
      </c>
      <c r="AA19" s="84">
        <f>'Avg Bill by RS'!AK16</f>
        <v>0.157</v>
      </c>
      <c r="AB19" s="83"/>
      <c r="AC19" s="83"/>
      <c r="AD19" s="83"/>
      <c r="AE19" s="83"/>
      <c r="AF19" s="83"/>
      <c r="AG19" s="83"/>
      <c r="AH19" s="279">
        <v>3</v>
      </c>
      <c r="AI19" s="1257" t="s">
        <v>12</v>
      </c>
      <c r="AJ19" s="1049">
        <f>'Rate Impacts - Rev Req ONLY'!N19</f>
        <v>37346997.639098279</v>
      </c>
      <c r="AK19" s="80">
        <f>'Rate Impacts - Rev Req ONLY'!O19</f>
        <v>56557095.639098279</v>
      </c>
      <c r="AL19" s="94">
        <f>SUM('Rev Req Proof Yr2'!AF16:AH16)</f>
        <v>2144286.1859339848</v>
      </c>
      <c r="AM19" s="83">
        <f t="shared" ref="AM19:AM24" si="27">IFERROR((AL19/AJ19),0)</f>
        <v>5.7415222681492031E-2</v>
      </c>
      <c r="AN19" s="94">
        <f>SUM('Temps Proof'!AI16:AK16)</f>
        <v>-566021.21258636657</v>
      </c>
      <c r="AO19" s="83">
        <f t="shared" si="16"/>
        <v>-9.642383109029231E-3</v>
      </c>
      <c r="AP19" s="84">
        <f t="shared" si="17"/>
        <v>-1.433281366830581E-2</v>
      </c>
      <c r="AQ19" s="94">
        <f>SUM('Temps Proof'!AM16:AO16)</f>
        <v>-301694.80166011187</v>
      </c>
      <c r="AR19" s="83">
        <f t="shared" si="18"/>
        <v>-5.1394838124825702E-3</v>
      </c>
      <c r="AS19" s="84">
        <f t="shared" si="19"/>
        <v>-7.6395288387377559E-3</v>
      </c>
      <c r="AT19" s="94">
        <f>SUM('Temps Proof'!AQ16:AS16)</f>
        <v>-30773.96883964711</v>
      </c>
      <c r="AU19" s="83">
        <f t="shared" si="20"/>
        <v>-5.2424607194722023E-4</v>
      </c>
      <c r="AV19" s="84">
        <f t="shared" si="21"/>
        <v>-7.7925977225740313E-4</v>
      </c>
      <c r="AW19" s="1510">
        <f t="shared" si="22"/>
        <v>2144286.1859339848</v>
      </c>
      <c r="AX19" s="1514">
        <f t="shared" si="22"/>
        <v>5.7415222681492031E-2</v>
      </c>
      <c r="AY19" s="1510">
        <f t="shared" si="23"/>
        <v>2006352.8613134236</v>
      </c>
      <c r="AZ19" s="1356">
        <f t="shared" si="24"/>
        <v>3.5474821304763378E-2</v>
      </c>
      <c r="BA19" s="80">
        <f t="shared" si="25"/>
        <v>39491283.825032264</v>
      </c>
      <c r="BB19" s="80">
        <f t="shared" si="1"/>
        <v>58563448.500411704</v>
      </c>
      <c r="BC19" s="82">
        <f t="shared" si="2"/>
        <v>5.7415222681492031E-2</v>
      </c>
      <c r="BD19" s="83">
        <f t="shared" si="2"/>
        <v>3.5474821304763406E-2</v>
      </c>
      <c r="BE19" s="84">
        <f>'Avg Bill by RS'!BG16</f>
        <v>0.13800000000000001</v>
      </c>
    </row>
    <row r="20" spans="2:57" x14ac:dyDescent="0.3">
      <c r="B20" s="279">
        <v>4</v>
      </c>
      <c r="C20" s="767" t="s">
        <v>10</v>
      </c>
      <c r="D20" s="79">
        <f>'Rate Impacts - Rev Req ONLY'!D20</f>
        <v>9866168.0688334089</v>
      </c>
      <c r="E20" s="80">
        <f>'Rate Impacts - Rev Req ONLY'!E20</f>
        <v>16112007.068833409</v>
      </c>
      <c r="F20" s="94">
        <f>SUM('Rev Req Proof Yr1'!AF17:AH17)</f>
        <v>1128493.0219091931</v>
      </c>
      <c r="G20" s="84">
        <f t="shared" si="26"/>
        <v>0.11438007279381648</v>
      </c>
      <c r="H20" s="94">
        <f>SUM('Rev Req Proof Yr1'!AM17:AO17)</f>
        <v>-92373.478835822199</v>
      </c>
      <c r="I20" s="83">
        <f t="shared" si="3"/>
        <v>-9.3626500371125927E-3</v>
      </c>
      <c r="J20" s="95">
        <f>SUM('Temps Proof'!W17:Y17)</f>
        <v>-165093.02600444818</v>
      </c>
      <c r="K20" s="83">
        <f t="shared" si="4"/>
        <v>-9.6274671712428365E-3</v>
      </c>
      <c r="L20" s="83">
        <f t="shared" si="5"/>
        <v>-1.5015744882164207E-2</v>
      </c>
      <c r="M20" s="95">
        <f>SUM('Temps Proof'!Y17:AA17)</f>
        <v>-87728.004078121274</v>
      </c>
      <c r="N20" s="83">
        <f t="shared" si="6"/>
        <v>-5.1158943518184331E-3</v>
      </c>
      <c r="O20" s="84">
        <f t="shared" si="7"/>
        <v>-7.9791458194184255E-3</v>
      </c>
      <c r="P20" s="1153">
        <f>SUM('Temps Proof'!AE17:AG17)</f>
        <v>30910.274349317679</v>
      </c>
      <c r="Q20" s="83">
        <f t="shared" si="8"/>
        <v>1.802545260416678E-3</v>
      </c>
      <c r="R20" s="84">
        <f t="shared" si="9"/>
        <v>2.8113894638684069E-3</v>
      </c>
      <c r="S20" s="1539">
        <f t="shared" si="10"/>
        <v>1036119.5430733709</v>
      </c>
      <c r="T20" s="1341">
        <f t="shared" si="11"/>
        <v>0.10501742275670389</v>
      </c>
      <c r="U20" s="1342">
        <f t="shared" si="12"/>
        <v>814208.78734011913</v>
      </c>
      <c r="V20" s="1343">
        <f t="shared" si="13"/>
        <v>5.0534286874482609E-2</v>
      </c>
      <c r="W20" s="80">
        <f t="shared" si="14"/>
        <v>10902287.61190678</v>
      </c>
      <c r="X20" s="80">
        <f t="shared" si="15"/>
        <v>16926215.856173526</v>
      </c>
      <c r="Y20" s="82">
        <f t="shared" si="0"/>
        <v>0.10501742275670391</v>
      </c>
      <c r="Z20" s="83">
        <f t="shared" si="0"/>
        <v>5.0534286874482512E-2</v>
      </c>
      <c r="AA20" s="84">
        <f>'Avg Bill by RS'!AK17</f>
        <v>0.16200000000000001</v>
      </c>
      <c r="AB20" s="83"/>
      <c r="AC20" s="83"/>
      <c r="AD20" s="83"/>
      <c r="AE20" s="83"/>
      <c r="AF20" s="83"/>
      <c r="AG20" s="83"/>
      <c r="AH20" s="279">
        <v>4</v>
      </c>
      <c r="AI20" s="1257" t="s">
        <v>10</v>
      </c>
      <c r="AJ20" s="1049">
        <f>'Rate Impacts - Rev Req ONLY'!N20</f>
        <v>10902287.61190678</v>
      </c>
      <c r="AK20" s="80">
        <f>'Rate Impacts - Rev Req ONLY'!O20</f>
        <v>17148126.611906782</v>
      </c>
      <c r="AL20" s="94">
        <f>SUM('Rev Req Proof Yr2'!AF17:AH17)</f>
        <v>625888.38754716702</v>
      </c>
      <c r="AM20" s="83">
        <f t="shared" si="27"/>
        <v>5.7408904426958229E-2</v>
      </c>
      <c r="AN20" s="94">
        <f>SUM('Temps Proof'!AI17:AK17)</f>
        <v>-165093.02600444818</v>
      </c>
      <c r="AO20" s="83">
        <f t="shared" si="16"/>
        <v>-9.2884486712495832E-3</v>
      </c>
      <c r="AP20" s="84">
        <f t="shared" si="17"/>
        <v>-1.4320828031448176E-2</v>
      </c>
      <c r="AQ20" s="94">
        <f>SUM('Temps Proof'!AM17:AO17)</f>
        <v>-88085.348290252121</v>
      </c>
      <c r="AR20" s="83">
        <f t="shared" si="18"/>
        <v>-4.9558497780584901E-3</v>
      </c>
      <c r="AS20" s="84">
        <f t="shared" si="19"/>
        <v>-7.6408746964328478E-3</v>
      </c>
      <c r="AT20" s="94">
        <f>SUM('Temps Proof'!AQ17:AS17)</f>
        <v>-8933.6053032710042</v>
      </c>
      <c r="AU20" s="83">
        <f t="shared" si="20"/>
        <v>-5.0262168134467434E-4</v>
      </c>
      <c r="AV20" s="84">
        <f t="shared" si="21"/>
        <v>-7.7493658178832113E-4</v>
      </c>
      <c r="AW20" s="1510">
        <f t="shared" si="22"/>
        <v>625888.38754716702</v>
      </c>
      <c r="AX20" s="1514">
        <f t="shared" si="22"/>
        <v>5.7408904426958229E-2</v>
      </c>
      <c r="AY20" s="1510">
        <f t="shared" si="23"/>
        <v>585687.16368244751</v>
      </c>
      <c r="AZ20" s="1356">
        <f t="shared" si="24"/>
        <v>3.4154585917028177E-2</v>
      </c>
      <c r="BA20" s="80">
        <f t="shared" si="25"/>
        <v>11528175.999453947</v>
      </c>
      <c r="BB20" s="80">
        <f t="shared" si="1"/>
        <v>17733813.775589228</v>
      </c>
      <c r="BC20" s="82">
        <f t="shared" si="2"/>
        <v>5.7408904426958229E-2</v>
      </c>
      <c r="BD20" s="83">
        <f t="shared" si="2"/>
        <v>3.4154585917028087E-2</v>
      </c>
      <c r="BE20" s="84">
        <f>'Avg Bill by RS'!BG17</f>
        <v>0.20399999999999999</v>
      </c>
    </row>
    <row r="21" spans="2:57" x14ac:dyDescent="0.3">
      <c r="B21" s="279">
        <v>5</v>
      </c>
      <c r="C21" s="767" t="s">
        <v>11</v>
      </c>
      <c r="D21" s="79">
        <f>'Rate Impacts - Rev Req ONLY'!D21</f>
        <v>141888.72505190157</v>
      </c>
      <c r="E21" s="80">
        <f>'Rate Impacts - Rev Req ONLY'!E21</f>
        <v>241043.72505190157</v>
      </c>
      <c r="F21" s="94">
        <f>SUM('Rev Req Proof Yr1'!AF18:AH18)</f>
        <v>16227.730920000002</v>
      </c>
      <c r="G21" s="84">
        <f t="shared" si="26"/>
        <v>0.11436941810608313</v>
      </c>
      <c r="H21" s="94">
        <f>SUM('Rev Req Proof Yr1'!AM18:AO18)</f>
        <v>-1330.3278799999996</v>
      </c>
      <c r="I21" s="83">
        <f t="shared" si="3"/>
        <v>-9.3758533633548271E-3</v>
      </c>
      <c r="J21" s="95">
        <f>SUM('Temps Proof'!W18:Y18)</f>
        <v>0</v>
      </c>
      <c r="K21" s="83">
        <f t="shared" si="4"/>
        <v>0</v>
      </c>
      <c r="L21" s="83">
        <f t="shared" si="5"/>
        <v>0</v>
      </c>
      <c r="M21" s="95">
        <f>SUM('Temps Proof'!Y18:AA18)</f>
        <v>-1262.2513999999996</v>
      </c>
      <c r="N21" s="83">
        <f t="shared" si="6"/>
        <v>-4.9318036902094107E-3</v>
      </c>
      <c r="O21" s="84">
        <f t="shared" si="7"/>
        <v>-7.9830489005161542E-3</v>
      </c>
      <c r="P21" s="1153">
        <f>SUM('Temps Proof'!AE18:AG18)</f>
        <v>445.33363999999989</v>
      </c>
      <c r="Q21" s="83">
        <f t="shared" si="8"/>
        <v>1.7399846727255675E-3</v>
      </c>
      <c r="R21" s="84">
        <f t="shared" si="9"/>
        <v>2.8164914098450251E-3</v>
      </c>
      <c r="S21" s="1539">
        <f t="shared" si="10"/>
        <v>14897.403040000003</v>
      </c>
      <c r="T21" s="1341">
        <f t="shared" si="11"/>
        <v>0.10499356474272831</v>
      </c>
      <c r="U21" s="1342">
        <f t="shared" si="12"/>
        <v>14080.485280000004</v>
      </c>
      <c r="V21" s="1343">
        <f t="shared" si="13"/>
        <v>5.8414651851933473E-2</v>
      </c>
      <c r="W21" s="80">
        <f t="shared" si="14"/>
        <v>156786.12809190157</v>
      </c>
      <c r="X21" s="80">
        <f t="shared" si="15"/>
        <v>255124.21033190156</v>
      </c>
      <c r="Y21" s="82">
        <f t="shared" si="0"/>
        <v>0.10499356474272832</v>
      </c>
      <c r="Z21" s="83">
        <f t="shared" si="0"/>
        <v>5.8414651851933425E-2</v>
      </c>
      <c r="AA21" s="84">
        <f>'Avg Bill by RS'!AK18</f>
        <v>0.17799999999999999</v>
      </c>
      <c r="AB21" s="83"/>
      <c r="AC21" s="83"/>
      <c r="AD21" s="83"/>
      <c r="AE21" s="83"/>
      <c r="AF21" s="83"/>
      <c r="AG21" s="83"/>
      <c r="AH21" s="279">
        <v>5</v>
      </c>
      <c r="AI21" s="1257" t="s">
        <v>11</v>
      </c>
      <c r="AJ21" s="1049">
        <f>'Rate Impacts - Rev Req ONLY'!N21</f>
        <v>156786.12809190157</v>
      </c>
      <c r="AK21" s="80">
        <f>'Rate Impacts - Rev Req ONLY'!O21</f>
        <v>255941.12809190157</v>
      </c>
      <c r="AL21" s="94">
        <f>SUM('Rev Req Proof Yr2'!AF18:AH18)</f>
        <v>9000.2779600000067</v>
      </c>
      <c r="AM21" s="83">
        <f t="shared" si="27"/>
        <v>5.7404810422542064E-2</v>
      </c>
      <c r="AN21" s="94">
        <f>SUM('Temps Proof'!AI18:AK18)</f>
        <v>0</v>
      </c>
      <c r="AO21" s="83">
        <f t="shared" si="16"/>
        <v>0</v>
      </c>
      <c r="AP21" s="84">
        <f t="shared" si="17"/>
        <v>0</v>
      </c>
      <c r="AQ21" s="94">
        <f>SUM('Temps Proof'!AM18:AO18)</f>
        <v>-1265.0879199999999</v>
      </c>
      <c r="AR21" s="83">
        <f t="shared" si="18"/>
        <v>-4.7749724697700568E-3</v>
      </c>
      <c r="AS21" s="84">
        <f t="shared" si="19"/>
        <v>-7.6308302358876626E-3</v>
      </c>
      <c r="AT21" s="94">
        <f>SUM('Temps Proof'!AQ18:AS18)</f>
        <v>-127.64339999999997</v>
      </c>
      <c r="AU21" s="83">
        <f t="shared" si="20"/>
        <v>-4.8177973349697875E-4</v>
      </c>
      <c r="AV21" s="84">
        <f t="shared" si="21"/>
        <v>-7.6992681752229768E-4</v>
      </c>
      <c r="AW21" s="1510">
        <f t="shared" si="22"/>
        <v>9000.2779600000067</v>
      </c>
      <c r="AX21" s="1514">
        <f t="shared" si="22"/>
        <v>5.7404810422542064E-2</v>
      </c>
      <c r="AY21" s="1510">
        <f t="shared" si="23"/>
        <v>8424.4644000000062</v>
      </c>
      <c r="AZ21" s="1356">
        <f t="shared" si="24"/>
        <v>3.291563361780217E-2</v>
      </c>
      <c r="BA21" s="80">
        <f t="shared" si="25"/>
        <v>165786.40605190158</v>
      </c>
      <c r="BB21" s="80">
        <f t="shared" si="1"/>
        <v>264365.5924919016</v>
      </c>
      <c r="BC21" s="82">
        <f t="shared" si="2"/>
        <v>5.7404810422542064E-2</v>
      </c>
      <c r="BD21" s="83">
        <f t="shared" si="2"/>
        <v>3.2915633617802247E-2</v>
      </c>
      <c r="BE21" s="84">
        <f>'Avg Bill by RS'!BG18</f>
        <v>0.25</v>
      </c>
    </row>
    <row r="22" spans="2:57" x14ac:dyDescent="0.3">
      <c r="B22" s="1258">
        <v>6</v>
      </c>
      <c r="C22" s="767">
        <v>27</v>
      </c>
      <c r="D22" s="79">
        <f>'Rate Impacts - Rev Req ONLY'!D22</f>
        <v>201938.20437801833</v>
      </c>
      <c r="E22" s="80">
        <f>'Rate Impacts - Rev Req ONLY'!E22</f>
        <v>363218.20437801839</v>
      </c>
      <c r="F22" s="94">
        <f>SUM('Rev Req Proof Yr1'!AF19:AH19)</f>
        <v>23096.270772728705</v>
      </c>
      <c r="G22" s="84">
        <f t="shared" si="26"/>
        <v>0.1143729629758103</v>
      </c>
      <c r="H22" s="94">
        <f>SUM('Rev Req Proof Yr1'!AM19:AO19)</f>
        <v>-1891.6242542586419</v>
      </c>
      <c r="I22" s="83">
        <f t="shared" si="3"/>
        <v>-9.3673421534323197E-3</v>
      </c>
      <c r="J22" s="95">
        <f>SUM('Temps Proof'!W19:Y19)</f>
        <v>-3381.8550691989863</v>
      </c>
      <c r="K22" s="83">
        <f t="shared" si="4"/>
        <v>-8.7972269632577097E-3</v>
      </c>
      <c r="L22" s="83">
        <f t="shared" si="5"/>
        <v>-1.5028164315416715E-2</v>
      </c>
      <c r="M22" s="95">
        <f>SUM('Temps Proof'!Y19:AA19)</f>
        <v>-1794.7361826990527</v>
      </c>
      <c r="N22" s="83">
        <f t="shared" si="6"/>
        <v>-4.668651144211799E-3</v>
      </c>
      <c r="O22" s="84">
        <f t="shared" si="7"/>
        <v>-7.9753832451529352E-3</v>
      </c>
      <c r="P22" s="1153">
        <f>SUM('Temps Proof'!AE19:AG19)</f>
        <v>632.0793239839852</v>
      </c>
      <c r="Q22" s="83">
        <f t="shared" si="8"/>
        <v>1.6442293232828188E-3</v>
      </c>
      <c r="R22" s="84">
        <f t="shared" si="9"/>
        <v>2.8088110657736565E-3</v>
      </c>
      <c r="S22" s="1539">
        <f t="shared" si="10"/>
        <v>21204.646518470065</v>
      </c>
      <c r="T22" s="1341">
        <f t="shared" si="11"/>
        <v>0.10500562082237799</v>
      </c>
      <c r="U22" s="1342">
        <f t="shared" si="12"/>
        <v>16660.134590556008</v>
      </c>
      <c r="V22" s="1343">
        <f t="shared" si="13"/>
        <v>4.5868115611344788E-2</v>
      </c>
      <c r="W22" s="80">
        <f t="shared" si="14"/>
        <v>223142.85089648841</v>
      </c>
      <c r="X22" s="80">
        <f t="shared" si="15"/>
        <v>379878.33896857442</v>
      </c>
      <c r="Y22" s="82">
        <f t="shared" si="0"/>
        <v>0.10500562082237806</v>
      </c>
      <c r="Z22" s="83">
        <f t="shared" si="0"/>
        <v>4.5868115611344851E-2</v>
      </c>
      <c r="AA22" s="84">
        <f>'Avg Bill by RS'!AK19</f>
        <v>0.17599999999999999</v>
      </c>
      <c r="AB22" s="83"/>
      <c r="AC22" s="83"/>
      <c r="AD22" s="83"/>
      <c r="AE22" s="83"/>
      <c r="AF22" s="83"/>
      <c r="AG22" s="83"/>
      <c r="AH22" s="1258">
        <v>6</v>
      </c>
      <c r="AI22" s="1257">
        <v>27</v>
      </c>
      <c r="AJ22" s="1049">
        <f>'Rate Impacts - Rev Req ONLY'!N22</f>
        <v>223142.85089648841</v>
      </c>
      <c r="AK22" s="80">
        <f>'Rate Impacts - Rev Req ONLY'!O22</f>
        <v>384422.85089648847</v>
      </c>
      <c r="AL22" s="94">
        <f>SUM('Rev Req Proof Yr2'!AF19:AH19)</f>
        <v>12812.294034332299</v>
      </c>
      <c r="AM22" s="83">
        <f t="shared" si="27"/>
        <v>5.7417452465352209E-2</v>
      </c>
      <c r="AN22" s="94">
        <f>SUM('Temps Proof'!AI19:AK19)</f>
        <v>-3381.8550691989863</v>
      </c>
      <c r="AO22" s="83">
        <f t="shared" si="16"/>
        <v>-8.513484046805431E-3</v>
      </c>
      <c r="AP22" s="84">
        <f t="shared" si="17"/>
        <v>-1.4332618473695527E-2</v>
      </c>
      <c r="AQ22" s="94">
        <f>SUM('Temps Proof'!AM19:AO19)</f>
        <v>-1799.3499003923666</v>
      </c>
      <c r="AR22" s="83">
        <f t="shared" si="18"/>
        <v>-4.5296845542348134E-3</v>
      </c>
      <c r="AS22" s="84">
        <f t="shared" si="19"/>
        <v>-7.6258133761817953E-3</v>
      </c>
      <c r="AT22" s="94">
        <f>SUM('Temps Proof'!AQ19:AS19)</f>
        <v>-184.54870773255044</v>
      </c>
      <c r="AU22" s="83">
        <f t="shared" si="20"/>
        <v>-4.6458303120357067E-4</v>
      </c>
      <c r="AV22" s="84">
        <f t="shared" si="21"/>
        <v>-7.8213470524941494E-4</v>
      </c>
      <c r="AW22" s="1510">
        <f t="shared" si="22"/>
        <v>12812.294034332299</v>
      </c>
      <c r="AX22" s="1514">
        <f t="shared" si="22"/>
        <v>5.7417452465352209E-2</v>
      </c>
      <c r="AY22" s="1510">
        <f t="shared" si="23"/>
        <v>11991.052284922451</v>
      </c>
      <c r="AZ22" s="1356">
        <f t="shared" si="24"/>
        <v>3.1192350446803224E-2</v>
      </c>
      <c r="BA22" s="80">
        <f t="shared" si="25"/>
        <v>235955.14493082071</v>
      </c>
      <c r="BB22" s="80">
        <f t="shared" si="1"/>
        <v>396413.90318141092</v>
      </c>
      <c r="BC22" s="82">
        <f t="shared" si="2"/>
        <v>5.7417452465352209E-2</v>
      </c>
      <c r="BD22" s="83">
        <f t="shared" si="2"/>
        <v>3.1192350446803224E-2</v>
      </c>
      <c r="BE22" s="84">
        <f>'Avg Bill by RS'!BG19</f>
        <v>0.23799999999999999</v>
      </c>
    </row>
    <row r="23" spans="2:57" x14ac:dyDescent="0.3">
      <c r="B23" s="279">
        <v>7</v>
      </c>
      <c r="C23" s="767" t="s">
        <v>339</v>
      </c>
      <c r="D23" s="79">
        <f>'Rate Impacts - Rev Req ONLY'!D23</f>
        <v>1542348.175315036</v>
      </c>
      <c r="E23" s="80">
        <f>'Rate Impacts - Rev Req ONLY'!E23</f>
        <v>2853836.1753150364</v>
      </c>
      <c r="F23" s="94">
        <f>SUM('Rev Req Proof Yr1'!AF22:AH22)</f>
        <v>176417.40376421309</v>
      </c>
      <c r="G23" s="84">
        <f t="shared" si="26"/>
        <v>0.11438234672801978</v>
      </c>
      <c r="H23" s="94">
        <f>SUM('Rev Req Proof Yr1'!AM22:AO22)</f>
        <v>-14451.994176944718</v>
      </c>
      <c r="I23" s="83">
        <f t="shared" si="3"/>
        <v>-9.37012433913814E-3</v>
      </c>
      <c r="J23" s="95">
        <f>SUM('Temps Proof'!W22:Y22)</f>
        <v>-25819.685542313746</v>
      </c>
      <c r="K23" s="83">
        <f t="shared" si="4"/>
        <v>-8.5614669319003488E-3</v>
      </c>
      <c r="L23" s="83">
        <f t="shared" si="5"/>
        <v>-1.5022226333008993E-2</v>
      </c>
      <c r="M23" s="95">
        <f>SUM('Temps Proof'!Y22:AA22)</f>
        <v>-13723.372331383642</v>
      </c>
      <c r="N23" s="83">
        <f t="shared" si="6"/>
        <v>-4.550489130347812E-3</v>
      </c>
      <c r="O23" s="84">
        <f t="shared" si="7"/>
        <v>-7.9844351658097078E-3</v>
      </c>
      <c r="P23" s="1153">
        <f>SUM('Temps Proof'!AE22:AG22)</f>
        <v>4841.6842320445639</v>
      </c>
      <c r="Q23" s="83">
        <f t="shared" si="8"/>
        <v>1.6054385859742852E-3</v>
      </c>
      <c r="R23" s="84">
        <f t="shared" si="9"/>
        <v>2.8169543834117724E-3</v>
      </c>
      <c r="S23" s="1539">
        <f t="shared" si="10"/>
        <v>161965.40958726837</v>
      </c>
      <c r="T23" s="1341">
        <f t="shared" si="11"/>
        <v>0.10501222238888164</v>
      </c>
      <c r="U23" s="1342">
        <f t="shared" si="12"/>
        <v>127264.03594561556</v>
      </c>
      <c r="V23" s="1343">
        <f t="shared" si="13"/>
        <v>4.4594022966846308E-2</v>
      </c>
      <c r="W23" s="80">
        <f t="shared" si="14"/>
        <v>1704313.5849023042</v>
      </c>
      <c r="X23" s="80">
        <f t="shared" si="15"/>
        <v>2981100.2112606522</v>
      </c>
      <c r="Y23" s="82">
        <f t="shared" si="0"/>
        <v>0.10501222238888157</v>
      </c>
      <c r="Z23" s="83">
        <f t="shared" si="0"/>
        <v>4.4594022966846371E-2</v>
      </c>
      <c r="AA23" s="84">
        <f>'Avg Bill by RS'!AK22</f>
        <v>0.19400000000000001</v>
      </c>
      <c r="AB23" s="83"/>
      <c r="AC23" s="83"/>
      <c r="AD23" s="83"/>
      <c r="AE23" s="83"/>
      <c r="AF23" s="83"/>
      <c r="AG23" s="83"/>
      <c r="AH23" s="279">
        <v>7</v>
      </c>
      <c r="AI23" s="1257" t="s">
        <v>339</v>
      </c>
      <c r="AJ23" s="1049">
        <f>'Rate Impacts - Rev Req ONLY'!N23</f>
        <v>1704313.5849023042</v>
      </c>
      <c r="AK23" s="80">
        <f>'Rate Impacts - Rev Req ONLY'!O23</f>
        <v>3015801.5849023047</v>
      </c>
      <c r="AL23" s="94">
        <f>SUM('Rev Req Proof Yr2'!AF22:AH22)</f>
        <v>97836.782478516921</v>
      </c>
      <c r="AM23" s="83">
        <f t="shared" si="27"/>
        <v>5.7405387919926242E-2</v>
      </c>
      <c r="AN23" s="94">
        <f>SUM('Temps Proof'!AI22:AK22)</f>
        <v>-25819.685542313746</v>
      </c>
      <c r="AO23" s="83">
        <f t="shared" si="16"/>
        <v>-8.2924484143073896E-3</v>
      </c>
      <c r="AP23" s="84">
        <f t="shared" si="17"/>
        <v>-1.4327153832251591E-2</v>
      </c>
      <c r="AQ23" s="94">
        <f>SUM('Temps Proof'!AM22:AO22)</f>
        <v>-13760.889547551982</v>
      </c>
      <c r="AR23" s="83">
        <f t="shared" si="18"/>
        <v>-4.4195529229451198E-3</v>
      </c>
      <c r="AS23" s="84">
        <f t="shared" si="19"/>
        <v>-7.6358165204336147E-3</v>
      </c>
      <c r="AT23" s="94">
        <f>SUM('Temps Proof'!AQ22:AS22)</f>
        <v>-1401.9558234434951</v>
      </c>
      <c r="AU23" s="83">
        <f t="shared" si="20"/>
        <v>-4.502628944101861E-4</v>
      </c>
      <c r="AV23" s="84">
        <f t="shared" si="21"/>
        <v>-7.7793498745670482E-4</v>
      </c>
      <c r="AW23" s="1510">
        <f t="shared" si="22"/>
        <v>97836.782478516921</v>
      </c>
      <c r="AX23" s="1514">
        <f t="shared" si="22"/>
        <v>5.7405387919926242E-2</v>
      </c>
      <c r="AY23" s="1510">
        <f t="shared" si="23"/>
        <v>91555.62520686051</v>
      </c>
      <c r="AZ23" s="1356">
        <f t="shared" si="24"/>
        <v>3.0358636876247416E-2</v>
      </c>
      <c r="BA23" s="80">
        <f t="shared" si="25"/>
        <v>1802150.3673808211</v>
      </c>
      <c r="BB23" s="80">
        <f t="shared" si="1"/>
        <v>3107357.2101091654</v>
      </c>
      <c r="BC23" s="82">
        <f t="shared" si="2"/>
        <v>5.7405387919926242E-2</v>
      </c>
      <c r="BD23" s="83">
        <f t="shared" si="2"/>
        <v>3.0358636876247482E-2</v>
      </c>
      <c r="BE23" s="84">
        <f>'Avg Bill by RS'!BG22</f>
        <v>0.29199999999999998</v>
      </c>
    </row>
    <row r="24" spans="2:57" x14ac:dyDescent="0.3">
      <c r="B24" s="279">
        <v>8</v>
      </c>
      <c r="C24" s="767" t="s">
        <v>340</v>
      </c>
      <c r="D24" s="79">
        <f>'Rate Impacts - Rev Req ONLY'!D24</f>
        <v>392614.2804678994</v>
      </c>
      <c r="E24" s="80">
        <f>'Rate Impacts - Rev Req ONLY'!E24</f>
        <v>747266.28046789952</v>
      </c>
      <c r="F24" s="94">
        <f>SUM('Rev Req Proof Yr1'!AF25:AH25)</f>
        <v>21671.68520800001</v>
      </c>
      <c r="G24" s="84">
        <f t="shared" si="26"/>
        <v>5.5198413012824459E-2</v>
      </c>
      <c r="H24" s="94">
        <f>SUM('Rev Req Proof Yr1'!AM25:AO25)</f>
        <v>-3674.6766820000012</v>
      </c>
      <c r="I24" s="83">
        <f t="shared" si="3"/>
        <v>-9.359508466224643E-3</v>
      </c>
      <c r="J24" s="95">
        <f>SUM('Temps Proof'!W25:Y25)</f>
        <v>0</v>
      </c>
      <c r="K24" s="83">
        <f t="shared" si="4"/>
        <v>0</v>
      </c>
      <c r="L24" s="83">
        <f t="shared" si="5"/>
        <v>0</v>
      </c>
      <c r="M24" s="95">
        <f>SUM('Temps Proof'!Y25:AA25)</f>
        <v>-3310.0885040000003</v>
      </c>
      <c r="N24" s="83">
        <f t="shared" si="6"/>
        <v>-4.3254244017791738E-3</v>
      </c>
      <c r="O24" s="84">
        <f t="shared" si="7"/>
        <v>-7.989863954478052E-3</v>
      </c>
      <c r="P24" s="1153">
        <f>SUM('Temps Proof'!AE25:AG25)</f>
        <v>1164.7823480000002</v>
      </c>
      <c r="Q24" s="83">
        <f t="shared" si="8"/>
        <v>1.5220674567198343E-3</v>
      </c>
      <c r="R24" s="84">
        <f t="shared" si="9"/>
        <v>2.8115418925661185E-3</v>
      </c>
      <c r="S24" s="1539">
        <f t="shared" si="10"/>
        <v>17997.008526000009</v>
      </c>
      <c r="T24" s="1341">
        <f t="shared" si="11"/>
        <v>4.5838904546599814E-2</v>
      </c>
      <c r="U24" s="1342">
        <f t="shared" si="12"/>
        <v>15851.70237000001</v>
      </c>
      <c r="V24" s="1343">
        <f t="shared" si="13"/>
        <v>2.1212923404056842E-2</v>
      </c>
      <c r="W24" s="80">
        <f t="shared" si="14"/>
        <v>410611.28899389942</v>
      </c>
      <c r="X24" s="80">
        <f t="shared" si="15"/>
        <v>763117.98283789947</v>
      </c>
      <c r="Y24" s="82">
        <f t="shared" si="0"/>
        <v>4.5838904546599842E-2</v>
      </c>
      <c r="Z24" s="83">
        <f t="shared" si="0"/>
        <v>2.1212923404056769E-2</v>
      </c>
      <c r="AA24" s="84">
        <f>'Avg Bill by RS'!AK25</f>
        <v>0.17599999999999999</v>
      </c>
      <c r="AB24" s="83"/>
      <c r="AC24" s="83"/>
      <c r="AD24" s="83"/>
      <c r="AE24" s="83"/>
      <c r="AF24" s="83"/>
      <c r="AG24" s="83"/>
      <c r="AH24" s="279">
        <v>8</v>
      </c>
      <c r="AI24" s="1257" t="s">
        <v>340</v>
      </c>
      <c r="AJ24" s="1049">
        <f>'Rate Impacts - Rev Req ONLY'!N24</f>
        <v>410611.28899389942</v>
      </c>
      <c r="AK24" s="80">
        <f>'Rate Impacts - Rev Req ONLY'!O24</f>
        <v>765263.28899389948</v>
      </c>
      <c r="AL24" s="94">
        <f>SUM('Rev Req Proof Yr2'!AF25:AH25)</f>
        <v>8210.41994599998</v>
      </c>
      <c r="AM24" s="83">
        <f t="shared" si="27"/>
        <v>1.9995602084193952E-2</v>
      </c>
      <c r="AN24" s="95">
        <f>SUM('Temps Proof'!AI25:AK25)</f>
        <v>0</v>
      </c>
      <c r="AO24" s="83">
        <f t="shared" si="16"/>
        <v>0</v>
      </c>
      <c r="AP24" s="84">
        <f t="shared" si="17"/>
        <v>0</v>
      </c>
      <c r="AQ24" s="95">
        <f>SUM('Temps Proof'!AM25:AO25)</f>
        <v>-3194.5601800000004</v>
      </c>
      <c r="AR24" s="83">
        <f t="shared" si="18"/>
        <v>-4.1301470794377374E-3</v>
      </c>
      <c r="AS24" s="84">
        <f t="shared" si="19"/>
        <v>-7.6274942578452099E-3</v>
      </c>
      <c r="AT24" s="94">
        <f>SUM('Temps Proof'!AQ25:AS25)</f>
        <v>-324.00657000000001</v>
      </c>
      <c r="AU24" s="83">
        <f t="shared" si="20"/>
        <v>-4.1889797449492366E-4</v>
      </c>
      <c r="AV24" s="84">
        <f t="shared" si="21"/>
        <v>-7.7361455503371414E-4</v>
      </c>
      <c r="AW24" s="1510">
        <f t="shared" si="22"/>
        <v>8210.41994599998</v>
      </c>
      <c r="AX24" s="1514">
        <f t="shared" si="22"/>
        <v>1.9995602084193952E-2</v>
      </c>
      <c r="AY24" s="1510">
        <f t="shared" si="23"/>
        <v>6837.1593519999806</v>
      </c>
      <c r="AZ24" s="1356">
        <f t="shared" si="24"/>
        <v>8.9343882691522714E-3</v>
      </c>
      <c r="BA24" s="80">
        <f t="shared" si="25"/>
        <v>418821.7089398994</v>
      </c>
      <c r="BB24" s="80">
        <f t="shared" si="1"/>
        <v>772100.44834589947</v>
      </c>
      <c r="BC24" s="82">
        <f t="shared" si="2"/>
        <v>1.9995602084193952E-2</v>
      </c>
      <c r="BD24" s="83">
        <f t="shared" si="2"/>
        <v>8.9343882691522818E-3</v>
      </c>
      <c r="BE24" s="84">
        <f>'Avg Bill by RS'!BG25</f>
        <v>0.33100000000000002</v>
      </c>
    </row>
    <row r="25" spans="2:57" x14ac:dyDescent="0.3">
      <c r="B25" s="279">
        <v>9</v>
      </c>
      <c r="C25" s="767" t="s">
        <v>342</v>
      </c>
      <c r="D25" s="79">
        <f>'Rate Impacts - Rev Req ONLY'!D25</f>
        <v>0</v>
      </c>
      <c r="E25" s="80">
        <f>'Rate Impacts - Rev Req ONLY'!E25</f>
        <v>0</v>
      </c>
      <c r="F25" s="94">
        <f>SUM('Rev Req Proof Yr1'!AF28:AH28)</f>
        <v>0</v>
      </c>
      <c r="G25" s="84">
        <f>IFERROR((F25/D25),0)</f>
        <v>0</v>
      </c>
      <c r="H25" s="94">
        <f>SUM('Rev Req Proof Yr1'!AM28:AO28)</f>
        <v>0</v>
      </c>
      <c r="I25" s="83">
        <f t="shared" si="3"/>
        <v>0</v>
      </c>
      <c r="J25" s="95">
        <f>SUM('Temps Proof'!W28:Y28)</f>
        <v>0</v>
      </c>
      <c r="K25" s="83">
        <f t="shared" si="4"/>
        <v>0</v>
      </c>
      <c r="L25" s="83">
        <f t="shared" si="5"/>
        <v>0</v>
      </c>
      <c r="M25" s="95">
        <f>SUM('Temps Proof'!Y28:AA28)</f>
        <v>0</v>
      </c>
      <c r="N25" s="83">
        <f t="shared" si="6"/>
        <v>0</v>
      </c>
      <c r="O25" s="84">
        <f t="shared" si="7"/>
        <v>0</v>
      </c>
      <c r="P25" s="1153">
        <f>SUM('Temps Proof'!AE28:AG28)</f>
        <v>0</v>
      </c>
      <c r="Q25" s="83">
        <f t="shared" si="8"/>
        <v>0</v>
      </c>
      <c r="R25" s="84">
        <f t="shared" si="9"/>
        <v>0</v>
      </c>
      <c r="S25" s="1539">
        <f t="shared" si="10"/>
        <v>0</v>
      </c>
      <c r="T25" s="1341">
        <f t="shared" si="11"/>
        <v>0</v>
      </c>
      <c r="U25" s="1342">
        <f t="shared" si="12"/>
        <v>0</v>
      </c>
      <c r="V25" s="1343">
        <f t="shared" si="13"/>
        <v>0</v>
      </c>
      <c r="W25" s="80">
        <f t="shared" si="14"/>
        <v>0</v>
      </c>
      <c r="X25" s="80">
        <f t="shared" si="15"/>
        <v>0</v>
      </c>
      <c r="Y25" s="82">
        <f t="shared" si="0"/>
        <v>0</v>
      </c>
      <c r="Z25" s="83">
        <f t="shared" si="0"/>
        <v>0</v>
      </c>
      <c r="AA25" s="84">
        <f>'Avg Bill by RS'!AK28</f>
        <v>0</v>
      </c>
      <c r="AB25" s="83"/>
      <c r="AC25" s="83"/>
      <c r="AD25" s="83"/>
      <c r="AE25" s="83"/>
      <c r="AF25" s="83"/>
      <c r="AG25" s="83"/>
      <c r="AH25" s="279">
        <v>9</v>
      </c>
      <c r="AI25" s="1257" t="s">
        <v>342</v>
      </c>
      <c r="AJ25" s="1049">
        <f>'Rate Impacts - Rev Req ONLY'!N25</f>
        <v>0</v>
      </c>
      <c r="AK25" s="80">
        <f>'Rate Impacts - Rev Req ONLY'!O25</f>
        <v>0</v>
      </c>
      <c r="AL25" s="94">
        <f>SUM('Rev Req Proof Yr2'!AF28:AH28)</f>
        <v>0</v>
      </c>
      <c r="AM25" s="83">
        <f>IFERROR((AL25/AJ25),0)</f>
        <v>0</v>
      </c>
      <c r="AN25" s="95">
        <f>SUM('Temps Proof'!AI28:AK28)</f>
        <v>0</v>
      </c>
      <c r="AO25" s="83">
        <f t="shared" si="16"/>
        <v>0</v>
      </c>
      <c r="AP25" s="84">
        <f t="shared" si="17"/>
        <v>0</v>
      </c>
      <c r="AQ25" s="95">
        <f>SUM('Temps Proof'!AM28:AO28)</f>
        <v>0</v>
      </c>
      <c r="AR25" s="83">
        <f t="shared" si="18"/>
        <v>0</v>
      </c>
      <c r="AS25" s="84">
        <f t="shared" si="19"/>
        <v>0</v>
      </c>
      <c r="AT25" s="94">
        <f>SUM('Temps Proof'!AQ28:AS28)</f>
        <v>0</v>
      </c>
      <c r="AU25" s="83">
        <f t="shared" si="20"/>
        <v>0</v>
      </c>
      <c r="AV25" s="84">
        <f t="shared" si="21"/>
        <v>0</v>
      </c>
      <c r="AW25" s="1510">
        <f t="shared" si="22"/>
        <v>0</v>
      </c>
      <c r="AX25" s="1514">
        <f t="shared" si="22"/>
        <v>0</v>
      </c>
      <c r="AY25" s="1510">
        <f t="shared" si="23"/>
        <v>0</v>
      </c>
      <c r="AZ25" s="1356">
        <f t="shared" si="24"/>
        <v>0</v>
      </c>
      <c r="BA25" s="80">
        <f t="shared" si="25"/>
        <v>0</v>
      </c>
      <c r="BB25" s="80">
        <f t="shared" si="1"/>
        <v>0</v>
      </c>
      <c r="BC25" s="82">
        <f t="shared" si="2"/>
        <v>0</v>
      </c>
      <c r="BD25" s="83">
        <f t="shared" si="2"/>
        <v>0</v>
      </c>
      <c r="BE25" s="84">
        <f>'Avg Bill by RS'!BG28</f>
        <v>0</v>
      </c>
    </row>
    <row r="26" spans="2:57" x14ac:dyDescent="0.3">
      <c r="B26" s="279">
        <v>10</v>
      </c>
      <c r="C26" s="767" t="s">
        <v>343</v>
      </c>
      <c r="D26" s="79">
        <f>'Rate Impacts - Rev Req ONLY'!D26</f>
        <v>0</v>
      </c>
      <c r="E26" s="80">
        <f>'Rate Impacts - Rev Req ONLY'!E26</f>
        <v>0</v>
      </c>
      <c r="F26" s="94">
        <f>SUM('Rev Req Proof Yr1'!AF31:AH31)</f>
        <v>0</v>
      </c>
      <c r="G26" s="84">
        <f t="shared" si="26"/>
        <v>0</v>
      </c>
      <c r="H26" s="94">
        <f>SUM('Rev Req Proof Yr1'!AM31:AO31)</f>
        <v>0</v>
      </c>
      <c r="I26" s="83">
        <f t="shared" si="3"/>
        <v>0</v>
      </c>
      <c r="J26" s="95">
        <f>SUM('Temps Proof'!W31:Y31)</f>
        <v>0</v>
      </c>
      <c r="K26" s="83">
        <f t="shared" si="4"/>
        <v>0</v>
      </c>
      <c r="L26" s="83">
        <f t="shared" si="5"/>
        <v>0</v>
      </c>
      <c r="M26" s="95">
        <f>SUM('Temps Proof'!Y31:AA31)</f>
        <v>0</v>
      </c>
      <c r="N26" s="83">
        <f t="shared" si="6"/>
        <v>0</v>
      </c>
      <c r="O26" s="84">
        <f t="shared" si="7"/>
        <v>0</v>
      </c>
      <c r="P26" s="1153">
        <f>SUM('Temps Proof'!AE31:AG31)</f>
        <v>0</v>
      </c>
      <c r="Q26" s="83">
        <f t="shared" si="8"/>
        <v>0</v>
      </c>
      <c r="R26" s="84">
        <f t="shared" si="9"/>
        <v>0</v>
      </c>
      <c r="S26" s="1539">
        <f t="shared" si="10"/>
        <v>0</v>
      </c>
      <c r="T26" s="1341">
        <f t="shared" si="11"/>
        <v>0</v>
      </c>
      <c r="U26" s="1342">
        <f t="shared" si="12"/>
        <v>0</v>
      </c>
      <c r="V26" s="1343">
        <f t="shared" si="13"/>
        <v>0</v>
      </c>
      <c r="W26" s="80">
        <f t="shared" si="14"/>
        <v>0</v>
      </c>
      <c r="X26" s="80">
        <f t="shared" si="15"/>
        <v>0</v>
      </c>
      <c r="Y26" s="82">
        <f t="shared" si="0"/>
        <v>0</v>
      </c>
      <c r="Z26" s="83">
        <f t="shared" si="0"/>
        <v>0</v>
      </c>
      <c r="AA26" s="84">
        <f>'Avg Bill by RS'!AK31</f>
        <v>0</v>
      </c>
      <c r="AB26" s="83"/>
      <c r="AC26" s="83"/>
      <c r="AD26" s="83"/>
      <c r="AE26" s="83"/>
      <c r="AF26" s="83"/>
      <c r="AG26" s="83"/>
      <c r="AH26" s="279">
        <v>10</v>
      </c>
      <c r="AI26" s="1257" t="s">
        <v>343</v>
      </c>
      <c r="AJ26" s="1049">
        <f>'Rate Impacts - Rev Req ONLY'!N26</f>
        <v>0</v>
      </c>
      <c r="AK26" s="80">
        <f>'Rate Impacts - Rev Req ONLY'!O26</f>
        <v>0</v>
      </c>
      <c r="AL26" s="94">
        <f>SUM('Rev Req Proof Yr2'!AF31:AH31)</f>
        <v>0</v>
      </c>
      <c r="AM26" s="83">
        <f t="shared" ref="AM26" si="28">IFERROR((AL26/AJ26),0)</f>
        <v>0</v>
      </c>
      <c r="AN26" s="95">
        <f>SUM('Temps Proof'!AI31:AK31)</f>
        <v>0</v>
      </c>
      <c r="AO26" s="83">
        <f t="shared" si="16"/>
        <v>0</v>
      </c>
      <c r="AP26" s="84">
        <f t="shared" si="17"/>
        <v>0</v>
      </c>
      <c r="AQ26" s="95">
        <f>SUM('Temps Proof'!AM31:AO31)</f>
        <v>0</v>
      </c>
      <c r="AR26" s="83">
        <f t="shared" si="18"/>
        <v>0</v>
      </c>
      <c r="AS26" s="84">
        <f t="shared" si="19"/>
        <v>0</v>
      </c>
      <c r="AT26" s="94">
        <f>SUM('Temps Proof'!AQ31:AS31)</f>
        <v>0</v>
      </c>
      <c r="AU26" s="83">
        <f t="shared" si="20"/>
        <v>0</v>
      </c>
      <c r="AV26" s="84">
        <f t="shared" si="21"/>
        <v>0</v>
      </c>
      <c r="AW26" s="1510">
        <f t="shared" si="22"/>
        <v>0</v>
      </c>
      <c r="AX26" s="1514">
        <f t="shared" si="22"/>
        <v>0</v>
      </c>
      <c r="AY26" s="1510">
        <f t="shared" si="23"/>
        <v>0</v>
      </c>
      <c r="AZ26" s="1356">
        <f t="shared" si="24"/>
        <v>0</v>
      </c>
      <c r="BA26" s="80">
        <f t="shared" si="25"/>
        <v>0</v>
      </c>
      <c r="BB26" s="80">
        <f t="shared" si="1"/>
        <v>0</v>
      </c>
      <c r="BC26" s="82">
        <f t="shared" si="2"/>
        <v>0</v>
      </c>
      <c r="BD26" s="83">
        <f t="shared" si="2"/>
        <v>0</v>
      </c>
      <c r="BE26" s="84">
        <f>'Avg Bill by RS'!BG31</f>
        <v>0</v>
      </c>
    </row>
    <row r="27" spans="2:57" x14ac:dyDescent="0.3">
      <c r="B27" s="279">
        <v>11</v>
      </c>
      <c r="C27" s="767" t="s">
        <v>344</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3"/>
        <v>-9.371052416184536E-3</v>
      </c>
      <c r="J27" s="95">
        <f>SUM('Temps Proof'!W34:Y34)</f>
        <v>0</v>
      </c>
      <c r="K27" s="83">
        <f t="shared" si="4"/>
        <v>0</v>
      </c>
      <c r="L27" s="83">
        <f t="shared" si="5"/>
        <v>0</v>
      </c>
      <c r="M27" s="95">
        <f>SUM('Temps Proof'!Y34:AA34)</f>
        <v>-1598.35815</v>
      </c>
      <c r="N27" s="83">
        <f t="shared" si="6"/>
        <v>-8.050416191173573E-3</v>
      </c>
      <c r="O27" s="84">
        <f t="shared" si="7"/>
        <v>-7.978922514119224E-3</v>
      </c>
      <c r="P27" s="1153">
        <f>SUM('Temps Proof'!AE34:AG34)</f>
        <v>563.00283999999999</v>
      </c>
      <c r="Q27" s="83">
        <f t="shared" si="8"/>
        <v>2.8356643214242716E-3</v>
      </c>
      <c r="R27" s="84">
        <f t="shared" si="9"/>
        <v>2.8104815154157176E-3</v>
      </c>
      <c r="S27" s="1539">
        <f t="shared" si="10"/>
        <v>8702.2045099999814</v>
      </c>
      <c r="T27" s="1341">
        <f t="shared" si="11"/>
        <v>4.5839355103336019E-2</v>
      </c>
      <c r="U27" s="1342">
        <f t="shared" si="12"/>
        <v>7666.8491999999815</v>
      </c>
      <c r="V27" s="1343">
        <f t="shared" si="13"/>
        <v>4.0385562370853494E-2</v>
      </c>
      <c r="W27" s="80">
        <f t="shared" si="14"/>
        <v>198543.54260000002</v>
      </c>
      <c r="X27" s="80">
        <f t="shared" si="15"/>
        <v>197508.18729</v>
      </c>
      <c r="Y27" s="82">
        <f t="shared" si="0"/>
        <v>4.5839355103336019E-2</v>
      </c>
      <c r="Z27" s="83">
        <f t="shared" si="0"/>
        <v>4.0385562370853424E-2</v>
      </c>
      <c r="AA27" s="84">
        <f>'Avg Bill by RS'!AK34</f>
        <v>4.5999999999999999E-2</v>
      </c>
      <c r="AB27" s="83"/>
      <c r="AC27" s="83"/>
      <c r="AD27" s="83"/>
      <c r="AE27" s="83"/>
      <c r="AF27" s="83"/>
      <c r="AG27" s="83"/>
      <c r="AH27" s="279">
        <v>11</v>
      </c>
      <c r="AI27" s="1257" t="s">
        <v>344</v>
      </c>
      <c r="AJ27" s="1049">
        <f>'Rate Impacts - Rev Req ONLY'!N27</f>
        <v>198543.54260000002</v>
      </c>
      <c r="AK27" s="80">
        <f>'Rate Impacts - Rev Req ONLY'!O27</f>
        <v>198543.54260000002</v>
      </c>
      <c r="AL27" s="94">
        <f>SUM('Rev Req Proof Yr2'!AF34:AH34)</f>
        <v>3971.2852100000018</v>
      </c>
      <c r="AM27" s="83">
        <f>IFERROR((AL27/AJ27),0)</f>
        <v>2.0002086988045925E-2</v>
      </c>
      <c r="AN27" s="95">
        <f>SUM('Temps Proof'!AI34:AK34)</f>
        <v>0</v>
      </c>
      <c r="AO27" s="83">
        <f t="shared" si="16"/>
        <v>0</v>
      </c>
      <c r="AP27" s="84">
        <f t="shared" si="17"/>
        <v>0</v>
      </c>
      <c r="AQ27" s="95">
        <f>SUM('Temps Proof'!AM34:AO34)</f>
        <v>-1546.4091599999999</v>
      </c>
      <c r="AR27" s="83">
        <f t="shared" si="18"/>
        <v>-7.6360293057200004E-3</v>
      </c>
      <c r="AS27" s="84">
        <f t="shared" si="19"/>
        <v>-7.6360293057200004E-3</v>
      </c>
      <c r="AT27" s="94">
        <f>SUM('Temps Proof'!AQ34:AS34)</f>
        <v>-156.88842</v>
      </c>
      <c r="AU27" s="83">
        <f t="shared" si="20"/>
        <v>-7.7470090312198347E-4</v>
      </c>
      <c r="AV27" s="84">
        <f t="shared" si="21"/>
        <v>-7.7470090312198347E-4</v>
      </c>
      <c r="AW27" s="1510">
        <f t="shared" si="22"/>
        <v>3971.2852100000018</v>
      </c>
      <c r="AX27" s="1514">
        <f t="shared" si="22"/>
        <v>2.0002086988045925E-2</v>
      </c>
      <c r="AY27" s="1510">
        <f t="shared" si="23"/>
        <v>3303.3429400000014</v>
      </c>
      <c r="AZ27" s="1356">
        <f t="shared" si="24"/>
        <v>1.6637876491682996E-2</v>
      </c>
      <c r="BA27" s="80">
        <f t="shared" si="25"/>
        <v>202514.82781000002</v>
      </c>
      <c r="BB27" s="80">
        <f t="shared" si="1"/>
        <v>201846.88554000002</v>
      </c>
      <c r="BC27" s="82">
        <f t="shared" si="2"/>
        <v>2.0002086988045925E-2</v>
      </c>
      <c r="BD27" s="83">
        <f t="shared" si="2"/>
        <v>1.6637876491682999E-2</v>
      </c>
      <c r="BE27" s="84">
        <f>'Avg Bill by RS'!BG34</f>
        <v>0.02</v>
      </c>
    </row>
    <row r="28" spans="2:57" x14ac:dyDescent="0.3">
      <c r="B28" s="279">
        <v>12</v>
      </c>
      <c r="C28" s="767" t="s">
        <v>345</v>
      </c>
      <c r="D28" s="79">
        <f>'Rate Impacts - Rev Req ONLY'!D28</f>
        <v>0</v>
      </c>
      <c r="E28" s="80">
        <f>'Rate Impacts - Rev Req ONLY'!E28</f>
        <v>0</v>
      </c>
      <c r="F28" s="94">
        <f>SUM('Rev Req Proof Yr1'!AF37:AH37)</f>
        <v>0</v>
      </c>
      <c r="G28" s="84">
        <f>IFERROR((F28/D28),0)</f>
        <v>0</v>
      </c>
      <c r="H28" s="94">
        <f>SUM('Rev Req Proof Yr1'!AM37:AO37)</f>
        <v>0</v>
      </c>
      <c r="I28" s="83">
        <f t="shared" si="3"/>
        <v>0</v>
      </c>
      <c r="J28" s="95">
        <f>SUM('Temps Proof'!W37:Y37)</f>
        <v>0</v>
      </c>
      <c r="K28" s="83">
        <f t="shared" si="4"/>
        <v>0</v>
      </c>
      <c r="L28" s="83">
        <f t="shared" si="5"/>
        <v>0</v>
      </c>
      <c r="M28" s="95">
        <f>SUM('Temps Proof'!Y37:AA37)</f>
        <v>0</v>
      </c>
      <c r="N28" s="83">
        <f t="shared" si="6"/>
        <v>0</v>
      </c>
      <c r="O28" s="84">
        <f t="shared" si="7"/>
        <v>0</v>
      </c>
      <c r="P28" s="1153">
        <f>SUM('Temps Proof'!AE37:AG37)</f>
        <v>0</v>
      </c>
      <c r="Q28" s="83">
        <f t="shared" si="8"/>
        <v>0</v>
      </c>
      <c r="R28" s="84">
        <f t="shared" si="9"/>
        <v>0</v>
      </c>
      <c r="S28" s="1539">
        <f t="shared" si="10"/>
        <v>0</v>
      </c>
      <c r="T28" s="1341">
        <f t="shared" si="11"/>
        <v>0</v>
      </c>
      <c r="U28" s="1342">
        <f t="shared" si="12"/>
        <v>0</v>
      </c>
      <c r="V28" s="1343">
        <f t="shared" si="13"/>
        <v>0</v>
      </c>
      <c r="W28" s="80">
        <f t="shared" si="14"/>
        <v>0</v>
      </c>
      <c r="X28" s="80">
        <f t="shared" si="15"/>
        <v>0</v>
      </c>
      <c r="Y28" s="82">
        <f t="shared" si="0"/>
        <v>0</v>
      </c>
      <c r="Z28" s="83">
        <f t="shared" si="0"/>
        <v>0</v>
      </c>
      <c r="AA28" s="84">
        <f>'Avg Bill by RS'!AK37</f>
        <v>0</v>
      </c>
      <c r="AB28" s="83"/>
      <c r="AC28" s="83"/>
      <c r="AD28" s="83"/>
      <c r="AE28" s="83"/>
      <c r="AF28" s="83"/>
      <c r="AG28" s="83"/>
      <c r="AH28" s="279">
        <v>12</v>
      </c>
      <c r="AI28" s="1257" t="s">
        <v>345</v>
      </c>
      <c r="AJ28" s="1049">
        <f>'Rate Impacts - Rev Req ONLY'!N28</f>
        <v>0</v>
      </c>
      <c r="AK28" s="80">
        <f>'Rate Impacts - Rev Req ONLY'!O28</f>
        <v>0</v>
      </c>
      <c r="AL28" s="94">
        <f>SUM('Rev Req Proof Yr2'!AF37:AH37)</f>
        <v>0</v>
      </c>
      <c r="AM28" s="83">
        <f>IFERROR((AL28/AJ28),0)</f>
        <v>0</v>
      </c>
      <c r="AN28" s="95">
        <f>SUM('Temps Proof'!AI37:AK37)</f>
        <v>0</v>
      </c>
      <c r="AO28" s="83">
        <f t="shared" si="16"/>
        <v>0</v>
      </c>
      <c r="AP28" s="84">
        <f t="shared" si="17"/>
        <v>0</v>
      </c>
      <c r="AQ28" s="95">
        <f>SUM('Temps Proof'!AM37:AO37)</f>
        <v>0</v>
      </c>
      <c r="AR28" s="83">
        <f t="shared" si="18"/>
        <v>0</v>
      </c>
      <c r="AS28" s="84">
        <f t="shared" si="19"/>
        <v>0</v>
      </c>
      <c r="AT28" s="94">
        <f>SUM('Temps Proof'!AQ37:AS37)</f>
        <v>0</v>
      </c>
      <c r="AU28" s="83">
        <f t="shared" si="20"/>
        <v>0</v>
      </c>
      <c r="AV28" s="84">
        <f t="shared" si="21"/>
        <v>0</v>
      </c>
      <c r="AW28" s="1510">
        <f t="shared" si="22"/>
        <v>0</v>
      </c>
      <c r="AX28" s="1514">
        <f t="shared" si="22"/>
        <v>0</v>
      </c>
      <c r="AY28" s="1510">
        <f t="shared" si="23"/>
        <v>0</v>
      </c>
      <c r="AZ28" s="1356">
        <f t="shared" si="24"/>
        <v>0</v>
      </c>
      <c r="BA28" s="80">
        <f t="shared" si="25"/>
        <v>0</v>
      </c>
      <c r="BB28" s="80">
        <f t="shared" si="1"/>
        <v>0</v>
      </c>
      <c r="BC28" s="82">
        <f t="shared" si="2"/>
        <v>0</v>
      </c>
      <c r="BD28" s="83">
        <f t="shared" si="2"/>
        <v>0</v>
      </c>
      <c r="BE28" s="84">
        <f>'Avg Bill by RS'!BG37</f>
        <v>0</v>
      </c>
    </row>
    <row r="29" spans="2:57" x14ac:dyDescent="0.3">
      <c r="B29" s="279">
        <v>13</v>
      </c>
      <c r="C29" s="767" t="s">
        <v>346</v>
      </c>
      <c r="D29" s="79">
        <f>'Rate Impacts - Rev Req ONLY'!D29</f>
        <v>219574.60083981926</v>
      </c>
      <c r="E29" s="80">
        <f>'Rate Impacts - Rev Req ONLY'!E29</f>
        <v>470188.60083981924</v>
      </c>
      <c r="F29" s="94">
        <f>SUM('Rev Req Proof Yr1'!AF44:AH44)</f>
        <v>25112.297418342769</v>
      </c>
      <c r="G29" s="84">
        <f t="shared" si="26"/>
        <v>0.11436795204133064</v>
      </c>
      <c r="H29" s="94">
        <f>SUM('Rev Req Proof Yr1'!AM44:AO44)</f>
        <v>-2055.595853643305</v>
      </c>
      <c r="I29" s="83">
        <f t="shared" si="3"/>
        <v>-9.361719642350037E-3</v>
      </c>
      <c r="J29" s="95">
        <f>SUM('Temps Proof'!W44:Y44)</f>
        <v>-3676.9133490107079</v>
      </c>
      <c r="K29" s="83">
        <f t="shared" si="4"/>
        <v>-7.4545329293277483E-3</v>
      </c>
      <c r="L29" s="83">
        <f t="shared" si="5"/>
        <v>-1.5027013604673282E-2</v>
      </c>
      <c r="M29" s="95">
        <f>SUM('Temps Proof'!Y44:AA44)</f>
        <v>-1954.2784699244257</v>
      </c>
      <c r="N29" s="83">
        <f t="shared" si="6"/>
        <v>-3.9620822750820427E-3</v>
      </c>
      <c r="O29" s="84">
        <f t="shared" si="7"/>
        <v>-7.9868537458941645E-3</v>
      </c>
      <c r="P29" s="1153">
        <f>SUM('Temps Proof'!AE44:AG44)</f>
        <v>690.93709469138048</v>
      </c>
      <c r="Q29" s="83">
        <f t="shared" si="8"/>
        <v>1.4007981248339014E-3</v>
      </c>
      <c r="R29" s="84">
        <f t="shared" si="9"/>
        <v>2.8237600771022602E-3</v>
      </c>
      <c r="S29" s="1539">
        <f t="shared" si="10"/>
        <v>23056.701564699462</v>
      </c>
      <c r="T29" s="1341">
        <f t="shared" si="11"/>
        <v>0.1050062323989806</v>
      </c>
      <c r="U29" s="1342">
        <f t="shared" si="12"/>
        <v>18116.446840455708</v>
      </c>
      <c r="V29" s="1343">
        <f t="shared" si="13"/>
        <v>3.8530170251038262E-2</v>
      </c>
      <c r="W29" s="80">
        <f t="shared" si="14"/>
        <v>242631.30240451873</v>
      </c>
      <c r="X29" s="80">
        <f t="shared" si="15"/>
        <v>488305.04768027493</v>
      </c>
      <c r="Y29" s="82">
        <f t="shared" si="0"/>
        <v>0.10500623239898063</v>
      </c>
      <c r="Z29" s="83">
        <f t="shared" si="0"/>
        <v>3.8530170251038241E-2</v>
      </c>
      <c r="AA29" s="84">
        <f>'Avg Bill by RS'!AK44</f>
        <v>0.23499999999999999</v>
      </c>
      <c r="AB29" s="83"/>
      <c r="AC29" s="83"/>
      <c r="AD29" s="83"/>
      <c r="AE29" s="83"/>
      <c r="AF29" s="83"/>
      <c r="AG29" s="83"/>
      <c r="AH29" s="279">
        <v>13</v>
      </c>
      <c r="AI29" s="1257" t="s">
        <v>346</v>
      </c>
      <c r="AJ29" s="1049">
        <f>'Rate Impacts - Rev Req ONLY'!N29</f>
        <v>242631.3024045187</v>
      </c>
      <c r="AK29" s="80">
        <f>'Rate Impacts - Rev Req ONLY'!O29</f>
        <v>493245.3024045187</v>
      </c>
      <c r="AL29" s="94">
        <f>SUM('Rev Req Proof Yr2'!AF44:AH44)</f>
        <v>13927.917812603351</v>
      </c>
      <c r="AM29" s="83">
        <f t="shared" ref="AM29:AM34" si="29">IFERROR((AL29/AJ29),0)</f>
        <v>5.7403631248628045E-2</v>
      </c>
      <c r="AN29" s="95">
        <f>SUM('Temps Proof'!AI44:AK44)</f>
        <v>-3676.9133490107079</v>
      </c>
      <c r="AO29" s="83">
        <f t="shared" si="16"/>
        <v>-7.2498176213574772E-3</v>
      </c>
      <c r="AP29" s="84">
        <f t="shared" si="17"/>
        <v>-1.4331635970435963E-2</v>
      </c>
      <c r="AQ29" s="95">
        <f>SUM('Temps Proof'!AM44:AO44)</f>
        <v>-1957.3455035389716</v>
      </c>
      <c r="AR29" s="83">
        <f t="shared" si="18"/>
        <v>-3.8593234530423892E-3</v>
      </c>
      <c r="AS29" s="84">
        <f t="shared" si="19"/>
        <v>-7.6292152037354208E-3</v>
      </c>
      <c r="AT29" s="94">
        <f>SUM('Temps Proof'!AQ44:AS44)</f>
        <v>-200.12600717261603</v>
      </c>
      <c r="AU29" s="83">
        <f t="shared" si="20"/>
        <v>-3.9459103752942951E-4</v>
      </c>
      <c r="AV29" s="84">
        <f t="shared" si="21"/>
        <v>-7.8003825784648281E-4</v>
      </c>
      <c r="AW29" s="1510">
        <f t="shared" si="22"/>
        <v>13927.917812603351</v>
      </c>
      <c r="AX29" s="1514">
        <f t="shared" si="22"/>
        <v>5.7403631248628045E-2</v>
      </c>
      <c r="AY29" s="1510">
        <f t="shared" si="23"/>
        <v>13033.787677124808</v>
      </c>
      <c r="AZ29" s="1356">
        <f t="shared" si="24"/>
        <v>2.6424555112003038E-2</v>
      </c>
      <c r="BA29" s="80">
        <f t="shared" si="25"/>
        <v>256559.22021712206</v>
      </c>
      <c r="BB29" s="80">
        <f t="shared" si="1"/>
        <v>506279.09008164349</v>
      </c>
      <c r="BC29" s="82">
        <f t="shared" si="2"/>
        <v>5.7403631248628045E-2</v>
      </c>
      <c r="BD29" s="83">
        <f t="shared" si="2"/>
        <v>2.6424555112002986E-2</v>
      </c>
      <c r="BE29" s="84">
        <f>'Avg Bill by RS'!BG44</f>
        <v>0.36599999999999999</v>
      </c>
    </row>
    <row r="30" spans="2:57" x14ac:dyDescent="0.3">
      <c r="B30" s="279">
        <v>14</v>
      </c>
      <c r="C30" s="767" t="s">
        <v>347</v>
      </c>
      <c r="D30" s="79">
        <f>'Rate Impacts - Rev Req ONLY'!D30</f>
        <v>511672.37933789124</v>
      </c>
      <c r="E30" s="80">
        <f>'Rate Impacts - Rev Req ONLY'!E30</f>
        <v>1154958.3793378912</v>
      </c>
      <c r="F30" s="94">
        <f>SUM('Rev Req Proof Yr1'!AF51:AH51)</f>
        <v>28251.710180000027</v>
      </c>
      <c r="G30" s="84">
        <f t="shared" si="26"/>
        <v>5.5214452295740492E-2</v>
      </c>
      <c r="H30" s="94">
        <f>SUM('Rev Req Proof Yr1'!AM51:AO51)</f>
        <v>-4788.9728660000001</v>
      </c>
      <c r="I30" s="83">
        <f t="shared" si="3"/>
        <v>-9.3594515932186439E-3</v>
      </c>
      <c r="J30" s="95">
        <f>SUM('Temps Proof'!W51:Y51)</f>
        <v>0</v>
      </c>
      <c r="K30" s="83">
        <f t="shared" si="4"/>
        <v>0</v>
      </c>
      <c r="L30" s="83">
        <f t="shared" si="5"/>
        <v>0</v>
      </c>
      <c r="M30" s="95">
        <f>SUM('Temps Proof'!Y51:AA51)</f>
        <v>-4308.4706760000008</v>
      </c>
      <c r="N30" s="83">
        <f t="shared" si="6"/>
        <v>-3.6561383830605054E-3</v>
      </c>
      <c r="O30" s="84">
        <f t="shared" si="7"/>
        <v>-7.9797711560658791E-3</v>
      </c>
      <c r="P30" s="1153">
        <f>SUM('Temps Proof'!AE51:AG51)</f>
        <v>1516.3915260000001</v>
      </c>
      <c r="Q30" s="83">
        <f t="shared" si="8"/>
        <v>1.2867993492074754E-3</v>
      </c>
      <c r="R30" s="84">
        <f t="shared" si="9"/>
        <v>2.8085272641826661E-3</v>
      </c>
      <c r="S30" s="1539">
        <f t="shared" si="10"/>
        <v>23462.737314000027</v>
      </c>
      <c r="T30" s="1341">
        <f t="shared" si="11"/>
        <v>4.5855000702521846E-2</v>
      </c>
      <c r="U30" s="1342">
        <f t="shared" si="12"/>
        <v>20670.658164000026</v>
      </c>
      <c r="V30" s="1343">
        <f t="shared" si="13"/>
        <v>1.7897318668617303E-2</v>
      </c>
      <c r="W30" s="80">
        <f t="shared" si="14"/>
        <v>535135.11665189127</v>
      </c>
      <c r="X30" s="80">
        <f t="shared" si="15"/>
        <v>1175629.0375018914</v>
      </c>
      <c r="Y30" s="82">
        <f t="shared" si="0"/>
        <v>4.5855000702521846E-2</v>
      </c>
      <c r="Z30" s="83">
        <f t="shared" si="0"/>
        <v>1.78973186686174E-2</v>
      </c>
      <c r="AA30" s="84">
        <f>'Avg Bill by RS'!AK51</f>
        <v>0.21299999999999999</v>
      </c>
      <c r="AB30" s="83"/>
      <c r="AC30" s="83"/>
      <c r="AD30" s="83"/>
      <c r="AE30" s="83"/>
      <c r="AF30" s="83"/>
      <c r="AG30" s="83"/>
      <c r="AH30" s="279">
        <v>14</v>
      </c>
      <c r="AI30" s="1257" t="s">
        <v>347</v>
      </c>
      <c r="AJ30" s="1049">
        <f>'Rate Impacts - Rev Req ONLY'!N30</f>
        <v>535135.11665189127</v>
      </c>
      <c r="AK30" s="80">
        <f>'Rate Impacts - Rev Req ONLY'!O30</f>
        <v>1178421.1166518913</v>
      </c>
      <c r="AL30" s="94">
        <f>SUM('Rev Req Proof Yr2'!AF51:AH51)</f>
        <v>10697.382511000014</v>
      </c>
      <c r="AM30" s="83">
        <f t="shared" si="29"/>
        <v>1.9990058918070833E-2</v>
      </c>
      <c r="AN30" s="95">
        <f>SUM('Temps Proof'!AI51:AK51)</f>
        <v>0</v>
      </c>
      <c r="AO30" s="83">
        <f t="shared" si="16"/>
        <v>0</v>
      </c>
      <c r="AP30" s="84">
        <f t="shared" si="17"/>
        <v>0</v>
      </c>
      <c r="AQ30" s="95">
        <f>SUM('Temps Proof'!AM51:AO51)</f>
        <v>-4163.1570730000012</v>
      </c>
      <c r="AR30" s="83">
        <f t="shared" si="18"/>
        <v>-3.5010447452720286E-3</v>
      </c>
      <c r="AS30" s="84">
        <f t="shared" si="19"/>
        <v>-7.6271696525669896E-3</v>
      </c>
      <c r="AT30" s="94">
        <f>SUM('Temps Proof'!AQ51:AS51)</f>
        <v>-421.82319800000005</v>
      </c>
      <c r="AU30" s="83">
        <f t="shared" si="20"/>
        <v>-3.5473604884370455E-4</v>
      </c>
      <c r="AV30" s="84">
        <f t="shared" si="21"/>
        <v>-7.728070399745775E-4</v>
      </c>
      <c r="AW30" s="1510">
        <f t="shared" si="22"/>
        <v>10697.382511000014</v>
      </c>
      <c r="AX30" s="1514">
        <f t="shared" si="22"/>
        <v>1.9990058918070833E-2</v>
      </c>
      <c r="AY30" s="1510">
        <f t="shared" si="23"/>
        <v>8904.4813900000136</v>
      </c>
      <c r="AZ30" s="1356">
        <f t="shared" si="24"/>
        <v>7.5562812513910692E-3</v>
      </c>
      <c r="BA30" s="80">
        <f t="shared" si="25"/>
        <v>545832.4991628913</v>
      </c>
      <c r="BB30" s="80">
        <f t="shared" si="1"/>
        <v>1187325.5980418914</v>
      </c>
      <c r="BC30" s="82">
        <f t="shared" si="2"/>
        <v>1.9990058918070867E-2</v>
      </c>
      <c r="BD30" s="83">
        <f t="shared" si="2"/>
        <v>7.5562812513911316E-3</v>
      </c>
      <c r="BE30" s="84">
        <f>'Avg Bill by RS'!BG51</f>
        <v>0.39500000000000002</v>
      </c>
    </row>
    <row r="31" spans="2:57" x14ac:dyDescent="0.3">
      <c r="B31" s="279">
        <v>15</v>
      </c>
      <c r="C31" s="767" t="s">
        <v>348</v>
      </c>
      <c r="D31" s="79">
        <f>'Rate Impacts - Rev Req ONLY'!D31</f>
        <v>360784.67333999998</v>
      </c>
      <c r="E31" s="80">
        <f>'Rate Impacts - Rev Req ONLY'!E31</f>
        <v>360784.67333999998</v>
      </c>
      <c r="F31" s="94">
        <f>SUM('Rev Req Proof Yr1'!AF58:AH58)</f>
        <v>25027.144079999984</v>
      </c>
      <c r="G31" s="84">
        <f t="shared" si="26"/>
        <v>6.9368645425840036E-2</v>
      </c>
      <c r="H31" s="94">
        <f>SUM('Rev Req Proof Yr1'!AM58:AO58)</f>
        <v>-3383.8287</v>
      </c>
      <c r="I31" s="83">
        <f t="shared" si="3"/>
        <v>-9.3790810698078427E-3</v>
      </c>
      <c r="J31" s="95">
        <f>SUM('Temps Proof'!W58:Y58)</f>
        <v>0</v>
      </c>
      <c r="K31" s="83">
        <f t="shared" si="4"/>
        <v>0</v>
      </c>
      <c r="L31" s="83">
        <f t="shared" si="5"/>
        <v>0</v>
      </c>
      <c r="M31" s="551">
        <f>SUM('Temps Proof'!Y58:AA58)</f>
        <v>-3081.7999300000001</v>
      </c>
      <c r="N31" s="83">
        <f t="shared" si="6"/>
        <v>-8.0585104147708787E-3</v>
      </c>
      <c r="O31" s="84">
        <f t="shared" si="7"/>
        <v>-7.9878318673818928E-3</v>
      </c>
      <c r="P31" s="1543">
        <f>SUM('Temps Proof'!AE58:AG58)</f>
        <v>1086.0660399999999</v>
      </c>
      <c r="Q31" s="83">
        <f t="shared" si="8"/>
        <v>2.8399229973598466E-3</v>
      </c>
      <c r="R31" s="84">
        <f t="shared" si="9"/>
        <v>2.815014965748687E-3</v>
      </c>
      <c r="S31" s="1539">
        <f t="shared" si="10"/>
        <v>21643.315379999985</v>
      </c>
      <c r="T31" s="1341">
        <f t="shared" si="11"/>
        <v>5.9989564356032206E-2</v>
      </c>
      <c r="U31" s="1342">
        <f t="shared" si="12"/>
        <v>19647.581489999986</v>
      </c>
      <c r="V31" s="1343">
        <f t="shared" si="13"/>
        <v>5.4457916152896815E-2</v>
      </c>
      <c r="W31" s="80">
        <f t="shared" si="14"/>
        <v>382427.98871999996</v>
      </c>
      <c r="X31" s="80">
        <f t="shared" si="15"/>
        <v>380432.25482999999</v>
      </c>
      <c r="Y31" s="82">
        <f t="shared" si="0"/>
        <v>5.9989564356032206E-2</v>
      </c>
      <c r="Z31" s="83">
        <f t="shared" si="0"/>
        <v>5.4457916152896885E-2</v>
      </c>
      <c r="AA31" s="84">
        <f>'Avg Bill by RS'!AK58</f>
        <v>6.3E-2</v>
      </c>
      <c r="AB31" s="83"/>
      <c r="AC31" s="83"/>
      <c r="AD31" s="83"/>
      <c r="AE31" s="83"/>
      <c r="AF31" s="83"/>
      <c r="AG31" s="83"/>
      <c r="AH31" s="279">
        <v>15</v>
      </c>
      <c r="AI31" s="1257" t="s">
        <v>348</v>
      </c>
      <c r="AJ31" s="1049">
        <f>'Rate Impacts - Rev Req ONLY'!N31</f>
        <v>382427.98871999996</v>
      </c>
      <c r="AK31" s="80">
        <f>'Rate Impacts - Rev Req ONLY'!O31</f>
        <v>382427.98871999996</v>
      </c>
      <c r="AL31" s="94">
        <f>SUM('Rev Req Proof Yr2'!AF58:AH58)</f>
        <v>11469.364369999996</v>
      </c>
      <c r="AM31" s="83">
        <f t="shared" si="29"/>
        <v>2.9990912559481761E-2</v>
      </c>
      <c r="AN31" s="95">
        <f>SUM('Temps Proof'!AI58:AK58)</f>
        <v>0</v>
      </c>
      <c r="AO31" s="83">
        <f t="shared" si="16"/>
        <v>0</v>
      </c>
      <c r="AP31" s="84">
        <f t="shared" si="17"/>
        <v>0</v>
      </c>
      <c r="AQ31" s="95">
        <f>SUM('Temps Proof'!AM58:AO58)</f>
        <v>-3005.4425199999996</v>
      </c>
      <c r="AR31" s="83">
        <f t="shared" si="18"/>
        <v>-7.6300145112000745E-3</v>
      </c>
      <c r="AS31" s="84">
        <f t="shared" si="19"/>
        <v>-7.6300145112000745E-3</v>
      </c>
      <c r="AT31" s="94">
        <f>SUM('Temps Proof'!AQ58:AS58)</f>
        <v>-308.0181</v>
      </c>
      <c r="AU31" s="83">
        <f t="shared" si="20"/>
        <v>-7.8197555171085958E-4</v>
      </c>
      <c r="AV31" s="84">
        <f t="shared" si="21"/>
        <v>-7.8197555171085958E-4</v>
      </c>
      <c r="AW31" s="1510">
        <f t="shared" si="22"/>
        <v>11469.364369999996</v>
      </c>
      <c r="AX31" s="1514">
        <f t="shared" si="22"/>
        <v>2.9990912559481761E-2</v>
      </c>
      <c r="AY31" s="1510">
        <f t="shared" si="23"/>
        <v>10151.637639999995</v>
      </c>
      <c r="AZ31" s="1356">
        <f t="shared" si="24"/>
        <v>2.6545226655553863E-2</v>
      </c>
      <c r="BA31" s="80">
        <f t="shared" si="25"/>
        <v>393897.35308999999</v>
      </c>
      <c r="BB31" s="80">
        <f t="shared" si="1"/>
        <v>392579.62635999994</v>
      </c>
      <c r="BC31" s="82">
        <f t="shared" si="2"/>
        <v>2.9990912559481837E-2</v>
      </c>
      <c r="BD31" s="83">
        <f t="shared" si="2"/>
        <v>2.65452266555538E-2</v>
      </c>
      <c r="BE31" s="84">
        <f>'Avg Bill by RS'!BG58</f>
        <v>2.1999999999999999E-2</v>
      </c>
    </row>
    <row r="32" spans="2:57" x14ac:dyDescent="0.3">
      <c r="B32" s="279">
        <v>16</v>
      </c>
      <c r="C32" s="767" t="s">
        <v>349</v>
      </c>
      <c r="D32" s="79">
        <f>'Rate Impacts - Rev Req ONLY'!D32</f>
        <v>823615.79209999996</v>
      </c>
      <c r="E32" s="80">
        <f>'Rate Impacts - Rev Req ONLY'!E32</f>
        <v>823615.79209999996</v>
      </c>
      <c r="F32" s="94">
        <f>SUM('Rev Req Proof Yr1'!AF65:AH65)</f>
        <v>45461.501829999994</v>
      </c>
      <c r="G32" s="84">
        <f t="shared" si="26"/>
        <v>5.519746253782401E-2</v>
      </c>
      <c r="H32" s="94">
        <f>SUM('Rev Req Proof Yr1'!AM65:AO65)</f>
        <v>-7716.6626000000006</v>
      </c>
      <c r="I32" s="83">
        <f t="shared" si="3"/>
        <v>-9.3692504126524512E-3</v>
      </c>
      <c r="J32" s="95">
        <f>SUM('Temps Proof'!W65:Y65)</f>
        <v>0</v>
      </c>
      <c r="K32" s="83">
        <f t="shared" si="4"/>
        <v>0</v>
      </c>
      <c r="L32" s="83">
        <f t="shared" si="5"/>
        <v>0</v>
      </c>
      <c r="M32" s="95">
        <f>SUM('Temps Proof'!Y65:AA65)</f>
        <v>-6919.0564000000013</v>
      </c>
      <c r="N32" s="83">
        <f t="shared" si="6"/>
        <v>-8.0327056384229024E-3</v>
      </c>
      <c r="O32" s="84">
        <f t="shared" si="7"/>
        <v>-7.961382086870283E-3</v>
      </c>
      <c r="P32" s="1153">
        <f>SUM('Temps Proof'!AE65:AG65)</f>
        <v>2455.9456000000005</v>
      </c>
      <c r="Q32" s="83">
        <f t="shared" si="8"/>
        <v>2.8512396674176435E-3</v>
      </c>
      <c r="R32" s="84">
        <f t="shared" si="9"/>
        <v>2.8259230993069938E-3</v>
      </c>
      <c r="S32" s="1539">
        <f t="shared" si="10"/>
        <v>37744.83922999999</v>
      </c>
      <c r="T32" s="1341">
        <f t="shared" si="11"/>
        <v>4.5828212125171554E-2</v>
      </c>
      <c r="U32" s="1342">
        <f t="shared" si="12"/>
        <v>33281.728429999988</v>
      </c>
      <c r="V32" s="1343">
        <f t="shared" si="13"/>
        <v>4.0409288832527708E-2</v>
      </c>
      <c r="W32" s="80">
        <f t="shared" si="14"/>
        <v>861360.63133</v>
      </c>
      <c r="X32" s="80">
        <f t="shared" si="15"/>
        <v>856897.52052999998</v>
      </c>
      <c r="Y32" s="82">
        <f t="shared" si="0"/>
        <v>4.5828212125171616E-2</v>
      </c>
      <c r="Z32" s="83">
        <f t="shared" si="0"/>
        <v>4.0409288832527743E-2</v>
      </c>
      <c r="AA32" s="84">
        <f>'Avg Bill by RS'!AK65</f>
        <v>5.0999999999999997E-2</v>
      </c>
      <c r="AB32" s="83"/>
      <c r="AC32" s="83"/>
      <c r="AD32" s="83"/>
      <c r="AE32" s="83"/>
      <c r="AF32" s="83"/>
      <c r="AG32" s="83"/>
      <c r="AH32" s="279">
        <v>16</v>
      </c>
      <c r="AI32" s="1257" t="s">
        <v>349</v>
      </c>
      <c r="AJ32" s="1049">
        <f>'Rate Impacts - Rev Req ONLY'!N32</f>
        <v>861360.63132999989</v>
      </c>
      <c r="AK32" s="80">
        <f>'Rate Impacts - Rev Req ONLY'!O32</f>
        <v>861360.63132999989</v>
      </c>
      <c r="AL32" s="94">
        <f>SUM('Rev Req Proof Yr2'!AF65:AH65)</f>
        <v>17230.849550000014</v>
      </c>
      <c r="AM32" s="83">
        <f t="shared" si="29"/>
        <v>2.0004222300471754E-2</v>
      </c>
      <c r="AN32" s="95">
        <f>SUM('Temps Proof'!AI65:AK65)</f>
        <v>0</v>
      </c>
      <c r="AO32" s="83">
        <f t="shared" si="16"/>
        <v>0</v>
      </c>
      <c r="AP32" s="84">
        <f t="shared" si="17"/>
        <v>0</v>
      </c>
      <c r="AQ32" s="95">
        <f>SUM('Temps Proof'!AM65:AO65)</f>
        <v>-6715.2289000000001</v>
      </c>
      <c r="AR32" s="83">
        <f t="shared" si="18"/>
        <v>-7.6431755214311963E-3</v>
      </c>
      <c r="AS32" s="84">
        <f t="shared" si="19"/>
        <v>-7.6431755214311963E-3</v>
      </c>
      <c r="AT32" s="94">
        <f>SUM('Temps Proof'!AQ65:AS65)</f>
        <v>-700.81233000000009</v>
      </c>
      <c r="AU32" s="83">
        <f t="shared" si="20"/>
        <v>-7.9765436525524279E-4</v>
      </c>
      <c r="AV32" s="84">
        <f t="shared" si="21"/>
        <v>-7.9765436525524279E-4</v>
      </c>
      <c r="AW32" s="1510">
        <f t="shared" si="22"/>
        <v>17230.849550000014</v>
      </c>
      <c r="AX32" s="1514">
        <f t="shared" si="22"/>
        <v>2.0004222300471754E-2</v>
      </c>
      <c r="AY32" s="1510">
        <f t="shared" si="23"/>
        <v>14277.919120000013</v>
      </c>
      <c r="AZ32" s="1356">
        <f t="shared" si="24"/>
        <v>1.6576006147336831E-2</v>
      </c>
      <c r="BA32" s="80">
        <f t="shared" si="25"/>
        <v>878591.48087999993</v>
      </c>
      <c r="BB32" s="80">
        <f t="shared" si="1"/>
        <v>875638.55044999986</v>
      </c>
      <c r="BC32" s="82">
        <f t="shared" si="2"/>
        <v>2.0004222300471788E-2</v>
      </c>
      <c r="BD32" s="83">
        <f t="shared" si="2"/>
        <v>1.6576006147336789E-2</v>
      </c>
      <c r="BE32" s="84">
        <f>'Avg Bill by RS'!BG65</f>
        <v>1.2E-2</v>
      </c>
    </row>
    <row r="33" spans="1:57" x14ac:dyDescent="0.3">
      <c r="B33" s="279">
        <v>17</v>
      </c>
      <c r="C33" s="767" t="s">
        <v>350</v>
      </c>
      <c r="D33" s="79">
        <f>'Rate Impacts - Rev Req ONLY'!D33</f>
        <v>160512.61187958997</v>
      </c>
      <c r="E33" s="80">
        <f>'Rate Impacts - Rev Req ONLY'!E33</f>
        <v>430728.61187958985</v>
      </c>
      <c r="F33" s="94">
        <f>SUM('Rev Req Proof Yr1'!AF72:AH72)</f>
        <v>18359.480149999996</v>
      </c>
      <c r="G33" s="84">
        <f t="shared" si="26"/>
        <v>0.1143802965699202</v>
      </c>
      <c r="H33" s="94">
        <f>SUM('Rev Req Proof Yr1'!AM72:AO72)</f>
        <v>-1501.3931600000001</v>
      </c>
      <c r="I33" s="83">
        <f t="shared" si="3"/>
        <v>-9.3537395125454954E-3</v>
      </c>
      <c r="J33" s="95">
        <f>SUM('Temps Proof'!W72:Y72)</f>
        <v>-2684.9657399999996</v>
      </c>
      <c r="K33" s="83">
        <f t="shared" si="4"/>
        <v>-5.9987612383948404E-3</v>
      </c>
      <c r="L33" s="83">
        <f t="shared" si="5"/>
        <v>-1.5010534676118388E-2</v>
      </c>
      <c r="M33" s="95">
        <f>SUM('Temps Proof'!Y72:AA72)</f>
        <v>-1428.40164</v>
      </c>
      <c r="N33" s="83">
        <f t="shared" si="6"/>
        <v>-3.1913406801576628E-3</v>
      </c>
      <c r="O33" s="84">
        <f t="shared" si="7"/>
        <v>-7.9856037003453086E-3</v>
      </c>
      <c r="P33" s="1153">
        <f>SUM('Temps Proof'!AE72:AG72)</f>
        <v>503.68345000000005</v>
      </c>
      <c r="Q33" s="83">
        <f t="shared" si="8"/>
        <v>1.1253315866447467E-3</v>
      </c>
      <c r="R33" s="84">
        <f t="shared" si="9"/>
        <v>2.8158861691888644E-3</v>
      </c>
      <c r="S33" s="1539">
        <f t="shared" si="10"/>
        <v>16858.086989999996</v>
      </c>
      <c r="T33" s="1341">
        <f t="shared" si="11"/>
        <v>0.10502655705737471</v>
      </c>
      <c r="U33" s="1342">
        <f t="shared" si="12"/>
        <v>13248.403059999997</v>
      </c>
      <c r="V33" s="1343">
        <f t="shared" si="13"/>
        <v>3.0758121691028008E-2</v>
      </c>
      <c r="W33" s="80">
        <f t="shared" si="14"/>
        <v>177370.69886958995</v>
      </c>
      <c r="X33" s="80">
        <f t="shared" si="15"/>
        <v>443977.01493958983</v>
      </c>
      <c r="Y33" s="82">
        <f t="shared" si="0"/>
        <v>0.10502655705737461</v>
      </c>
      <c r="Z33" s="83">
        <f t="shared" si="0"/>
        <v>3.0758121691027974E-2</v>
      </c>
      <c r="AA33" s="84">
        <f>'Avg Bill by RS'!AK72</f>
        <v>0.316</v>
      </c>
      <c r="AB33" s="83"/>
      <c r="AC33" s="83"/>
      <c r="AD33" s="83"/>
      <c r="AE33" s="83"/>
      <c r="AF33" s="83"/>
      <c r="AG33" s="83"/>
      <c r="AH33" s="279">
        <v>17</v>
      </c>
      <c r="AI33" s="1257" t="s">
        <v>350</v>
      </c>
      <c r="AJ33" s="1049">
        <f>'Rate Impacts - Rev Req ONLY'!N33</f>
        <v>177370.69886958995</v>
      </c>
      <c r="AK33" s="80">
        <f>'Rate Impacts - Rev Req ONLY'!O33</f>
        <v>447586.69886958989</v>
      </c>
      <c r="AL33" s="94">
        <f>SUM('Rev Req Proof Yr2'!AF72:AH72)</f>
        <v>10182.187340000004</v>
      </c>
      <c r="AM33" s="83">
        <f t="shared" si="29"/>
        <v>5.7406253709843903E-2</v>
      </c>
      <c r="AN33" s="95">
        <f>SUM('Temps Proof'!AI72:AK72)</f>
        <v>-2684.9657399999996</v>
      </c>
      <c r="AO33" s="83">
        <f t="shared" si="16"/>
        <v>-5.8653303465685648E-3</v>
      </c>
      <c r="AP33" s="84">
        <f t="shared" si="17"/>
        <v>-1.4315779374355008E-2</v>
      </c>
      <c r="AQ33" s="95">
        <f>SUM('Temps Proof'!AM72:AO72)</f>
        <v>-1433.0767499999997</v>
      </c>
      <c r="AR33" s="83">
        <f t="shared" si="18"/>
        <v>-3.1305682696483312E-3</v>
      </c>
      <c r="AS33" s="84">
        <f t="shared" si="19"/>
        <v>-7.6409208035249296E-3</v>
      </c>
      <c r="AT33" s="94">
        <f>SUM('Temps Proof'!AQ72:AS72)</f>
        <v>-145.98303999999999</v>
      </c>
      <c r="AU33" s="83">
        <f t="shared" si="20"/>
        <v>-3.1890118441374698E-4</v>
      </c>
      <c r="AV33" s="84">
        <f t="shared" si="21"/>
        <v>-7.7835667021868297E-4</v>
      </c>
      <c r="AW33" s="1510">
        <f t="shared" si="22"/>
        <v>10182.187340000004</v>
      </c>
      <c r="AX33" s="1514">
        <f t="shared" si="22"/>
        <v>5.7406253709843903E-2</v>
      </c>
      <c r="AY33" s="1510">
        <f t="shared" si="23"/>
        <v>9527.8457400000043</v>
      </c>
      <c r="AZ33" s="1356">
        <f t="shared" si="24"/>
        <v>2.1287151213526263E-2</v>
      </c>
      <c r="BA33" s="80">
        <f t="shared" si="25"/>
        <v>187552.88620958995</v>
      </c>
      <c r="BB33" s="80">
        <f t="shared" si="1"/>
        <v>457114.54460958991</v>
      </c>
      <c r="BC33" s="82">
        <f t="shared" si="2"/>
        <v>5.7406253709843903E-2</v>
      </c>
      <c r="BD33" s="83">
        <f t="shared" si="2"/>
        <v>2.1287151213526295E-2</v>
      </c>
      <c r="BE33" s="84">
        <f>'Avg Bill by RS'!BG72</f>
        <v>0.35599999999999998</v>
      </c>
    </row>
    <row r="34" spans="1:57" x14ac:dyDescent="0.3">
      <c r="B34" s="279">
        <v>18</v>
      </c>
      <c r="C34" s="767" t="s">
        <v>351</v>
      </c>
      <c r="D34" s="79">
        <f>'Rate Impacts - Rev Req ONLY'!D34</f>
        <v>81130.03459599179</v>
      </c>
      <c r="E34" s="80">
        <f>'Rate Impacts - Rev Req ONLY'!E34</f>
        <v>171731.03459599178</v>
      </c>
      <c r="F34" s="94">
        <f>SUM('Rev Req Proof Yr1'!AF79:AH79)</f>
        <v>4479.9151999999995</v>
      </c>
      <c r="G34" s="84">
        <f t="shared" si="26"/>
        <v>5.5218948473384835E-2</v>
      </c>
      <c r="H34" s="94">
        <f>SUM('Rev Req Proof Yr1'!AM79:AO79)</f>
        <v>-760.61590000000001</v>
      </c>
      <c r="I34" s="83">
        <f t="shared" si="3"/>
        <v>-9.3752690207478118E-3</v>
      </c>
      <c r="J34" s="95">
        <f>SUM('Temps Proof'!W79:Y79)</f>
        <v>0</v>
      </c>
      <c r="K34" s="83">
        <f t="shared" si="4"/>
        <v>0</v>
      </c>
      <c r="L34" s="83">
        <f t="shared" si="5"/>
        <v>0</v>
      </c>
      <c r="M34" s="95">
        <f>SUM('Temps Proof'!Y79:AA79)</f>
        <v>-683.13480000000004</v>
      </c>
      <c r="N34" s="83">
        <f t="shared" si="6"/>
        <v>-3.8936078651464257E-3</v>
      </c>
      <c r="O34" s="84">
        <f t="shared" si="7"/>
        <v>-7.9796192104762097E-3</v>
      </c>
      <c r="P34" s="1153">
        <f>SUM('Temps Proof'!AE79:AG79)</f>
        <v>240.36880000000002</v>
      </c>
      <c r="Q34" s="83">
        <f t="shared" si="8"/>
        <v>1.3700105019035895E-3</v>
      </c>
      <c r="R34" s="84">
        <f t="shared" si="9"/>
        <v>2.8077203709708743E-3</v>
      </c>
      <c r="S34" s="1539">
        <f t="shared" si="10"/>
        <v>3719.2992999999997</v>
      </c>
      <c r="T34" s="1341">
        <f t="shared" si="11"/>
        <v>4.5843679452637023E-2</v>
      </c>
      <c r="U34" s="1342">
        <f t="shared" si="12"/>
        <v>3276.5333000000001</v>
      </c>
      <c r="V34" s="1343">
        <f t="shared" si="13"/>
        <v>1.9079447740521997E-2</v>
      </c>
      <c r="W34" s="80">
        <f t="shared" si="14"/>
        <v>84849.333895991789</v>
      </c>
      <c r="X34" s="80">
        <f t="shared" si="15"/>
        <v>175007.56789599179</v>
      </c>
      <c r="Y34" s="82">
        <f t="shared" si="0"/>
        <v>4.5843679452637009E-2</v>
      </c>
      <c r="Z34" s="83">
        <f t="shared" si="0"/>
        <v>1.9079447740522053E-2</v>
      </c>
      <c r="AA34" s="84">
        <f>'Avg Bill by RS'!AK79</f>
        <v>0.26100000000000001</v>
      </c>
      <c r="AB34" s="83"/>
      <c r="AC34" s="83"/>
      <c r="AD34" s="83"/>
      <c r="AE34" s="83"/>
      <c r="AF34" s="83"/>
      <c r="AG34" s="83"/>
      <c r="AH34" s="279">
        <v>18</v>
      </c>
      <c r="AI34" s="1257" t="s">
        <v>351</v>
      </c>
      <c r="AJ34" s="1049">
        <f>'Rate Impacts - Rev Req ONLY'!N34</f>
        <v>84849.333895991789</v>
      </c>
      <c r="AK34" s="80">
        <f>'Rate Impacts - Rev Req ONLY'!O34</f>
        <v>175450.33389599176</v>
      </c>
      <c r="AL34" s="94">
        <f>SUM('Rev Req Proof Yr2'!AF79:AH79)</f>
        <v>1696.7766999999985</v>
      </c>
      <c r="AM34" s="83">
        <f t="shared" si="29"/>
        <v>1.9997525284994051E-2</v>
      </c>
      <c r="AN34" s="95">
        <f>SUM('Temps Proof'!AI79:AK79)</f>
        <v>0</v>
      </c>
      <c r="AO34" s="83">
        <f t="shared" si="16"/>
        <v>0</v>
      </c>
      <c r="AP34" s="84">
        <f t="shared" si="17"/>
        <v>0</v>
      </c>
      <c r="AQ34" s="95">
        <f>SUM('Temps Proof'!AM79:AO79)</f>
        <v>-660.98469999999998</v>
      </c>
      <c r="AR34" s="83">
        <f t="shared" si="18"/>
        <v>-3.7312756486752195E-3</v>
      </c>
      <c r="AS34" s="84">
        <f t="shared" si="19"/>
        <v>-7.6373703618590125E-3</v>
      </c>
      <c r="AT34" s="94">
        <f>SUM('Temps Proof'!AQ79:AS79)</f>
        <v>-66.420800000000014</v>
      </c>
      <c r="AU34" s="83">
        <f t="shared" si="20"/>
        <v>-3.7494712601596843E-4</v>
      </c>
      <c r="AV34" s="84">
        <f t="shared" si="21"/>
        <v>-7.6746140921410931E-4</v>
      </c>
      <c r="AW34" s="1510">
        <f t="shared" si="22"/>
        <v>1696.7766999999985</v>
      </c>
      <c r="AX34" s="1514">
        <f t="shared" si="22"/>
        <v>1.9997525284994051E-2</v>
      </c>
      <c r="AY34" s="1510">
        <f t="shared" si="23"/>
        <v>1412.1371999999985</v>
      </c>
      <c r="AZ34" s="1356">
        <f t="shared" si="24"/>
        <v>8.0486435599325997E-3</v>
      </c>
      <c r="BA34" s="80">
        <f t="shared" si="25"/>
        <v>86546.110595991791</v>
      </c>
      <c r="BB34" s="80">
        <f t="shared" si="1"/>
        <v>176862.47109599176</v>
      </c>
      <c r="BC34" s="82">
        <f t="shared" si="2"/>
        <v>1.9997525284994093E-2</v>
      </c>
      <c r="BD34" s="83">
        <f t="shared" si="2"/>
        <v>8.0486435599325945E-3</v>
      </c>
      <c r="BE34" s="84">
        <f>'Avg Bill by RS'!BG79</f>
        <v>0.317</v>
      </c>
    </row>
    <row r="35" spans="1:57" x14ac:dyDescent="0.3">
      <c r="B35" s="279">
        <v>19</v>
      </c>
      <c r="C35" s="767" t="s">
        <v>353</v>
      </c>
      <c r="D35" s="79">
        <f>'Rate Impacts - Rev Req ONLY'!D35</f>
        <v>0</v>
      </c>
      <c r="E35" s="80">
        <f>'Rate Impacts - Rev Req ONLY'!E35</f>
        <v>0</v>
      </c>
      <c r="F35" s="94">
        <f>SUM('Rev Req Proof Yr1'!AF86:AH86)</f>
        <v>0</v>
      </c>
      <c r="G35" s="84">
        <f>IFERROR((F35/D35),0)</f>
        <v>0</v>
      </c>
      <c r="H35" s="94">
        <f>SUM('Rev Req Proof Yr1'!AM86:AO86)</f>
        <v>0</v>
      </c>
      <c r="I35" s="83">
        <f t="shared" si="3"/>
        <v>0</v>
      </c>
      <c r="J35" s="95">
        <f>SUM('Temps Proof'!W86:Y86)</f>
        <v>0</v>
      </c>
      <c r="K35" s="83">
        <f t="shared" si="4"/>
        <v>0</v>
      </c>
      <c r="L35" s="83">
        <f t="shared" si="5"/>
        <v>0</v>
      </c>
      <c r="M35" s="95">
        <f>SUM('Temps Proof'!Y86:AA86)</f>
        <v>0</v>
      </c>
      <c r="N35" s="83">
        <f t="shared" si="6"/>
        <v>0</v>
      </c>
      <c r="O35" s="84">
        <f t="shared" si="7"/>
        <v>0</v>
      </c>
      <c r="P35" s="1153">
        <f>SUM('Temps Proof'!AE86:AG86)</f>
        <v>0</v>
      </c>
      <c r="Q35" s="83">
        <f t="shared" si="8"/>
        <v>0</v>
      </c>
      <c r="R35" s="84">
        <f t="shared" si="9"/>
        <v>0</v>
      </c>
      <c r="S35" s="1539">
        <f t="shared" si="10"/>
        <v>0</v>
      </c>
      <c r="T35" s="1341">
        <f t="shared" si="11"/>
        <v>0</v>
      </c>
      <c r="U35" s="1342">
        <f t="shared" si="12"/>
        <v>0</v>
      </c>
      <c r="V35" s="1343">
        <f t="shared" si="13"/>
        <v>0</v>
      </c>
      <c r="W35" s="80">
        <f t="shared" si="14"/>
        <v>0</v>
      </c>
      <c r="X35" s="80">
        <f t="shared" si="15"/>
        <v>0</v>
      </c>
      <c r="Y35" s="82">
        <f t="shared" si="0"/>
        <v>0</v>
      </c>
      <c r="Z35" s="83">
        <f t="shared" si="0"/>
        <v>0</v>
      </c>
      <c r="AA35" s="84">
        <f>'Avg Bill by RS'!AK86</f>
        <v>0</v>
      </c>
      <c r="AB35" s="83"/>
      <c r="AC35" s="83"/>
      <c r="AD35" s="83"/>
      <c r="AE35" s="83"/>
      <c r="AF35" s="83"/>
      <c r="AG35" s="83"/>
      <c r="AH35" s="279">
        <v>19</v>
      </c>
      <c r="AI35" s="1257" t="s">
        <v>353</v>
      </c>
      <c r="AJ35" s="1049">
        <f>'Rate Impacts - Rev Req ONLY'!N35</f>
        <v>0</v>
      </c>
      <c r="AK35" s="80">
        <f>'Rate Impacts - Rev Req ONLY'!O35</f>
        <v>0</v>
      </c>
      <c r="AL35" s="94">
        <f>SUM('Rev Req Proof Yr2'!AF86:AH86)</f>
        <v>0</v>
      </c>
      <c r="AM35" s="83">
        <f>IFERROR((AL35/AJ35),0)</f>
        <v>0</v>
      </c>
      <c r="AN35" s="95">
        <f>SUM('Temps Proof'!AI86:AK86)</f>
        <v>0</v>
      </c>
      <c r="AO35" s="83">
        <f t="shared" si="16"/>
        <v>0</v>
      </c>
      <c r="AP35" s="84">
        <f t="shared" si="17"/>
        <v>0</v>
      </c>
      <c r="AQ35" s="95">
        <f>SUM('Temps Proof'!AM86:AO86)</f>
        <v>0</v>
      </c>
      <c r="AR35" s="83">
        <f t="shared" si="18"/>
        <v>0</v>
      </c>
      <c r="AS35" s="84">
        <f t="shared" si="19"/>
        <v>0</v>
      </c>
      <c r="AT35" s="94">
        <f>SUM('Temps Proof'!AQ86:AS86)</f>
        <v>0</v>
      </c>
      <c r="AU35" s="83">
        <f t="shared" si="20"/>
        <v>0</v>
      </c>
      <c r="AV35" s="84">
        <f t="shared" si="21"/>
        <v>0</v>
      </c>
      <c r="AW35" s="1510">
        <f t="shared" si="22"/>
        <v>0</v>
      </c>
      <c r="AX35" s="1514">
        <f t="shared" si="22"/>
        <v>0</v>
      </c>
      <c r="AY35" s="1510">
        <f t="shared" si="23"/>
        <v>0</v>
      </c>
      <c r="AZ35" s="1356">
        <f t="shared" si="24"/>
        <v>0</v>
      </c>
      <c r="BA35" s="80">
        <f t="shared" si="25"/>
        <v>0</v>
      </c>
      <c r="BB35" s="80">
        <f t="shared" si="1"/>
        <v>0</v>
      </c>
      <c r="BC35" s="82">
        <f t="shared" si="2"/>
        <v>0</v>
      </c>
      <c r="BD35" s="83">
        <f t="shared" si="2"/>
        <v>0</v>
      </c>
      <c r="BE35" s="84">
        <f>'Avg Bill by RS'!BG86</f>
        <v>0</v>
      </c>
    </row>
    <row r="36" spans="1:57" x14ac:dyDescent="0.3">
      <c r="B36" s="279">
        <v>20</v>
      </c>
      <c r="C36" s="767" t="s">
        <v>354</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3"/>
        <v>-9.3673777248485142E-3</v>
      </c>
      <c r="J36" s="95">
        <f>SUM('Temps Proof'!W93:Y93)</f>
        <v>0</v>
      </c>
      <c r="K36" s="83">
        <f t="shared" si="4"/>
        <v>0</v>
      </c>
      <c r="L36" s="83">
        <f t="shared" si="5"/>
        <v>0</v>
      </c>
      <c r="M36" s="95">
        <f>SUM('Temps Proof'!Y93:AA93)</f>
        <v>-6964.8609200000001</v>
      </c>
      <c r="N36" s="83">
        <f t="shared" si="6"/>
        <v>-8.067348952806766E-3</v>
      </c>
      <c r="O36" s="84">
        <f t="shared" si="7"/>
        <v>-7.9957343842857707E-3</v>
      </c>
      <c r="P36" s="1153">
        <f>SUM('Temps Proof'!AE93:AG93)</f>
        <v>2437.8116799999998</v>
      </c>
      <c r="Q36" s="83">
        <f t="shared" si="8"/>
        <v>2.8236999603702211E-3</v>
      </c>
      <c r="R36" s="84">
        <f t="shared" si="9"/>
        <v>2.7986337266573099E-3</v>
      </c>
      <c r="S36" s="1539">
        <f>SUM(F36,H36)</f>
        <v>37859.415490000014</v>
      </c>
      <c r="T36" s="1341">
        <f t="shared" si="11"/>
        <v>4.5863512299257295E-2</v>
      </c>
      <c r="U36" s="1342">
        <f t="shared" si="12"/>
        <v>33332.366250000014</v>
      </c>
      <c r="V36" s="1343">
        <f t="shared" si="13"/>
        <v>4.0379371146763154E-2</v>
      </c>
      <c r="W36" s="80">
        <f t="shared" si="14"/>
        <v>863339.48869000003</v>
      </c>
      <c r="X36" s="80">
        <f>E36+U36</f>
        <v>858812.43944999995</v>
      </c>
      <c r="Y36" s="82">
        <f t="shared" si="0"/>
        <v>4.5863512299257336E-2</v>
      </c>
      <c r="Z36" s="83">
        <f t="shared" si="0"/>
        <v>4.0379371146763092E-2</v>
      </c>
      <c r="AA36" s="84">
        <f>'Avg Bill by RS'!AK93</f>
        <v>4.7E-2</v>
      </c>
      <c r="AB36" s="83"/>
      <c r="AC36" s="83"/>
      <c r="AD36" s="83"/>
      <c r="AE36" s="83"/>
      <c r="AF36" s="83"/>
      <c r="AG36" s="83"/>
      <c r="AH36" s="279">
        <v>20</v>
      </c>
      <c r="AI36" s="1257" t="s">
        <v>354</v>
      </c>
      <c r="AJ36" s="1049">
        <f>'Rate Impacts - Rev Req ONLY'!N36</f>
        <v>863339.48868999991</v>
      </c>
      <c r="AK36" s="80">
        <f>'Rate Impacts - Rev Req ONLY'!O36</f>
        <v>863339.48868999991</v>
      </c>
      <c r="AL36" s="94">
        <f>SUM('Rev Req Proof Yr2'!AF93:AH93)</f>
        <v>17271.723759999964</v>
      </c>
      <c r="AM36" s="83">
        <f>IFERROR((AL36/AJ36),0)</f>
        <v>2.0005715001183894E-2</v>
      </c>
      <c r="AN36" s="95">
        <f>SUM('Temps Proof'!AI93:AK93)</f>
        <v>0</v>
      </c>
      <c r="AO36" s="83">
        <f t="shared" si="16"/>
        <v>0</v>
      </c>
      <c r="AP36" s="84">
        <f t="shared" si="17"/>
        <v>0</v>
      </c>
      <c r="AQ36" s="95">
        <f>SUM('Temps Proof'!AM93:AO93)</f>
        <v>-6714.4615800000001</v>
      </c>
      <c r="AR36" s="83">
        <f t="shared" si="18"/>
        <v>-7.6247741171944702E-3</v>
      </c>
      <c r="AS36" s="84">
        <f t="shared" si="19"/>
        <v>-7.6247741171944702E-3</v>
      </c>
      <c r="AT36" s="94">
        <f>SUM('Temps Proof'!AQ93:AS93)</f>
        <v>-678.94928000000004</v>
      </c>
      <c r="AU36" s="83">
        <f t="shared" si="20"/>
        <v>-7.7099776882360563E-4</v>
      </c>
      <c r="AV36" s="84">
        <f t="shared" si="21"/>
        <v>-7.7099776882360563E-4</v>
      </c>
      <c r="AW36" s="1510">
        <f t="shared" si="22"/>
        <v>17271.723759999964</v>
      </c>
      <c r="AX36" s="1514">
        <f t="shared" si="22"/>
        <v>2.0005715001183894E-2</v>
      </c>
      <c r="AY36" s="1510">
        <f t="shared" si="23"/>
        <v>14405.362139999965</v>
      </c>
      <c r="AZ36" s="1356">
        <f t="shared" si="24"/>
        <v>1.6685628688035734E-2</v>
      </c>
      <c r="BA36" s="80">
        <f t="shared" si="25"/>
        <v>880611.21244999988</v>
      </c>
      <c r="BB36" s="80">
        <f t="shared" si="1"/>
        <v>877744.85082999989</v>
      </c>
      <c r="BC36" s="82">
        <f t="shared" si="2"/>
        <v>2.0005715001183894E-2</v>
      </c>
      <c r="BD36" s="83">
        <f t="shared" si="2"/>
        <v>1.6685628688035754E-2</v>
      </c>
      <c r="BE36" s="84">
        <f>'Avg Bill by RS'!BG93</f>
        <v>0.01</v>
      </c>
    </row>
    <row r="37" spans="1:57" x14ac:dyDescent="0.3">
      <c r="B37" s="279">
        <v>21</v>
      </c>
      <c r="C37" s="767" t="s">
        <v>56</v>
      </c>
      <c r="D37" s="79">
        <f>'Rate Impacts - Rev Req ONLY'!D37</f>
        <v>0</v>
      </c>
      <c r="E37" s="80">
        <f>'Rate Impacts - Rev Req ONLY'!E37</f>
        <v>0</v>
      </c>
      <c r="F37" s="94">
        <f>SUM('Rev Req Proof Yr1'!AF94:AH94)</f>
        <v>0</v>
      </c>
      <c r="G37" s="84">
        <f>IFERROR((F37/D37),0)</f>
        <v>0</v>
      </c>
      <c r="H37" s="94">
        <f>SUM('Rev Req Proof Yr1'!AM94:AO94)</f>
        <v>0</v>
      </c>
      <c r="I37" s="83">
        <f t="shared" si="3"/>
        <v>0</v>
      </c>
      <c r="J37" s="95">
        <f>SUM('Temps Proof'!W94:Y94)</f>
        <v>0</v>
      </c>
      <c r="K37" s="83">
        <f t="shared" si="4"/>
        <v>0</v>
      </c>
      <c r="L37" s="83">
        <f t="shared" si="5"/>
        <v>0</v>
      </c>
      <c r="M37" s="95">
        <f>SUM('Temps Proof'!Y94:AA94)</f>
        <v>0</v>
      </c>
      <c r="N37" s="83">
        <f t="shared" si="6"/>
        <v>0</v>
      </c>
      <c r="O37" s="84">
        <f t="shared" si="7"/>
        <v>0</v>
      </c>
      <c r="P37" s="1153">
        <f>SUM('Temps Proof'!AE94:AG94)</f>
        <v>0</v>
      </c>
      <c r="Q37" s="83">
        <f t="shared" si="8"/>
        <v>0</v>
      </c>
      <c r="R37" s="84">
        <f t="shared" si="9"/>
        <v>0</v>
      </c>
      <c r="S37" s="1539">
        <f t="shared" si="10"/>
        <v>0</v>
      </c>
      <c r="T37" s="1341">
        <f t="shared" si="11"/>
        <v>0</v>
      </c>
      <c r="U37" s="1342">
        <f t="shared" si="12"/>
        <v>0</v>
      </c>
      <c r="V37" s="1343">
        <f t="shared" si="13"/>
        <v>0</v>
      </c>
      <c r="W37" s="80">
        <f t="shared" si="14"/>
        <v>0</v>
      </c>
      <c r="X37" s="80">
        <f t="shared" si="15"/>
        <v>0</v>
      </c>
      <c r="Y37" s="82">
        <f t="shared" si="0"/>
        <v>0</v>
      </c>
      <c r="Z37" s="83">
        <f t="shared" si="0"/>
        <v>0</v>
      </c>
      <c r="AA37" s="84">
        <f>'Avg Bill by RS'!AK94</f>
        <v>0</v>
      </c>
      <c r="AB37" s="83"/>
      <c r="AC37" s="83"/>
      <c r="AD37" s="83"/>
      <c r="AE37" s="83"/>
      <c r="AF37" s="83"/>
      <c r="AG37" s="83"/>
      <c r="AH37" s="279">
        <v>21</v>
      </c>
      <c r="AI37" s="1257" t="s">
        <v>56</v>
      </c>
      <c r="AJ37" s="1049">
        <f>'Rate Impacts - Rev Req ONLY'!N37</f>
        <v>0</v>
      </c>
      <c r="AK37" s="80">
        <f>'Rate Impacts - Rev Req ONLY'!O37</f>
        <v>0</v>
      </c>
      <c r="AL37" s="94">
        <f>SUM('Rev Req Proof Yr2'!AF94:AH94)</f>
        <v>0</v>
      </c>
      <c r="AM37" s="83">
        <f>IFERROR((AL37/AJ37),0)</f>
        <v>0</v>
      </c>
      <c r="AN37" s="95">
        <f>SUM('Temps Proof'!AI94:AK94)</f>
        <v>0</v>
      </c>
      <c r="AO37" s="83">
        <f t="shared" si="16"/>
        <v>0</v>
      </c>
      <c r="AP37" s="84">
        <f t="shared" si="17"/>
        <v>0</v>
      </c>
      <c r="AQ37" s="95">
        <f>SUM('Temps Proof'!AM94:AO94)</f>
        <v>0</v>
      </c>
      <c r="AR37" s="83">
        <f t="shared" si="18"/>
        <v>0</v>
      </c>
      <c r="AS37" s="84">
        <f t="shared" si="19"/>
        <v>0</v>
      </c>
      <c r="AT37" s="94">
        <f>SUM('Temps Proof'!AQ94:AS94)</f>
        <v>0</v>
      </c>
      <c r="AU37" s="83">
        <f t="shared" si="20"/>
        <v>0</v>
      </c>
      <c r="AV37" s="84">
        <f t="shared" si="21"/>
        <v>0</v>
      </c>
      <c r="AW37" s="1510">
        <f t="shared" si="22"/>
        <v>0</v>
      </c>
      <c r="AX37" s="1514">
        <f t="shared" si="22"/>
        <v>0</v>
      </c>
      <c r="AY37" s="1510">
        <f t="shared" si="23"/>
        <v>0</v>
      </c>
      <c r="AZ37" s="1356">
        <f t="shared" si="24"/>
        <v>0</v>
      </c>
      <c r="BA37" s="80">
        <f t="shared" si="25"/>
        <v>0</v>
      </c>
      <c r="BB37" s="80">
        <f t="shared" si="1"/>
        <v>0</v>
      </c>
      <c r="BC37" s="82">
        <f t="shared" si="2"/>
        <v>0</v>
      </c>
      <c r="BD37" s="83">
        <f t="shared" si="2"/>
        <v>0</v>
      </c>
      <c r="BE37" s="84">
        <f>'Avg Bill by RS'!BG94</f>
        <v>0</v>
      </c>
    </row>
    <row r="38" spans="1:57" x14ac:dyDescent="0.3">
      <c r="B38" s="279">
        <v>22</v>
      </c>
      <c r="C38" s="767" t="s">
        <v>335</v>
      </c>
      <c r="D38" s="79">
        <f>'Rate Impacts - Rev Req ONLY'!D38</f>
        <v>0</v>
      </c>
      <c r="E38" s="80">
        <f>'Rate Impacts - Rev Req ONLY'!E38</f>
        <v>0</v>
      </c>
      <c r="F38" s="94">
        <f>SUM('Rev Req Proof Yr1'!AF95:AH95)</f>
        <v>0</v>
      </c>
      <c r="G38" s="84">
        <f>IFERROR((F38/D38),0)</f>
        <v>0</v>
      </c>
      <c r="H38" s="94">
        <f>SUM('Rev Req Proof Yr1'!AM95:AO95)</f>
        <v>0</v>
      </c>
      <c r="I38" s="83">
        <f t="shared" si="3"/>
        <v>0</v>
      </c>
      <c r="J38" s="95">
        <f>SUM('Temps Proof'!W95:Y95)</f>
        <v>0</v>
      </c>
      <c r="K38" s="83">
        <f t="shared" si="4"/>
        <v>0</v>
      </c>
      <c r="L38" s="83">
        <f t="shared" si="5"/>
        <v>0</v>
      </c>
      <c r="M38" s="95">
        <f>SUM('Temps Proof'!Y95:AA95)</f>
        <v>0</v>
      </c>
      <c r="N38" s="83">
        <f t="shared" si="6"/>
        <v>0</v>
      </c>
      <c r="O38" s="84">
        <f t="shared" si="7"/>
        <v>0</v>
      </c>
      <c r="P38" s="1153">
        <f>SUM('Temps Proof'!AE95:AG95)</f>
        <v>0</v>
      </c>
      <c r="Q38" s="83">
        <f t="shared" si="8"/>
        <v>0</v>
      </c>
      <c r="R38" s="84">
        <f t="shared" si="9"/>
        <v>0</v>
      </c>
      <c r="S38" s="1539">
        <f t="shared" si="10"/>
        <v>0</v>
      </c>
      <c r="T38" s="1341">
        <f t="shared" si="11"/>
        <v>0</v>
      </c>
      <c r="U38" s="1342">
        <f t="shared" si="12"/>
        <v>0</v>
      </c>
      <c r="V38" s="1343">
        <f t="shared" si="13"/>
        <v>0</v>
      </c>
      <c r="W38" s="80">
        <f t="shared" si="14"/>
        <v>0</v>
      </c>
      <c r="X38" s="80">
        <f t="shared" si="15"/>
        <v>0</v>
      </c>
      <c r="Y38" s="82">
        <f t="shared" si="0"/>
        <v>0</v>
      </c>
      <c r="Z38" s="83">
        <f t="shared" si="0"/>
        <v>0</v>
      </c>
      <c r="AA38" s="84">
        <f>'Avg Bill by RS'!AK95</f>
        <v>0</v>
      </c>
      <c r="AB38" s="83"/>
      <c r="AC38" s="83"/>
      <c r="AD38" s="83"/>
      <c r="AE38" s="83"/>
      <c r="AF38" s="83"/>
      <c r="AG38" s="83"/>
      <c r="AH38" s="279">
        <v>22</v>
      </c>
      <c r="AI38" s="1257" t="s">
        <v>335</v>
      </c>
      <c r="AJ38" s="1049">
        <f>'Rate Impacts - Rev Req ONLY'!N38</f>
        <v>0</v>
      </c>
      <c r="AK38" s="80">
        <f>'Rate Impacts - Rev Req ONLY'!O38</f>
        <v>0</v>
      </c>
      <c r="AL38" s="94">
        <f>SUM('Rev Req Proof Yr2'!AF95:AH95)</f>
        <v>0</v>
      </c>
      <c r="AM38" s="83">
        <f>IFERROR((AL38/AJ38),0)</f>
        <v>0</v>
      </c>
      <c r="AN38" s="95">
        <f>SUM('Temps Proof'!AI95:AK95)</f>
        <v>0</v>
      </c>
      <c r="AO38" s="83">
        <f t="shared" si="16"/>
        <v>0</v>
      </c>
      <c r="AP38" s="84">
        <f t="shared" si="17"/>
        <v>0</v>
      </c>
      <c r="AQ38" s="95">
        <f>SUM('Temps Proof'!AM95:AO95)</f>
        <v>0</v>
      </c>
      <c r="AR38" s="83">
        <f t="shared" si="18"/>
        <v>0</v>
      </c>
      <c r="AS38" s="84">
        <f t="shared" si="19"/>
        <v>0</v>
      </c>
      <c r="AT38" s="94">
        <f>SUM('Temps Proof'!AQ95:AS95)</f>
        <v>0</v>
      </c>
      <c r="AU38" s="83">
        <f t="shared" si="20"/>
        <v>0</v>
      </c>
      <c r="AV38" s="84">
        <f t="shared" si="21"/>
        <v>0</v>
      </c>
      <c r="AW38" s="1510">
        <f t="shared" si="22"/>
        <v>0</v>
      </c>
      <c r="AX38" s="1514">
        <f t="shared" si="22"/>
        <v>0</v>
      </c>
      <c r="AY38" s="1510">
        <f t="shared" si="23"/>
        <v>0</v>
      </c>
      <c r="AZ38" s="1356">
        <f t="shared" si="24"/>
        <v>0</v>
      </c>
      <c r="BA38" s="80">
        <f t="shared" si="25"/>
        <v>0</v>
      </c>
      <c r="BB38" s="80">
        <f t="shared" si="1"/>
        <v>0</v>
      </c>
      <c r="BC38" s="82">
        <f t="shared" si="2"/>
        <v>0</v>
      </c>
      <c r="BD38" s="83">
        <f t="shared" si="2"/>
        <v>0</v>
      </c>
      <c r="BE38" s="84">
        <f>'Avg Bill by RS'!BG95</f>
        <v>0</v>
      </c>
    </row>
    <row r="39" spans="1:57" x14ac:dyDescent="0.3">
      <c r="B39" s="279">
        <v>23</v>
      </c>
      <c r="C39" s="767" t="s">
        <v>373</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3"/>
        <v>0</v>
      </c>
      <c r="J39" s="95">
        <f>SUM('Temps Proof'!W96:Y96)</f>
        <v>0</v>
      </c>
      <c r="K39" s="83">
        <f t="shared" si="4"/>
        <v>0</v>
      </c>
      <c r="L39" s="83">
        <f t="shared" si="5"/>
        <v>0</v>
      </c>
      <c r="M39" s="95">
        <f>SUM('Temps Proof'!Y96:AA96)</f>
        <v>0</v>
      </c>
      <c r="N39" s="83">
        <f t="shared" si="6"/>
        <v>0</v>
      </c>
      <c r="O39" s="84">
        <f t="shared" si="7"/>
        <v>0</v>
      </c>
      <c r="P39" s="1153">
        <f>SUM('Temps Proof'!AE96:AG96)</f>
        <v>0</v>
      </c>
      <c r="Q39" s="83">
        <f t="shared" si="8"/>
        <v>0</v>
      </c>
      <c r="R39" s="84">
        <f t="shared" si="9"/>
        <v>0</v>
      </c>
      <c r="S39" s="1539">
        <f>SUM(F39,H39)</f>
        <v>0</v>
      </c>
      <c r="T39" s="1341">
        <f t="shared" si="11"/>
        <v>0</v>
      </c>
      <c r="U39" s="1342">
        <f t="shared" si="12"/>
        <v>0</v>
      </c>
      <c r="V39" s="1343">
        <f t="shared" si="13"/>
        <v>0</v>
      </c>
      <c r="W39" s="80">
        <f t="shared" si="14"/>
        <v>242994.60207180592</v>
      </c>
      <c r="X39" s="80">
        <f t="shared" si="15"/>
        <v>242994.60207180592</v>
      </c>
      <c r="Y39" s="82">
        <f t="shared" si="0"/>
        <v>0</v>
      </c>
      <c r="Z39" s="83">
        <f t="shared" si="0"/>
        <v>0</v>
      </c>
      <c r="AA39" s="84">
        <f>'Avg Bill by RS'!AK96</f>
        <v>0</v>
      </c>
      <c r="AB39" s="83"/>
      <c r="AC39" s="83"/>
      <c r="AD39" s="83"/>
      <c r="AE39" s="83"/>
      <c r="AF39" s="83"/>
      <c r="AG39" s="83"/>
      <c r="AH39" s="279">
        <v>23</v>
      </c>
      <c r="AI39" s="1257" t="s">
        <v>373</v>
      </c>
      <c r="AJ39" s="1049">
        <f>'Rate Impacts - Rev Req ONLY'!N39</f>
        <v>242994.60207180592</v>
      </c>
      <c r="AK39" s="80">
        <f>'Rate Impacts - Rev Req ONLY'!O39</f>
        <v>242994.60207180592</v>
      </c>
      <c r="AL39" s="94">
        <f>SUM('Rev Req Proof Yr2'!AF96:AH96)</f>
        <v>0</v>
      </c>
      <c r="AM39" s="83">
        <f>IFERROR((AL39/AJ39),0)</f>
        <v>0</v>
      </c>
      <c r="AN39" s="95">
        <f>SUM('Temps Proof'!AI96:AK96)</f>
        <v>0</v>
      </c>
      <c r="AO39" s="83">
        <f t="shared" si="16"/>
        <v>0</v>
      </c>
      <c r="AP39" s="84">
        <f t="shared" si="17"/>
        <v>0</v>
      </c>
      <c r="AQ39" s="95">
        <f>SUM('Temps Proof'!AM96:AO96)</f>
        <v>0</v>
      </c>
      <c r="AR39" s="83">
        <f t="shared" si="18"/>
        <v>0</v>
      </c>
      <c r="AS39" s="84">
        <f t="shared" si="19"/>
        <v>0</v>
      </c>
      <c r="AT39" s="94">
        <f>SUM('Temps Proof'!AQ96:AS96)</f>
        <v>0</v>
      </c>
      <c r="AU39" s="83">
        <f t="shared" si="20"/>
        <v>0</v>
      </c>
      <c r="AV39" s="84">
        <f t="shared" si="21"/>
        <v>0</v>
      </c>
      <c r="AW39" s="1510">
        <f t="shared" si="22"/>
        <v>0</v>
      </c>
      <c r="AX39" s="1514">
        <f t="shared" si="22"/>
        <v>0</v>
      </c>
      <c r="AY39" s="1510">
        <f t="shared" si="23"/>
        <v>0</v>
      </c>
      <c r="AZ39" s="1356">
        <f t="shared" si="24"/>
        <v>0</v>
      </c>
      <c r="BA39" s="80">
        <f t="shared" si="25"/>
        <v>242994.60207180592</v>
      </c>
      <c r="BB39" s="80">
        <f t="shared" si="1"/>
        <v>242994.60207180592</v>
      </c>
      <c r="BC39" s="82">
        <f t="shared" si="2"/>
        <v>0</v>
      </c>
      <c r="BD39" s="83">
        <f t="shared" si="2"/>
        <v>0</v>
      </c>
      <c r="BE39" s="84">
        <f>'Avg Bill by RS'!BG96</f>
        <v>0</v>
      </c>
    </row>
    <row r="40" spans="1:57" ht="13.5" thickBot="1" x14ac:dyDescent="0.35">
      <c r="B40" s="52"/>
      <c r="C40" s="86"/>
      <c r="D40" s="53"/>
      <c r="E40" s="53"/>
      <c r="F40" s="52"/>
      <c r="G40" s="994"/>
      <c r="H40" s="52"/>
      <c r="I40" s="995"/>
      <c r="J40" s="996"/>
      <c r="K40" s="1174"/>
      <c r="L40" s="1174"/>
      <c r="M40" s="996"/>
      <c r="N40" s="1174"/>
      <c r="O40" s="997"/>
      <c r="P40" s="1154"/>
      <c r="Q40" s="1174"/>
      <c r="R40" s="997"/>
      <c r="S40" s="1344"/>
      <c r="T40" s="1344"/>
      <c r="U40" s="1344"/>
      <c r="V40" s="1345"/>
      <c r="W40" s="53"/>
      <c r="X40" s="53"/>
      <c r="Y40" s="1008"/>
      <c r="Z40" s="1009"/>
      <c r="AA40" s="1010"/>
      <c r="AB40" s="1276"/>
      <c r="AC40" s="1276"/>
      <c r="AD40" s="1276"/>
      <c r="AE40" s="1276"/>
      <c r="AF40" s="1276"/>
      <c r="AG40" s="1276"/>
      <c r="AH40" s="52"/>
      <c r="AI40" s="1259"/>
      <c r="AJ40" s="52"/>
      <c r="AK40" s="53"/>
      <c r="AL40" s="52"/>
      <c r="AM40" s="995"/>
      <c r="AN40" s="1493"/>
      <c r="AO40" s="995"/>
      <c r="AP40" s="994"/>
      <c r="AQ40" s="1493"/>
      <c r="AR40" s="995"/>
      <c r="AS40" s="994"/>
      <c r="AT40" s="52"/>
      <c r="AU40" s="995"/>
      <c r="AV40" s="994"/>
      <c r="AW40" s="1518"/>
      <c r="AX40" s="1518"/>
      <c r="AY40" s="1511"/>
      <c r="AZ40" s="1357"/>
      <c r="BA40" s="53"/>
      <c r="BB40" s="53"/>
      <c r="BC40" s="1008"/>
      <c r="BD40" s="1009"/>
      <c r="BE40" s="1010"/>
    </row>
    <row r="41" spans="1:57" s="91" customFormat="1" x14ac:dyDescent="0.3">
      <c r="A41" s="55"/>
      <c r="B41" s="989"/>
      <c r="C41" s="1364" t="s">
        <v>32</v>
      </c>
      <c r="D41" s="982">
        <f>SUM(D17:D39)</f>
        <v>49604902.662138224</v>
      </c>
      <c r="E41" s="983">
        <f>SUM(E17:E39)</f>
        <v>78333454.662138224</v>
      </c>
      <c r="F41" s="1140">
        <f>SUM(F17:F39)</f>
        <v>5462264.5776675073</v>
      </c>
      <c r="G41" s="987">
        <f>IFERROR((F41/(D41-D39)),0)</f>
        <v>0.11065748453282456</v>
      </c>
      <c r="H41" s="983">
        <f>SUM(H17:H39)</f>
        <v>-462278.66210878297</v>
      </c>
      <c r="I41" s="1384">
        <f>IFERROR((H41/(D41-D39)),0)</f>
        <v>-9.3650889983072708E-3</v>
      </c>
      <c r="J41" s="1001">
        <f>SUM(J17:J39)</f>
        <v>-770801.0344698329</v>
      </c>
      <c r="K41" s="986">
        <f>IFERROR((J41/(E41-E39+F41+H41)),0)</f>
        <v>-9.2766505874327596E-3</v>
      </c>
      <c r="L41" s="986">
        <f>IFERROR((J41/(D41-D39+F41)),0)</f>
        <v>-1.4059510565952662E-2</v>
      </c>
      <c r="M41" s="1001">
        <f>SUM(M17:M39)</f>
        <v>-437544.81737369846</v>
      </c>
      <c r="N41" s="986">
        <f>IFERROR((M41/(E41-E39+F41+H41)),0)</f>
        <v>-5.2658860141640553E-3</v>
      </c>
      <c r="O41" s="987">
        <f>IFERROR((M41/(D41-D39+F41)),0)</f>
        <v>-7.980874061974421E-3</v>
      </c>
      <c r="P41" s="1141">
        <f>SUM(P17:P39)</f>
        <v>154321.70340641376</v>
      </c>
      <c r="Q41" s="986">
        <f>IFERROR((P41/(E41-E39+F41+H41)),0)</f>
        <v>1.8572737406137468E-3</v>
      </c>
      <c r="R41" s="987"/>
      <c r="S41" s="1346">
        <f>SUM(S17:S39)</f>
        <v>4999985.91555872</v>
      </c>
      <c r="T41" s="1347">
        <f>IFERROR((S41)/(D41-D39),0)</f>
        <v>0.1012923955345172</v>
      </c>
      <c r="U41" s="1348">
        <f>SUM(U17:U39)</f>
        <v>3945961.7671216042</v>
      </c>
      <c r="V41" s="1349">
        <f>IFERROR((U41)/(E41-E39),0)</f>
        <v>5.0530650787386951E-2</v>
      </c>
      <c r="W41" s="988">
        <f>SUM(W17:W39)</f>
        <v>54604888.577696949</v>
      </c>
      <c r="X41" s="1046">
        <f>SUM(X17:X39)</f>
        <v>82279416.429259822</v>
      </c>
      <c r="Y41" s="985">
        <f>IFERROR(SUM((W41-W39)-SUM(D41-D39))/SUM(D41-D39),0)</f>
        <v>0.10129239553451731</v>
      </c>
      <c r="Z41" s="986">
        <f>IFERROR(SUM((X41-X39)-SUM(E41-E39))/SUM(E41-E39),0)</f>
        <v>5.0530650787386874E-2</v>
      </c>
      <c r="AA41" s="987"/>
      <c r="AB41" s="1237"/>
      <c r="AC41" s="1237"/>
      <c r="AD41" s="1237"/>
      <c r="AE41" s="1237"/>
      <c r="AF41" s="1237"/>
      <c r="AG41" s="1237"/>
      <c r="AH41" s="989"/>
      <c r="AI41" s="1502" t="s">
        <v>32</v>
      </c>
      <c r="AJ41" s="988">
        <f>SUM(AJ17:AJ39)</f>
        <v>54604888.577696942</v>
      </c>
      <c r="AK41" s="983">
        <f>SUM(AK17:AK39)</f>
        <v>83333440.577696964</v>
      </c>
      <c r="AL41" s="1140">
        <f>SUM(AL17:AL39)</f>
        <v>3000103.941193596</v>
      </c>
      <c r="AM41" s="986">
        <f>IFERROR((AL41/(AJ41-AJ39)),0)</f>
        <v>5.5187627247475723E-2</v>
      </c>
      <c r="AN41" s="1140">
        <f>SUM(AN17:AN39)</f>
        <v>-770801.0344698329</v>
      </c>
      <c r="AO41" s="986">
        <f>IFERROR((AN41/(AK41-AK39+AL41)),0)</f>
        <v>-8.9533756633519684E-3</v>
      </c>
      <c r="AP41" s="987">
        <f>IFERROR((AN41/(AJ41-AJ39+AL41)),0)</f>
        <v>-1.3437485834917745E-2</v>
      </c>
      <c r="AQ41" s="1140">
        <f>SUM(AQ17:AQ39)</f>
        <v>-438192.71031602036</v>
      </c>
      <c r="AR41" s="986">
        <f>IFERROR((AQ41/(AK41-AK39+AL41)),0)</f>
        <v>-5.0899048820039483E-3</v>
      </c>
      <c r="AS41" s="987">
        <f>IFERROR((AQ41/(AJ41-AJ39+AL41)),0)</f>
        <v>-7.6390768493009688E-3</v>
      </c>
      <c r="AT41" s="1140">
        <f>SUM(AT17:AT39)</f>
        <v>-44647.663027564136</v>
      </c>
      <c r="AU41" s="986">
        <f>IFERROR((AT41/(AK41-AK39+AL41)),0)</f>
        <v>-5.1861282185678911E-4</v>
      </c>
      <c r="AV41" s="987">
        <f>IFERROR((AT41/(AJ41-AJ39+AL41)),0)</f>
        <v>-7.7834916232011667E-4</v>
      </c>
      <c r="AW41" s="1510">
        <f t="shared" ref="AW41:AX41" si="30">AL41</f>
        <v>3000103.941193596</v>
      </c>
      <c r="AX41" s="1514">
        <f t="shared" si="30"/>
        <v>5.5187627247475723E-2</v>
      </c>
      <c r="AY41" s="1512">
        <f>SUM(AY17:AY39)</f>
        <v>2800486.6818172955</v>
      </c>
      <c r="AZ41" s="1358">
        <f>IFERROR((AY41/(AK41-AK39)),0)</f>
        <v>3.3704075708521616E-2</v>
      </c>
      <c r="BA41" s="1011">
        <f>SUM(BA17:BA39)</f>
        <v>57604992.518890552</v>
      </c>
      <c r="BB41" s="1012">
        <f>SUM(BB17:BB39)</f>
        <v>86133927.259514228</v>
      </c>
      <c r="BC41" s="1019">
        <f>IFERROR(SUM((BA41-BA39)-SUM(AJ41-AJ39))/SUM(AJ41-AJ39),0)</f>
        <v>5.5187627247475987E-2</v>
      </c>
      <c r="BD41" s="1014">
        <f>IFERROR(SUM((BB41-BB39)-SUM(AK41-AK39))/SUM(AK41-AK39),0)</f>
        <v>3.3704075708521228E-2</v>
      </c>
      <c r="BE41" s="1013"/>
    </row>
    <row r="42" spans="1:57" ht="15" thickBot="1" x14ac:dyDescent="0.4">
      <c r="A42" s="59"/>
      <c r="B42" s="1365"/>
      <c r="C42" s="1157"/>
      <c r="D42" s="1218"/>
      <c r="E42" s="1283"/>
      <c r="F42" s="1284"/>
      <c r="G42" s="1157"/>
      <c r="H42" s="1284"/>
      <c r="I42" s="1283"/>
      <c r="J42" s="1505" t="s">
        <v>452</v>
      </c>
      <c r="K42" s="88"/>
      <c r="L42" s="88"/>
      <c r="M42" s="1505" t="s">
        <v>452</v>
      </c>
      <c r="N42" s="88"/>
      <c r="O42" s="89"/>
      <c r="P42" s="1544"/>
      <c r="Q42" s="88"/>
      <c r="R42" s="89"/>
      <c r="S42" s="1501"/>
      <c r="T42" s="1350"/>
      <c r="U42" s="1501"/>
      <c r="V42" s="1351"/>
      <c r="W42" s="1217"/>
      <c r="X42" s="1047"/>
      <c r="Y42" s="1285"/>
      <c r="Z42" s="1156"/>
      <c r="AA42" s="1246"/>
      <c r="AB42" s="1546"/>
      <c r="AC42" s="1546"/>
      <c r="AD42" s="1546"/>
      <c r="AE42" s="1546"/>
      <c r="AF42" s="1546"/>
      <c r="AG42" s="1277"/>
      <c r="AH42" s="1365"/>
      <c r="AI42" s="1261"/>
      <c r="AJ42" s="1549"/>
      <c r="AK42" s="1002"/>
      <c r="AL42" s="1284"/>
      <c r="AM42" s="1002"/>
      <c r="AN42" s="1284" t="s">
        <v>461</v>
      </c>
      <c r="AO42" s="1002"/>
      <c r="AP42" s="1004"/>
      <c r="AQ42" s="1284" t="s">
        <v>461</v>
      </c>
      <c r="AR42" s="1002"/>
      <c r="AS42" s="1004"/>
      <c r="AT42" s="1284" t="s">
        <v>461</v>
      </c>
      <c r="AU42" s="1002"/>
      <c r="AV42" s="1004"/>
      <c r="AW42" s="1513"/>
      <c r="AX42" s="1515"/>
      <c r="AY42" s="1513"/>
      <c r="AZ42" s="1359"/>
      <c r="BA42" s="1002"/>
      <c r="BB42" s="1045"/>
      <c r="BC42" s="1219"/>
      <c r="BD42" s="88"/>
      <c r="BE42" s="1246" t="s">
        <v>526</v>
      </c>
    </row>
    <row r="43" spans="1:57" ht="7" customHeight="1" x14ac:dyDescent="0.3">
      <c r="D43" s="87"/>
      <c r="E43" s="87"/>
      <c r="F43" s="87"/>
      <c r="G43" s="87"/>
      <c r="H43" s="87"/>
      <c r="I43" s="87"/>
      <c r="J43" s="87"/>
      <c r="K43" s="87"/>
      <c r="L43" s="87"/>
      <c r="M43" s="87"/>
      <c r="N43" s="87"/>
      <c r="O43" s="87"/>
      <c r="P43" s="87"/>
      <c r="Q43" s="87"/>
      <c r="R43" s="87"/>
      <c r="S43" s="87"/>
      <c r="T43" s="1220" t="s">
        <v>502</v>
      </c>
      <c r="U43" s="87"/>
      <c r="V43" s="87"/>
      <c r="W43" s="87"/>
    </row>
    <row r="44" spans="1:57" ht="12" customHeight="1" x14ac:dyDescent="0.3">
      <c r="B44" s="880" t="s">
        <v>690</v>
      </c>
      <c r="C44" s="876"/>
      <c r="D44" s="97"/>
      <c r="E44" s="98"/>
      <c r="F44" s="61"/>
      <c r="G44" s="61"/>
      <c r="H44" s="98"/>
      <c r="I44" s="61"/>
      <c r="J44" s="98"/>
      <c r="K44" s="98"/>
      <c r="L44" s="98"/>
      <c r="M44" s="98"/>
      <c r="N44" s="98"/>
      <c r="O44" s="98"/>
      <c r="P44" s="98"/>
      <c r="Q44" s="98"/>
      <c r="R44" s="98"/>
      <c r="S44" s="98"/>
      <c r="T44" s="98"/>
      <c r="U44" s="98"/>
      <c r="V44" s="98"/>
      <c r="W44" s="61"/>
      <c r="X44" s="99"/>
      <c r="Y44" s="573"/>
      <c r="Z44" s="61"/>
      <c r="AA44" s="61"/>
      <c r="AB44" s="61"/>
      <c r="AC44" s="61"/>
      <c r="AD44" s="61"/>
      <c r="AE44" s="61"/>
      <c r="AF44" s="61"/>
      <c r="AG44" s="61"/>
      <c r="AH44" s="880" t="s">
        <v>690</v>
      </c>
      <c r="AI44" s="876"/>
      <c r="AK44" s="943"/>
    </row>
    <row r="45" spans="1:57" ht="12" customHeight="1" x14ac:dyDescent="0.3">
      <c r="B45" s="880" t="s">
        <v>691</v>
      </c>
      <c r="C45" s="881"/>
      <c r="D45" s="97"/>
      <c r="E45" s="98"/>
      <c r="F45" s="99"/>
      <c r="G45" s="99"/>
      <c r="H45" s="98"/>
      <c r="I45" s="99"/>
      <c r="J45" s="98"/>
      <c r="K45" s="98"/>
      <c r="L45" s="98"/>
      <c r="M45" s="98"/>
      <c r="N45" s="98"/>
      <c r="O45" s="98"/>
      <c r="P45" s="98"/>
      <c r="Q45" s="98"/>
      <c r="R45" s="98"/>
      <c r="S45" s="98"/>
      <c r="T45" s="98"/>
      <c r="U45" s="98"/>
      <c r="V45" s="98"/>
      <c r="W45" s="61"/>
      <c r="X45" s="1216"/>
      <c r="Y45" s="573"/>
      <c r="Z45" s="61"/>
      <c r="AA45" s="61"/>
      <c r="AB45" s="61"/>
      <c r="AC45" s="61"/>
      <c r="AD45" s="61"/>
      <c r="AE45" s="61"/>
      <c r="AF45" s="61"/>
      <c r="AG45" s="61"/>
      <c r="AH45" s="880" t="s">
        <v>691</v>
      </c>
    </row>
    <row r="46" spans="1:57" ht="12" customHeight="1" x14ac:dyDescent="0.3">
      <c r="B46" s="880" t="s">
        <v>513</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61"/>
      <c r="AE46" s="61"/>
      <c r="AF46" s="61"/>
      <c r="AG46" s="61"/>
      <c r="AH46" s="880" t="s">
        <v>699</v>
      </c>
    </row>
    <row r="47" spans="1:57" ht="12" customHeight="1" x14ac:dyDescent="0.3">
      <c r="B47" s="880" t="s">
        <v>706</v>
      </c>
      <c r="C47" s="880"/>
      <c r="D47" s="880"/>
      <c r="E47" s="880"/>
      <c r="F47" s="880"/>
      <c r="G47" s="880"/>
      <c r="H47" s="880"/>
      <c r="I47" s="880"/>
      <c r="J47" s="880"/>
      <c r="K47" s="98"/>
      <c r="L47" s="98"/>
      <c r="M47" s="98"/>
      <c r="N47" s="98"/>
      <c r="O47" s="98"/>
      <c r="P47" s="98"/>
      <c r="Q47" s="98"/>
      <c r="R47" s="98"/>
      <c r="S47" s="98"/>
      <c r="T47" s="98"/>
      <c r="U47" s="98"/>
      <c r="V47" s="98"/>
      <c r="W47" s="61"/>
      <c r="X47" s="61"/>
      <c r="Y47" s="61"/>
      <c r="Z47" s="61"/>
      <c r="AA47" s="61"/>
      <c r="AB47" s="61"/>
      <c r="AC47" s="61"/>
      <c r="AD47" s="61"/>
      <c r="AE47" s="61"/>
      <c r="AF47" s="61"/>
      <c r="AG47" s="61"/>
      <c r="AH47" s="880" t="s">
        <v>700</v>
      </c>
    </row>
    <row r="48" spans="1:57" ht="12" customHeight="1" x14ac:dyDescent="0.3">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61"/>
      <c r="AE48" s="61"/>
      <c r="AF48" s="61"/>
      <c r="AG48" s="61"/>
      <c r="AH48" s="880" t="s">
        <v>706</v>
      </c>
      <c r="AI48" s="876"/>
    </row>
    <row r="49" spans="2:54" x14ac:dyDescent="0.3">
      <c r="C49" s="876"/>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880"/>
    </row>
    <row r="50" spans="2:54" ht="13" customHeight="1" x14ac:dyDescent="0.3">
      <c r="C50" s="881"/>
      <c r="D50" s="96"/>
      <c r="E50" s="61"/>
      <c r="F50" s="61"/>
      <c r="G50" s="61"/>
      <c r="H50" s="61"/>
      <c r="I50" s="61"/>
      <c r="J50" s="61"/>
      <c r="K50" s="61"/>
      <c r="L50" s="61"/>
      <c r="M50" s="61"/>
      <c r="N50" s="61"/>
      <c r="O50" s="61"/>
      <c r="P50" s="61"/>
      <c r="Q50" s="61"/>
      <c r="R50" s="61"/>
      <c r="S50" s="61"/>
      <c r="T50" s="61"/>
      <c r="U50" s="61"/>
      <c r="V50" s="61"/>
      <c r="W50" s="1262"/>
      <c r="X50" s="1262"/>
      <c r="Y50" s="1262"/>
      <c r="Z50" s="1262"/>
      <c r="AA50" s="1262"/>
      <c r="AB50" s="1262"/>
      <c r="AC50" s="1262"/>
      <c r="AD50" s="1262"/>
      <c r="AE50" s="1262"/>
      <c r="AF50" s="1262"/>
      <c r="AG50" s="1262"/>
      <c r="AH50" s="1281"/>
      <c r="AI50" s="96"/>
      <c r="AJ50" s="53"/>
      <c r="AK50" s="53"/>
      <c r="AL50" s="53"/>
      <c r="AM50" s="53"/>
      <c r="AN50" s="53"/>
      <c r="AO50" s="53"/>
      <c r="AP50" s="53"/>
      <c r="AQ50" s="53"/>
      <c r="AR50" s="53"/>
      <c r="AS50" s="53"/>
      <c r="AT50" s="53"/>
      <c r="AU50" s="53"/>
      <c r="AV50" s="53"/>
      <c r="AW50" s="53"/>
      <c r="AX50" s="53"/>
      <c r="AY50" s="53"/>
      <c r="AZ50" s="53"/>
      <c r="BA50" s="53"/>
      <c r="BB50" s="53"/>
    </row>
    <row r="51" spans="2:54" ht="12" customHeight="1" x14ac:dyDescent="0.3">
      <c r="D51" s="96"/>
      <c r="E51" s="61"/>
      <c r="F51" s="61"/>
      <c r="G51" s="61"/>
      <c r="H51" s="61"/>
      <c r="I51" s="61"/>
      <c r="J51" s="61"/>
      <c r="K51" s="61"/>
      <c r="L51" s="61"/>
      <c r="M51" s="61"/>
      <c r="N51" s="61"/>
      <c r="O51" s="61"/>
      <c r="P51" s="61"/>
      <c r="Q51" s="61"/>
      <c r="R51" s="61"/>
      <c r="S51" s="61"/>
      <c r="T51" s="61"/>
      <c r="U51" s="61"/>
      <c r="V51" s="61"/>
      <c r="W51" s="1262"/>
      <c r="X51" s="1262"/>
      <c r="Y51" s="1262"/>
      <c r="Z51" s="1262"/>
      <c r="AA51" s="1262"/>
      <c r="AB51" s="1262"/>
      <c r="AC51" s="1262"/>
      <c r="AD51" s="1262"/>
      <c r="AE51" s="1262"/>
      <c r="AF51" s="1262"/>
      <c r="AG51" s="1262"/>
      <c r="AH51" s="1281"/>
      <c r="AI51" s="97"/>
      <c r="AJ51" s="53"/>
      <c r="AK51" s="53"/>
      <c r="AL51" s="53"/>
      <c r="AM51" s="53"/>
      <c r="AN51" s="53"/>
      <c r="AO51" s="53"/>
      <c r="AP51" s="53"/>
      <c r="AQ51" s="53"/>
      <c r="AR51" s="53"/>
      <c r="AS51" s="53"/>
      <c r="AT51" s="53"/>
      <c r="AU51" s="53"/>
      <c r="AV51" s="53"/>
      <c r="AW51" s="53"/>
      <c r="AX51" s="53"/>
      <c r="AY51" s="53"/>
      <c r="AZ51" s="53"/>
      <c r="BA51" s="53"/>
      <c r="BB51" s="53"/>
    </row>
    <row r="52" spans="2:54" ht="12" customHeight="1" x14ac:dyDescent="0.3">
      <c r="B52" s="1281"/>
      <c r="C52" s="97"/>
      <c r="D52" s="61"/>
      <c r="E52" s="61"/>
      <c r="F52" s="61"/>
      <c r="G52" s="61"/>
      <c r="H52" s="61"/>
      <c r="I52" s="61"/>
      <c r="J52" s="61"/>
      <c r="K52" s="61"/>
      <c r="L52" s="61"/>
      <c r="M52" s="61"/>
      <c r="N52" s="61"/>
      <c r="O52" s="61"/>
      <c r="P52" s="61"/>
      <c r="Q52" s="61"/>
      <c r="R52" s="61"/>
      <c r="S52" s="61"/>
      <c r="T52" s="61"/>
      <c r="U52" s="61"/>
      <c r="V52" s="61"/>
      <c r="W52" s="1263"/>
      <c r="X52" s="1974"/>
      <c r="Y52" s="1974"/>
      <c r="Z52" s="1974"/>
      <c r="AA52" s="1974"/>
      <c r="AB52" s="1504"/>
      <c r="AC52" s="1504"/>
      <c r="AD52" s="1504"/>
      <c r="AE52" s="1504"/>
      <c r="AF52" s="1504"/>
      <c r="AG52" s="1504"/>
      <c r="AH52" s="1281"/>
      <c r="AI52" s="97"/>
      <c r="AJ52" s="1974"/>
      <c r="AK52" s="1974"/>
      <c r="AL52" s="1974"/>
      <c r="AM52" s="1974"/>
      <c r="AN52" s="1504"/>
      <c r="AO52" s="1504"/>
      <c r="AP52" s="1504"/>
      <c r="AQ52" s="1504"/>
      <c r="AR52" s="1504"/>
      <c r="AS52" s="1504"/>
      <c r="AT52" s="53"/>
      <c r="AU52" s="1974"/>
      <c r="AV52" s="1974"/>
      <c r="AW52" s="1974"/>
      <c r="AX52" s="1974"/>
      <c r="AY52" s="1974"/>
      <c r="AZ52" s="53"/>
      <c r="BA52" s="1228"/>
      <c r="BB52" s="1228"/>
    </row>
    <row r="53" spans="2:54" x14ac:dyDescent="0.3">
      <c r="W53" s="53"/>
      <c r="X53" s="1228"/>
      <c r="Y53" s="1228"/>
      <c r="Z53" s="1228"/>
      <c r="AA53" s="1228"/>
      <c r="AB53" s="1228"/>
      <c r="AC53" s="1228"/>
      <c r="AD53" s="1228"/>
      <c r="AE53" s="1228"/>
      <c r="AF53" s="1228"/>
      <c r="AG53" s="1228"/>
      <c r="AJ53" s="1228"/>
      <c r="AK53" s="1228"/>
      <c r="AL53" s="1228"/>
      <c r="AM53" s="1228"/>
      <c r="AN53" s="1228"/>
      <c r="AO53" s="1228"/>
      <c r="AP53" s="1228"/>
      <c r="AQ53" s="1228"/>
      <c r="AR53" s="1228"/>
      <c r="AS53" s="1228"/>
      <c r="AT53" s="53"/>
      <c r="AU53" s="1228"/>
      <c r="AV53" s="1228"/>
      <c r="AW53" s="1228"/>
      <c r="AX53" s="1228"/>
      <c r="AY53" s="1228"/>
      <c r="AZ53" s="53"/>
      <c r="BA53" s="1228"/>
      <c r="BB53" s="1228"/>
    </row>
    <row r="54" spans="2:54" x14ac:dyDescent="0.3">
      <c r="W54" s="53"/>
      <c r="X54" s="1264"/>
      <c r="Y54" s="1264"/>
      <c r="Z54" s="1264"/>
      <c r="AA54" s="1265"/>
      <c r="AB54" s="1265"/>
      <c r="AC54" s="1265"/>
      <c r="AD54" s="1265"/>
      <c r="AE54" s="1265"/>
      <c r="AF54" s="1265"/>
      <c r="AG54" s="1265"/>
      <c r="AJ54" s="1264"/>
      <c r="AK54" s="1264"/>
      <c r="AL54" s="1264"/>
      <c r="AM54" s="1265"/>
      <c r="AN54" s="1265"/>
      <c r="AO54" s="1265"/>
      <c r="AP54" s="1265"/>
      <c r="AQ54" s="1265"/>
      <c r="AR54" s="1265"/>
      <c r="AS54" s="1265"/>
      <c r="AT54" s="53"/>
      <c r="AU54" s="1264"/>
      <c r="AV54" s="1264"/>
      <c r="AW54" s="1264"/>
      <c r="AX54" s="1264"/>
      <c r="AY54" s="1265"/>
      <c r="AZ54" s="53"/>
      <c r="BA54" s="1266"/>
      <c r="BB54" s="1267"/>
    </row>
    <row r="55" spans="2:54" x14ac:dyDescent="0.3">
      <c r="F55" s="943"/>
      <c r="W55" s="53"/>
      <c r="X55" s="1264"/>
      <c r="Y55" s="1264"/>
      <c r="Z55" s="1264"/>
      <c r="AA55" s="1265"/>
      <c r="AB55" s="1265"/>
      <c r="AC55" s="1265"/>
      <c r="AD55" s="1265"/>
      <c r="AE55" s="1265"/>
      <c r="AF55" s="1265"/>
      <c r="AG55" s="1265"/>
      <c r="AJ55" s="1264"/>
      <c r="AK55" s="1264"/>
      <c r="AL55" s="1264"/>
      <c r="AM55" s="1265"/>
      <c r="AN55" s="1265"/>
      <c r="AO55" s="1265"/>
      <c r="AP55" s="1265"/>
      <c r="AQ55" s="1265"/>
      <c r="AR55" s="1265"/>
      <c r="AS55" s="1265"/>
      <c r="AT55" s="53"/>
      <c r="AU55" s="1264"/>
      <c r="AV55" s="1264"/>
      <c r="AW55" s="1264"/>
      <c r="AX55" s="1264"/>
      <c r="AY55" s="1265"/>
      <c r="AZ55" s="53"/>
      <c r="BA55" s="1266"/>
      <c r="BB55" s="1267"/>
    </row>
    <row r="56" spans="2:54" x14ac:dyDescent="0.3">
      <c r="W56" s="53"/>
      <c r="X56" s="1264"/>
      <c r="Y56" s="1264"/>
      <c r="Z56" s="1264"/>
      <c r="AA56" s="1265"/>
      <c r="AB56" s="1265"/>
      <c r="AC56" s="1265"/>
      <c r="AD56" s="1265"/>
      <c r="AE56" s="1265"/>
      <c r="AF56" s="1265"/>
      <c r="AG56" s="1265"/>
      <c r="AJ56" s="1264"/>
      <c r="AK56" s="1264"/>
      <c r="AL56" s="1264"/>
      <c r="AM56" s="1265"/>
      <c r="AN56" s="1265"/>
      <c r="AO56" s="1265"/>
      <c r="AP56" s="1265"/>
      <c r="AQ56" s="1265"/>
      <c r="AR56" s="1265"/>
      <c r="AS56" s="1265"/>
      <c r="AT56" s="53"/>
      <c r="AU56" s="1264"/>
      <c r="AV56" s="1264"/>
      <c r="AW56" s="1264"/>
      <c r="AX56" s="1264"/>
      <c r="AY56" s="1265"/>
      <c r="AZ56" s="53"/>
      <c r="BA56" s="1266"/>
      <c r="BB56" s="1267"/>
    </row>
    <row r="57" spans="2:54" x14ac:dyDescent="0.3">
      <c r="W57" s="53"/>
      <c r="X57" s="1264"/>
      <c r="Y57" s="1264"/>
      <c r="Z57" s="1264"/>
      <c r="AA57" s="1265"/>
      <c r="AB57" s="1265"/>
      <c r="AC57" s="1265"/>
      <c r="AD57" s="1265"/>
      <c r="AE57" s="1265"/>
      <c r="AF57" s="1265"/>
      <c r="AG57" s="1265"/>
      <c r="AJ57" s="1264"/>
      <c r="AK57" s="1264"/>
      <c r="AL57" s="1264"/>
      <c r="AM57" s="1265"/>
      <c r="AN57" s="1265"/>
      <c r="AO57" s="1265"/>
      <c r="AP57" s="1265"/>
      <c r="AQ57" s="1265"/>
      <c r="AR57" s="1265"/>
      <c r="AS57" s="1265"/>
      <c r="AT57" s="53"/>
      <c r="AU57" s="1264"/>
      <c r="AV57" s="1264"/>
      <c r="AW57" s="1264"/>
      <c r="AX57" s="1264"/>
      <c r="AY57" s="1265"/>
      <c r="AZ57" s="53"/>
      <c r="BA57" s="1266"/>
      <c r="BB57" s="1267"/>
    </row>
    <row r="58" spans="2:54" x14ac:dyDescent="0.3">
      <c r="W58" s="1268"/>
      <c r="X58" s="1264"/>
      <c r="Y58" s="1264"/>
      <c r="Z58" s="1264"/>
      <c r="AA58" s="1265"/>
      <c r="AB58" s="1265"/>
      <c r="AC58" s="1265"/>
      <c r="AD58" s="1265"/>
      <c r="AE58" s="1265"/>
      <c r="AF58" s="1265"/>
      <c r="AG58" s="1265"/>
      <c r="AJ58" s="1264"/>
      <c r="AK58" s="1264"/>
      <c r="AL58" s="1264"/>
      <c r="AM58" s="1265"/>
      <c r="AN58" s="1265"/>
      <c r="AO58" s="1265"/>
      <c r="AP58" s="1265"/>
      <c r="AQ58" s="1265"/>
      <c r="AR58" s="1265"/>
      <c r="AS58" s="1265"/>
      <c r="AT58" s="53"/>
      <c r="AU58" s="1264"/>
      <c r="AV58" s="1264"/>
      <c r="AW58" s="1264"/>
      <c r="AX58" s="1264"/>
      <c r="AY58" s="1265"/>
      <c r="AZ58" s="53"/>
      <c r="BA58" s="1266"/>
      <c r="BB58" s="1267"/>
    </row>
    <row r="59" spans="2:54" x14ac:dyDescent="0.3">
      <c r="W59" s="53"/>
      <c r="X59" s="1264"/>
      <c r="Y59" s="1264"/>
      <c r="Z59" s="1264"/>
      <c r="AA59" s="1265"/>
      <c r="AB59" s="1265"/>
      <c r="AC59" s="1265"/>
      <c r="AD59" s="1265"/>
      <c r="AE59" s="1265"/>
      <c r="AF59" s="1265"/>
      <c r="AG59" s="1265"/>
      <c r="AJ59" s="1264"/>
      <c r="AK59" s="1264"/>
      <c r="AL59" s="1264"/>
      <c r="AM59" s="1265"/>
      <c r="AN59" s="1265"/>
      <c r="AO59" s="1265"/>
      <c r="AP59" s="1265"/>
      <c r="AQ59" s="1265"/>
      <c r="AR59" s="1265"/>
      <c r="AS59" s="1265"/>
      <c r="AT59" s="53"/>
      <c r="AU59" s="1264"/>
      <c r="AV59" s="1264"/>
      <c r="AW59" s="1264"/>
      <c r="AX59" s="1264"/>
      <c r="AY59" s="1265"/>
      <c r="AZ59" s="53"/>
      <c r="BA59" s="1269"/>
      <c r="BB59" s="1270"/>
    </row>
    <row r="60" spans="2:54" x14ac:dyDescent="0.3">
      <c r="W60" s="53"/>
      <c r="X60" s="53"/>
      <c r="Y60" s="53"/>
      <c r="Z60" s="53"/>
      <c r="AA60" s="53"/>
      <c r="AB60" s="53"/>
      <c r="AC60" s="53"/>
      <c r="AD60" s="53"/>
      <c r="AE60" s="53"/>
      <c r="AF60" s="53"/>
      <c r="AG60" s="53"/>
      <c r="AJ60" s="53"/>
      <c r="AK60" s="53"/>
      <c r="AL60" s="53"/>
      <c r="AM60" s="53"/>
      <c r="AN60" s="53"/>
      <c r="AO60" s="53"/>
      <c r="AP60" s="53"/>
      <c r="AQ60" s="53"/>
      <c r="AR60" s="53"/>
      <c r="AS60" s="53"/>
      <c r="AT60" s="53"/>
      <c r="AU60" s="53"/>
      <c r="AV60" s="53"/>
      <c r="AW60" s="53"/>
      <c r="AX60" s="53"/>
      <c r="AY60" s="53"/>
      <c r="AZ60" s="53"/>
      <c r="BA60" s="53"/>
      <c r="BB60" s="53"/>
    </row>
    <row r="61" spans="2:54" x14ac:dyDescent="0.3">
      <c r="W61" s="1268"/>
      <c r="X61" s="53"/>
      <c r="Y61" s="53"/>
      <c r="Z61" s="1271"/>
      <c r="AA61" s="53"/>
      <c r="AB61" s="53"/>
      <c r="AC61" s="53"/>
      <c r="AD61" s="53"/>
      <c r="AE61" s="53"/>
      <c r="AF61" s="53"/>
      <c r="AG61" s="53"/>
      <c r="AJ61" s="53"/>
      <c r="AK61" s="53"/>
      <c r="AL61" s="53"/>
      <c r="AM61" s="53"/>
      <c r="AN61" s="53"/>
      <c r="AO61" s="53"/>
      <c r="AP61" s="53"/>
      <c r="AQ61" s="53"/>
      <c r="AR61" s="53"/>
      <c r="AS61" s="53"/>
      <c r="AT61" s="53"/>
      <c r="AU61" s="53"/>
      <c r="AV61" s="53"/>
      <c r="AW61" s="53"/>
      <c r="AX61" s="53"/>
      <c r="AY61" s="53"/>
      <c r="AZ61" s="53"/>
      <c r="BA61" s="53"/>
      <c r="BB61" s="53"/>
    </row>
    <row r="62" spans="2:54" x14ac:dyDescent="0.3">
      <c r="W62" s="53"/>
      <c r="X62" s="53"/>
      <c r="Y62" s="53"/>
      <c r="Z62" s="1271"/>
      <c r="AA62" s="53"/>
      <c r="AB62" s="53"/>
      <c r="AC62" s="53"/>
      <c r="AD62" s="53"/>
      <c r="AE62" s="53"/>
      <c r="AF62" s="53"/>
      <c r="AG62" s="53"/>
      <c r="AJ62" s="53"/>
      <c r="AK62" s="53"/>
      <c r="AL62" s="53"/>
      <c r="AM62" s="53"/>
      <c r="AN62" s="53"/>
      <c r="AO62" s="53"/>
      <c r="AP62" s="53"/>
      <c r="AQ62" s="53"/>
      <c r="AR62" s="53"/>
      <c r="AS62" s="53"/>
      <c r="AT62" s="53"/>
      <c r="AU62" s="53"/>
      <c r="AV62" s="53"/>
      <c r="AW62" s="53"/>
      <c r="AX62" s="53"/>
      <c r="AY62" s="53"/>
      <c r="AZ62" s="53"/>
      <c r="BA62" s="53"/>
      <c r="BB62" s="53"/>
    </row>
    <row r="63" spans="2:54" x14ac:dyDescent="0.3">
      <c r="W63" s="1263"/>
      <c r="X63" s="1974"/>
      <c r="Y63" s="1974"/>
      <c r="Z63" s="1974"/>
      <c r="AA63" s="1974"/>
      <c r="AB63" s="1504"/>
      <c r="AC63" s="1504"/>
      <c r="AD63" s="1504"/>
      <c r="AE63" s="1504"/>
      <c r="AF63" s="1504"/>
      <c r="AG63" s="1504"/>
      <c r="AJ63" s="1974"/>
      <c r="AK63" s="1974"/>
      <c r="AL63" s="1974"/>
      <c r="AM63" s="1974"/>
      <c r="AN63" s="1504"/>
      <c r="AO63" s="1504"/>
      <c r="AP63" s="1504"/>
      <c r="AQ63" s="1504"/>
      <c r="AR63" s="1504"/>
      <c r="AS63" s="1504"/>
      <c r="AT63" s="53"/>
      <c r="AU63" s="1974"/>
      <c r="AV63" s="1974"/>
      <c r="AW63" s="1974"/>
      <c r="AX63" s="1974"/>
      <c r="AY63" s="1974"/>
      <c r="AZ63" s="53"/>
      <c r="BA63" s="1228"/>
      <c r="BB63" s="1228"/>
    </row>
    <row r="64" spans="2:54" x14ac:dyDescent="0.3">
      <c r="W64" s="53"/>
      <c r="X64" s="1228"/>
      <c r="Y64" s="1228"/>
      <c r="Z64" s="1228"/>
      <c r="AA64" s="1228"/>
      <c r="AB64" s="1228"/>
      <c r="AC64" s="1228"/>
      <c r="AD64" s="1228"/>
      <c r="AE64" s="1228"/>
      <c r="AF64" s="1228"/>
      <c r="AG64" s="1228"/>
      <c r="AJ64" s="1228"/>
      <c r="AK64" s="1228"/>
      <c r="AL64" s="1228"/>
      <c r="AM64" s="1228"/>
      <c r="AN64" s="1228"/>
      <c r="AO64" s="1228"/>
      <c r="AP64" s="1228"/>
      <c r="AQ64" s="1228"/>
      <c r="AR64" s="1228"/>
      <c r="AS64" s="1228"/>
      <c r="AT64" s="53"/>
      <c r="AU64" s="1228"/>
      <c r="AV64" s="1228"/>
      <c r="AW64" s="1228"/>
      <c r="AX64" s="1228"/>
      <c r="AY64" s="1228"/>
      <c r="AZ64" s="53"/>
      <c r="BA64" s="1228"/>
      <c r="BB64" s="1228"/>
    </row>
    <row r="65" spans="23:54" x14ac:dyDescent="0.3">
      <c r="W65" s="53"/>
      <c r="X65" s="1264"/>
      <c r="Y65" s="1264"/>
      <c r="Z65" s="1264"/>
      <c r="AA65" s="1265"/>
      <c r="AB65" s="1265"/>
      <c r="AC65" s="1265"/>
      <c r="AD65" s="1265"/>
      <c r="AE65" s="1265"/>
      <c r="AF65" s="1265"/>
      <c r="AG65" s="1265"/>
      <c r="AJ65" s="1264"/>
      <c r="AK65" s="1264"/>
      <c r="AL65" s="1264"/>
      <c r="AM65" s="1265"/>
      <c r="AN65" s="1265"/>
      <c r="AO65" s="1265"/>
      <c r="AP65" s="1265"/>
      <c r="AQ65" s="1265"/>
      <c r="AR65" s="1265"/>
      <c r="AS65" s="1265"/>
      <c r="AT65" s="53"/>
      <c r="AU65" s="1264"/>
      <c r="AV65" s="1264"/>
      <c r="AW65" s="1264"/>
      <c r="AX65" s="1264"/>
      <c r="AY65" s="1265"/>
      <c r="AZ65" s="53"/>
      <c r="BA65" s="1272"/>
      <c r="BB65" s="1267"/>
    </row>
    <row r="66" spans="23:54" x14ac:dyDescent="0.3">
      <c r="W66" s="53"/>
      <c r="X66" s="1264"/>
      <c r="Y66" s="1264"/>
      <c r="Z66" s="1264"/>
      <c r="AA66" s="1265"/>
      <c r="AB66" s="1265"/>
      <c r="AC66" s="1265"/>
      <c r="AD66" s="1265"/>
      <c r="AE66" s="1265"/>
      <c r="AF66" s="1265"/>
      <c r="AG66" s="1265"/>
      <c r="AJ66" s="1264"/>
      <c r="AK66" s="1264"/>
      <c r="AL66" s="1264"/>
      <c r="AM66" s="1265"/>
      <c r="AN66" s="1265"/>
      <c r="AO66" s="1265"/>
      <c r="AP66" s="1265"/>
      <c r="AQ66" s="1265"/>
      <c r="AR66" s="1265"/>
      <c r="AS66" s="1265"/>
      <c r="AT66" s="53"/>
      <c r="AU66" s="1264"/>
      <c r="AV66" s="1264"/>
      <c r="AW66" s="1264"/>
      <c r="AX66" s="1264"/>
      <c r="AY66" s="1265"/>
      <c r="AZ66" s="53"/>
      <c r="BA66" s="1272"/>
      <c r="BB66" s="1267"/>
    </row>
    <row r="67" spans="23:54" x14ac:dyDescent="0.3">
      <c r="W67" s="53"/>
      <c r="X67" s="1264"/>
      <c r="Y67" s="1264"/>
      <c r="Z67" s="1264"/>
      <c r="AA67" s="1265"/>
      <c r="AB67" s="1265"/>
      <c r="AC67" s="1265"/>
      <c r="AD67" s="1265"/>
      <c r="AE67" s="1265"/>
      <c r="AF67" s="1265"/>
      <c r="AG67" s="1265"/>
      <c r="AJ67" s="1264"/>
      <c r="AK67" s="1264"/>
      <c r="AL67" s="1264"/>
      <c r="AM67" s="1265"/>
      <c r="AN67" s="1265"/>
      <c r="AO67" s="1265"/>
      <c r="AP67" s="1265"/>
      <c r="AQ67" s="1265"/>
      <c r="AR67" s="1265"/>
      <c r="AS67" s="1265"/>
      <c r="AT67" s="53"/>
      <c r="AU67" s="1264"/>
      <c r="AV67" s="1264"/>
      <c r="AW67" s="1264"/>
      <c r="AX67" s="1264"/>
      <c r="AY67" s="1265"/>
      <c r="AZ67" s="53"/>
      <c r="BA67" s="1272"/>
      <c r="BB67" s="1267"/>
    </row>
    <row r="68" spans="23:54" x14ac:dyDescent="0.3">
      <c r="W68" s="53"/>
      <c r="X68" s="1264"/>
      <c r="Y68" s="1264"/>
      <c r="Z68" s="1264"/>
      <c r="AA68" s="1265"/>
      <c r="AB68" s="1265"/>
      <c r="AC68" s="1265"/>
      <c r="AD68" s="1265"/>
      <c r="AE68" s="1265"/>
      <c r="AF68" s="1265"/>
      <c r="AG68" s="1265"/>
      <c r="AJ68" s="1264"/>
      <c r="AK68" s="1264"/>
      <c r="AL68" s="1264"/>
      <c r="AM68" s="1265"/>
      <c r="AN68" s="1265"/>
      <c r="AO68" s="1265"/>
      <c r="AP68" s="1265"/>
      <c r="AQ68" s="1265"/>
      <c r="AR68" s="1265"/>
      <c r="AS68" s="1265"/>
      <c r="AT68" s="53"/>
      <c r="AU68" s="1264"/>
      <c r="AV68" s="1264"/>
      <c r="AW68" s="1264"/>
      <c r="AX68" s="1264"/>
      <c r="AY68" s="1265"/>
      <c r="AZ68" s="53"/>
      <c r="BA68" s="1272"/>
      <c r="BB68" s="1267"/>
    </row>
    <row r="69" spans="23:54" x14ac:dyDescent="0.3">
      <c r="W69" s="1268"/>
      <c r="X69" s="1264"/>
      <c r="Y69" s="1264"/>
      <c r="Z69" s="1264"/>
      <c r="AA69" s="1265"/>
      <c r="AB69" s="1265"/>
      <c r="AC69" s="1265"/>
      <c r="AD69" s="1265"/>
      <c r="AE69" s="1265"/>
      <c r="AF69" s="1265"/>
      <c r="AG69" s="1265"/>
      <c r="AJ69" s="1264"/>
      <c r="AK69" s="1264"/>
      <c r="AL69" s="1264"/>
      <c r="AM69" s="1265"/>
      <c r="AN69" s="1265"/>
      <c r="AO69" s="1265"/>
      <c r="AP69" s="1265"/>
      <c r="AQ69" s="1265"/>
      <c r="AR69" s="1265"/>
      <c r="AS69" s="1265"/>
      <c r="AT69" s="53"/>
      <c r="AU69" s="1264"/>
      <c r="AV69" s="1264"/>
      <c r="AW69" s="1264"/>
      <c r="AX69" s="1264"/>
      <c r="AY69" s="1265"/>
      <c r="AZ69" s="53"/>
      <c r="BA69" s="1272"/>
      <c r="BB69" s="1267"/>
    </row>
    <row r="70" spans="23:54" x14ac:dyDescent="0.3">
      <c r="W70" s="53"/>
      <c r="X70" s="1264"/>
      <c r="Y70" s="1264"/>
      <c r="Z70" s="1264"/>
      <c r="AA70" s="1265"/>
      <c r="AB70" s="1265"/>
      <c r="AC70" s="1265"/>
      <c r="AD70" s="1265"/>
      <c r="AE70" s="1265"/>
      <c r="AF70" s="1265"/>
      <c r="AG70" s="1265"/>
      <c r="AJ70" s="1264"/>
      <c r="AK70" s="1264"/>
      <c r="AL70" s="1264"/>
      <c r="AM70" s="1265"/>
      <c r="AN70" s="1265"/>
      <c r="AO70" s="1265"/>
      <c r="AP70" s="1265"/>
      <c r="AQ70" s="1265"/>
      <c r="AR70" s="1265"/>
      <c r="AS70" s="1265"/>
      <c r="AT70" s="53"/>
      <c r="AU70" s="1264"/>
      <c r="AV70" s="1264"/>
      <c r="AW70" s="1264"/>
      <c r="AX70" s="1264"/>
      <c r="AY70" s="1265"/>
      <c r="AZ70" s="53"/>
      <c r="BA70" s="1272"/>
      <c r="BB70" s="1270"/>
    </row>
    <row r="71" spans="23:54" x14ac:dyDescent="0.3">
      <c r="W71" s="53"/>
      <c r="X71" s="53"/>
      <c r="Y71" s="53"/>
      <c r="Z71" s="1271"/>
      <c r="AA71" s="53"/>
      <c r="AB71" s="53"/>
      <c r="AC71" s="53"/>
      <c r="AD71" s="53"/>
      <c r="AE71" s="53"/>
      <c r="AF71" s="53"/>
      <c r="AG71" s="53"/>
      <c r="AJ71" s="53"/>
      <c r="AK71" s="1271"/>
      <c r="AL71" s="1271"/>
      <c r="AM71" s="53"/>
      <c r="AN71" s="53"/>
      <c r="AO71" s="53"/>
      <c r="AP71" s="53"/>
      <c r="AQ71" s="53"/>
      <c r="AR71" s="53"/>
      <c r="AS71" s="53"/>
      <c r="AT71" s="53"/>
      <c r="AU71" s="53"/>
      <c r="AV71" s="53"/>
      <c r="AW71" s="53"/>
      <c r="AX71" s="53"/>
      <c r="AY71" s="53"/>
      <c r="AZ71" s="53"/>
      <c r="BA71" s="53"/>
      <c r="BB71" s="53"/>
    </row>
    <row r="72" spans="23:54" x14ac:dyDescent="0.3">
      <c r="W72" s="1268"/>
      <c r="X72" s="53"/>
      <c r="Y72" s="53"/>
      <c r="Z72" s="1271"/>
      <c r="AA72" s="53"/>
      <c r="AB72" s="53"/>
      <c r="AC72" s="53"/>
      <c r="AD72" s="53"/>
      <c r="AE72" s="53"/>
      <c r="AF72" s="53"/>
      <c r="AG72" s="53"/>
      <c r="AJ72" s="53"/>
      <c r="AK72" s="53"/>
      <c r="AL72" s="1271"/>
      <c r="AM72" s="53"/>
      <c r="AN72" s="53"/>
      <c r="AO72" s="53"/>
      <c r="AP72" s="53"/>
      <c r="AQ72" s="53"/>
      <c r="AR72" s="53"/>
      <c r="AS72" s="53"/>
      <c r="AT72" s="53"/>
      <c r="AU72" s="53"/>
      <c r="AV72" s="53"/>
      <c r="AW72" s="53"/>
      <c r="AX72" s="53"/>
      <c r="AY72" s="53"/>
      <c r="AZ72" s="53"/>
      <c r="BA72" s="53"/>
      <c r="BB72" s="53"/>
    </row>
    <row r="73" spans="23:54" x14ac:dyDescent="0.3">
      <c r="W73" s="53"/>
      <c r="X73" s="53"/>
      <c r="Y73" s="53"/>
      <c r="Z73" s="53"/>
      <c r="AA73" s="53"/>
      <c r="AB73" s="53"/>
      <c r="AC73" s="53"/>
      <c r="AD73" s="53"/>
      <c r="AE73" s="53"/>
      <c r="AF73" s="53"/>
      <c r="AG73" s="53"/>
      <c r="AJ73" s="53"/>
      <c r="AK73" s="53"/>
      <c r="AL73" s="53"/>
      <c r="AM73" s="53"/>
      <c r="AN73" s="53"/>
      <c r="AO73" s="53"/>
      <c r="AP73" s="53"/>
      <c r="AQ73" s="53"/>
      <c r="AR73" s="53"/>
      <c r="AS73" s="53"/>
      <c r="AT73" s="53"/>
      <c r="AU73" s="53"/>
      <c r="AV73" s="53"/>
      <c r="AW73" s="53"/>
      <c r="AX73" s="53"/>
      <c r="AY73" s="53"/>
      <c r="AZ73" s="53"/>
      <c r="BA73" s="53"/>
      <c r="BB73" s="53"/>
    </row>
  </sheetData>
  <mergeCells count="29">
    <mergeCell ref="X1:Z1"/>
    <mergeCell ref="BB1:BD1"/>
    <mergeCell ref="X2:X3"/>
    <mergeCell ref="Y2:Y3"/>
    <mergeCell ref="Z2:Z3"/>
    <mergeCell ref="BB2:BB3"/>
    <mergeCell ref="BC2:BC3"/>
    <mergeCell ref="BD2:BD3"/>
    <mergeCell ref="BC12:BE12"/>
    <mergeCell ref="X52:AA52"/>
    <mergeCell ref="AJ52:AM52"/>
    <mergeCell ref="AU52:AY52"/>
    <mergeCell ref="F12:G12"/>
    <mergeCell ref="H12:I12"/>
    <mergeCell ref="S12:V12"/>
    <mergeCell ref="Y12:AA12"/>
    <mergeCell ref="AL12:AM12"/>
    <mergeCell ref="X63:AA63"/>
    <mergeCell ref="AJ63:AM63"/>
    <mergeCell ref="AU63:AY63"/>
    <mergeCell ref="J12:L12"/>
    <mergeCell ref="M12:O12"/>
    <mergeCell ref="P12:R12"/>
    <mergeCell ref="AW12:AZ12"/>
    <mergeCell ref="J11:O11"/>
    <mergeCell ref="AN12:AP12"/>
    <mergeCell ref="AQ12:AS12"/>
    <mergeCell ref="AT12:AV12"/>
    <mergeCell ref="AN11:AV11"/>
  </mergeCells>
  <printOptions verticalCentered="1"/>
  <pageMargins left="0.25" right="0.25" top="0.5" bottom="0.5" header="0.25" footer="0.25"/>
  <pageSetup scale="76" orientation="landscape" r:id="rId1"/>
  <headerFooter alignWithMargins="0">
    <oddHeader>&amp;RUG 388 - NW Natural/2500
Wyman/WP02</oddHeader>
    <oddFooter xml:space="preserve">&amp;C&amp;F &amp;D &amp;T
&amp;A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workbookViewId="0"/>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14" customWidth="1" outlineLevel="1"/>
    <col min="11" max="11" width="15.19921875" style="614" customWidth="1" outlineLevel="1"/>
    <col min="12" max="12" width="14" style="614" customWidth="1" outlineLevel="1"/>
    <col min="13" max="13" width="14.296875" style="614" customWidth="1" outlineLevel="1"/>
    <col min="14" max="14" width="14.296875" style="51" customWidth="1"/>
    <col min="15" max="15" width="16" style="51" customWidth="1" outlineLevel="1"/>
    <col min="16" max="16" width="15.796875" style="51" customWidth="1" outlineLevel="1"/>
    <col min="17" max="17" width="16.5" style="91" customWidth="1" outlineLevel="1"/>
    <col min="18" max="18" width="15.796875" style="129" customWidth="1" outlineLevel="1"/>
    <col min="19" max="19" width="16.5" style="129" customWidth="1" outlineLevel="1"/>
    <col min="20" max="20" width="3.19921875" style="129" customWidth="1"/>
    <col min="21" max="16384" width="9.296875" style="51"/>
  </cols>
  <sheetData>
    <row r="1" spans="2:20" x14ac:dyDescent="0.3">
      <c r="B1" s="90" t="s">
        <v>0</v>
      </c>
    </row>
    <row r="2" spans="2:20" x14ac:dyDescent="0.3">
      <c r="B2" s="90" t="s">
        <v>265</v>
      </c>
    </row>
    <row r="3" spans="2:20" x14ac:dyDescent="0.3">
      <c r="B3" s="90" t="s">
        <v>266</v>
      </c>
      <c r="P3" s="100"/>
      <c r="Q3" s="137"/>
    </row>
    <row r="4" spans="2:20" x14ac:dyDescent="0.3">
      <c r="B4" s="90" t="s">
        <v>640</v>
      </c>
      <c r="N4" s="646"/>
      <c r="O4" s="58"/>
      <c r="P4" s="58"/>
      <c r="Q4" s="57"/>
      <c r="R4" s="130"/>
      <c r="S4" s="130"/>
      <c r="T4" s="130"/>
    </row>
    <row r="5" spans="2:20" ht="13.5" thickBot="1" x14ac:dyDescent="0.35">
      <c r="B5" s="1290" t="s">
        <v>537</v>
      </c>
      <c r="N5" s="646"/>
      <c r="O5" s="58"/>
      <c r="P5" s="58"/>
      <c r="Q5" s="57"/>
      <c r="R5" s="130"/>
      <c r="S5" s="130"/>
      <c r="T5" s="130"/>
    </row>
    <row r="6" spans="2:20" ht="13.5" thickBot="1" x14ac:dyDescent="0.35">
      <c r="O6" s="1981" t="s">
        <v>540</v>
      </c>
      <c r="P6" s="1982"/>
      <c r="Q6" s="1983"/>
      <c r="R6" s="1979" t="s">
        <v>539</v>
      </c>
      <c r="S6" s="1980"/>
    </row>
    <row r="7" spans="2:20" ht="13.5" thickBot="1" x14ac:dyDescent="0.35">
      <c r="B7" s="102"/>
      <c r="C7" s="102"/>
      <c r="D7" s="102"/>
      <c r="E7" s="102"/>
      <c r="F7" s="102"/>
      <c r="G7" s="102"/>
      <c r="H7" s="624" t="s">
        <v>18</v>
      </c>
      <c r="I7" s="103" t="s">
        <v>534</v>
      </c>
      <c r="J7" s="1962" t="s">
        <v>535</v>
      </c>
      <c r="K7" s="1963"/>
      <c r="L7" s="1963"/>
      <c r="M7" s="1963"/>
      <c r="N7" s="1963"/>
      <c r="O7" s="1325" t="s">
        <v>173</v>
      </c>
      <c r="P7" s="1329" t="str">
        <f>'Rates in Detail'!P9</f>
        <v>EDIT Amort Cr</v>
      </c>
      <c r="Q7" s="1302" t="s">
        <v>32</v>
      </c>
      <c r="R7" s="1296" t="s">
        <v>173</v>
      </c>
      <c r="S7" s="1300" t="s">
        <v>32</v>
      </c>
    </row>
    <row r="8" spans="2:20" ht="52" x14ac:dyDescent="0.3">
      <c r="B8" s="104" t="s">
        <v>145</v>
      </c>
      <c r="C8" s="65" t="s">
        <v>2</v>
      </c>
      <c r="D8" s="65" t="s">
        <v>3</v>
      </c>
      <c r="E8" s="65" t="s">
        <v>158</v>
      </c>
      <c r="F8" s="65" t="s">
        <v>156</v>
      </c>
      <c r="G8" s="65" t="s">
        <v>157</v>
      </c>
      <c r="H8" s="105" t="s">
        <v>154</v>
      </c>
      <c r="I8" s="65" t="s">
        <v>155</v>
      </c>
      <c r="J8" s="615" t="s">
        <v>529</v>
      </c>
      <c r="K8" s="616" t="s">
        <v>530</v>
      </c>
      <c r="L8" s="616" t="s">
        <v>531</v>
      </c>
      <c r="M8" s="616" t="s">
        <v>533</v>
      </c>
      <c r="N8" s="65" t="s">
        <v>532</v>
      </c>
      <c r="O8" s="1326" t="s">
        <v>642</v>
      </c>
      <c r="P8" s="1323" t="s">
        <v>643</v>
      </c>
      <c r="Q8" s="1293" t="s">
        <v>644</v>
      </c>
      <c r="R8" s="1297" t="s">
        <v>642</v>
      </c>
      <c r="S8" s="1294" t="s">
        <v>645</v>
      </c>
      <c r="T8" s="1299"/>
    </row>
    <row r="9" spans="2:20" ht="13.5" thickBot="1" x14ac:dyDescent="0.35">
      <c r="B9" s="632"/>
      <c r="C9" s="633" t="s">
        <v>35</v>
      </c>
      <c r="D9" s="633" t="s">
        <v>36</v>
      </c>
      <c r="E9" s="633" t="s">
        <v>13</v>
      </c>
      <c r="F9" s="633" t="s">
        <v>37</v>
      </c>
      <c r="G9" s="633" t="s">
        <v>38</v>
      </c>
      <c r="H9" s="634" t="s">
        <v>39</v>
      </c>
      <c r="I9" s="635" t="s">
        <v>40</v>
      </c>
      <c r="J9" s="634" t="s">
        <v>41</v>
      </c>
      <c r="K9" s="633" t="s">
        <v>42</v>
      </c>
      <c r="L9" s="633" t="s">
        <v>124</v>
      </c>
      <c r="M9" s="633" t="s">
        <v>125</v>
      </c>
      <c r="N9" s="633" t="s">
        <v>248</v>
      </c>
      <c r="O9" s="1327" t="s">
        <v>126</v>
      </c>
      <c r="P9" s="1324" t="s">
        <v>127</v>
      </c>
      <c r="Q9" s="1292" t="s">
        <v>536</v>
      </c>
      <c r="R9" s="1295" t="s">
        <v>129</v>
      </c>
      <c r="S9" s="1301" t="s">
        <v>538</v>
      </c>
      <c r="T9" s="1288"/>
    </row>
    <row r="10" spans="2:20" x14ac:dyDescent="0.3">
      <c r="B10" s="109">
        <v>1</v>
      </c>
      <c r="C10" s="110" t="str">
        <f>'WA Volumes &amp; Revenues'!B15</f>
        <v>1R</v>
      </c>
      <c r="D10" s="110" t="s">
        <v>270</v>
      </c>
      <c r="E10" s="110" t="s">
        <v>270</v>
      </c>
      <c r="F10" s="112">
        <f>'WA Volumes &amp; Revenues'!E15</f>
        <v>214704.20066131229</v>
      </c>
      <c r="G10" s="112">
        <f>'WA Volumes &amp; Revenues'!H15</f>
        <v>911</v>
      </c>
      <c r="H10" s="885">
        <f>'WA Volumes &amp; Revenues'!O15</f>
        <v>5.5</v>
      </c>
      <c r="I10" s="886">
        <f>'WA Volumes &amp; Revenues'!N15</f>
        <v>5.5</v>
      </c>
      <c r="J10" s="619">
        <f>'Rates in Detail'!E13</f>
        <v>0.67652999999999996</v>
      </c>
      <c r="K10" s="623">
        <f>'Rates in Detail'!H13</f>
        <v>0.10141</v>
      </c>
      <c r="L10" s="623">
        <f>'Rates in Detail'!F13</f>
        <v>0.26333000000000001</v>
      </c>
      <c r="M10" s="623">
        <f>'Rates in Detail'!I13</f>
        <v>0.11125999999999998</v>
      </c>
      <c r="N10" s="134">
        <f>SUM(J10:M10)</f>
        <v>1.1525299999999998</v>
      </c>
      <c r="O10" s="1303">
        <f>'Rates in Detail'!L13</f>
        <v>0.11114</v>
      </c>
      <c r="P10" s="1298">
        <f>'Rates in Detail'!P13</f>
        <v>-9.1000000000000004E-3</v>
      </c>
      <c r="Q10" s="1313">
        <f>SUM(N10:P10)</f>
        <v>1.2545699999999997</v>
      </c>
      <c r="R10" s="1298">
        <f>'Rates in Detail'!AC13</f>
        <v>6.1650000000000003E-2</v>
      </c>
      <c r="S10" s="1317">
        <f>Q10+R10</f>
        <v>1.3162199999999997</v>
      </c>
      <c r="T10" s="130"/>
    </row>
    <row r="11" spans="2:20" x14ac:dyDescent="0.3">
      <c r="B11" s="109">
        <f>B10+1</f>
        <v>2</v>
      </c>
      <c r="C11" s="110" t="str">
        <f>'WA Volumes &amp; Revenues'!B16</f>
        <v>1C</v>
      </c>
      <c r="D11" s="110" t="s">
        <v>270</v>
      </c>
      <c r="E11" s="110" t="s">
        <v>270</v>
      </c>
      <c r="F11" s="112">
        <f>'WA Volumes &amp; Revenues'!E16</f>
        <v>46539.057144390383</v>
      </c>
      <c r="G11" s="112">
        <f>'WA Volumes &amp; Revenues'!H16</f>
        <v>34</v>
      </c>
      <c r="H11" s="885">
        <f>'WA Volumes &amp; Revenues'!O16</f>
        <v>7</v>
      </c>
      <c r="I11" s="886">
        <f>'WA Volumes &amp; Revenues'!N16</f>
        <v>7</v>
      </c>
      <c r="J11" s="619">
        <f>'Rates in Detail'!E14</f>
        <v>0.73148999999999997</v>
      </c>
      <c r="K11" s="623">
        <f>'Rates in Detail'!H14</f>
        <v>0.10141</v>
      </c>
      <c r="L11" s="623">
        <f>'Rates in Detail'!F14</f>
        <v>0.26333000000000001</v>
      </c>
      <c r="M11" s="623">
        <f>'Rates in Detail'!I14</f>
        <v>9.3060000000000004E-2</v>
      </c>
      <c r="N11" s="134">
        <f t="shared" ref="N11:N74" si="0">SUM(J11:M11)</f>
        <v>1.18929</v>
      </c>
      <c r="O11" s="1303">
        <f>'Rates in Detail'!L14</f>
        <v>9.2410000000000006E-2</v>
      </c>
      <c r="P11" s="1298">
        <f>'Rates in Detail'!P14</f>
        <v>-7.5599999999999999E-3</v>
      </c>
      <c r="Q11" s="1313">
        <f t="shared" ref="Q11:Q74" si="1">SUM(N11:P11)</f>
        <v>1.2741400000000001</v>
      </c>
      <c r="R11" s="1298">
        <f>'Rates in Detail'!AC14</f>
        <v>5.126E-2</v>
      </c>
      <c r="S11" s="1317">
        <f t="shared" ref="S11:S74" si="2">Q11+R11</f>
        <v>1.3254000000000001</v>
      </c>
      <c r="T11" s="130"/>
    </row>
    <row r="12" spans="2:20" x14ac:dyDescent="0.3">
      <c r="B12" s="109">
        <f t="shared" ref="B12:B75" si="3">B11+1</f>
        <v>3</v>
      </c>
      <c r="C12" s="110" t="str">
        <f>'WA Volumes &amp; Revenues'!B17</f>
        <v>2R</v>
      </c>
      <c r="D12" s="110" t="s">
        <v>270</v>
      </c>
      <c r="E12" s="110" t="s">
        <v>270</v>
      </c>
      <c r="F12" s="112">
        <f>'WA Volumes &amp; Revenues'!E17</f>
        <v>54953515.785084128</v>
      </c>
      <c r="G12" s="112">
        <f>'WA Volumes &amp; Revenues'!H17</f>
        <v>81119</v>
      </c>
      <c r="H12" s="885">
        <f>'WA Volumes &amp; Revenues'!O17</f>
        <v>8</v>
      </c>
      <c r="I12" s="886">
        <f>'WA Volumes &amp; Revenues'!N17</f>
        <v>8</v>
      </c>
      <c r="J12" s="619">
        <f>'Rates in Detail'!E15</f>
        <v>0.45815999999999979</v>
      </c>
      <c r="K12" s="623">
        <f>'Rates in Detail'!H15</f>
        <v>0.10141</v>
      </c>
      <c r="L12" s="623">
        <f>'Rates in Detail'!F15</f>
        <v>0.26333000000000001</v>
      </c>
      <c r="M12" s="623">
        <f>'Rates in Detail'!I15</f>
        <v>6.6579999999999986E-2</v>
      </c>
      <c r="N12" s="134">
        <f t="shared" si="0"/>
        <v>0.88947999999999972</v>
      </c>
      <c r="O12" s="1303">
        <f>'Rates in Detail'!L15</f>
        <v>7.034E-2</v>
      </c>
      <c r="P12" s="1298">
        <f>'Rates in Detail'!P15</f>
        <v>-5.7600000000000004E-3</v>
      </c>
      <c r="Q12" s="1313">
        <f t="shared" si="1"/>
        <v>0.95405999999999969</v>
      </c>
      <c r="R12" s="1298">
        <f>'Rates in Detail'!AC15</f>
        <v>3.9019999999999999E-2</v>
      </c>
      <c r="S12" s="1317">
        <f t="shared" si="2"/>
        <v>0.99307999999999974</v>
      </c>
      <c r="T12" s="130"/>
    </row>
    <row r="13" spans="2:20" x14ac:dyDescent="0.3">
      <c r="B13" s="109">
        <f t="shared" si="3"/>
        <v>4</v>
      </c>
      <c r="C13" s="110" t="str">
        <f>'WA Volumes &amp; Revenues'!B18</f>
        <v>3 CFS</v>
      </c>
      <c r="D13" s="110" t="s">
        <v>270</v>
      </c>
      <c r="E13" s="110" t="s">
        <v>270</v>
      </c>
      <c r="F13" s="112">
        <f>'WA Volumes &amp; Revenues'!E18</f>
        <v>17867210.60654201</v>
      </c>
      <c r="G13" s="112">
        <f>'WA Volumes &amp; Revenues'!H18</f>
        <v>6318</v>
      </c>
      <c r="H13" s="885">
        <f>'WA Volumes &amp; Revenues'!O18</f>
        <v>22</v>
      </c>
      <c r="I13" s="887">
        <f>'WA Volumes &amp; Revenues'!N18</f>
        <v>22</v>
      </c>
      <c r="J13" s="619">
        <f>'Rates in Detail'!E16</f>
        <v>0.44368000000000019</v>
      </c>
      <c r="K13" s="623">
        <f>'Rates in Detail'!H16</f>
        <v>0.10141</v>
      </c>
      <c r="L13" s="623">
        <f>'Rates in Detail'!F16</f>
        <v>0.26333000000000001</v>
      </c>
      <c r="M13" s="623">
        <f>'Rates in Detail'!I16</f>
        <v>5.8480000000000004E-2</v>
      </c>
      <c r="N13" s="135">
        <f t="shared" si="0"/>
        <v>0.86690000000000011</v>
      </c>
      <c r="O13" s="1305">
        <f>'Rates in Detail'!L16</f>
        <v>6.3159999999999994E-2</v>
      </c>
      <c r="P13" s="1298">
        <f>'Rates in Detail'!P16</f>
        <v>-5.1700000000000001E-3</v>
      </c>
      <c r="Q13" s="1313">
        <f t="shared" si="1"/>
        <v>0.9248900000000001</v>
      </c>
      <c r="R13" s="1298">
        <f>'Rates in Detail'!AC16</f>
        <v>3.5029999999999999E-2</v>
      </c>
      <c r="S13" s="1317">
        <f t="shared" si="2"/>
        <v>0.95992000000000011</v>
      </c>
      <c r="T13" s="130"/>
    </row>
    <row r="14" spans="2:20" x14ac:dyDescent="0.3">
      <c r="B14" s="109">
        <f t="shared" si="3"/>
        <v>5</v>
      </c>
      <c r="C14" s="110" t="str">
        <f>'WA Volumes &amp; Revenues'!B19</f>
        <v>3 IFS</v>
      </c>
      <c r="D14" s="110" t="s">
        <v>270</v>
      </c>
      <c r="E14" s="110" t="s">
        <v>270</v>
      </c>
      <c r="F14" s="112">
        <f>'WA Volumes &amp; Revenues'!E19</f>
        <v>283651.99999999994</v>
      </c>
      <c r="G14" s="112">
        <f>'WA Volumes &amp; Revenues'!H19</f>
        <v>24.25</v>
      </c>
      <c r="H14" s="885">
        <f>'WA Volumes &amp; Revenues'!O19</f>
        <v>22</v>
      </c>
      <c r="I14" s="887">
        <f>'WA Volumes &amp; Revenues'!N19</f>
        <v>22</v>
      </c>
      <c r="J14" s="619">
        <f>'Rates in Detail'!E17</f>
        <v>0.46249000000000001</v>
      </c>
      <c r="K14" s="623">
        <f>'Rates in Detail'!H17</f>
        <v>0.10141</v>
      </c>
      <c r="L14" s="623">
        <f>'Rates in Detail'!F17</f>
        <v>0.26333000000000001</v>
      </c>
      <c r="M14" s="623">
        <f>'Rates in Detail'!I17</f>
        <v>-8.9999999999999802E-5</v>
      </c>
      <c r="N14" s="135">
        <f t="shared" si="0"/>
        <v>0.8271400000000001</v>
      </c>
      <c r="O14" s="1305">
        <f>'Rates in Detail'!L17</f>
        <v>5.7209999999999997E-2</v>
      </c>
      <c r="P14" s="1298">
        <f>'Rates in Detail'!P17</f>
        <v>-4.6899999999999997E-3</v>
      </c>
      <c r="Q14" s="1313">
        <f t="shared" si="1"/>
        <v>0.87966000000000011</v>
      </c>
      <c r="R14" s="1298">
        <f>'Rates in Detail'!AC17</f>
        <v>3.1730000000000001E-2</v>
      </c>
      <c r="S14" s="1317">
        <f t="shared" si="2"/>
        <v>0.91139000000000014</v>
      </c>
      <c r="T14" s="130"/>
    </row>
    <row r="15" spans="2:20" x14ac:dyDescent="0.3">
      <c r="B15" s="109">
        <f t="shared" si="3"/>
        <v>6</v>
      </c>
      <c r="C15" s="1286" t="str">
        <f>'WA Volumes &amp; Revenues'!B20</f>
        <v>27R</v>
      </c>
      <c r="D15" s="110" t="s">
        <v>270</v>
      </c>
      <c r="E15" s="110" t="s">
        <v>270</v>
      </c>
      <c r="F15" s="112">
        <f>'WA Volumes &amp; Revenues'!E20</f>
        <v>461371.76933137607</v>
      </c>
      <c r="G15" s="112">
        <f>'WA Volumes &amp; Revenues'!H20</f>
        <v>776</v>
      </c>
      <c r="H15" s="888">
        <f>'WA Volumes &amp; Revenues'!O20</f>
        <v>9</v>
      </c>
      <c r="I15" s="889">
        <f>'WA Volumes &amp; Revenues'!N20</f>
        <v>9</v>
      </c>
      <c r="J15" s="619">
        <f>'Rates in Detail'!E18</f>
        <v>0.24087999999999973</v>
      </c>
      <c r="K15" s="623">
        <f>'Rates in Detail'!H18</f>
        <v>0.10141</v>
      </c>
      <c r="L15" s="623">
        <f>'Rates in Detail'!F18</f>
        <v>0.26333000000000001</v>
      </c>
      <c r="M15" s="623">
        <f>'Rates in Detail'!I18</f>
        <v>3.8710000000000001E-2</v>
      </c>
      <c r="N15" s="135">
        <f t="shared" si="0"/>
        <v>0.64432999999999985</v>
      </c>
      <c r="O15" s="1305">
        <f>'Rates in Detail'!L18</f>
        <v>5.006E-2</v>
      </c>
      <c r="P15" s="1298">
        <f>'Rates in Detail'!P18</f>
        <v>-4.1000000000000003E-3</v>
      </c>
      <c r="Q15" s="1313">
        <f t="shared" si="1"/>
        <v>0.69028999999999985</v>
      </c>
      <c r="R15" s="1298">
        <f>'Rates in Detail'!AC18</f>
        <v>2.777E-2</v>
      </c>
      <c r="S15" s="1317">
        <f t="shared" si="2"/>
        <v>0.71805999999999981</v>
      </c>
      <c r="T15" s="130"/>
    </row>
    <row r="16" spans="2:20" x14ac:dyDescent="0.3">
      <c r="B16" s="109">
        <f t="shared" si="3"/>
        <v>7</v>
      </c>
      <c r="C16" s="1287" t="str">
        <f>'WA Volumes &amp; Revenues'!B21</f>
        <v>41C Firm Sales</v>
      </c>
      <c r="D16" s="1287" t="s">
        <v>4</v>
      </c>
      <c r="E16" s="114">
        <v>2000</v>
      </c>
      <c r="F16" s="115">
        <f>'WA Volumes &amp; Revenues'!E21</f>
        <v>1777065.1510316674</v>
      </c>
      <c r="G16" s="115">
        <f>'WA Volumes &amp; Revenues'!H21</f>
        <v>91</v>
      </c>
      <c r="H16" s="890">
        <f>'WA Volumes &amp; Revenues'!O21</f>
        <v>250</v>
      </c>
      <c r="I16" s="891">
        <f>'WA Volumes &amp; Revenues'!N21</f>
        <v>250</v>
      </c>
      <c r="J16" s="620">
        <f>'Rates in Detail'!E19</f>
        <v>0.34474000000000016</v>
      </c>
      <c r="K16" s="622">
        <f>'Rates in Detail'!H19</f>
        <v>0</v>
      </c>
      <c r="L16" s="622">
        <f>'Rates in Detail'!F19</f>
        <v>0.26333000000000001</v>
      </c>
      <c r="M16" s="622">
        <f>'Rates in Detail'!I19</f>
        <v>4.3429999999999996E-2</v>
      </c>
      <c r="N16" s="136">
        <f t="shared" si="0"/>
        <v>0.65150000000000008</v>
      </c>
      <c r="O16" s="1306">
        <f>'Rates in Detail'!L19</f>
        <v>5.0160000000000003E-2</v>
      </c>
      <c r="P16" s="1307">
        <f>'Rates in Detail'!P19</f>
        <v>-4.1099999999999999E-3</v>
      </c>
      <c r="Q16" s="1314">
        <f t="shared" si="1"/>
        <v>0.69755000000000011</v>
      </c>
      <c r="R16" s="1307">
        <f>'Rates in Detail'!AC19</f>
        <v>2.7820000000000001E-2</v>
      </c>
      <c r="S16" s="1318">
        <f t="shared" si="2"/>
        <v>0.72537000000000007</v>
      </c>
      <c r="T16" s="130"/>
    </row>
    <row r="17" spans="2:20" x14ac:dyDescent="0.3">
      <c r="B17" s="109">
        <f t="shared" si="3"/>
        <v>8</v>
      </c>
      <c r="C17" s="110"/>
      <c r="D17" s="110" t="s">
        <v>5</v>
      </c>
      <c r="E17" s="111" t="s">
        <v>72</v>
      </c>
      <c r="F17" s="112">
        <f>'WA Volumes &amp; Revenues'!E22</f>
        <v>1974656.4658023661</v>
      </c>
      <c r="G17" s="112"/>
      <c r="H17" s="885"/>
      <c r="I17" s="887"/>
      <c r="J17" s="619">
        <f>'Rates in Detail'!E20</f>
        <v>0.30376999999999998</v>
      </c>
      <c r="K17" s="623">
        <f>'Rates in Detail'!H20</f>
        <v>0</v>
      </c>
      <c r="L17" s="623">
        <f>'Rates in Detail'!F20</f>
        <v>0.26333000000000001</v>
      </c>
      <c r="M17" s="623">
        <f>'Rates in Detail'!I20</f>
        <v>3.7170000000000002E-2</v>
      </c>
      <c r="N17" s="134">
        <f t="shared" si="0"/>
        <v>0.60426999999999997</v>
      </c>
      <c r="O17" s="1305">
        <f>'Rates in Detail'!L20</f>
        <v>4.4200000000000003E-2</v>
      </c>
      <c r="P17" s="1298">
        <f>'Rates in Detail'!P20</f>
        <v>-3.62E-3</v>
      </c>
      <c r="Q17" s="1313">
        <f t="shared" si="1"/>
        <v>0.64485000000000003</v>
      </c>
      <c r="R17" s="1298">
        <f>'Rates in Detail'!AC20</f>
        <v>2.4510000000000001E-2</v>
      </c>
      <c r="S17" s="1317">
        <f t="shared" si="2"/>
        <v>0.66936000000000007</v>
      </c>
      <c r="T17" s="130"/>
    </row>
    <row r="18" spans="2:20" x14ac:dyDescent="0.3">
      <c r="B18" s="109">
        <f t="shared" si="3"/>
        <v>9</v>
      </c>
      <c r="C18" s="1287" t="str">
        <f>'WA Volumes &amp; Revenues'!B23</f>
        <v>41I Firm Sales</v>
      </c>
      <c r="D18" s="1287" t="s">
        <v>4</v>
      </c>
      <c r="E18" s="114">
        <v>2000</v>
      </c>
      <c r="F18" s="115">
        <f>'WA Volumes &amp; Revenues'!E23</f>
        <v>392890.20000000007</v>
      </c>
      <c r="G18" s="115">
        <f>'WA Volumes &amp; Revenues'!H23</f>
        <v>17.833333333333332</v>
      </c>
      <c r="H18" s="890">
        <f>'WA Volumes &amp; Revenues'!O23</f>
        <v>250</v>
      </c>
      <c r="I18" s="891">
        <f>'WA Volumes &amp; Revenues'!N23</f>
        <v>250</v>
      </c>
      <c r="J18" s="620">
        <f>'Rates in Detail'!E21</f>
        <v>0.34416000000000024</v>
      </c>
      <c r="K18" s="622">
        <f>'Rates in Detail'!H21</f>
        <v>0</v>
      </c>
      <c r="L18" s="622">
        <f>'Rates in Detail'!F21</f>
        <v>0.26333000000000001</v>
      </c>
      <c r="M18" s="622">
        <f>'Rates in Detail'!I21</f>
        <v>-1.7200000000000002E-3</v>
      </c>
      <c r="N18" s="136">
        <f t="shared" si="0"/>
        <v>0.60577000000000025</v>
      </c>
      <c r="O18" s="1306">
        <f>'Rates in Detail'!L21</f>
        <v>2.3040000000000001E-2</v>
      </c>
      <c r="P18" s="1307">
        <f>'Rates in Detail'!P21</f>
        <v>-3.9100000000000003E-3</v>
      </c>
      <c r="Q18" s="1314">
        <f t="shared" si="1"/>
        <v>0.62490000000000023</v>
      </c>
      <c r="R18" s="1307">
        <f>'Rates in Detail'!AC21</f>
        <v>8.7299999999999999E-3</v>
      </c>
      <c r="S18" s="1318">
        <f t="shared" si="2"/>
        <v>0.63363000000000025</v>
      </c>
      <c r="T18" s="130"/>
    </row>
    <row r="19" spans="2:20" x14ac:dyDescent="0.3">
      <c r="B19" s="109">
        <f t="shared" si="3"/>
        <v>10</v>
      </c>
      <c r="C19" s="110"/>
      <c r="D19" s="110" t="s">
        <v>5</v>
      </c>
      <c r="E19" s="111" t="s">
        <v>72</v>
      </c>
      <c r="F19" s="112">
        <f>'WA Volumes &amp; Revenues'!E24</f>
        <v>621650.00000000012</v>
      </c>
      <c r="G19" s="112"/>
      <c r="H19" s="885"/>
      <c r="I19" s="887"/>
      <c r="J19" s="619">
        <f>'Rates in Detail'!E22</f>
        <v>0.30325000000000002</v>
      </c>
      <c r="K19" s="623">
        <f>'Rates in Detail'!H22</f>
        <v>0</v>
      </c>
      <c r="L19" s="623">
        <f>'Rates in Detail'!F22</f>
        <v>0.26333000000000001</v>
      </c>
      <c r="M19" s="623">
        <f>'Rates in Detail'!I22</f>
        <v>-2.6199999999999999E-3</v>
      </c>
      <c r="N19" s="134">
        <f t="shared" si="0"/>
        <v>0.56396000000000013</v>
      </c>
      <c r="O19" s="1305">
        <f>'Rates in Detail'!L22</f>
        <v>2.0299999999999999E-2</v>
      </c>
      <c r="P19" s="1298">
        <f>'Rates in Detail'!P22</f>
        <v>-3.4399999999999999E-3</v>
      </c>
      <c r="Q19" s="1313">
        <f t="shared" si="1"/>
        <v>0.58082000000000011</v>
      </c>
      <c r="R19" s="1298">
        <f>'Rates in Detail'!AC22</f>
        <v>7.6899999999999998E-3</v>
      </c>
      <c r="S19" s="1317">
        <f t="shared" si="2"/>
        <v>0.58851000000000009</v>
      </c>
      <c r="T19" s="130"/>
    </row>
    <row r="20" spans="2:20" x14ac:dyDescent="0.3">
      <c r="B20" s="109">
        <f t="shared" si="3"/>
        <v>11</v>
      </c>
      <c r="C20" s="1287" t="str">
        <f>'WA Volumes &amp; Revenues'!B25</f>
        <v>41C Interr Sales</v>
      </c>
      <c r="D20" s="1287" t="s">
        <v>4</v>
      </c>
      <c r="E20" s="114">
        <v>2000</v>
      </c>
      <c r="F20" s="115">
        <f>'WA Volumes &amp; Revenues'!E25</f>
        <v>0</v>
      </c>
      <c r="G20" s="115">
        <f>'WA Volumes &amp; Revenues'!H25</f>
        <v>0</v>
      </c>
      <c r="H20" s="890">
        <f>'WA Volumes &amp; Revenues'!O25</f>
        <v>250</v>
      </c>
      <c r="I20" s="891">
        <f>'WA Volumes &amp; Revenues'!N25</f>
        <v>250</v>
      </c>
      <c r="J20" s="620">
        <f>'Rates in Detail'!E23</f>
        <v>0.34372999999999987</v>
      </c>
      <c r="K20" s="622">
        <f>'Rates in Detail'!H23</f>
        <v>0</v>
      </c>
      <c r="L20" s="622">
        <f>'Rates in Detail'!F23</f>
        <v>0.26333000000000001</v>
      </c>
      <c r="M20" s="622">
        <f>'Rates in Detail'!I23</f>
        <v>5.3189999999999994E-2</v>
      </c>
      <c r="N20" s="136">
        <f t="shared" si="0"/>
        <v>0.66024999999999989</v>
      </c>
      <c r="O20" s="1306">
        <f>'Rates in Detail'!L23</f>
        <v>3.6089999999999997E-2</v>
      </c>
      <c r="P20" s="1307">
        <f>'Rates in Detail'!P23</f>
        <v>-3.2200000000000002E-3</v>
      </c>
      <c r="Q20" s="1314">
        <f t="shared" si="1"/>
        <v>0.69311999999999985</v>
      </c>
      <c r="R20" s="1307">
        <f>'Rates in Detail'!AC23</f>
        <v>2.162E-2</v>
      </c>
      <c r="S20" s="1318">
        <f t="shared" si="2"/>
        <v>0.71473999999999982</v>
      </c>
      <c r="T20" s="130"/>
    </row>
    <row r="21" spans="2:20" x14ac:dyDescent="0.3">
      <c r="B21" s="109">
        <f t="shared" si="3"/>
        <v>12</v>
      </c>
      <c r="C21" s="110"/>
      <c r="D21" s="110" t="s">
        <v>5</v>
      </c>
      <c r="E21" s="111" t="s">
        <v>72</v>
      </c>
      <c r="F21" s="112">
        <f>'WA Volumes &amp; Revenues'!E26</f>
        <v>0</v>
      </c>
      <c r="G21" s="112"/>
      <c r="H21" s="885"/>
      <c r="I21" s="887"/>
      <c r="J21" s="619">
        <f>'Rates in Detail'!E24</f>
        <v>0.30284999999999984</v>
      </c>
      <c r="K21" s="623">
        <f>'Rates in Detail'!H24</f>
        <v>0</v>
      </c>
      <c r="L21" s="623">
        <f>'Rates in Detail'!F24</f>
        <v>0.26333000000000001</v>
      </c>
      <c r="M21" s="623">
        <f>'Rates in Detail'!I24</f>
        <v>4.6990000000000004E-2</v>
      </c>
      <c r="N21" s="134">
        <f t="shared" si="0"/>
        <v>0.61316999999999988</v>
      </c>
      <c r="O21" s="1305">
        <f>'Rates in Detail'!L24</f>
        <v>3.1800000000000002E-2</v>
      </c>
      <c r="P21" s="1298">
        <f>'Rates in Detail'!P24</f>
        <v>-2.8400000000000001E-3</v>
      </c>
      <c r="Q21" s="1313">
        <f t="shared" si="1"/>
        <v>0.64212999999999998</v>
      </c>
      <c r="R21" s="1298">
        <f>'Rates in Detail'!AC24</f>
        <v>1.9050000000000001E-2</v>
      </c>
      <c r="S21" s="1317">
        <f t="shared" si="2"/>
        <v>0.66117999999999999</v>
      </c>
      <c r="T21" s="130"/>
    </row>
    <row r="22" spans="2:20" x14ac:dyDescent="0.3">
      <c r="B22" s="109">
        <f t="shared" si="3"/>
        <v>13</v>
      </c>
      <c r="C22" s="1287" t="str">
        <f>'WA Volumes &amp; Revenues'!B27</f>
        <v>41I Interr Sales</v>
      </c>
      <c r="D22" s="1287" t="s">
        <v>4</v>
      </c>
      <c r="E22" s="114">
        <v>2000</v>
      </c>
      <c r="F22" s="115">
        <f>'WA Volumes &amp; Revenues'!E27</f>
        <v>0</v>
      </c>
      <c r="G22" s="115">
        <f>'WA Volumes &amp; Revenues'!H27</f>
        <v>0</v>
      </c>
      <c r="H22" s="890">
        <f>'WA Volumes &amp; Revenues'!O27</f>
        <v>250</v>
      </c>
      <c r="I22" s="891">
        <f>'WA Volumes &amp; Revenues'!N27</f>
        <v>250</v>
      </c>
      <c r="J22" s="620">
        <f>'Rates in Detail'!E25</f>
        <v>0.34372999999999987</v>
      </c>
      <c r="K22" s="622">
        <f>'Rates in Detail'!H25</f>
        <v>0</v>
      </c>
      <c r="L22" s="622">
        <f>'Rates in Detail'!F25</f>
        <v>0.26333000000000001</v>
      </c>
      <c r="M22" s="622">
        <f>'Rates in Detail'!I25</f>
        <v>8.7499999999999991E-3</v>
      </c>
      <c r="N22" s="136">
        <f t="shared" si="0"/>
        <v>0.61580999999999997</v>
      </c>
      <c r="O22" s="1306">
        <f>'Rates in Detail'!L25</f>
        <v>1.576E-2</v>
      </c>
      <c r="P22" s="1307">
        <f>'Rates in Detail'!P25</f>
        <v>-3.2200000000000002E-3</v>
      </c>
      <c r="Q22" s="1314">
        <f t="shared" si="1"/>
        <v>0.62834999999999996</v>
      </c>
      <c r="R22" s="1307">
        <f>'Rates in Detail'!AC25</f>
        <v>7.1300000000000001E-3</v>
      </c>
      <c r="S22" s="1318">
        <f t="shared" si="2"/>
        <v>0.63547999999999993</v>
      </c>
      <c r="T22" s="130"/>
    </row>
    <row r="23" spans="2:20" x14ac:dyDescent="0.3">
      <c r="B23" s="109">
        <f t="shared" si="3"/>
        <v>14</v>
      </c>
      <c r="C23" s="110"/>
      <c r="D23" s="110" t="s">
        <v>5</v>
      </c>
      <c r="E23" s="111" t="s">
        <v>72</v>
      </c>
      <c r="F23" s="112">
        <f>'WA Volumes &amp; Revenues'!E28</f>
        <v>0</v>
      </c>
      <c r="G23" s="112"/>
      <c r="H23" s="885"/>
      <c r="I23" s="887"/>
      <c r="J23" s="619">
        <f>'Rates in Detail'!E26</f>
        <v>0.30284999999999984</v>
      </c>
      <c r="K23" s="623">
        <f>'Rates in Detail'!H26</f>
        <v>0</v>
      </c>
      <c r="L23" s="623">
        <f>'Rates in Detail'!F26</f>
        <v>0.26333000000000001</v>
      </c>
      <c r="M23" s="623">
        <f>'Rates in Detail'!I26</f>
        <v>7.8399999999999997E-3</v>
      </c>
      <c r="N23" s="134">
        <f t="shared" si="0"/>
        <v>0.57401999999999986</v>
      </c>
      <c r="O23" s="1305">
        <f>'Rates in Detail'!L26</f>
        <v>1.388E-2</v>
      </c>
      <c r="P23" s="1298">
        <f>'Rates in Detail'!P26</f>
        <v>-2.8400000000000001E-3</v>
      </c>
      <c r="Q23" s="1313">
        <f t="shared" si="1"/>
        <v>0.58505999999999991</v>
      </c>
      <c r="R23" s="1298">
        <f>'Rates in Detail'!AC26</f>
        <v>6.28E-3</v>
      </c>
      <c r="S23" s="1317">
        <f t="shared" si="2"/>
        <v>0.59133999999999987</v>
      </c>
      <c r="T23" s="130"/>
    </row>
    <row r="24" spans="2:20" x14ac:dyDescent="0.3">
      <c r="B24" s="109">
        <f t="shared" si="3"/>
        <v>15</v>
      </c>
      <c r="C24" s="1287" t="str">
        <f>'WA Volumes &amp; Revenues'!B29</f>
        <v>41C Firm Transpt</v>
      </c>
      <c r="D24" s="1287" t="s">
        <v>4</v>
      </c>
      <c r="E24" s="114">
        <v>2000</v>
      </c>
      <c r="F24" s="115">
        <f>'WA Volumes &amp; Revenues'!E29</f>
        <v>168721</v>
      </c>
      <c r="G24" s="115">
        <f>'WA Volumes &amp; Revenues'!H29</f>
        <v>7.916666666666667</v>
      </c>
      <c r="H24" s="890">
        <f>'WA Volumes &amp; Revenues'!O29</f>
        <v>500</v>
      </c>
      <c r="I24" s="891">
        <f>'WA Volumes &amp; Revenues'!N29</f>
        <v>500</v>
      </c>
      <c r="J24" s="620">
        <f>'Rates in Detail'!E27</f>
        <v>0.34791</v>
      </c>
      <c r="K24" s="622">
        <f>'Rates in Detail'!H27</f>
        <v>0</v>
      </c>
      <c r="L24" s="622">
        <f>'Rates in Detail'!F27</f>
        <v>0</v>
      </c>
      <c r="M24" s="622">
        <f>'Rates in Detail'!I27</f>
        <v>1.5499999999999999E-3</v>
      </c>
      <c r="N24" s="136">
        <f t="shared" si="0"/>
        <v>0.34945999999999999</v>
      </c>
      <c r="O24" s="1306">
        <f>'Rates in Detail'!L27</f>
        <v>2.562E-2</v>
      </c>
      <c r="P24" s="1307">
        <f>'Rates in Detail'!P27</f>
        <v>-4.3499999999999997E-3</v>
      </c>
      <c r="Q24" s="1314">
        <f t="shared" si="1"/>
        <v>0.37072999999999995</v>
      </c>
      <c r="R24" s="1307">
        <f>'Rates in Detail'!AC27</f>
        <v>9.7099999999999999E-3</v>
      </c>
      <c r="S24" s="1318">
        <f t="shared" si="2"/>
        <v>0.38043999999999994</v>
      </c>
      <c r="T24" s="130"/>
    </row>
    <row r="25" spans="2:20" x14ac:dyDescent="0.3">
      <c r="B25" s="109">
        <f t="shared" si="3"/>
        <v>16</v>
      </c>
      <c r="C25" s="110"/>
      <c r="D25" s="110" t="s">
        <v>5</v>
      </c>
      <c r="E25" s="111" t="s">
        <v>72</v>
      </c>
      <c r="F25" s="112">
        <f>'WA Volumes &amp; Revenues'!E30</f>
        <v>272866</v>
      </c>
      <c r="G25" s="112"/>
      <c r="H25" s="885"/>
      <c r="I25" s="887"/>
      <c r="J25" s="619">
        <f>'Rates in Detail'!E28</f>
        <v>0.30653000000000008</v>
      </c>
      <c r="K25" s="623">
        <f>'Rates in Detail'!H28</f>
        <v>0</v>
      </c>
      <c r="L25" s="623">
        <f>'Rates in Detail'!F28</f>
        <v>0</v>
      </c>
      <c r="M25" s="623">
        <f>'Rates in Detail'!I28</f>
        <v>1.3600000000000001E-3</v>
      </c>
      <c r="N25" s="134">
        <f t="shared" si="0"/>
        <v>0.30789000000000011</v>
      </c>
      <c r="O25" s="1305">
        <f>'Rates in Detail'!L28</f>
        <v>2.257E-2</v>
      </c>
      <c r="P25" s="1298">
        <f>'Rates in Detail'!P28</f>
        <v>-3.8300000000000001E-3</v>
      </c>
      <c r="Q25" s="1313">
        <f t="shared" si="1"/>
        <v>0.32663000000000009</v>
      </c>
      <c r="R25" s="1298">
        <f>'Rates in Detail'!AC28</f>
        <v>8.5500000000000003E-3</v>
      </c>
      <c r="S25" s="1317">
        <f t="shared" si="2"/>
        <v>0.33518000000000009</v>
      </c>
      <c r="T25" s="130"/>
    </row>
    <row r="26" spans="2:20" x14ac:dyDescent="0.3">
      <c r="B26" s="109">
        <f t="shared" si="3"/>
        <v>17</v>
      </c>
      <c r="C26" s="1287" t="str">
        <f>'WA Volumes &amp; Revenues'!B31</f>
        <v>41I Firm Transpt</v>
      </c>
      <c r="D26" s="1287" t="s">
        <v>4</v>
      </c>
      <c r="E26" s="114">
        <v>2000</v>
      </c>
      <c r="F26" s="115">
        <f>'WA Volumes &amp; Revenues'!E31</f>
        <v>0</v>
      </c>
      <c r="G26" s="115">
        <f>'WA Volumes &amp; Revenues'!H31</f>
        <v>0</v>
      </c>
      <c r="H26" s="890">
        <f>'WA Volumes &amp; Revenues'!O31</f>
        <v>500</v>
      </c>
      <c r="I26" s="891">
        <f>'WA Volumes &amp; Revenues'!N31</f>
        <v>500</v>
      </c>
      <c r="J26" s="620">
        <f>'Rates in Detail'!E29</f>
        <v>0.34791</v>
      </c>
      <c r="K26" s="622">
        <f>'Rates in Detail'!H29</f>
        <v>0</v>
      </c>
      <c r="L26" s="622">
        <f>'Rates in Detail'!F29</f>
        <v>0</v>
      </c>
      <c r="M26" s="622">
        <f>'Rates in Detail'!I29</f>
        <v>1.5499999999999999E-3</v>
      </c>
      <c r="N26" s="136">
        <f t="shared" si="0"/>
        <v>0.34945999999999999</v>
      </c>
      <c r="O26" s="1306">
        <f>'Rates in Detail'!L29</f>
        <v>1.5949999999999999E-2</v>
      </c>
      <c r="P26" s="1307">
        <f>'Rates in Detail'!P29</f>
        <v>-3.2599999999999999E-3</v>
      </c>
      <c r="Q26" s="1314">
        <f t="shared" si="1"/>
        <v>0.36215000000000003</v>
      </c>
      <c r="R26" s="1307">
        <f>'Rates in Detail'!AC29</f>
        <v>7.2100000000000003E-3</v>
      </c>
      <c r="S26" s="1318">
        <f t="shared" si="2"/>
        <v>0.36936000000000002</v>
      </c>
      <c r="T26" s="130"/>
    </row>
    <row r="27" spans="2:20" x14ac:dyDescent="0.3">
      <c r="B27" s="109">
        <f t="shared" si="3"/>
        <v>18</v>
      </c>
      <c r="C27" s="110"/>
      <c r="D27" s="110" t="s">
        <v>5</v>
      </c>
      <c r="E27" s="111" t="s">
        <v>72</v>
      </c>
      <c r="F27" s="112">
        <f>'WA Volumes &amp; Revenues'!E32</f>
        <v>0</v>
      </c>
      <c r="G27" s="112"/>
      <c r="H27" s="885"/>
      <c r="I27" s="887"/>
      <c r="J27" s="619">
        <f>'Rates in Detail'!E30</f>
        <v>0.30653000000000008</v>
      </c>
      <c r="K27" s="623">
        <f>'Rates in Detail'!H30</f>
        <v>0</v>
      </c>
      <c r="L27" s="623">
        <f>'Rates in Detail'!F30</f>
        <v>0</v>
      </c>
      <c r="M27" s="623">
        <f>'Rates in Detail'!I30</f>
        <v>1.3600000000000001E-3</v>
      </c>
      <c r="N27" s="134">
        <f t="shared" si="0"/>
        <v>0.30789000000000011</v>
      </c>
      <c r="O27" s="1305">
        <f>'Rates in Detail'!L30</f>
        <v>1.405E-2</v>
      </c>
      <c r="P27" s="1298">
        <f>'Rates in Detail'!P30</f>
        <v>-2.8700000000000002E-3</v>
      </c>
      <c r="Q27" s="1313">
        <f t="shared" si="1"/>
        <v>0.31907000000000013</v>
      </c>
      <c r="R27" s="1298">
        <f>'Rates in Detail'!AC30</f>
        <v>6.3499999999999997E-3</v>
      </c>
      <c r="S27" s="1317">
        <f t="shared" si="2"/>
        <v>0.32542000000000015</v>
      </c>
      <c r="T27" s="130"/>
    </row>
    <row r="28" spans="2:20" x14ac:dyDescent="0.3">
      <c r="B28" s="109">
        <f t="shared" si="3"/>
        <v>19</v>
      </c>
      <c r="C28" s="1287" t="str">
        <f>'WA Volumes &amp; Revenues'!B33</f>
        <v>42C Firm Sales</v>
      </c>
      <c r="D28" s="1287" t="s">
        <v>4</v>
      </c>
      <c r="E28" s="114">
        <v>10000</v>
      </c>
      <c r="F28" s="115">
        <f>'WA Volumes &amp; Revenues'!E33</f>
        <v>350769.66174469434</v>
      </c>
      <c r="G28" s="115">
        <f>'WA Volumes &amp; Revenues'!H33</f>
        <v>5</v>
      </c>
      <c r="H28" s="890">
        <f>'WA Volumes &amp; Revenues'!O33</f>
        <v>1300</v>
      </c>
      <c r="I28" s="891">
        <f>'WA Volumes &amp; Revenues'!N33</f>
        <v>1300</v>
      </c>
      <c r="J28" s="620">
        <f>'Rates in Detail'!E31</f>
        <v>0.15245999999999996</v>
      </c>
      <c r="K28" s="622">
        <f>'Rates in Detail'!H31</f>
        <v>0</v>
      </c>
      <c r="L28" s="622">
        <f>'Rates in Detail'!F31</f>
        <v>0.26333000000000001</v>
      </c>
      <c r="M28" s="622">
        <f>'Rates in Detail'!I31</f>
        <v>1.9560000000000001E-2</v>
      </c>
      <c r="N28" s="136">
        <f t="shared" si="0"/>
        <v>0.43535000000000001</v>
      </c>
      <c r="O28" s="1306">
        <f>'Rates in Detail'!L31</f>
        <v>3.7769999999999998E-2</v>
      </c>
      <c r="P28" s="1307">
        <f>'Rates in Detail'!P31</f>
        <v>-3.0899999999999999E-3</v>
      </c>
      <c r="Q28" s="1314">
        <f t="shared" si="1"/>
        <v>0.47003</v>
      </c>
      <c r="R28" s="1307">
        <f>'Rates in Detail'!AC31</f>
        <v>2.095E-2</v>
      </c>
      <c r="S28" s="1318">
        <f t="shared" si="2"/>
        <v>0.49098000000000003</v>
      </c>
      <c r="T28" s="130"/>
    </row>
    <row r="29" spans="2:20" x14ac:dyDescent="0.3">
      <c r="B29" s="109">
        <f t="shared" si="3"/>
        <v>20</v>
      </c>
      <c r="C29" s="1287"/>
      <c r="D29" s="1287" t="s">
        <v>5</v>
      </c>
      <c r="E29" s="114">
        <v>20000</v>
      </c>
      <c r="F29" s="115">
        <f>'WA Volumes &amp; Revenues'!E34</f>
        <v>303088.75426472601</v>
      </c>
      <c r="G29" s="115"/>
      <c r="H29" s="890"/>
      <c r="I29" s="891"/>
      <c r="J29" s="620">
        <f>'Rates in Detail'!E32</f>
        <v>0.1364699999999997</v>
      </c>
      <c r="K29" s="622">
        <f>'Rates in Detail'!H32</f>
        <v>0</v>
      </c>
      <c r="L29" s="622">
        <f>'Rates in Detail'!F32</f>
        <v>0.26333000000000001</v>
      </c>
      <c r="M29" s="622">
        <f>'Rates in Detail'!I32</f>
        <v>1.6539999999999999E-2</v>
      </c>
      <c r="N29" s="136">
        <f t="shared" si="0"/>
        <v>0.41633999999999971</v>
      </c>
      <c r="O29" s="1306">
        <f>'Rates in Detail'!L32</f>
        <v>3.381E-2</v>
      </c>
      <c r="P29" s="1307">
        <f>'Rates in Detail'!P32</f>
        <v>-2.7699999999999999E-3</v>
      </c>
      <c r="Q29" s="1314">
        <f t="shared" si="1"/>
        <v>0.44737999999999972</v>
      </c>
      <c r="R29" s="1307">
        <f>'Rates in Detail'!AC32</f>
        <v>1.8749999999999999E-2</v>
      </c>
      <c r="S29" s="1318">
        <f t="shared" si="2"/>
        <v>0.46612999999999971</v>
      </c>
      <c r="T29" s="130"/>
    </row>
    <row r="30" spans="2:20" x14ac:dyDescent="0.3">
      <c r="B30" s="109">
        <f t="shared" si="3"/>
        <v>21</v>
      </c>
      <c r="C30" s="1287"/>
      <c r="D30" s="1287" t="s">
        <v>6</v>
      </c>
      <c r="E30" s="114">
        <v>20000</v>
      </c>
      <c r="F30" s="115">
        <f>'WA Volumes &amp; Revenues'!E35</f>
        <v>59441.942130257296</v>
      </c>
      <c r="G30" s="115"/>
      <c r="H30" s="890"/>
      <c r="I30" s="891"/>
      <c r="J30" s="620">
        <f>'Rates in Detail'!E33</f>
        <v>0.1046699999999999</v>
      </c>
      <c r="K30" s="622">
        <f>'Rates in Detail'!H33</f>
        <v>0</v>
      </c>
      <c r="L30" s="622">
        <f>'Rates in Detail'!F33</f>
        <v>0.26333000000000001</v>
      </c>
      <c r="M30" s="622">
        <f>'Rates in Detail'!I33</f>
        <v>1.052E-2</v>
      </c>
      <c r="N30" s="136">
        <f t="shared" si="0"/>
        <v>0.37851999999999986</v>
      </c>
      <c r="O30" s="1306">
        <f>'Rates in Detail'!L33</f>
        <v>2.5930000000000002E-2</v>
      </c>
      <c r="P30" s="1307">
        <f>'Rates in Detail'!P33</f>
        <v>-2.1199999999999999E-3</v>
      </c>
      <c r="Q30" s="1314">
        <f t="shared" si="1"/>
        <v>0.40232999999999985</v>
      </c>
      <c r="R30" s="1307">
        <f>'Rates in Detail'!AC33</f>
        <v>1.438E-2</v>
      </c>
      <c r="S30" s="1318">
        <f t="shared" si="2"/>
        <v>0.41670999999999986</v>
      </c>
      <c r="T30" s="130"/>
    </row>
    <row r="31" spans="2:20" x14ac:dyDescent="0.3">
      <c r="B31" s="109">
        <f t="shared" si="3"/>
        <v>22</v>
      </c>
      <c r="C31" s="1287"/>
      <c r="D31" s="1287" t="s">
        <v>7</v>
      </c>
      <c r="E31" s="114">
        <v>100000</v>
      </c>
      <c r="F31" s="115">
        <f>'WA Volumes &amp; Revenues'!E36</f>
        <v>3614.6071898605187</v>
      </c>
      <c r="G31" s="115"/>
      <c r="H31" s="890"/>
      <c r="I31" s="891"/>
      <c r="J31" s="620">
        <f>'Rates in Detail'!E34</f>
        <v>8.3729999999999999E-2</v>
      </c>
      <c r="K31" s="622">
        <f>'Rates in Detail'!H34</f>
        <v>0</v>
      </c>
      <c r="L31" s="622">
        <f>'Rates in Detail'!F34</f>
        <v>0.26333000000000001</v>
      </c>
      <c r="M31" s="622">
        <f>'Rates in Detail'!I34</f>
        <v>6.550000000000002E-3</v>
      </c>
      <c r="N31" s="136">
        <f t="shared" si="0"/>
        <v>0.35361000000000004</v>
      </c>
      <c r="O31" s="1306">
        <f>'Rates in Detail'!L34</f>
        <v>2.0740000000000001E-2</v>
      </c>
      <c r="P31" s="1307">
        <f>'Rates in Detail'!P34</f>
        <v>-1.6999999999999999E-3</v>
      </c>
      <c r="Q31" s="1314">
        <f t="shared" si="1"/>
        <v>0.37265000000000004</v>
      </c>
      <c r="R31" s="1307">
        <f>'Rates in Detail'!AC34</f>
        <v>1.1509999999999999E-2</v>
      </c>
      <c r="S31" s="1318">
        <f t="shared" si="2"/>
        <v>0.38416000000000006</v>
      </c>
      <c r="T31" s="130"/>
    </row>
    <row r="32" spans="2:20" x14ac:dyDescent="0.3">
      <c r="B32" s="109">
        <f t="shared" si="3"/>
        <v>23</v>
      </c>
      <c r="C32" s="1287"/>
      <c r="D32" s="1287" t="s">
        <v>8</v>
      </c>
      <c r="E32" s="114">
        <v>600000</v>
      </c>
      <c r="F32" s="115">
        <f>'WA Volumes &amp; Revenues'!E37</f>
        <v>0</v>
      </c>
      <c r="G32" s="115"/>
      <c r="H32" s="890"/>
      <c r="I32" s="891"/>
      <c r="J32" s="620">
        <f>'Rates in Detail'!E35</f>
        <v>5.5809999999999992E-2</v>
      </c>
      <c r="K32" s="622">
        <f>'Rates in Detail'!H35</f>
        <v>0</v>
      </c>
      <c r="L32" s="622">
        <f>'Rates in Detail'!F35</f>
        <v>0.26333000000000001</v>
      </c>
      <c r="M32" s="622">
        <f>'Rates in Detail'!I35</f>
        <v>1.239999999999998E-3</v>
      </c>
      <c r="N32" s="136">
        <f t="shared" si="0"/>
        <v>0.32038</v>
      </c>
      <c r="O32" s="1306">
        <f>'Rates in Detail'!L35</f>
        <v>1.383E-2</v>
      </c>
      <c r="P32" s="1307">
        <f>'Rates in Detail'!P35</f>
        <v>-1.1299999999999999E-3</v>
      </c>
      <c r="Q32" s="1314">
        <f t="shared" si="1"/>
        <v>0.33307999999999999</v>
      </c>
      <c r="R32" s="1307">
        <f>'Rates in Detail'!AC35</f>
        <v>7.6699999999999997E-3</v>
      </c>
      <c r="S32" s="1318">
        <f t="shared" si="2"/>
        <v>0.34075</v>
      </c>
      <c r="T32" s="130"/>
    </row>
    <row r="33" spans="2:20" x14ac:dyDescent="0.3">
      <c r="B33" s="109">
        <f t="shared" si="3"/>
        <v>24</v>
      </c>
      <c r="C33" s="110"/>
      <c r="D33" s="110" t="s">
        <v>9</v>
      </c>
      <c r="E33" s="111" t="s">
        <v>72</v>
      </c>
      <c r="F33" s="112">
        <f>'WA Volumes &amp; Revenues'!E38</f>
        <v>0</v>
      </c>
      <c r="G33" s="112"/>
      <c r="H33" s="885"/>
      <c r="I33" s="887"/>
      <c r="J33" s="619">
        <f>'Rates in Detail'!E36</f>
        <v>2.0920000000000029E-2</v>
      </c>
      <c r="K33" s="623">
        <f>'Rates in Detail'!H36</f>
        <v>0</v>
      </c>
      <c r="L33" s="623">
        <f>'Rates in Detail'!F36</f>
        <v>0.26333000000000001</v>
      </c>
      <c r="M33" s="623">
        <f>'Rates in Detail'!I36</f>
        <v>-5.3500000000000006E-3</v>
      </c>
      <c r="N33" s="134">
        <f t="shared" si="0"/>
        <v>0.27890000000000004</v>
      </c>
      <c r="O33" s="1305">
        <f>'Rates in Detail'!L36</f>
        <v>5.1799999999999997E-3</v>
      </c>
      <c r="P33" s="1298">
        <f>'Rates in Detail'!P36</f>
        <v>-4.2000000000000002E-4</v>
      </c>
      <c r="Q33" s="1313">
        <f t="shared" si="1"/>
        <v>0.28366000000000008</v>
      </c>
      <c r="R33" s="1298">
        <f>'Rates in Detail'!AC36</f>
        <v>2.8800000000000002E-3</v>
      </c>
      <c r="S33" s="1317">
        <f t="shared" si="2"/>
        <v>0.28654000000000007</v>
      </c>
      <c r="T33" s="130"/>
    </row>
    <row r="34" spans="2:20" x14ac:dyDescent="0.3">
      <c r="B34" s="109">
        <f t="shared" si="3"/>
        <v>25</v>
      </c>
      <c r="C34" s="1287" t="str">
        <f>'WA Volumes &amp; Revenues'!B39</f>
        <v>42I Firm Sales</v>
      </c>
      <c r="D34" s="1287" t="s">
        <v>4</v>
      </c>
      <c r="E34" s="114">
        <v>10000</v>
      </c>
      <c r="F34" s="115">
        <f>'WA Volumes &amp; Revenues'!E39</f>
        <v>1093724.2000000002</v>
      </c>
      <c r="G34" s="115">
        <f>'WA Volumes &amp; Revenues'!H39</f>
        <v>11.916666666666666</v>
      </c>
      <c r="H34" s="890">
        <f>'WA Volumes &amp; Revenues'!O39</f>
        <v>1300</v>
      </c>
      <c r="I34" s="891">
        <f>'WA Volumes &amp; Revenues'!N39</f>
        <v>1300</v>
      </c>
      <c r="J34" s="620">
        <f>'Rates in Detail'!E37</f>
        <v>0.14721000000000001</v>
      </c>
      <c r="K34" s="622">
        <f>'Rates in Detail'!H37</f>
        <v>0</v>
      </c>
      <c r="L34" s="622">
        <f>'Rates in Detail'!F37</f>
        <v>0.26333000000000001</v>
      </c>
      <c r="M34" s="622">
        <f>'Rates in Detail'!I37</f>
        <v>-4.6100000000000012E-3</v>
      </c>
      <c r="N34" s="136">
        <f t="shared" si="0"/>
        <v>0.40593000000000001</v>
      </c>
      <c r="O34" s="1306">
        <f>'Rates in Detail'!L37</f>
        <v>1.6219999999999998E-2</v>
      </c>
      <c r="P34" s="1307">
        <f>'Rates in Detail'!P37</f>
        <v>-2.7499999999999998E-3</v>
      </c>
      <c r="Q34" s="1314">
        <f t="shared" si="1"/>
        <v>0.41940000000000005</v>
      </c>
      <c r="R34" s="1307">
        <f>'Rates in Detail'!AC37</f>
        <v>6.1399999999999996E-3</v>
      </c>
      <c r="S34" s="1318">
        <f t="shared" si="2"/>
        <v>0.42554000000000003</v>
      </c>
      <c r="T34" s="130"/>
    </row>
    <row r="35" spans="2:20" x14ac:dyDescent="0.3">
      <c r="B35" s="109">
        <f t="shared" si="3"/>
        <v>26</v>
      </c>
      <c r="C35" s="1287"/>
      <c r="D35" s="1287" t="s">
        <v>5</v>
      </c>
      <c r="E35" s="114">
        <v>20000</v>
      </c>
      <c r="F35" s="115">
        <f>'WA Volumes &amp; Revenues'!E40</f>
        <v>655939.80000000005</v>
      </c>
      <c r="G35" s="115"/>
      <c r="H35" s="890"/>
      <c r="I35" s="891"/>
      <c r="J35" s="620">
        <f>'Rates in Detail'!E38</f>
        <v>0.13177</v>
      </c>
      <c r="K35" s="622">
        <f>'Rates in Detail'!H38</f>
        <v>0</v>
      </c>
      <c r="L35" s="622">
        <f>'Rates in Detail'!F38</f>
        <v>0.26333000000000001</v>
      </c>
      <c r="M35" s="622">
        <f>'Rates in Detail'!I38</f>
        <v>-5.1100000000000008E-3</v>
      </c>
      <c r="N35" s="136">
        <f t="shared" si="0"/>
        <v>0.38999</v>
      </c>
      <c r="O35" s="1306">
        <f>'Rates in Detail'!L38</f>
        <v>1.452E-2</v>
      </c>
      <c r="P35" s="1307">
        <f>'Rates in Detail'!P38</f>
        <v>-2.4599999999999999E-3</v>
      </c>
      <c r="Q35" s="1314">
        <f t="shared" si="1"/>
        <v>0.40204999999999996</v>
      </c>
      <c r="R35" s="1307">
        <f>'Rates in Detail'!AC38</f>
        <v>5.4999999999999997E-3</v>
      </c>
      <c r="S35" s="1318">
        <f t="shared" si="2"/>
        <v>0.40754999999999997</v>
      </c>
      <c r="T35" s="130"/>
    </row>
    <row r="36" spans="2:20" x14ac:dyDescent="0.3">
      <c r="B36" s="109">
        <f t="shared" si="3"/>
        <v>27</v>
      </c>
      <c r="C36" s="1287"/>
      <c r="D36" s="1287" t="s">
        <v>6</v>
      </c>
      <c r="E36" s="114">
        <v>20000</v>
      </c>
      <c r="F36" s="115">
        <f>'WA Volumes &amp; Revenues'!E41</f>
        <v>81241.3</v>
      </c>
      <c r="G36" s="115"/>
      <c r="H36" s="890"/>
      <c r="I36" s="891"/>
      <c r="J36" s="620">
        <f>'Rates in Detail'!E39</f>
        <v>0.10104999999999985</v>
      </c>
      <c r="K36" s="622">
        <f>'Rates in Detail'!H39</f>
        <v>0</v>
      </c>
      <c r="L36" s="622">
        <f>'Rates in Detail'!F39</f>
        <v>0.26333000000000001</v>
      </c>
      <c r="M36" s="622">
        <f>'Rates in Detail'!I39</f>
        <v>-6.0700000000000007E-3</v>
      </c>
      <c r="N36" s="136">
        <f t="shared" si="0"/>
        <v>0.35830999999999985</v>
      </c>
      <c r="O36" s="1306">
        <f>'Rates in Detail'!L39</f>
        <v>1.1129999999999999E-2</v>
      </c>
      <c r="P36" s="1307">
        <f>'Rates in Detail'!P39</f>
        <v>-1.89E-3</v>
      </c>
      <c r="Q36" s="1314">
        <f t="shared" si="1"/>
        <v>0.36754999999999982</v>
      </c>
      <c r="R36" s="1307">
        <f>'Rates in Detail'!AC39</f>
        <v>4.2199999999999998E-3</v>
      </c>
      <c r="S36" s="1318">
        <f t="shared" si="2"/>
        <v>0.37176999999999982</v>
      </c>
      <c r="T36" s="130"/>
    </row>
    <row r="37" spans="2:20" x14ac:dyDescent="0.3">
      <c r="B37" s="109">
        <f t="shared" si="3"/>
        <v>28</v>
      </c>
      <c r="C37" s="1287"/>
      <c r="D37" s="1287" t="s">
        <v>7</v>
      </c>
      <c r="E37" s="114">
        <v>100000</v>
      </c>
      <c r="F37" s="115">
        <f>'WA Volumes &amp; Revenues'!E42</f>
        <v>9320.1</v>
      </c>
      <c r="G37" s="115"/>
      <c r="H37" s="890"/>
      <c r="I37" s="891"/>
      <c r="J37" s="620">
        <f>'Rates in Detail'!E40</f>
        <v>8.0839999999999995E-2</v>
      </c>
      <c r="K37" s="622">
        <f>'Rates in Detail'!H40</f>
        <v>0</v>
      </c>
      <c r="L37" s="622">
        <f>'Rates in Detail'!F40</f>
        <v>0.26333000000000001</v>
      </c>
      <c r="M37" s="622">
        <f>'Rates in Detail'!I40</f>
        <v>-6.7300000000000007E-3</v>
      </c>
      <c r="N37" s="136">
        <f t="shared" si="0"/>
        <v>0.33743999999999996</v>
      </c>
      <c r="O37" s="1306">
        <f>'Rates in Detail'!L40</f>
        <v>8.9099999999999995E-3</v>
      </c>
      <c r="P37" s="1307">
        <f>'Rates in Detail'!P40</f>
        <v>-1.5100000000000001E-3</v>
      </c>
      <c r="Q37" s="1314">
        <f t="shared" si="1"/>
        <v>0.34483999999999992</v>
      </c>
      <c r="R37" s="1307">
        <f>'Rates in Detail'!AC40</f>
        <v>3.3700000000000002E-3</v>
      </c>
      <c r="S37" s="1318">
        <f t="shared" si="2"/>
        <v>0.34820999999999991</v>
      </c>
      <c r="T37" s="130"/>
    </row>
    <row r="38" spans="2:20" x14ac:dyDescent="0.3">
      <c r="B38" s="109">
        <f t="shared" si="3"/>
        <v>29</v>
      </c>
      <c r="C38" s="1287"/>
      <c r="D38" s="1287" t="s">
        <v>8</v>
      </c>
      <c r="E38" s="114">
        <v>600000</v>
      </c>
      <c r="F38" s="115">
        <f>'WA Volumes &amp; Revenues'!E43</f>
        <v>0</v>
      </c>
      <c r="G38" s="115"/>
      <c r="H38" s="890"/>
      <c r="I38" s="891"/>
      <c r="J38" s="620">
        <f>'Rates in Detail'!E41</f>
        <v>5.391E-2</v>
      </c>
      <c r="K38" s="622">
        <f>'Rates in Detail'!H41</f>
        <v>0</v>
      </c>
      <c r="L38" s="622">
        <f>'Rates in Detail'!F41</f>
        <v>0.26333000000000001</v>
      </c>
      <c r="M38" s="622">
        <f>'Rates in Detail'!I41</f>
        <v>-7.5900000000000004E-3</v>
      </c>
      <c r="N38" s="136">
        <f t="shared" si="0"/>
        <v>0.30965000000000004</v>
      </c>
      <c r="O38" s="1306">
        <f>'Rates in Detail'!L41</f>
        <v>5.94E-3</v>
      </c>
      <c r="P38" s="1307">
        <f>'Rates in Detail'!P41</f>
        <v>-1.01E-3</v>
      </c>
      <c r="Q38" s="1314">
        <f t="shared" si="1"/>
        <v>0.31458000000000003</v>
      </c>
      <c r="R38" s="1307">
        <f>'Rates in Detail'!AC41</f>
        <v>2.2499999999999998E-3</v>
      </c>
      <c r="S38" s="1318">
        <f t="shared" si="2"/>
        <v>0.31683</v>
      </c>
      <c r="T38" s="130"/>
    </row>
    <row r="39" spans="2:20" x14ac:dyDescent="0.3">
      <c r="B39" s="109">
        <f t="shared" si="3"/>
        <v>30</v>
      </c>
      <c r="C39" s="110"/>
      <c r="D39" s="110" t="s">
        <v>9</v>
      </c>
      <c r="E39" s="111" t="s">
        <v>72</v>
      </c>
      <c r="F39" s="112">
        <f>'WA Volumes &amp; Revenues'!E44</f>
        <v>0</v>
      </c>
      <c r="G39" s="112"/>
      <c r="H39" s="885"/>
      <c r="I39" s="887"/>
      <c r="J39" s="619">
        <f>'Rates in Detail'!E42</f>
        <v>2.0199999999999999E-2</v>
      </c>
      <c r="K39" s="623">
        <f>'Rates in Detail'!H42</f>
        <v>0</v>
      </c>
      <c r="L39" s="623">
        <f>'Rates in Detail'!F42</f>
        <v>0.26333000000000001</v>
      </c>
      <c r="M39" s="623">
        <f>'Rates in Detail'!I42</f>
        <v>-8.6700000000000006E-3</v>
      </c>
      <c r="N39" s="134">
        <f t="shared" si="0"/>
        <v>0.27485999999999999</v>
      </c>
      <c r="O39" s="1305">
        <f>'Rates in Detail'!L42</f>
        <v>2.2300000000000002E-3</v>
      </c>
      <c r="P39" s="1298">
        <f>'Rates in Detail'!P42</f>
        <v>-3.8000000000000002E-4</v>
      </c>
      <c r="Q39" s="1313">
        <f t="shared" si="1"/>
        <v>0.27671000000000001</v>
      </c>
      <c r="R39" s="1298">
        <f>'Rates in Detail'!AC42</f>
        <v>8.4000000000000003E-4</v>
      </c>
      <c r="S39" s="1317">
        <f t="shared" si="2"/>
        <v>0.27755000000000002</v>
      </c>
      <c r="T39" s="130"/>
    </row>
    <row r="40" spans="2:20" x14ac:dyDescent="0.3">
      <c r="B40" s="109">
        <f t="shared" si="3"/>
        <v>31</v>
      </c>
      <c r="C40" s="1287" t="str">
        <f>'WA Volumes &amp; Revenues'!B45</f>
        <v>42C Firm Transpt</v>
      </c>
      <c r="D40" s="1287" t="s">
        <v>4</v>
      </c>
      <c r="E40" s="114">
        <v>10000</v>
      </c>
      <c r="F40" s="115">
        <f>'WA Volumes &amp; Revenues'!E45</f>
        <v>480000</v>
      </c>
      <c r="G40" s="115">
        <f>'WA Volumes &amp; Revenues'!H45</f>
        <v>4</v>
      </c>
      <c r="H40" s="890">
        <f>'WA Volumes &amp; Revenues'!O45</f>
        <v>1550</v>
      </c>
      <c r="I40" s="891">
        <f>'WA Volumes &amp; Revenues'!N45</f>
        <v>1550</v>
      </c>
      <c r="J40" s="620">
        <f>'Rates in Detail'!E43</f>
        <v>0.13791999999999999</v>
      </c>
      <c r="K40" s="622">
        <f>'Rates in Detail'!H43</f>
        <v>0</v>
      </c>
      <c r="L40" s="622">
        <f>'Rates in Detail'!F43</f>
        <v>0</v>
      </c>
      <c r="M40" s="622">
        <f>'Rates in Detail'!I43</f>
        <v>5.9999999999999995E-4</v>
      </c>
      <c r="N40" s="136">
        <f t="shared" si="0"/>
        <v>0.13851999999999998</v>
      </c>
      <c r="O40" s="1306">
        <f>'Rates in Detail'!L43</f>
        <v>1.295E-2</v>
      </c>
      <c r="P40" s="1307">
        <f>'Rates in Detail'!P43</f>
        <v>-1.75E-3</v>
      </c>
      <c r="Q40" s="1314">
        <f t="shared" si="1"/>
        <v>0.14971999999999996</v>
      </c>
      <c r="R40" s="1307">
        <f>'Rates in Detail'!AC43</f>
        <v>5.94E-3</v>
      </c>
      <c r="S40" s="1318">
        <f t="shared" si="2"/>
        <v>0.15565999999999997</v>
      </c>
      <c r="T40" s="130"/>
    </row>
    <row r="41" spans="2:20" x14ac:dyDescent="0.3">
      <c r="B41" s="109">
        <f t="shared" si="3"/>
        <v>32</v>
      </c>
      <c r="C41" s="1287"/>
      <c r="D41" s="1287" t="s">
        <v>5</v>
      </c>
      <c r="E41" s="114">
        <v>20000</v>
      </c>
      <c r="F41" s="115">
        <f>'WA Volumes &amp; Revenues'!E46</f>
        <v>807846</v>
      </c>
      <c r="G41" s="115"/>
      <c r="H41" s="890"/>
      <c r="I41" s="891"/>
      <c r="J41" s="620">
        <f>'Rates in Detail'!E44</f>
        <v>0.12346999999999998</v>
      </c>
      <c r="K41" s="622">
        <f>'Rates in Detail'!H44</f>
        <v>0</v>
      </c>
      <c r="L41" s="622">
        <f>'Rates in Detail'!F44</f>
        <v>0</v>
      </c>
      <c r="M41" s="622">
        <f>'Rates in Detail'!I44</f>
        <v>5.2999999999999998E-4</v>
      </c>
      <c r="N41" s="136">
        <f t="shared" si="0"/>
        <v>0.12399999999999999</v>
      </c>
      <c r="O41" s="1306">
        <f>'Rates in Detail'!L44</f>
        <v>1.159E-2</v>
      </c>
      <c r="P41" s="1307">
        <f>'Rates in Detail'!P44</f>
        <v>-1.57E-3</v>
      </c>
      <c r="Q41" s="1314">
        <f t="shared" si="1"/>
        <v>0.13402</v>
      </c>
      <c r="R41" s="1307">
        <f>'Rates in Detail'!AC44</f>
        <v>5.3099999999999996E-3</v>
      </c>
      <c r="S41" s="1318">
        <f t="shared" si="2"/>
        <v>0.13933000000000001</v>
      </c>
      <c r="T41" s="130"/>
    </row>
    <row r="42" spans="2:20" x14ac:dyDescent="0.3">
      <c r="B42" s="109">
        <f t="shared" si="3"/>
        <v>33</v>
      </c>
      <c r="C42" s="1287"/>
      <c r="D42" s="1287" t="s">
        <v>6</v>
      </c>
      <c r="E42" s="114">
        <v>20000</v>
      </c>
      <c r="F42" s="115">
        <f>'WA Volumes &amp; Revenues'!E47</f>
        <v>583779</v>
      </c>
      <c r="G42" s="115"/>
      <c r="H42" s="890"/>
      <c r="I42" s="891"/>
      <c r="J42" s="620">
        <f>'Rates in Detail'!E45</f>
        <v>9.4670000000000004E-2</v>
      </c>
      <c r="K42" s="622">
        <f>'Rates in Detail'!H45</f>
        <v>0</v>
      </c>
      <c r="L42" s="622">
        <f>'Rates in Detail'!F45</f>
        <v>0</v>
      </c>
      <c r="M42" s="622">
        <f>'Rates in Detail'!I45</f>
        <v>4.1000000000000005E-4</v>
      </c>
      <c r="N42" s="136">
        <f t="shared" si="0"/>
        <v>9.5079999999999998E-2</v>
      </c>
      <c r="O42" s="1306">
        <f>'Rates in Detail'!L45</f>
        <v>8.8900000000000003E-3</v>
      </c>
      <c r="P42" s="1307">
        <f>'Rates in Detail'!P45</f>
        <v>-1.1999999999999999E-3</v>
      </c>
      <c r="Q42" s="1314">
        <f t="shared" si="1"/>
        <v>0.10276999999999999</v>
      </c>
      <c r="R42" s="1307">
        <f>'Rates in Detail'!AC45</f>
        <v>4.0699999999999998E-3</v>
      </c>
      <c r="S42" s="1318">
        <f t="shared" si="2"/>
        <v>0.10683999999999999</v>
      </c>
      <c r="T42" s="130"/>
    </row>
    <row r="43" spans="2:20" x14ac:dyDescent="0.3">
      <c r="B43" s="109">
        <f t="shared" si="3"/>
        <v>34</v>
      </c>
      <c r="C43" s="1287"/>
      <c r="D43" s="1287" t="s">
        <v>7</v>
      </c>
      <c r="E43" s="114">
        <v>100000</v>
      </c>
      <c r="F43" s="115">
        <f>'WA Volumes &amp; Revenues'!E48</f>
        <v>598933</v>
      </c>
      <c r="G43" s="115"/>
      <c r="H43" s="890"/>
      <c r="I43" s="891"/>
      <c r="J43" s="620">
        <f>'Rates in Detail'!E46</f>
        <v>7.5750000000000012E-2</v>
      </c>
      <c r="K43" s="622">
        <f>'Rates in Detail'!H46</f>
        <v>0</v>
      </c>
      <c r="L43" s="622">
        <f>'Rates in Detail'!F46</f>
        <v>0</v>
      </c>
      <c r="M43" s="622">
        <f>'Rates in Detail'!I46</f>
        <v>3.1999999999999997E-4</v>
      </c>
      <c r="N43" s="136">
        <f t="shared" si="0"/>
        <v>7.6070000000000013E-2</v>
      </c>
      <c r="O43" s="1306">
        <f>'Rates in Detail'!L46</f>
        <v>7.11E-3</v>
      </c>
      <c r="P43" s="1307">
        <f>'Rates in Detail'!P46</f>
        <v>-9.6000000000000002E-4</v>
      </c>
      <c r="Q43" s="1314">
        <f t="shared" si="1"/>
        <v>8.2220000000000015E-2</v>
      </c>
      <c r="R43" s="1307">
        <f>'Rates in Detail'!AC46</f>
        <v>3.2599999999999999E-3</v>
      </c>
      <c r="S43" s="1318">
        <f t="shared" si="2"/>
        <v>8.5480000000000014E-2</v>
      </c>
      <c r="T43" s="130"/>
    </row>
    <row r="44" spans="2:20" x14ac:dyDescent="0.3">
      <c r="B44" s="109">
        <f t="shared" si="3"/>
        <v>35</v>
      </c>
      <c r="C44" s="1287"/>
      <c r="D44" s="1287" t="s">
        <v>8</v>
      </c>
      <c r="E44" s="114">
        <v>600000</v>
      </c>
      <c r="F44" s="115">
        <f>'WA Volumes &amp; Revenues'!E49</f>
        <v>0</v>
      </c>
      <c r="G44" s="115"/>
      <c r="H44" s="890"/>
      <c r="I44" s="891"/>
      <c r="J44" s="620">
        <f>'Rates in Detail'!E47</f>
        <v>5.0500000000000003E-2</v>
      </c>
      <c r="K44" s="622">
        <f>'Rates in Detail'!H47</f>
        <v>0</v>
      </c>
      <c r="L44" s="622">
        <f>'Rates in Detail'!F47</f>
        <v>0</v>
      </c>
      <c r="M44" s="622">
        <f>'Rates in Detail'!I47</f>
        <v>2.1000000000000001E-4</v>
      </c>
      <c r="N44" s="136">
        <f t="shared" si="0"/>
        <v>5.0710000000000005E-2</v>
      </c>
      <c r="O44" s="1306">
        <f>'Rates in Detail'!L47</f>
        <v>4.7400000000000003E-3</v>
      </c>
      <c r="P44" s="1307">
        <f>'Rates in Detail'!P47</f>
        <v>-6.4000000000000005E-4</v>
      </c>
      <c r="Q44" s="1314">
        <f t="shared" si="1"/>
        <v>5.4810000000000005E-2</v>
      </c>
      <c r="R44" s="1307">
        <f>'Rates in Detail'!AC47</f>
        <v>2.1700000000000001E-3</v>
      </c>
      <c r="S44" s="1318">
        <f t="shared" si="2"/>
        <v>5.6980000000000003E-2</v>
      </c>
      <c r="T44" s="130"/>
    </row>
    <row r="45" spans="2:20" x14ac:dyDescent="0.3">
      <c r="B45" s="109">
        <f t="shared" si="3"/>
        <v>36</v>
      </c>
      <c r="C45" s="110"/>
      <c r="D45" s="110" t="s">
        <v>9</v>
      </c>
      <c r="E45" s="111" t="s">
        <v>72</v>
      </c>
      <c r="F45" s="112">
        <f>'WA Volumes &amp; Revenues'!E50</f>
        <v>0</v>
      </c>
      <c r="G45" s="112"/>
      <c r="H45" s="885"/>
      <c r="I45" s="887"/>
      <c r="J45" s="619">
        <f>'Rates in Detail'!E48</f>
        <v>1.8929999999999999E-2</v>
      </c>
      <c r="K45" s="623">
        <f>'Rates in Detail'!H48</f>
        <v>0</v>
      </c>
      <c r="L45" s="623">
        <f>'Rates in Detail'!F48</f>
        <v>0</v>
      </c>
      <c r="M45" s="623">
        <f>'Rates in Detail'!I48</f>
        <v>7.9999999999999993E-5</v>
      </c>
      <c r="N45" s="134">
        <f t="shared" si="0"/>
        <v>1.9009999999999999E-2</v>
      </c>
      <c r="O45" s="1305">
        <f>'Rates in Detail'!L48</f>
        <v>1.7799999999999999E-3</v>
      </c>
      <c r="P45" s="1298">
        <f>'Rates in Detail'!P48</f>
        <v>-2.4000000000000001E-4</v>
      </c>
      <c r="Q45" s="1313">
        <f t="shared" si="1"/>
        <v>2.0549999999999999E-2</v>
      </c>
      <c r="R45" s="1298">
        <f>'Rates in Detail'!AC48</f>
        <v>8.0999999999999996E-4</v>
      </c>
      <c r="S45" s="1317">
        <f t="shared" si="2"/>
        <v>2.1359999999999997E-2</v>
      </c>
      <c r="T45" s="130"/>
    </row>
    <row r="46" spans="2:20" x14ac:dyDescent="0.3">
      <c r="B46" s="109">
        <f t="shared" si="3"/>
        <v>37</v>
      </c>
      <c r="C46" s="1287" t="str">
        <f>'WA Volumes &amp; Revenues'!B51</f>
        <v>42I Firm Transpt</v>
      </c>
      <c r="D46" s="1287" t="s">
        <v>4</v>
      </c>
      <c r="E46" s="114">
        <v>10000</v>
      </c>
      <c r="F46" s="115">
        <f>'WA Volumes &amp; Revenues'!E51</f>
        <v>924395</v>
      </c>
      <c r="G46" s="115">
        <f>'WA Volumes &amp; Revenues'!H51</f>
        <v>8.9166666666666661</v>
      </c>
      <c r="H46" s="890">
        <f>'WA Volumes &amp; Revenues'!O51</f>
        <v>1550</v>
      </c>
      <c r="I46" s="891">
        <f>'WA Volumes &amp; Revenues'!N51</f>
        <v>1550</v>
      </c>
      <c r="J46" s="620">
        <f>'Rates in Detail'!E49</f>
        <v>0.13941000000000001</v>
      </c>
      <c r="K46" s="622">
        <f>'Rates in Detail'!H49</f>
        <v>0</v>
      </c>
      <c r="L46" s="622">
        <f>'Rates in Detail'!F49</f>
        <v>0</v>
      </c>
      <c r="M46" s="622">
        <f>'Rates in Detail'!I49</f>
        <v>5.8999999999999992E-4</v>
      </c>
      <c r="N46" s="136">
        <f t="shared" si="0"/>
        <v>0.14000000000000001</v>
      </c>
      <c r="O46" s="1306">
        <f>'Rates in Detail'!L49</f>
        <v>1.044E-2</v>
      </c>
      <c r="P46" s="1307">
        <f>'Rates in Detail'!P49</f>
        <v>-1.7700000000000001E-3</v>
      </c>
      <c r="Q46" s="1314">
        <f t="shared" si="1"/>
        <v>0.14867000000000002</v>
      </c>
      <c r="R46" s="1307">
        <f>'Rates in Detail'!AC49</f>
        <v>3.96E-3</v>
      </c>
      <c r="S46" s="1318">
        <f t="shared" si="2"/>
        <v>0.15263000000000002</v>
      </c>
      <c r="T46" s="130"/>
    </row>
    <row r="47" spans="2:20" x14ac:dyDescent="0.3">
      <c r="B47" s="109">
        <f t="shared" si="3"/>
        <v>38</v>
      </c>
      <c r="C47" s="1287"/>
      <c r="D47" s="1287" t="s">
        <v>5</v>
      </c>
      <c r="E47" s="114">
        <v>20000</v>
      </c>
      <c r="F47" s="115">
        <f>'WA Volumes &amp; Revenues'!E52</f>
        <v>1036796</v>
      </c>
      <c r="G47" s="115"/>
      <c r="H47" s="890"/>
      <c r="I47" s="891"/>
      <c r="J47" s="620">
        <f>'Rates in Detail'!E50</f>
        <v>0.12478999999999997</v>
      </c>
      <c r="K47" s="622">
        <f>'Rates in Detail'!H50</f>
        <v>0</v>
      </c>
      <c r="L47" s="622">
        <f>'Rates in Detail'!F50</f>
        <v>0</v>
      </c>
      <c r="M47" s="622">
        <f>'Rates in Detail'!I50</f>
        <v>5.2000000000000006E-4</v>
      </c>
      <c r="N47" s="136">
        <f t="shared" si="0"/>
        <v>0.12530999999999998</v>
      </c>
      <c r="O47" s="1306">
        <f>'Rates in Detail'!L50</f>
        <v>9.3500000000000007E-3</v>
      </c>
      <c r="P47" s="1307">
        <f>'Rates in Detail'!P50</f>
        <v>-1.5900000000000001E-3</v>
      </c>
      <c r="Q47" s="1314">
        <f t="shared" si="1"/>
        <v>0.13306999999999997</v>
      </c>
      <c r="R47" s="1307">
        <f>'Rates in Detail'!AC50</f>
        <v>3.5400000000000002E-3</v>
      </c>
      <c r="S47" s="1318">
        <f t="shared" si="2"/>
        <v>0.13660999999999995</v>
      </c>
      <c r="T47" s="130"/>
    </row>
    <row r="48" spans="2:20" x14ac:dyDescent="0.3">
      <c r="B48" s="109">
        <f t="shared" si="3"/>
        <v>39</v>
      </c>
      <c r="C48" s="1287"/>
      <c r="D48" s="1287" t="s">
        <v>6</v>
      </c>
      <c r="E48" s="114">
        <v>20000</v>
      </c>
      <c r="F48" s="115">
        <f>'WA Volumes &amp; Revenues'!E53</f>
        <v>937215</v>
      </c>
      <c r="G48" s="115"/>
      <c r="H48" s="890"/>
      <c r="I48" s="891"/>
      <c r="J48" s="620">
        <f>'Rates in Detail'!E51</f>
        <v>9.5690000000000011E-2</v>
      </c>
      <c r="K48" s="622">
        <f>'Rates in Detail'!H51</f>
        <v>0</v>
      </c>
      <c r="L48" s="622">
        <f>'Rates in Detail'!F51</f>
        <v>0</v>
      </c>
      <c r="M48" s="622">
        <f>'Rates in Detail'!I51</f>
        <v>4.1000000000000005E-4</v>
      </c>
      <c r="N48" s="136">
        <f t="shared" si="0"/>
        <v>9.6100000000000005E-2</v>
      </c>
      <c r="O48" s="1306">
        <f>'Rates in Detail'!L51</f>
        <v>7.1700000000000002E-3</v>
      </c>
      <c r="P48" s="1307">
        <f>'Rates in Detail'!P51</f>
        <v>-1.2199999999999999E-3</v>
      </c>
      <c r="Q48" s="1314">
        <f t="shared" si="1"/>
        <v>0.10205</v>
      </c>
      <c r="R48" s="1307">
        <f>'Rates in Detail'!AC51</f>
        <v>2.7200000000000002E-3</v>
      </c>
      <c r="S48" s="1318">
        <f t="shared" si="2"/>
        <v>0.10477</v>
      </c>
      <c r="T48" s="130"/>
    </row>
    <row r="49" spans="2:20" x14ac:dyDescent="0.3">
      <c r="B49" s="109">
        <f t="shared" si="3"/>
        <v>40</v>
      </c>
      <c r="C49" s="1287"/>
      <c r="D49" s="1287" t="s">
        <v>7</v>
      </c>
      <c r="E49" s="114">
        <v>100000</v>
      </c>
      <c r="F49" s="115">
        <f>'WA Volumes &amp; Revenues'!E54</f>
        <v>2390318</v>
      </c>
      <c r="G49" s="115"/>
      <c r="H49" s="890"/>
      <c r="I49" s="891"/>
      <c r="J49" s="620">
        <f>'Rates in Detail'!E52</f>
        <v>7.6560000000000017E-2</v>
      </c>
      <c r="K49" s="622">
        <f>'Rates in Detail'!H52</f>
        <v>0</v>
      </c>
      <c r="L49" s="622">
        <f>'Rates in Detail'!F52</f>
        <v>0</v>
      </c>
      <c r="M49" s="622">
        <f>'Rates in Detail'!I52</f>
        <v>3.1999999999999997E-4</v>
      </c>
      <c r="N49" s="136">
        <f t="shared" si="0"/>
        <v>7.6880000000000018E-2</v>
      </c>
      <c r="O49" s="1306">
        <f>'Rates in Detail'!L52</f>
        <v>5.7299999999999999E-3</v>
      </c>
      <c r="P49" s="1307">
        <f>'Rates in Detail'!P52</f>
        <v>-9.7000000000000005E-4</v>
      </c>
      <c r="Q49" s="1314">
        <f t="shared" si="1"/>
        <v>8.1640000000000018E-2</v>
      </c>
      <c r="R49" s="1307">
        <f>'Rates in Detail'!AC52</f>
        <v>2.1700000000000001E-3</v>
      </c>
      <c r="S49" s="1318">
        <f t="shared" si="2"/>
        <v>8.3810000000000023E-2</v>
      </c>
      <c r="T49" s="130"/>
    </row>
    <row r="50" spans="2:20" x14ac:dyDescent="0.3">
      <c r="B50" s="109">
        <f t="shared" si="3"/>
        <v>41</v>
      </c>
      <c r="C50" s="1287"/>
      <c r="D50" s="1287" t="s">
        <v>8</v>
      </c>
      <c r="E50" s="114">
        <v>600000</v>
      </c>
      <c r="F50" s="115">
        <f>'WA Volumes &amp; Revenues'!E55</f>
        <v>1492257</v>
      </c>
      <c r="G50" s="115"/>
      <c r="H50" s="890"/>
      <c r="I50" s="891"/>
      <c r="J50" s="620">
        <f>'Rates in Detail'!E53</f>
        <v>5.1040000000000002E-2</v>
      </c>
      <c r="K50" s="622">
        <f>'Rates in Detail'!H53</f>
        <v>0</v>
      </c>
      <c r="L50" s="622">
        <f>'Rates in Detail'!F53</f>
        <v>0</v>
      </c>
      <c r="M50" s="622">
        <f>'Rates in Detail'!I53</f>
        <v>2.1000000000000001E-4</v>
      </c>
      <c r="N50" s="136">
        <f t="shared" si="0"/>
        <v>5.1250000000000004E-2</v>
      </c>
      <c r="O50" s="1306">
        <f>'Rates in Detail'!L53</f>
        <v>3.82E-3</v>
      </c>
      <c r="P50" s="1307">
        <f>'Rates in Detail'!P53</f>
        <v>-6.4999999999999997E-4</v>
      </c>
      <c r="Q50" s="1314">
        <f t="shared" si="1"/>
        <v>5.4420000000000003E-2</v>
      </c>
      <c r="R50" s="1307">
        <f>'Rates in Detail'!AC53</f>
        <v>1.4499999999999999E-3</v>
      </c>
      <c r="S50" s="1318">
        <f t="shared" si="2"/>
        <v>5.5870000000000003E-2</v>
      </c>
      <c r="T50" s="130"/>
    </row>
    <row r="51" spans="2:20" x14ac:dyDescent="0.3">
      <c r="B51" s="109">
        <f t="shared" si="3"/>
        <v>42</v>
      </c>
      <c r="C51" s="110"/>
      <c r="D51" s="110" t="s">
        <v>9</v>
      </c>
      <c r="E51" s="111" t="s">
        <v>72</v>
      </c>
      <c r="F51" s="112">
        <f>'WA Volumes &amp; Revenues'!E56</f>
        <v>0</v>
      </c>
      <c r="G51" s="112"/>
      <c r="H51" s="885"/>
      <c r="I51" s="887"/>
      <c r="J51" s="619">
        <f>'Rates in Detail'!E54</f>
        <v>1.9140000000000001E-2</v>
      </c>
      <c r="K51" s="623">
        <f>'Rates in Detail'!H54</f>
        <v>0</v>
      </c>
      <c r="L51" s="623">
        <f>'Rates in Detail'!F54</f>
        <v>0</v>
      </c>
      <c r="M51" s="623">
        <f>'Rates in Detail'!I54</f>
        <v>7.9999999999999993E-5</v>
      </c>
      <c r="N51" s="134">
        <f t="shared" si="0"/>
        <v>1.9220000000000001E-2</v>
      </c>
      <c r="O51" s="1305">
        <f>'Rates in Detail'!L54</f>
        <v>1.4300000000000001E-3</v>
      </c>
      <c r="P51" s="1298">
        <f>'Rates in Detail'!P54</f>
        <v>-2.4000000000000001E-4</v>
      </c>
      <c r="Q51" s="1313">
        <f t="shared" si="1"/>
        <v>2.0410000000000001E-2</v>
      </c>
      <c r="R51" s="1298">
        <f>'Rates in Detail'!AC54</f>
        <v>5.4000000000000001E-4</v>
      </c>
      <c r="S51" s="1317">
        <f t="shared" si="2"/>
        <v>2.095E-2</v>
      </c>
      <c r="T51" s="130"/>
    </row>
    <row r="52" spans="2:20" x14ac:dyDescent="0.3">
      <c r="B52" s="109">
        <f t="shared" si="3"/>
        <v>43</v>
      </c>
      <c r="C52" s="1287" t="str">
        <f>'WA Volumes &amp; Revenues'!B57</f>
        <v>42C Interr Sales</v>
      </c>
      <c r="D52" s="1287" t="s">
        <v>4</v>
      </c>
      <c r="E52" s="114">
        <v>10000</v>
      </c>
      <c r="F52" s="115">
        <f>'WA Volumes &amp; Revenues'!E57</f>
        <v>240000</v>
      </c>
      <c r="G52" s="115">
        <f>'WA Volumes &amp; Revenues'!H57</f>
        <v>2</v>
      </c>
      <c r="H52" s="890">
        <f>'WA Volumes &amp; Revenues'!O57</f>
        <v>1300</v>
      </c>
      <c r="I52" s="891">
        <f>'WA Volumes &amp; Revenues'!N57</f>
        <v>1300</v>
      </c>
      <c r="J52" s="620">
        <f>'Rates in Detail'!E55</f>
        <v>0.13682000000000002</v>
      </c>
      <c r="K52" s="622">
        <f>'Rates in Detail'!H55</f>
        <v>0</v>
      </c>
      <c r="L52" s="622">
        <f>'Rates in Detail'!F55</f>
        <v>0.26333000000000001</v>
      </c>
      <c r="M52" s="622">
        <f>'Rates in Detail'!I55</f>
        <v>2.334E-2</v>
      </c>
      <c r="N52" s="136">
        <f t="shared" si="0"/>
        <v>0.42349000000000003</v>
      </c>
      <c r="O52" s="1306">
        <f>'Rates in Detail'!L55</f>
        <v>2.2440000000000002E-2</v>
      </c>
      <c r="P52" s="1307">
        <f>'Rates in Detail'!P55</f>
        <v>-1.8400000000000001E-3</v>
      </c>
      <c r="Q52" s="1314">
        <f t="shared" si="1"/>
        <v>0.44409000000000004</v>
      </c>
      <c r="R52" s="1307">
        <f>'Rates in Detail'!AC55</f>
        <v>1.2449999999999999E-2</v>
      </c>
      <c r="S52" s="1318">
        <f t="shared" si="2"/>
        <v>0.45654000000000006</v>
      </c>
      <c r="T52" s="130"/>
    </row>
    <row r="53" spans="2:20" x14ac:dyDescent="0.3">
      <c r="B53" s="109">
        <f t="shared" si="3"/>
        <v>44</v>
      </c>
      <c r="C53" s="1287"/>
      <c r="D53" s="1287" t="s">
        <v>5</v>
      </c>
      <c r="E53" s="114">
        <v>20000</v>
      </c>
      <c r="F53" s="115">
        <f>'WA Volumes &amp; Revenues'!E58</f>
        <v>467511</v>
      </c>
      <c r="G53" s="115"/>
      <c r="H53" s="890"/>
      <c r="I53" s="891"/>
      <c r="J53" s="620">
        <f>'Rates in Detail'!E56</f>
        <v>0.12246999999999988</v>
      </c>
      <c r="K53" s="622">
        <f>'Rates in Detail'!H56</f>
        <v>0</v>
      </c>
      <c r="L53" s="622">
        <f>'Rates in Detail'!F56</f>
        <v>0.26333000000000001</v>
      </c>
      <c r="M53" s="622">
        <f>'Rates in Detail'!I56</f>
        <v>2.0999999999999998E-2</v>
      </c>
      <c r="N53" s="136">
        <f t="shared" si="0"/>
        <v>0.40679999999999994</v>
      </c>
      <c r="O53" s="1306">
        <f>'Rates in Detail'!L56</f>
        <v>2.009E-2</v>
      </c>
      <c r="P53" s="1307">
        <f>'Rates in Detail'!P56</f>
        <v>-1.64E-3</v>
      </c>
      <c r="Q53" s="1314">
        <f t="shared" si="1"/>
        <v>0.42524999999999996</v>
      </c>
      <c r="R53" s="1307">
        <f>'Rates in Detail'!AC56</f>
        <v>1.1140000000000001E-2</v>
      </c>
      <c r="S53" s="1318">
        <f t="shared" si="2"/>
        <v>0.43638999999999994</v>
      </c>
      <c r="T53" s="130"/>
    </row>
    <row r="54" spans="2:20" x14ac:dyDescent="0.3">
      <c r="B54" s="109">
        <f t="shared" si="3"/>
        <v>45</v>
      </c>
      <c r="C54" s="1287"/>
      <c r="D54" s="1287" t="s">
        <v>6</v>
      </c>
      <c r="E54" s="114">
        <v>20000</v>
      </c>
      <c r="F54" s="115">
        <f>'WA Volumes &amp; Revenues'!E59</f>
        <v>218004</v>
      </c>
      <c r="G54" s="115"/>
      <c r="H54" s="890"/>
      <c r="I54" s="891"/>
      <c r="J54" s="620">
        <f>'Rates in Detail'!E57</f>
        <v>9.3909999999999993E-2</v>
      </c>
      <c r="K54" s="622">
        <f>'Rates in Detail'!H57</f>
        <v>0</v>
      </c>
      <c r="L54" s="622">
        <f>'Rates in Detail'!F57</f>
        <v>0.26333000000000001</v>
      </c>
      <c r="M54" s="622">
        <f>'Rates in Detail'!I57</f>
        <v>1.6370000000000003E-2</v>
      </c>
      <c r="N54" s="136">
        <f t="shared" si="0"/>
        <v>0.37361</v>
      </c>
      <c r="O54" s="1306">
        <f>'Rates in Detail'!L57</f>
        <v>1.54E-2</v>
      </c>
      <c r="P54" s="1307">
        <f>'Rates in Detail'!P57</f>
        <v>-1.2600000000000001E-3</v>
      </c>
      <c r="Q54" s="1314">
        <f t="shared" si="1"/>
        <v>0.38775000000000004</v>
      </c>
      <c r="R54" s="1307">
        <f>'Rates in Detail'!AC57</f>
        <v>8.5400000000000007E-3</v>
      </c>
      <c r="S54" s="1318">
        <f t="shared" si="2"/>
        <v>0.39629000000000003</v>
      </c>
      <c r="T54" s="130"/>
    </row>
    <row r="55" spans="2:20" x14ac:dyDescent="0.3">
      <c r="B55" s="109">
        <f t="shared" si="3"/>
        <v>46</v>
      </c>
      <c r="C55" s="1287"/>
      <c r="D55" s="1287" t="s">
        <v>7</v>
      </c>
      <c r="E55" s="114">
        <v>100000</v>
      </c>
      <c r="F55" s="115">
        <f>'WA Volumes &amp; Revenues'!E60</f>
        <v>18208</v>
      </c>
      <c r="G55" s="115"/>
      <c r="H55" s="890"/>
      <c r="I55" s="891"/>
      <c r="J55" s="620">
        <f>'Rates in Detail'!E58</f>
        <v>7.5130000000000044E-2</v>
      </c>
      <c r="K55" s="622">
        <f>'Rates in Detail'!H58</f>
        <v>0</v>
      </c>
      <c r="L55" s="622">
        <f>'Rates in Detail'!F58</f>
        <v>0.26333000000000001</v>
      </c>
      <c r="M55" s="622">
        <f>'Rates in Detail'!I58</f>
        <v>1.3339999999999999E-2</v>
      </c>
      <c r="N55" s="136">
        <f t="shared" si="0"/>
        <v>0.35180000000000006</v>
      </c>
      <c r="O55" s="1306">
        <f>'Rates in Detail'!L58</f>
        <v>1.2319999999999999E-2</v>
      </c>
      <c r="P55" s="1307">
        <f>'Rates in Detail'!P58</f>
        <v>-1.01E-3</v>
      </c>
      <c r="Q55" s="1314">
        <f t="shared" si="1"/>
        <v>0.36311000000000004</v>
      </c>
      <c r="R55" s="1307">
        <f>'Rates in Detail'!AC58</f>
        <v>6.8300000000000001E-3</v>
      </c>
      <c r="S55" s="1318">
        <f t="shared" si="2"/>
        <v>0.36994000000000005</v>
      </c>
      <c r="T55" s="130"/>
    </row>
    <row r="56" spans="2:20" x14ac:dyDescent="0.3">
      <c r="B56" s="109">
        <f t="shared" si="3"/>
        <v>47</v>
      </c>
      <c r="C56" s="1287"/>
      <c r="D56" s="1287" t="s">
        <v>8</v>
      </c>
      <c r="E56" s="114">
        <v>600000</v>
      </c>
      <c r="F56" s="115">
        <f>'WA Volumes &amp; Revenues'!E61</f>
        <v>0</v>
      </c>
      <c r="G56" s="115"/>
      <c r="H56" s="890"/>
      <c r="I56" s="891"/>
      <c r="J56" s="620">
        <f>'Rates in Detail'!E59</f>
        <v>5.0089999999999968E-2</v>
      </c>
      <c r="K56" s="622">
        <f>'Rates in Detail'!H59</f>
        <v>0</v>
      </c>
      <c r="L56" s="622">
        <f>'Rates in Detail'!F59</f>
        <v>0.26333000000000001</v>
      </c>
      <c r="M56" s="622">
        <f>'Rates in Detail'!I59</f>
        <v>9.2699999999999987E-3</v>
      </c>
      <c r="N56" s="136">
        <f t="shared" si="0"/>
        <v>0.32268999999999998</v>
      </c>
      <c r="O56" s="1306">
        <f>'Rates in Detail'!L59</f>
        <v>8.2199999999999999E-3</v>
      </c>
      <c r="P56" s="1307">
        <f>'Rates in Detail'!P59</f>
        <v>-6.7000000000000002E-4</v>
      </c>
      <c r="Q56" s="1314">
        <f t="shared" si="1"/>
        <v>0.33023999999999998</v>
      </c>
      <c r="R56" s="1307">
        <f>'Rates in Detail'!AC59</f>
        <v>4.5599999999999998E-3</v>
      </c>
      <c r="S56" s="1318">
        <f t="shared" si="2"/>
        <v>0.33479999999999999</v>
      </c>
      <c r="T56" s="130"/>
    </row>
    <row r="57" spans="2:20" x14ac:dyDescent="0.3">
      <c r="B57" s="109">
        <f t="shared" si="3"/>
        <v>48</v>
      </c>
      <c r="C57" s="110"/>
      <c r="D57" s="110" t="s">
        <v>9</v>
      </c>
      <c r="E57" s="111" t="s">
        <v>72</v>
      </c>
      <c r="F57" s="112">
        <f>'WA Volumes &amp; Revenues'!E62</f>
        <v>0</v>
      </c>
      <c r="G57" s="112"/>
      <c r="H57" s="885"/>
      <c r="I57" s="887"/>
      <c r="J57" s="619">
        <f>'Rates in Detail'!E60</f>
        <v>1.8790000000000001E-2</v>
      </c>
      <c r="K57" s="623">
        <f>'Rates in Detail'!H60</f>
        <v>0</v>
      </c>
      <c r="L57" s="623">
        <f>'Rates in Detail'!F60</f>
        <v>0.26333000000000001</v>
      </c>
      <c r="M57" s="623">
        <f>'Rates in Detail'!I60</f>
        <v>4.1999999999999989E-3</v>
      </c>
      <c r="N57" s="134">
        <f t="shared" si="0"/>
        <v>0.28632000000000002</v>
      </c>
      <c r="O57" s="1305">
        <f>'Rates in Detail'!L60</f>
        <v>3.0799999999999998E-3</v>
      </c>
      <c r="P57" s="1298">
        <f>'Rates in Detail'!P60</f>
        <v>-2.5000000000000001E-4</v>
      </c>
      <c r="Q57" s="1313">
        <f t="shared" si="1"/>
        <v>0.28915000000000007</v>
      </c>
      <c r="R57" s="1298">
        <f>'Rates in Detail'!AC60</f>
        <v>1.7099999999999999E-3</v>
      </c>
      <c r="S57" s="1317">
        <f t="shared" si="2"/>
        <v>0.29086000000000006</v>
      </c>
      <c r="T57" s="130"/>
    </row>
    <row r="58" spans="2:20" x14ac:dyDescent="0.3">
      <c r="B58" s="109">
        <f t="shared" si="3"/>
        <v>49</v>
      </c>
      <c r="C58" s="1287" t="str">
        <f>'WA Volumes &amp; Revenues'!B63</f>
        <v>42I Interr Sales</v>
      </c>
      <c r="D58" s="1287" t="s">
        <v>4</v>
      </c>
      <c r="E58" s="114">
        <v>10000</v>
      </c>
      <c r="F58" s="115">
        <f>'WA Volumes &amp; Revenues'!E63</f>
        <v>156740</v>
      </c>
      <c r="G58" s="115">
        <f>'WA Volumes &amp; Revenues'!H63</f>
        <v>1.9166666666666701</v>
      </c>
      <c r="H58" s="890">
        <f>'WA Volumes &amp; Revenues'!O63</f>
        <v>1300</v>
      </c>
      <c r="I58" s="891">
        <f>'WA Volumes &amp; Revenues'!N63</f>
        <v>1300</v>
      </c>
      <c r="J58" s="620">
        <f>'Rates in Detail'!E61</f>
        <v>0.14583999999999989</v>
      </c>
      <c r="K58" s="622">
        <f>'Rates in Detail'!H61</f>
        <v>0</v>
      </c>
      <c r="L58" s="622">
        <f>'Rates in Detail'!F61</f>
        <v>0.26333000000000001</v>
      </c>
      <c r="M58" s="622">
        <f>'Rates in Detail'!I61</f>
        <v>6.9699999999999996E-3</v>
      </c>
      <c r="N58" s="136">
        <f t="shared" si="0"/>
        <v>0.4161399999999999</v>
      </c>
      <c r="O58" s="1306">
        <f>'Rates in Detail'!L61</f>
        <v>1.495E-2</v>
      </c>
      <c r="P58" s="1307">
        <f>'Rates in Detail'!P61</f>
        <v>-2.5400000000000002E-3</v>
      </c>
      <c r="Q58" s="1314">
        <f t="shared" si="1"/>
        <v>0.42854999999999993</v>
      </c>
      <c r="R58" s="1307">
        <f>'Rates in Detail'!AC61</f>
        <v>5.6600000000000001E-3</v>
      </c>
      <c r="S58" s="1318">
        <f t="shared" si="2"/>
        <v>0.43420999999999993</v>
      </c>
      <c r="T58" s="130"/>
    </row>
    <row r="59" spans="2:20" x14ac:dyDescent="0.3">
      <c r="B59" s="109">
        <f t="shared" si="3"/>
        <v>50</v>
      </c>
      <c r="C59" s="1287"/>
      <c r="D59" s="1287" t="s">
        <v>5</v>
      </c>
      <c r="E59" s="114">
        <v>20000</v>
      </c>
      <c r="F59" s="115">
        <f>'WA Volumes &amp; Revenues'!E64</f>
        <v>159690</v>
      </c>
      <c r="G59" s="115"/>
      <c r="H59" s="890"/>
      <c r="I59" s="891"/>
      <c r="J59" s="620">
        <f>'Rates in Detail'!E62</f>
        <v>0.13054999999999992</v>
      </c>
      <c r="K59" s="622">
        <f>'Rates in Detail'!H62</f>
        <v>0</v>
      </c>
      <c r="L59" s="622">
        <f>'Rates in Detail'!F62</f>
        <v>0.26333000000000001</v>
      </c>
      <c r="M59" s="622">
        <f>'Rates in Detail'!I62</f>
        <v>6.3499999999999997E-3</v>
      </c>
      <c r="N59" s="136">
        <f t="shared" si="0"/>
        <v>0.40022999999999992</v>
      </c>
      <c r="O59" s="1306">
        <f>'Rates in Detail'!L62</f>
        <v>1.338E-2</v>
      </c>
      <c r="P59" s="1307">
        <f>'Rates in Detail'!P62</f>
        <v>-2.2699999999999999E-3</v>
      </c>
      <c r="Q59" s="1314">
        <f t="shared" si="1"/>
        <v>0.41133999999999993</v>
      </c>
      <c r="R59" s="1307">
        <f>'Rates in Detail'!AC62</f>
        <v>5.0699999999999999E-3</v>
      </c>
      <c r="S59" s="1318">
        <f t="shared" si="2"/>
        <v>0.41640999999999995</v>
      </c>
      <c r="T59" s="130"/>
    </row>
    <row r="60" spans="2:20" x14ac:dyDescent="0.3">
      <c r="B60" s="109">
        <f t="shared" si="3"/>
        <v>51</v>
      </c>
      <c r="C60" s="1287"/>
      <c r="D60" s="1287" t="s">
        <v>6</v>
      </c>
      <c r="E60" s="114">
        <v>20000</v>
      </c>
      <c r="F60" s="115">
        <f>'WA Volumes &amp; Revenues'!E65</f>
        <v>0</v>
      </c>
      <c r="G60" s="115"/>
      <c r="H60" s="890"/>
      <c r="I60" s="891"/>
      <c r="J60" s="620">
        <f>'Rates in Detail'!E63</f>
        <v>0.10011</v>
      </c>
      <c r="K60" s="622">
        <f>'Rates in Detail'!H63</f>
        <v>0</v>
      </c>
      <c r="L60" s="622">
        <f>'Rates in Detail'!F63</f>
        <v>0.26333000000000001</v>
      </c>
      <c r="M60" s="622">
        <f>'Rates in Detail'!I63</f>
        <v>5.1399999999999996E-3</v>
      </c>
      <c r="N60" s="136">
        <f t="shared" si="0"/>
        <v>0.36857999999999996</v>
      </c>
      <c r="O60" s="1306">
        <f>'Rates in Detail'!L63</f>
        <v>1.026E-2</v>
      </c>
      <c r="P60" s="1307">
        <f>'Rates in Detail'!P63</f>
        <v>-1.74E-3</v>
      </c>
      <c r="Q60" s="1314">
        <f t="shared" si="1"/>
        <v>0.37709999999999994</v>
      </c>
      <c r="R60" s="1307">
        <f>'Rates in Detail'!AC63</f>
        <v>3.8899999999999998E-3</v>
      </c>
      <c r="S60" s="1318">
        <f t="shared" si="2"/>
        <v>0.38098999999999994</v>
      </c>
      <c r="T60" s="130"/>
    </row>
    <row r="61" spans="2:20" x14ac:dyDescent="0.3">
      <c r="B61" s="109">
        <f t="shared" si="3"/>
        <v>52</v>
      </c>
      <c r="C61" s="1287"/>
      <c r="D61" s="1287" t="s">
        <v>7</v>
      </c>
      <c r="E61" s="114">
        <v>100000</v>
      </c>
      <c r="F61" s="115">
        <f>'WA Volumes &amp; Revenues'!E66</f>
        <v>0</v>
      </c>
      <c r="G61" s="115"/>
      <c r="H61" s="890"/>
      <c r="I61" s="891"/>
      <c r="J61" s="620">
        <f>'Rates in Detail'!E64</f>
        <v>8.0089999999999995E-2</v>
      </c>
      <c r="K61" s="622">
        <f>'Rates in Detail'!H64</f>
        <v>0</v>
      </c>
      <c r="L61" s="622">
        <f>'Rates in Detail'!F64</f>
        <v>0.26333000000000001</v>
      </c>
      <c r="M61" s="622">
        <f>'Rates in Detail'!I64</f>
        <v>4.3499999999999997E-3</v>
      </c>
      <c r="N61" s="136">
        <f t="shared" si="0"/>
        <v>0.34777000000000002</v>
      </c>
      <c r="O61" s="1306">
        <f>'Rates in Detail'!L64</f>
        <v>8.2100000000000003E-3</v>
      </c>
      <c r="P61" s="1307">
        <f>'Rates in Detail'!P64</f>
        <v>-1.39E-3</v>
      </c>
      <c r="Q61" s="1314">
        <f t="shared" si="1"/>
        <v>0.35459000000000002</v>
      </c>
      <c r="R61" s="1307">
        <f>'Rates in Detail'!AC64</f>
        <v>3.1099999999999999E-3</v>
      </c>
      <c r="S61" s="1318">
        <f t="shared" si="2"/>
        <v>0.35770000000000002</v>
      </c>
      <c r="T61" s="130"/>
    </row>
    <row r="62" spans="2:20" x14ac:dyDescent="0.3">
      <c r="B62" s="109">
        <f t="shared" si="3"/>
        <v>53</v>
      </c>
      <c r="C62" s="1287"/>
      <c r="D62" s="1287" t="s">
        <v>8</v>
      </c>
      <c r="E62" s="114">
        <v>600000</v>
      </c>
      <c r="F62" s="115">
        <f>'WA Volumes &amp; Revenues'!E67</f>
        <v>0</v>
      </c>
      <c r="G62" s="115"/>
      <c r="H62" s="890"/>
      <c r="I62" s="891"/>
      <c r="J62" s="620">
        <f>'Rates in Detail'!E65</f>
        <v>5.339E-2</v>
      </c>
      <c r="K62" s="622">
        <f>'Rates in Detail'!H65</f>
        <v>0</v>
      </c>
      <c r="L62" s="622">
        <f>'Rates in Detail'!F65</f>
        <v>0.26333000000000001</v>
      </c>
      <c r="M62" s="622">
        <f>'Rates in Detail'!I65</f>
        <v>3.2999999999999995E-3</v>
      </c>
      <c r="N62" s="136">
        <f t="shared" si="0"/>
        <v>0.32002000000000003</v>
      </c>
      <c r="O62" s="1306">
        <f>'Rates in Detail'!L65</f>
        <v>5.47E-3</v>
      </c>
      <c r="P62" s="1307">
        <f>'Rates in Detail'!P65</f>
        <v>-9.3000000000000005E-4</v>
      </c>
      <c r="Q62" s="1314">
        <f t="shared" si="1"/>
        <v>0.32456000000000002</v>
      </c>
      <c r="R62" s="1307">
        <f>'Rates in Detail'!AC65</f>
        <v>2.0699999999999998E-3</v>
      </c>
      <c r="S62" s="1318">
        <f t="shared" si="2"/>
        <v>0.32663000000000003</v>
      </c>
      <c r="T62" s="130"/>
    </row>
    <row r="63" spans="2:20" x14ac:dyDescent="0.3">
      <c r="B63" s="109">
        <f t="shared" si="3"/>
        <v>54</v>
      </c>
      <c r="C63" s="110"/>
      <c r="D63" s="110" t="s">
        <v>9</v>
      </c>
      <c r="E63" s="111" t="s">
        <v>72</v>
      </c>
      <c r="F63" s="112">
        <f>'WA Volumes &amp; Revenues'!E68</f>
        <v>0</v>
      </c>
      <c r="G63" s="112"/>
      <c r="H63" s="885"/>
      <c r="I63" s="887"/>
      <c r="J63" s="619">
        <f>'Rates in Detail'!E66</f>
        <v>2.002E-2</v>
      </c>
      <c r="K63" s="623">
        <f>'Rates in Detail'!H66</f>
        <v>0</v>
      </c>
      <c r="L63" s="623">
        <f>'Rates in Detail'!F66</f>
        <v>0.26333000000000001</v>
      </c>
      <c r="M63" s="623">
        <f>'Rates in Detail'!I66</f>
        <v>1.9499999999999995E-3</v>
      </c>
      <c r="N63" s="134">
        <f t="shared" si="0"/>
        <v>0.2853</v>
      </c>
      <c r="O63" s="1305">
        <f>'Rates in Detail'!L66</f>
        <v>2.0500000000000002E-3</v>
      </c>
      <c r="P63" s="1298">
        <f>'Rates in Detail'!P66</f>
        <v>-3.5E-4</v>
      </c>
      <c r="Q63" s="1313">
        <f t="shared" si="1"/>
        <v>0.28699999999999998</v>
      </c>
      <c r="R63" s="1298">
        <f>'Rates in Detail'!AC66</f>
        <v>7.7999999999999999E-4</v>
      </c>
      <c r="S63" s="1317">
        <f t="shared" si="2"/>
        <v>0.28777999999999998</v>
      </c>
      <c r="T63" s="130"/>
    </row>
    <row r="64" spans="2:20" x14ac:dyDescent="0.3">
      <c r="B64" s="109">
        <f t="shared" si="3"/>
        <v>55</v>
      </c>
      <c r="C64" s="1287" t="str">
        <f>'WA Volumes &amp; Revenues'!B69</f>
        <v>42C Inter Transpt</v>
      </c>
      <c r="D64" s="1287" t="s">
        <v>4</v>
      </c>
      <c r="E64" s="114">
        <v>10000</v>
      </c>
      <c r="F64" s="115">
        <f>'WA Volumes &amp; Revenues'!E69</f>
        <v>0</v>
      </c>
      <c r="G64" s="115">
        <f>'WA Volumes &amp; Revenues'!H69</f>
        <v>0</v>
      </c>
      <c r="H64" s="890">
        <f>'WA Volumes &amp; Revenues'!O69</f>
        <v>1550</v>
      </c>
      <c r="I64" s="891">
        <f>'WA Volumes &amp; Revenues'!N69</f>
        <v>1550</v>
      </c>
      <c r="J64" s="620">
        <f>'Rates in Detail'!E67</f>
        <v>0.13402999999999998</v>
      </c>
      <c r="K64" s="622">
        <f>'Rates in Detail'!H67</f>
        <v>0</v>
      </c>
      <c r="L64" s="622">
        <f>'Rates in Detail'!F67</f>
        <v>0</v>
      </c>
      <c r="M64" s="622">
        <f>'Rates in Detail'!I67</f>
        <v>5.6999999999999998E-4</v>
      </c>
      <c r="N64" s="136">
        <f t="shared" si="0"/>
        <v>0.13459999999999997</v>
      </c>
      <c r="O64" s="1306">
        <f>'Rates in Detail'!L67</f>
        <v>6.1399999999999996E-3</v>
      </c>
      <c r="P64" s="1307">
        <f>'Rates in Detail'!P67</f>
        <v>-1.2600000000000001E-3</v>
      </c>
      <c r="Q64" s="1314">
        <f t="shared" si="1"/>
        <v>0.13947999999999997</v>
      </c>
      <c r="R64" s="1307">
        <f>'Rates in Detail'!AC67</f>
        <v>2.7799999999999999E-3</v>
      </c>
      <c r="S64" s="1318">
        <f t="shared" si="2"/>
        <v>0.14225999999999997</v>
      </c>
      <c r="T64" s="130"/>
    </row>
    <row r="65" spans="2:20" x14ac:dyDescent="0.3">
      <c r="B65" s="109">
        <f t="shared" si="3"/>
        <v>56</v>
      </c>
      <c r="C65" s="1287"/>
      <c r="D65" s="1287" t="s">
        <v>5</v>
      </c>
      <c r="E65" s="114">
        <v>20000</v>
      </c>
      <c r="F65" s="115">
        <f>'WA Volumes &amp; Revenues'!E70</f>
        <v>0</v>
      </c>
      <c r="G65" s="115"/>
      <c r="H65" s="890"/>
      <c r="I65" s="891"/>
      <c r="J65" s="620">
        <f>'Rates in Detail'!E68</f>
        <v>0.11997999999999999</v>
      </c>
      <c r="K65" s="622">
        <f>'Rates in Detail'!H68</f>
        <v>0</v>
      </c>
      <c r="L65" s="622">
        <f>'Rates in Detail'!F68</f>
        <v>0</v>
      </c>
      <c r="M65" s="622">
        <f>'Rates in Detail'!I68</f>
        <v>5.1000000000000004E-4</v>
      </c>
      <c r="N65" s="136">
        <f t="shared" si="0"/>
        <v>0.12048999999999999</v>
      </c>
      <c r="O65" s="1306">
        <f>'Rates in Detail'!L68</f>
        <v>5.4999999999999997E-3</v>
      </c>
      <c r="P65" s="1307">
        <f>'Rates in Detail'!P68</f>
        <v>-1.1199999999999999E-3</v>
      </c>
      <c r="Q65" s="1314">
        <f t="shared" si="1"/>
        <v>0.12486999999999999</v>
      </c>
      <c r="R65" s="1307">
        <f>'Rates in Detail'!AC68</f>
        <v>2.49E-3</v>
      </c>
      <c r="S65" s="1318">
        <f t="shared" si="2"/>
        <v>0.12736</v>
      </c>
      <c r="T65" s="130"/>
    </row>
    <row r="66" spans="2:20" x14ac:dyDescent="0.3">
      <c r="B66" s="109">
        <f t="shared" si="3"/>
        <v>57</v>
      </c>
      <c r="C66" s="1287"/>
      <c r="D66" s="1287" t="s">
        <v>6</v>
      </c>
      <c r="E66" s="114">
        <v>20000</v>
      </c>
      <c r="F66" s="115">
        <f>'WA Volumes &amp; Revenues'!E71</f>
        <v>0</v>
      </c>
      <c r="G66" s="115"/>
      <c r="H66" s="890"/>
      <c r="I66" s="891"/>
      <c r="J66" s="620">
        <f>'Rates in Detail'!E69</f>
        <v>9.1999999999999998E-2</v>
      </c>
      <c r="K66" s="622">
        <f>'Rates in Detail'!H69</f>
        <v>0</v>
      </c>
      <c r="L66" s="622">
        <f>'Rates in Detail'!F69</f>
        <v>0</v>
      </c>
      <c r="M66" s="622">
        <f>'Rates in Detail'!I69</f>
        <v>3.7999999999999997E-4</v>
      </c>
      <c r="N66" s="136">
        <f t="shared" si="0"/>
        <v>9.2380000000000004E-2</v>
      </c>
      <c r="O66" s="1306">
        <f>'Rates in Detail'!L69</f>
        <v>4.2199999999999998E-3</v>
      </c>
      <c r="P66" s="1307">
        <f>'Rates in Detail'!P69</f>
        <v>-8.5999999999999998E-4</v>
      </c>
      <c r="Q66" s="1314">
        <f t="shared" si="1"/>
        <v>9.5740000000000006E-2</v>
      </c>
      <c r="R66" s="1307">
        <f>'Rates in Detail'!AC69</f>
        <v>1.91E-3</v>
      </c>
      <c r="S66" s="1318">
        <f t="shared" si="2"/>
        <v>9.7650000000000001E-2</v>
      </c>
      <c r="T66" s="130"/>
    </row>
    <row r="67" spans="2:20" x14ac:dyDescent="0.3">
      <c r="B67" s="109">
        <f t="shared" si="3"/>
        <v>58</v>
      </c>
      <c r="C67" s="1287"/>
      <c r="D67" s="1287" t="s">
        <v>7</v>
      </c>
      <c r="E67" s="114">
        <v>100000</v>
      </c>
      <c r="F67" s="115">
        <f>'WA Volumes &amp; Revenues'!E72</f>
        <v>0</v>
      </c>
      <c r="G67" s="115"/>
      <c r="H67" s="890"/>
      <c r="I67" s="891"/>
      <c r="J67" s="620">
        <f>'Rates in Detail'!E70</f>
        <v>7.3609999999999995E-2</v>
      </c>
      <c r="K67" s="622">
        <f>'Rates in Detail'!H70</f>
        <v>0</v>
      </c>
      <c r="L67" s="622">
        <f>'Rates in Detail'!F70</f>
        <v>0</v>
      </c>
      <c r="M67" s="622">
        <f>'Rates in Detail'!I70</f>
        <v>3.0999999999999995E-4</v>
      </c>
      <c r="N67" s="136">
        <f t="shared" si="0"/>
        <v>7.392E-2</v>
      </c>
      <c r="O67" s="1306">
        <f>'Rates in Detail'!L70</f>
        <v>3.3700000000000002E-3</v>
      </c>
      <c r="P67" s="1307">
        <f>'Rates in Detail'!P70</f>
        <v>-6.8999999999999997E-4</v>
      </c>
      <c r="Q67" s="1314">
        <f t="shared" si="1"/>
        <v>7.6600000000000001E-2</v>
      </c>
      <c r="R67" s="1307">
        <f>'Rates in Detail'!AC70</f>
        <v>1.5299999999999999E-3</v>
      </c>
      <c r="S67" s="1318">
        <f t="shared" si="2"/>
        <v>7.8130000000000005E-2</v>
      </c>
      <c r="T67" s="130"/>
    </row>
    <row r="68" spans="2:20" x14ac:dyDescent="0.3">
      <c r="B68" s="109">
        <f t="shared" si="3"/>
        <v>59</v>
      </c>
      <c r="C68" s="1287"/>
      <c r="D68" s="1287" t="s">
        <v>8</v>
      </c>
      <c r="E68" s="114">
        <v>600000</v>
      </c>
      <c r="F68" s="115">
        <f>'WA Volumes &amp; Revenues'!E73</f>
        <v>0</v>
      </c>
      <c r="G68" s="115"/>
      <c r="H68" s="890"/>
      <c r="I68" s="891"/>
      <c r="J68" s="620">
        <f>'Rates in Detail'!E71</f>
        <v>4.9079999999999999E-2</v>
      </c>
      <c r="K68" s="622">
        <f>'Rates in Detail'!H71</f>
        <v>0</v>
      </c>
      <c r="L68" s="622">
        <f>'Rates in Detail'!F71</f>
        <v>0</v>
      </c>
      <c r="M68" s="622">
        <f>'Rates in Detail'!I71</f>
        <v>2.0999999999999998E-4</v>
      </c>
      <c r="N68" s="136">
        <f t="shared" si="0"/>
        <v>4.929E-2</v>
      </c>
      <c r="O68" s="1306">
        <f>'Rates in Detail'!L71</f>
        <v>2.2499999999999998E-3</v>
      </c>
      <c r="P68" s="1307">
        <f>'Rates in Detail'!P71</f>
        <v>-4.6000000000000001E-4</v>
      </c>
      <c r="Q68" s="1314">
        <f t="shared" si="1"/>
        <v>5.108E-2</v>
      </c>
      <c r="R68" s="1307">
        <f>'Rates in Detail'!AC71</f>
        <v>1.0200000000000001E-3</v>
      </c>
      <c r="S68" s="1318">
        <f t="shared" si="2"/>
        <v>5.21E-2</v>
      </c>
      <c r="T68" s="130"/>
    </row>
    <row r="69" spans="2:20" x14ac:dyDescent="0.3">
      <c r="B69" s="109">
        <f t="shared" si="3"/>
        <v>60</v>
      </c>
      <c r="C69" s="110"/>
      <c r="D69" s="110" t="s">
        <v>9</v>
      </c>
      <c r="E69" s="111" t="s">
        <v>72</v>
      </c>
      <c r="F69" s="112">
        <f>'WA Volumes &amp; Revenues'!E74</f>
        <v>0</v>
      </c>
      <c r="G69" s="112"/>
      <c r="H69" s="885"/>
      <c r="I69" s="887"/>
      <c r="J69" s="619">
        <f>'Rates in Detail'!E72</f>
        <v>1.839E-2</v>
      </c>
      <c r="K69" s="623">
        <f>'Rates in Detail'!H72</f>
        <v>0</v>
      </c>
      <c r="L69" s="623">
        <f>'Rates in Detail'!F72</f>
        <v>0</v>
      </c>
      <c r="M69" s="623">
        <f>'Rates in Detail'!I72</f>
        <v>6.9999999999999994E-5</v>
      </c>
      <c r="N69" s="134">
        <f t="shared" si="0"/>
        <v>1.8460000000000001E-2</v>
      </c>
      <c r="O69" s="1305">
        <f>'Rates in Detail'!L72</f>
        <v>8.4000000000000003E-4</v>
      </c>
      <c r="P69" s="1298">
        <f>'Rates in Detail'!P72</f>
        <v>-1.7000000000000001E-4</v>
      </c>
      <c r="Q69" s="1313">
        <f t="shared" si="1"/>
        <v>1.9130000000000001E-2</v>
      </c>
      <c r="R69" s="1298">
        <f>'Rates in Detail'!AC72</f>
        <v>3.8000000000000002E-4</v>
      </c>
      <c r="S69" s="1317">
        <f t="shared" si="2"/>
        <v>1.951E-2</v>
      </c>
      <c r="T69" s="130"/>
    </row>
    <row r="70" spans="2:20" x14ac:dyDescent="0.3">
      <c r="B70" s="109">
        <f t="shared" si="3"/>
        <v>61</v>
      </c>
      <c r="C70" s="1287" t="str">
        <f>'WA Volumes &amp; Revenues'!B75</f>
        <v>42I Inter Transpt</v>
      </c>
      <c r="D70" s="1287" t="s">
        <v>4</v>
      </c>
      <c r="E70" s="114">
        <v>10000</v>
      </c>
      <c r="F70" s="115">
        <f>'WA Volumes &amp; Revenues'!E75</f>
        <v>844078</v>
      </c>
      <c r="G70" s="115">
        <f>'WA Volumes &amp; Revenues'!H75</f>
        <v>7</v>
      </c>
      <c r="H70" s="890">
        <f>'WA Volumes &amp; Revenues'!O75</f>
        <v>1550</v>
      </c>
      <c r="I70" s="891">
        <f>'WA Volumes &amp; Revenues'!N75</f>
        <v>1550</v>
      </c>
      <c r="J70" s="620">
        <f>'Rates in Detail'!E73</f>
        <v>0.13402999999999998</v>
      </c>
      <c r="K70" s="622">
        <f>'Rates in Detail'!H73</f>
        <v>0</v>
      </c>
      <c r="L70" s="622">
        <f>'Rates in Detail'!F73</f>
        <v>0</v>
      </c>
      <c r="M70" s="622">
        <f>'Rates in Detail'!I73</f>
        <v>5.6999999999999998E-4</v>
      </c>
      <c r="N70" s="136">
        <f t="shared" si="0"/>
        <v>0.13459999999999997</v>
      </c>
      <c r="O70" s="1306">
        <f>'Rates in Detail'!L73</f>
        <v>8.7899999999999992E-3</v>
      </c>
      <c r="P70" s="1307">
        <f>'Rates in Detail'!P73</f>
        <v>-1.49E-3</v>
      </c>
      <c r="Q70" s="1314">
        <f t="shared" si="1"/>
        <v>0.14189999999999997</v>
      </c>
      <c r="R70" s="1307">
        <f>'Rates in Detail'!AC73</f>
        <v>3.3300000000000001E-3</v>
      </c>
      <c r="S70" s="1318">
        <f t="shared" si="2"/>
        <v>0.14522999999999997</v>
      </c>
      <c r="T70" s="130"/>
    </row>
    <row r="71" spans="2:20" x14ac:dyDescent="0.3">
      <c r="B71" s="109">
        <f t="shared" si="3"/>
        <v>62</v>
      </c>
      <c r="C71" s="1287"/>
      <c r="D71" s="1287" t="s">
        <v>5</v>
      </c>
      <c r="E71" s="114">
        <v>20000</v>
      </c>
      <c r="F71" s="115">
        <f>'WA Volumes &amp; Revenues'!E76</f>
        <v>1445175</v>
      </c>
      <c r="G71" s="115"/>
      <c r="H71" s="890"/>
      <c r="I71" s="891"/>
      <c r="J71" s="620">
        <f>'Rates in Detail'!E74</f>
        <v>0.11997999999999999</v>
      </c>
      <c r="K71" s="622">
        <f>'Rates in Detail'!H74</f>
        <v>0</v>
      </c>
      <c r="L71" s="622">
        <f>'Rates in Detail'!F74</f>
        <v>0</v>
      </c>
      <c r="M71" s="622">
        <f>'Rates in Detail'!I74</f>
        <v>5.1000000000000004E-4</v>
      </c>
      <c r="N71" s="136">
        <f t="shared" si="0"/>
        <v>0.12048999999999999</v>
      </c>
      <c r="O71" s="1306">
        <f>'Rates in Detail'!L74</f>
        <v>7.8600000000000007E-3</v>
      </c>
      <c r="P71" s="1307">
        <f>'Rates in Detail'!P74</f>
        <v>-1.33E-3</v>
      </c>
      <c r="Q71" s="1314">
        <f t="shared" si="1"/>
        <v>0.12701999999999999</v>
      </c>
      <c r="R71" s="1307">
        <f>'Rates in Detail'!AC74</f>
        <v>2.98E-3</v>
      </c>
      <c r="S71" s="1318">
        <f t="shared" si="2"/>
        <v>0.13</v>
      </c>
      <c r="T71" s="130"/>
    </row>
    <row r="72" spans="2:20" x14ac:dyDescent="0.3">
      <c r="B72" s="109">
        <f t="shared" si="3"/>
        <v>63</v>
      </c>
      <c r="C72" s="1287"/>
      <c r="D72" s="1287" t="s">
        <v>6</v>
      </c>
      <c r="E72" s="114">
        <v>20000</v>
      </c>
      <c r="F72" s="115">
        <f>'WA Volumes &amp; Revenues'!E77</f>
        <v>1034978</v>
      </c>
      <c r="G72" s="115"/>
      <c r="H72" s="890"/>
      <c r="I72" s="891"/>
      <c r="J72" s="620">
        <f>'Rates in Detail'!E75</f>
        <v>9.1999999999999998E-2</v>
      </c>
      <c r="K72" s="622">
        <f>'Rates in Detail'!H75</f>
        <v>0</v>
      </c>
      <c r="L72" s="622">
        <f>'Rates in Detail'!F75</f>
        <v>0</v>
      </c>
      <c r="M72" s="622">
        <f>'Rates in Detail'!I75</f>
        <v>3.7999999999999997E-4</v>
      </c>
      <c r="N72" s="136">
        <f t="shared" si="0"/>
        <v>9.2380000000000004E-2</v>
      </c>
      <c r="O72" s="1306">
        <f>'Rates in Detail'!L75</f>
        <v>6.0299999999999998E-3</v>
      </c>
      <c r="P72" s="1307">
        <f>'Rates in Detail'!P75</f>
        <v>-1.0200000000000001E-3</v>
      </c>
      <c r="Q72" s="1314">
        <f t="shared" si="1"/>
        <v>9.7390000000000004E-2</v>
      </c>
      <c r="R72" s="1307">
        <f>'Rates in Detail'!AC75</f>
        <v>2.2799999999999999E-3</v>
      </c>
      <c r="S72" s="1318">
        <f t="shared" si="2"/>
        <v>9.9670000000000009E-2</v>
      </c>
      <c r="T72" s="130"/>
    </row>
    <row r="73" spans="2:20" x14ac:dyDescent="0.3">
      <c r="B73" s="109">
        <f t="shared" si="3"/>
        <v>64</v>
      </c>
      <c r="C73" s="1287"/>
      <c r="D73" s="1287" t="s">
        <v>7</v>
      </c>
      <c r="E73" s="114">
        <v>100000</v>
      </c>
      <c r="F73" s="115">
        <f>'WA Volumes &amp; Revenues'!E78</f>
        <v>3359916</v>
      </c>
      <c r="G73" s="115"/>
      <c r="H73" s="890"/>
      <c r="I73" s="891"/>
      <c r="J73" s="620">
        <f>'Rates in Detail'!E76</f>
        <v>7.3609999999999995E-2</v>
      </c>
      <c r="K73" s="622">
        <f>'Rates in Detail'!H76</f>
        <v>0</v>
      </c>
      <c r="L73" s="622">
        <f>'Rates in Detail'!F76</f>
        <v>0</v>
      </c>
      <c r="M73" s="622">
        <f>'Rates in Detail'!I76</f>
        <v>3.0999999999999995E-4</v>
      </c>
      <c r="N73" s="136">
        <f t="shared" si="0"/>
        <v>7.392E-2</v>
      </c>
      <c r="O73" s="1306">
        <f>'Rates in Detail'!L76</f>
        <v>4.8300000000000001E-3</v>
      </c>
      <c r="P73" s="1307">
        <f>'Rates in Detail'!P76</f>
        <v>-8.1999999999999998E-4</v>
      </c>
      <c r="Q73" s="1314">
        <f t="shared" si="1"/>
        <v>7.7929999999999999E-2</v>
      </c>
      <c r="R73" s="1307">
        <f>'Rates in Detail'!AC76</f>
        <v>1.83E-3</v>
      </c>
      <c r="S73" s="1318">
        <f t="shared" si="2"/>
        <v>7.9759999999999998E-2</v>
      </c>
      <c r="T73" s="130"/>
    </row>
    <row r="74" spans="2:20" x14ac:dyDescent="0.3">
      <c r="B74" s="109">
        <f t="shared" si="3"/>
        <v>65</v>
      </c>
      <c r="C74" s="1287"/>
      <c r="D74" s="1287" t="s">
        <v>8</v>
      </c>
      <c r="E74" s="114">
        <v>600000</v>
      </c>
      <c r="F74" s="115">
        <f>'WA Volumes &amp; Revenues'!E79</f>
        <v>1349120</v>
      </c>
      <c r="G74" s="115"/>
      <c r="H74" s="890"/>
      <c r="I74" s="891"/>
      <c r="J74" s="620">
        <f>'Rates in Detail'!E77</f>
        <v>4.9079999999999999E-2</v>
      </c>
      <c r="K74" s="622">
        <f>'Rates in Detail'!H77</f>
        <v>0</v>
      </c>
      <c r="L74" s="622">
        <f>'Rates in Detail'!F77</f>
        <v>0</v>
      </c>
      <c r="M74" s="622">
        <f>'Rates in Detail'!I77</f>
        <v>2.0999999999999998E-4</v>
      </c>
      <c r="N74" s="136">
        <f t="shared" si="0"/>
        <v>4.929E-2</v>
      </c>
      <c r="O74" s="1306">
        <f>'Rates in Detail'!L77</f>
        <v>3.2200000000000002E-3</v>
      </c>
      <c r="P74" s="1307">
        <f>'Rates in Detail'!P77</f>
        <v>-5.5000000000000003E-4</v>
      </c>
      <c r="Q74" s="1314">
        <f t="shared" si="1"/>
        <v>5.1959999999999999E-2</v>
      </c>
      <c r="R74" s="1307">
        <f>'Rates in Detail'!AC77</f>
        <v>1.2199999999999999E-3</v>
      </c>
      <c r="S74" s="1318">
        <f t="shared" si="2"/>
        <v>5.3179999999999998E-2</v>
      </c>
      <c r="T74" s="130"/>
    </row>
    <row r="75" spans="2:20" x14ac:dyDescent="0.3">
      <c r="B75" s="109">
        <f t="shared" si="3"/>
        <v>66</v>
      </c>
      <c r="C75" s="110"/>
      <c r="D75" s="110" t="s">
        <v>9</v>
      </c>
      <c r="E75" s="111" t="s">
        <v>72</v>
      </c>
      <c r="F75" s="112">
        <f>'WA Volumes &amp; Revenues'!E80</f>
        <v>0</v>
      </c>
      <c r="G75" s="112"/>
      <c r="H75" s="885"/>
      <c r="I75" s="887"/>
      <c r="J75" s="620">
        <f>'Rates in Detail'!E78</f>
        <v>1.839E-2</v>
      </c>
      <c r="K75" s="622">
        <f>'Rates in Detail'!H78</f>
        <v>0</v>
      </c>
      <c r="L75" s="622">
        <f>'Rates in Detail'!F78</f>
        <v>0</v>
      </c>
      <c r="M75" s="622">
        <f>'Rates in Detail'!I78</f>
        <v>6.9999999999999994E-5</v>
      </c>
      <c r="N75" s="621">
        <f t="shared" ref="N75:N78" si="4">SUM(J75:M75)</f>
        <v>1.8460000000000001E-2</v>
      </c>
      <c r="O75" s="1306">
        <f>'Rates in Detail'!L78</f>
        <v>1.2099999999999999E-3</v>
      </c>
      <c r="P75" s="1307">
        <f>'Rates in Detail'!P78</f>
        <v>-2.0000000000000001E-4</v>
      </c>
      <c r="Q75" s="1314">
        <f t="shared" ref="Q75:Q78" si="5">SUM(N75:P75)</f>
        <v>1.9470000000000001E-2</v>
      </c>
      <c r="R75" s="1307">
        <f>'Rates in Detail'!AC78</f>
        <v>4.6000000000000001E-4</v>
      </c>
      <c r="S75" s="1318">
        <f t="shared" ref="S75:S78" si="6">Q75+R75</f>
        <v>1.993E-2</v>
      </c>
      <c r="T75" s="130"/>
    </row>
    <row r="76" spans="2:20" x14ac:dyDescent="0.3">
      <c r="B76" s="109">
        <f t="shared" ref="B76:B78" si="7">B75+1</f>
        <v>67</v>
      </c>
      <c r="C76" s="1286" t="str">
        <f>'WA Volumes &amp; Revenues'!B81</f>
        <v>43 Firm Transpt</v>
      </c>
      <c r="D76" s="110" t="s">
        <v>270</v>
      </c>
      <c r="E76" s="110" t="s">
        <v>270</v>
      </c>
      <c r="F76" s="112">
        <f>'WA Volumes &amp; Revenues'!E81</f>
        <v>0</v>
      </c>
      <c r="G76" s="112">
        <f>'WA Volumes &amp; Revenues'!H81</f>
        <v>0</v>
      </c>
      <c r="H76" s="885">
        <f>'WA Volumes &amp; Revenues'!O81</f>
        <v>38000</v>
      </c>
      <c r="I76" s="887">
        <f>'WA Volumes &amp; Revenues'!N81</f>
        <v>38000</v>
      </c>
      <c r="J76" s="617">
        <f>'Rates in Detail'!E79</f>
        <v>4.9099999999999994E-3</v>
      </c>
      <c r="K76" s="618">
        <f>'Rates in Detail'!H79</f>
        <v>0</v>
      </c>
      <c r="L76" s="618">
        <f>'Rates in Detail'!F79</f>
        <v>0</v>
      </c>
      <c r="M76" s="618">
        <f>'Rates in Detail'!I79</f>
        <v>1.0000000000000001E-5</v>
      </c>
      <c r="N76" s="134">
        <f t="shared" si="4"/>
        <v>4.919999999999999E-3</v>
      </c>
      <c r="O76" s="117">
        <f>'Rates in Detail'!L79</f>
        <v>0</v>
      </c>
      <c r="P76" s="1309">
        <f>'Rates in Detail'!P79</f>
        <v>0</v>
      </c>
      <c r="Q76" s="1315">
        <f t="shared" si="5"/>
        <v>4.919999999999999E-3</v>
      </c>
      <c r="R76" s="1309">
        <f>'Rates in Detail'!AC79</f>
        <v>0</v>
      </c>
      <c r="S76" s="1319">
        <f t="shared" si="6"/>
        <v>4.919999999999999E-3</v>
      </c>
      <c r="T76" s="130"/>
    </row>
    <row r="77" spans="2:20" x14ac:dyDescent="0.3">
      <c r="B77" s="109">
        <f t="shared" si="7"/>
        <v>68</v>
      </c>
      <c r="C77" s="1286" t="str">
        <f>'WA Volumes &amp; Revenues'!B82</f>
        <v>43 Interr Transpt</v>
      </c>
      <c r="D77" s="110" t="s">
        <v>270</v>
      </c>
      <c r="E77" s="110" t="s">
        <v>270</v>
      </c>
      <c r="F77" s="112">
        <f>'WA Volumes &amp; Revenues'!E82</f>
        <v>0</v>
      </c>
      <c r="G77" s="112">
        <f>'WA Volumes &amp; Revenues'!H82</f>
        <v>0</v>
      </c>
      <c r="H77" s="885">
        <f>'WA Volumes &amp; Revenues'!O82</f>
        <v>38000</v>
      </c>
      <c r="I77" s="887">
        <f>'WA Volumes &amp; Revenues'!N82</f>
        <v>38000</v>
      </c>
      <c r="J77" s="617">
        <f>'Rates in Detail'!E80</f>
        <v>4.9099999999999994E-3</v>
      </c>
      <c r="K77" s="618">
        <f>'Rates in Detail'!H80</f>
        <v>0</v>
      </c>
      <c r="L77" s="618">
        <f>'Rates in Detail'!F80</f>
        <v>0</v>
      </c>
      <c r="M77" s="618">
        <f>'Rates in Detail'!I80</f>
        <v>1.0000000000000001E-5</v>
      </c>
      <c r="N77" s="134">
        <f t="shared" si="4"/>
        <v>4.919999999999999E-3</v>
      </c>
      <c r="O77" s="117">
        <f>'Rates in Detail'!L80</f>
        <v>0</v>
      </c>
      <c r="P77" s="1309">
        <f>'Rates in Detail'!P80</f>
        <v>0</v>
      </c>
      <c r="Q77" s="1315">
        <f t="shared" si="5"/>
        <v>4.919999999999999E-3</v>
      </c>
      <c r="R77" s="1309">
        <f>'Rates in Detail'!AC80</f>
        <v>0</v>
      </c>
      <c r="S77" s="1319">
        <f t="shared" si="6"/>
        <v>4.919999999999999E-3</v>
      </c>
      <c r="T77" s="130"/>
    </row>
    <row r="78" spans="2:20" ht="13.5" thickBot="1" x14ac:dyDescent="0.35">
      <c r="B78" s="1360">
        <f t="shared" si="7"/>
        <v>69</v>
      </c>
      <c r="C78" s="1286" t="str">
        <f>'WA Volumes &amp; Revenues'!B83</f>
        <v>Special Contract</v>
      </c>
      <c r="D78" s="110" t="s">
        <v>270</v>
      </c>
      <c r="E78" s="110" t="s">
        <v>270</v>
      </c>
      <c r="F78" s="112">
        <f>'WA Volumes &amp; Revenues'!E83</f>
        <v>2895114</v>
      </c>
      <c r="G78" s="112">
        <f>'WA Volumes &amp; Revenues'!H83</f>
        <v>1</v>
      </c>
      <c r="H78" s="885">
        <f>'WA Volumes &amp; Revenues'!O83</f>
        <v>0</v>
      </c>
      <c r="I78" s="887">
        <f>'WA Volumes &amp; Revenues'!N83</f>
        <v>0</v>
      </c>
      <c r="J78" s="617">
        <f>'Rates in Detail'!E81</f>
        <v>0</v>
      </c>
      <c r="K78" s="618">
        <f>'Rates in Detail'!H81</f>
        <v>0</v>
      </c>
      <c r="L78" s="618">
        <f>'Rates in Detail'!F81</f>
        <v>0</v>
      </c>
      <c r="M78" s="618">
        <f>'Rates in Detail'!I81</f>
        <v>0</v>
      </c>
      <c r="N78" s="134">
        <f t="shared" si="4"/>
        <v>0</v>
      </c>
      <c r="O78" s="117">
        <f>'Rates in Detail'!L81</f>
        <v>0</v>
      </c>
      <c r="P78" s="1309">
        <f>'Rates in Detail'!P81</f>
        <v>0</v>
      </c>
      <c r="Q78" s="1316">
        <f t="shared" si="5"/>
        <v>0</v>
      </c>
      <c r="R78" s="1309">
        <f>'Rates in Detail'!AC81</f>
        <v>0</v>
      </c>
      <c r="S78" s="1320">
        <f t="shared" si="6"/>
        <v>0</v>
      </c>
      <c r="T78" s="130"/>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&amp;RUG 388 - NW Natural/2500
Wyman/WP02</oddHeader>
    <oddFooter xml:space="preserve">&amp;C&amp;F &amp;D &amp;T
&amp;A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AA78"/>
  <sheetViews>
    <sheetView workbookViewId="0"/>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14" customWidth="1" outlineLevel="1"/>
    <col min="11" max="11" width="15.19921875" style="614" customWidth="1" outlineLevel="1"/>
    <col min="12" max="12" width="14" style="614" customWidth="1" outlineLevel="1"/>
    <col min="13" max="13" width="14.296875" style="614" customWidth="1" outlineLevel="1"/>
    <col min="14" max="14" width="14.296875" style="51" customWidth="1"/>
    <col min="15" max="16" width="16" style="51" customWidth="1" outlineLevel="1"/>
    <col min="17" max="17" width="16.5" style="91" customWidth="1" outlineLevel="1"/>
    <col min="18" max="18" width="16" style="51" customWidth="1" outlineLevel="1"/>
    <col min="19" max="20" width="15.69921875" style="51" customWidth="1" outlineLevel="1"/>
    <col min="21" max="21" width="16" style="51" customWidth="1"/>
    <col min="22" max="22" width="16" style="129" customWidth="1" outlineLevel="1"/>
    <col min="23" max="23" width="15.69921875" style="129" customWidth="1" outlineLevel="1"/>
    <col min="24" max="25" width="16" style="129" customWidth="1" outlineLevel="1"/>
    <col min="26" max="26" width="14.796875" style="129" customWidth="1" outlineLevel="1"/>
    <col min="27" max="27" width="3.19921875" style="129" customWidth="1"/>
    <col min="28" max="16384" width="9.296875" style="51"/>
  </cols>
  <sheetData>
    <row r="1" spans="2:27" x14ac:dyDescent="0.3">
      <c r="B1" s="90" t="s">
        <v>0</v>
      </c>
      <c r="S1" s="64"/>
      <c r="T1" s="64"/>
    </row>
    <row r="2" spans="2:27" x14ac:dyDescent="0.3">
      <c r="B2" s="90" t="s">
        <v>265</v>
      </c>
    </row>
    <row r="3" spans="2:27" x14ac:dyDescent="0.3">
      <c r="B3" s="90" t="s">
        <v>266</v>
      </c>
      <c r="P3" s="100"/>
      <c r="Q3" s="137"/>
    </row>
    <row r="4" spans="2:27" x14ac:dyDescent="0.3">
      <c r="B4" s="90" t="s">
        <v>641</v>
      </c>
      <c r="N4" s="646"/>
      <c r="O4" s="58"/>
      <c r="P4" s="58"/>
      <c r="Q4" s="57"/>
      <c r="R4" s="57"/>
      <c r="S4" s="57"/>
      <c r="T4" s="57"/>
      <c r="V4" s="130"/>
      <c r="W4" s="130"/>
      <c r="X4" s="130"/>
      <c r="Y4" s="130"/>
      <c r="Z4" s="130"/>
      <c r="AA4" s="130"/>
    </row>
    <row r="5" spans="2:27" ht="13.5" thickBot="1" x14ac:dyDescent="0.35">
      <c r="B5" s="1290" t="s">
        <v>537</v>
      </c>
      <c r="N5" s="646"/>
      <c r="O5" s="58"/>
      <c r="P5" s="58"/>
      <c r="Q5" s="57"/>
      <c r="R5" s="57"/>
      <c r="S5" s="57"/>
      <c r="T5" s="57"/>
      <c r="V5" s="130"/>
      <c r="W5" s="130"/>
      <c r="X5" s="130"/>
      <c r="Y5" s="130"/>
      <c r="Z5" s="130"/>
      <c r="AA5" s="130"/>
    </row>
    <row r="6" spans="2:27" ht="13.5" thickBot="1" x14ac:dyDescent="0.35">
      <c r="O6" s="1981" t="s">
        <v>540</v>
      </c>
      <c r="P6" s="1982"/>
      <c r="Q6" s="1982"/>
      <c r="R6" s="1982"/>
      <c r="S6" s="1982"/>
      <c r="T6" s="1982"/>
      <c r="U6" s="1983"/>
      <c r="V6" s="1979" t="s">
        <v>539</v>
      </c>
      <c r="W6" s="1984"/>
      <c r="X6" s="1984"/>
      <c r="Y6" s="1984"/>
      <c r="Z6" s="1980"/>
    </row>
    <row r="7" spans="2:27" ht="13.5" thickBot="1" x14ac:dyDescent="0.35">
      <c r="B7" s="102"/>
      <c r="C7" s="102"/>
      <c r="D7" s="102"/>
      <c r="E7" s="102"/>
      <c r="F7" s="102"/>
      <c r="G7" s="102"/>
      <c r="H7" s="624" t="s">
        <v>18</v>
      </c>
      <c r="I7" s="103" t="s">
        <v>534</v>
      </c>
      <c r="J7" s="1962" t="s">
        <v>535</v>
      </c>
      <c r="K7" s="1963"/>
      <c r="L7" s="1963"/>
      <c r="M7" s="1963"/>
      <c r="N7" s="1963"/>
      <c r="O7" s="1325" t="s">
        <v>173</v>
      </c>
      <c r="P7" s="1322" t="str">
        <f>'Rates in Detail'!P9</f>
        <v>EDIT Amort Cr</v>
      </c>
      <c r="Q7" s="1321" t="s">
        <v>133</v>
      </c>
      <c r="R7" s="1325" t="str">
        <f>'Rates in Detail'!S9</f>
        <v>Historical EE</v>
      </c>
      <c r="S7" s="1519" t="s">
        <v>521</v>
      </c>
      <c r="T7" s="1328" t="s">
        <v>659</v>
      </c>
      <c r="U7" s="1321" t="s">
        <v>32</v>
      </c>
      <c r="V7" s="1296" t="s">
        <v>173</v>
      </c>
      <c r="W7" s="1296" t="s">
        <v>398</v>
      </c>
      <c r="X7" s="1522" t="s">
        <v>381</v>
      </c>
      <c r="Y7" s="1524" t="s">
        <v>521</v>
      </c>
      <c r="Z7" s="1300" t="s">
        <v>32</v>
      </c>
    </row>
    <row r="8" spans="2:27" ht="52" x14ac:dyDescent="0.3">
      <c r="B8" s="104" t="s">
        <v>145</v>
      </c>
      <c r="C8" s="65" t="s">
        <v>2</v>
      </c>
      <c r="D8" s="65" t="s">
        <v>3</v>
      </c>
      <c r="E8" s="65" t="s">
        <v>158</v>
      </c>
      <c r="F8" s="65" t="s">
        <v>156</v>
      </c>
      <c r="G8" s="65" t="s">
        <v>157</v>
      </c>
      <c r="H8" s="105" t="s">
        <v>154</v>
      </c>
      <c r="I8" s="65" t="s">
        <v>155</v>
      </c>
      <c r="J8" s="615" t="s">
        <v>529</v>
      </c>
      <c r="K8" s="616" t="s">
        <v>530</v>
      </c>
      <c r="L8" s="616" t="s">
        <v>531</v>
      </c>
      <c r="M8" s="616" t="s">
        <v>533</v>
      </c>
      <c r="N8" s="65" t="s">
        <v>532</v>
      </c>
      <c r="O8" s="1326" t="s">
        <v>642</v>
      </c>
      <c r="P8" s="1323" t="s">
        <v>643</v>
      </c>
      <c r="Q8" s="1293" t="s">
        <v>644</v>
      </c>
      <c r="R8" s="1326" t="s">
        <v>647</v>
      </c>
      <c r="S8" s="1520" t="s">
        <v>647</v>
      </c>
      <c r="T8" s="1312" t="s">
        <v>684</v>
      </c>
      <c r="U8" s="1293" t="s">
        <v>646</v>
      </c>
      <c r="V8" s="1523" t="s">
        <v>642</v>
      </c>
      <c r="W8" s="1516" t="s">
        <v>647</v>
      </c>
      <c r="X8" s="1534" t="s">
        <v>647</v>
      </c>
      <c r="Y8" s="1525" t="s">
        <v>647</v>
      </c>
      <c r="Z8" s="1294" t="s">
        <v>648</v>
      </c>
      <c r="AA8" s="1289"/>
    </row>
    <row r="9" spans="2:27" ht="26.5" thickBot="1" x14ac:dyDescent="0.35">
      <c r="B9" s="632"/>
      <c r="C9" s="633" t="s">
        <v>35</v>
      </c>
      <c r="D9" s="633" t="s">
        <v>36</v>
      </c>
      <c r="E9" s="633" t="s">
        <v>13</v>
      </c>
      <c r="F9" s="633" t="s">
        <v>37</v>
      </c>
      <c r="G9" s="633" t="s">
        <v>38</v>
      </c>
      <c r="H9" s="634" t="s">
        <v>39</v>
      </c>
      <c r="I9" s="635" t="s">
        <v>40</v>
      </c>
      <c r="J9" s="634" t="s">
        <v>41</v>
      </c>
      <c r="K9" s="633" t="s">
        <v>42</v>
      </c>
      <c r="L9" s="633" t="s">
        <v>124</v>
      </c>
      <c r="M9" s="633" t="s">
        <v>125</v>
      </c>
      <c r="N9" s="633" t="s">
        <v>248</v>
      </c>
      <c r="O9" s="1327" t="s">
        <v>126</v>
      </c>
      <c r="P9" s="1324" t="s">
        <v>127</v>
      </c>
      <c r="Q9" s="1292" t="s">
        <v>536</v>
      </c>
      <c r="R9" s="1327" t="s">
        <v>129</v>
      </c>
      <c r="S9" s="1521" t="s">
        <v>130</v>
      </c>
      <c r="T9" s="1291" t="s">
        <v>86</v>
      </c>
      <c r="U9" s="1292" t="s">
        <v>685</v>
      </c>
      <c r="V9" s="1536" t="s">
        <v>90</v>
      </c>
      <c r="W9" s="1536" t="s">
        <v>91</v>
      </c>
      <c r="X9" s="1537" t="s">
        <v>180</v>
      </c>
      <c r="Y9" s="1538" t="s">
        <v>224</v>
      </c>
      <c r="Z9" s="1361" t="s">
        <v>686</v>
      </c>
      <c r="AA9" s="1288"/>
    </row>
    <row r="10" spans="2:27" x14ac:dyDescent="0.3">
      <c r="B10" s="109">
        <v>1</v>
      </c>
      <c r="C10" s="110" t="str">
        <f>'WA Volumes &amp; Revenues'!B15</f>
        <v>1R</v>
      </c>
      <c r="D10" s="110" t="s">
        <v>270</v>
      </c>
      <c r="E10" s="110" t="s">
        <v>270</v>
      </c>
      <c r="F10" s="112">
        <f>'WA Volumes &amp; Revenues'!E15</f>
        <v>214704.20066131229</v>
      </c>
      <c r="G10" s="112">
        <f>'WA Volumes &amp; Revenues'!H15</f>
        <v>911</v>
      </c>
      <c r="H10" s="885">
        <f>'WA Volumes &amp; Revenues'!O15</f>
        <v>5.5</v>
      </c>
      <c r="I10" s="886">
        <f>'WA Volumes &amp; Revenues'!N15</f>
        <v>5.5</v>
      </c>
      <c r="J10" s="619">
        <f>'Rates in Detail'!E13</f>
        <v>0.67652999999999996</v>
      </c>
      <c r="K10" s="623">
        <f>'Rates in Detail'!H13</f>
        <v>0.10141</v>
      </c>
      <c r="L10" s="623">
        <f>'Rates in Detail'!F13</f>
        <v>0.26333000000000001</v>
      </c>
      <c r="M10" s="623">
        <f>'Rates in Detail'!I13</f>
        <v>0.11125999999999998</v>
      </c>
      <c r="N10" s="134">
        <f>SUM(J10:M10)</f>
        <v>1.1525299999999998</v>
      </c>
      <c r="O10" s="1303">
        <f>'Rates in Detail'!L13</f>
        <v>0.11114</v>
      </c>
      <c r="P10" s="1298">
        <f>'Rates in Detail'!P13</f>
        <v>-9.1000000000000004E-3</v>
      </c>
      <c r="Q10" s="1304">
        <f>SUM(N10:P10)</f>
        <v>1.2545699999999997</v>
      </c>
      <c r="R10" s="1303">
        <f>'Rates in Detail'!S13</f>
        <v>-1.627E-2</v>
      </c>
      <c r="S10" s="1298">
        <f>'Rates in Detail'!T13</f>
        <v>-8.6499999999999997E-3</v>
      </c>
      <c r="T10" s="1298">
        <f>'Rates in Detail'!U13</f>
        <v>3.0500000000000002E-3</v>
      </c>
      <c r="U10" s="1313">
        <f>SUM(Q10:T10)</f>
        <v>1.2326999999999997</v>
      </c>
      <c r="V10" s="1305">
        <f>'Rates in Detail'!AC13</f>
        <v>6.1650000000000003E-2</v>
      </c>
      <c r="W10" s="1530">
        <f>'Rates in Detail'!AD13</f>
        <v>-8.8000000000000003E-4</v>
      </c>
      <c r="X10" s="1298">
        <f>'Rates in Detail'!AE13</f>
        <v>-1.627E-2</v>
      </c>
      <c r="Y10" s="1526">
        <f>'Rates in Detail'!AF13</f>
        <v>-8.6700000000000006E-3</v>
      </c>
      <c r="Z10" s="1317">
        <f>SUM(U10:Y10)-(R10+S10+T10)</f>
        <v>1.2903999999999998</v>
      </c>
      <c r="AA10" s="130"/>
    </row>
    <row r="11" spans="2:27" x14ac:dyDescent="0.3">
      <c r="B11" s="109">
        <f>B10+1</f>
        <v>2</v>
      </c>
      <c r="C11" s="110" t="str">
        <f>'WA Volumes &amp; Revenues'!B16</f>
        <v>1C</v>
      </c>
      <c r="D11" s="110" t="s">
        <v>270</v>
      </c>
      <c r="E11" s="110" t="s">
        <v>270</v>
      </c>
      <c r="F11" s="112">
        <f>'WA Volumes &amp; Revenues'!E16</f>
        <v>46539.057144390383</v>
      </c>
      <c r="G11" s="112">
        <f>'WA Volumes &amp; Revenues'!H16</f>
        <v>34</v>
      </c>
      <c r="H11" s="885">
        <f>'WA Volumes &amp; Revenues'!O16</f>
        <v>7</v>
      </c>
      <c r="I11" s="886">
        <f>'WA Volumes &amp; Revenues'!N16</f>
        <v>7</v>
      </c>
      <c r="J11" s="619">
        <f>'Rates in Detail'!E14</f>
        <v>0.73148999999999997</v>
      </c>
      <c r="K11" s="623">
        <f>'Rates in Detail'!H14</f>
        <v>0.10141</v>
      </c>
      <c r="L11" s="623">
        <f>'Rates in Detail'!F14</f>
        <v>0.26333000000000001</v>
      </c>
      <c r="M11" s="623">
        <f>'Rates in Detail'!I14</f>
        <v>9.3060000000000004E-2</v>
      </c>
      <c r="N11" s="134">
        <f t="shared" ref="N11:N74" si="0">SUM(J11:M11)</f>
        <v>1.18929</v>
      </c>
      <c r="O11" s="1303">
        <f>'Rates in Detail'!L14</f>
        <v>9.2410000000000006E-2</v>
      </c>
      <c r="P11" s="1298">
        <f>'Rates in Detail'!P14</f>
        <v>-7.5599999999999999E-3</v>
      </c>
      <c r="Q11" s="1304">
        <f t="shared" ref="Q11:Q74" si="1">SUM(N11:P11)</f>
        <v>1.2741400000000001</v>
      </c>
      <c r="R11" s="1303">
        <f>'Rates in Detail'!S14</f>
        <v>-1.354E-2</v>
      </c>
      <c r="S11" s="1298">
        <f>'Rates in Detail'!T14</f>
        <v>-7.1999999999999998E-3</v>
      </c>
      <c r="T11" s="1298">
        <f>'Rates in Detail'!U14</f>
        <v>2.5400000000000002E-3</v>
      </c>
      <c r="U11" s="1313">
        <f t="shared" ref="U11:U74" si="2">SUM(Q11:S11)</f>
        <v>1.2533999999999998</v>
      </c>
      <c r="V11" s="1305">
        <f>'Rates in Detail'!AC14</f>
        <v>5.126E-2</v>
      </c>
      <c r="W11" s="1530">
        <f>'Rates in Detail'!AD14</f>
        <v>-7.2999999999999996E-4</v>
      </c>
      <c r="X11" s="1298">
        <f>'Rates in Detail'!AE14</f>
        <v>-1.354E-2</v>
      </c>
      <c r="Y11" s="1526">
        <f>'Rates in Detail'!AF14</f>
        <v>-7.1999999999999998E-3</v>
      </c>
      <c r="Z11" s="1317">
        <f t="shared" ref="Z11:Z74" si="3">SUM(U11:Y11)-(R11+S11+T11)</f>
        <v>1.3013899999999998</v>
      </c>
      <c r="AA11" s="130"/>
    </row>
    <row r="12" spans="2:27" x14ac:dyDescent="0.3">
      <c r="B12" s="109">
        <f t="shared" ref="B12:B75" si="4">B11+1</f>
        <v>3</v>
      </c>
      <c r="C12" s="110" t="str">
        <f>'WA Volumes &amp; Revenues'!B17</f>
        <v>2R</v>
      </c>
      <c r="D12" s="110" t="s">
        <v>270</v>
      </c>
      <c r="E12" s="110" t="s">
        <v>270</v>
      </c>
      <c r="F12" s="112">
        <f>'WA Volumes &amp; Revenues'!E17</f>
        <v>54953515.785084128</v>
      </c>
      <c r="G12" s="112">
        <f>'WA Volumes &amp; Revenues'!H17</f>
        <v>81119</v>
      </c>
      <c r="H12" s="885">
        <f>'WA Volumes &amp; Revenues'!O17</f>
        <v>8</v>
      </c>
      <c r="I12" s="886">
        <f>'WA Volumes &amp; Revenues'!N17</f>
        <v>8</v>
      </c>
      <c r="J12" s="619">
        <f>'Rates in Detail'!E15</f>
        <v>0.45815999999999979</v>
      </c>
      <c r="K12" s="623">
        <f>'Rates in Detail'!H15</f>
        <v>0.10141</v>
      </c>
      <c r="L12" s="623">
        <f>'Rates in Detail'!F15</f>
        <v>0.26333000000000001</v>
      </c>
      <c r="M12" s="623">
        <f>'Rates in Detail'!I15</f>
        <v>6.6579999999999986E-2</v>
      </c>
      <c r="N12" s="134">
        <f t="shared" si="0"/>
        <v>0.88947999999999972</v>
      </c>
      <c r="O12" s="1303">
        <f>'Rates in Detail'!L15</f>
        <v>7.034E-2</v>
      </c>
      <c r="P12" s="1298">
        <f>'Rates in Detail'!P15</f>
        <v>-5.7600000000000004E-3</v>
      </c>
      <c r="Q12" s="1304">
        <f t="shared" si="1"/>
        <v>0.95405999999999969</v>
      </c>
      <c r="R12" s="1303">
        <f>'Rates in Detail'!S15</f>
        <v>-1.03E-2</v>
      </c>
      <c r="S12" s="1298">
        <f>'Rates in Detail'!T15</f>
        <v>-5.47E-3</v>
      </c>
      <c r="T12" s="1298">
        <f>'Rates in Detail'!U15</f>
        <v>1.9300000000000001E-3</v>
      </c>
      <c r="U12" s="1313">
        <f t="shared" si="2"/>
        <v>0.93828999999999974</v>
      </c>
      <c r="V12" s="1305">
        <f>'Rates in Detail'!AC15</f>
        <v>3.9019999999999999E-2</v>
      </c>
      <c r="W12" s="1530">
        <f>'Rates in Detail'!AD15</f>
        <v>-5.5999999999999995E-4</v>
      </c>
      <c r="X12" s="1298">
        <f>'Rates in Detail'!AE15</f>
        <v>-1.03E-2</v>
      </c>
      <c r="Y12" s="1526">
        <f>'Rates in Detail'!AF15</f>
        <v>-5.4900000000000001E-3</v>
      </c>
      <c r="Z12" s="1317">
        <f t="shared" si="3"/>
        <v>0.97479999999999967</v>
      </c>
      <c r="AA12" s="130"/>
    </row>
    <row r="13" spans="2:27" x14ac:dyDescent="0.3">
      <c r="B13" s="109">
        <f t="shared" si="4"/>
        <v>4</v>
      </c>
      <c r="C13" s="110" t="str">
        <f>'WA Volumes &amp; Revenues'!B18</f>
        <v>3 CFS</v>
      </c>
      <c r="D13" s="110" t="s">
        <v>270</v>
      </c>
      <c r="E13" s="110" t="s">
        <v>270</v>
      </c>
      <c r="F13" s="112">
        <f>'WA Volumes &amp; Revenues'!E18</f>
        <v>17867210.60654201</v>
      </c>
      <c r="G13" s="112">
        <f>'WA Volumes &amp; Revenues'!H18</f>
        <v>6318</v>
      </c>
      <c r="H13" s="885">
        <f>'WA Volumes &amp; Revenues'!O18</f>
        <v>22</v>
      </c>
      <c r="I13" s="887">
        <f>'WA Volumes &amp; Revenues'!N18</f>
        <v>22</v>
      </c>
      <c r="J13" s="619">
        <f>'Rates in Detail'!E16</f>
        <v>0.44368000000000019</v>
      </c>
      <c r="K13" s="623">
        <f>'Rates in Detail'!H16</f>
        <v>0.10141</v>
      </c>
      <c r="L13" s="623">
        <f>'Rates in Detail'!F16</f>
        <v>0.26333000000000001</v>
      </c>
      <c r="M13" s="623">
        <f>'Rates in Detail'!I16</f>
        <v>5.8480000000000004E-2</v>
      </c>
      <c r="N13" s="135">
        <f t="shared" si="0"/>
        <v>0.86690000000000011</v>
      </c>
      <c r="O13" s="1305">
        <f>'Rates in Detail'!L16</f>
        <v>6.3159999999999994E-2</v>
      </c>
      <c r="P13" s="1298">
        <f>'Rates in Detail'!P16</f>
        <v>-5.1700000000000001E-3</v>
      </c>
      <c r="Q13" s="1304">
        <f t="shared" si="1"/>
        <v>0.9248900000000001</v>
      </c>
      <c r="R13" s="1305">
        <f>'Rates in Detail'!S16</f>
        <v>-9.2399999999999999E-3</v>
      </c>
      <c r="S13" s="1298">
        <f>'Rates in Detail'!T16</f>
        <v>-4.9100000000000003E-3</v>
      </c>
      <c r="T13" s="1298">
        <f>'Rates in Detail'!U16</f>
        <v>1.73E-3</v>
      </c>
      <c r="U13" s="1313">
        <f t="shared" si="2"/>
        <v>0.91074000000000011</v>
      </c>
      <c r="V13" s="1305">
        <f>'Rates in Detail'!AC16</f>
        <v>3.5029999999999999E-2</v>
      </c>
      <c r="W13" s="1530">
        <f>'Rates in Detail'!AD16</f>
        <v>-5.0000000000000001E-4</v>
      </c>
      <c r="X13" s="1298">
        <f>'Rates in Detail'!AE16</f>
        <v>-9.2399999999999999E-3</v>
      </c>
      <c r="Y13" s="1526">
        <f>'Rates in Detail'!AF16</f>
        <v>-4.9300000000000004E-3</v>
      </c>
      <c r="Z13" s="1317">
        <f t="shared" si="3"/>
        <v>0.94352000000000014</v>
      </c>
      <c r="AA13" s="130"/>
    </row>
    <row r="14" spans="2:27" x14ac:dyDescent="0.3">
      <c r="B14" s="109">
        <f t="shared" si="4"/>
        <v>5</v>
      </c>
      <c r="C14" s="110" t="str">
        <f>'WA Volumes &amp; Revenues'!B19</f>
        <v>3 IFS</v>
      </c>
      <c r="D14" s="110" t="s">
        <v>270</v>
      </c>
      <c r="E14" s="110" t="s">
        <v>270</v>
      </c>
      <c r="F14" s="112">
        <f>'WA Volumes &amp; Revenues'!E19</f>
        <v>283651.99999999994</v>
      </c>
      <c r="G14" s="112">
        <f>'WA Volumes &amp; Revenues'!H19</f>
        <v>24.25</v>
      </c>
      <c r="H14" s="885">
        <f>'WA Volumes &amp; Revenues'!O19</f>
        <v>22</v>
      </c>
      <c r="I14" s="887">
        <f>'WA Volumes &amp; Revenues'!N19</f>
        <v>22</v>
      </c>
      <c r="J14" s="619">
        <f>'Rates in Detail'!E17</f>
        <v>0.46249000000000001</v>
      </c>
      <c r="K14" s="623">
        <f>'Rates in Detail'!H17</f>
        <v>0.10141</v>
      </c>
      <c r="L14" s="623">
        <f>'Rates in Detail'!F17</f>
        <v>0.26333000000000001</v>
      </c>
      <c r="M14" s="623">
        <f>'Rates in Detail'!I17</f>
        <v>-8.9999999999999802E-5</v>
      </c>
      <c r="N14" s="135">
        <f t="shared" si="0"/>
        <v>0.8271400000000001</v>
      </c>
      <c r="O14" s="1305">
        <f>'Rates in Detail'!L17</f>
        <v>5.7209999999999997E-2</v>
      </c>
      <c r="P14" s="1298">
        <f>'Rates in Detail'!P17</f>
        <v>-4.6899999999999997E-3</v>
      </c>
      <c r="Q14" s="1304">
        <f t="shared" si="1"/>
        <v>0.87966000000000011</v>
      </c>
      <c r="R14" s="1305">
        <f>'Rates in Detail'!S17</f>
        <v>0</v>
      </c>
      <c r="S14" s="1298">
        <f>'Rates in Detail'!T17</f>
        <v>-4.45E-3</v>
      </c>
      <c r="T14" s="1298">
        <f>'Rates in Detail'!U17</f>
        <v>1.57E-3</v>
      </c>
      <c r="U14" s="1313">
        <f t="shared" si="2"/>
        <v>0.87521000000000015</v>
      </c>
      <c r="V14" s="1305">
        <f>'Rates in Detail'!AC17</f>
        <v>3.1730000000000001E-2</v>
      </c>
      <c r="W14" s="1530">
        <f>'Rates in Detail'!AD17</f>
        <v>-4.4999999999999999E-4</v>
      </c>
      <c r="X14" s="1298">
        <f>'Rates in Detail'!AE17</f>
        <v>0</v>
      </c>
      <c r="Y14" s="1526">
        <f>'Rates in Detail'!AF17</f>
        <v>-4.4600000000000004E-3</v>
      </c>
      <c r="Z14" s="1317">
        <f t="shared" si="3"/>
        <v>0.90491000000000021</v>
      </c>
      <c r="AA14" s="130"/>
    </row>
    <row r="15" spans="2:27" x14ac:dyDescent="0.3">
      <c r="B15" s="109">
        <f t="shared" si="4"/>
        <v>6</v>
      </c>
      <c r="C15" s="1286" t="str">
        <f>'WA Volumes &amp; Revenues'!B20</f>
        <v>27R</v>
      </c>
      <c r="D15" s="110" t="s">
        <v>270</v>
      </c>
      <c r="E15" s="110" t="s">
        <v>270</v>
      </c>
      <c r="F15" s="112">
        <f>'WA Volumes &amp; Revenues'!E20</f>
        <v>461371.76933137607</v>
      </c>
      <c r="G15" s="112">
        <f>'WA Volumes &amp; Revenues'!H20</f>
        <v>776</v>
      </c>
      <c r="H15" s="888">
        <f>'WA Volumes &amp; Revenues'!O20</f>
        <v>9</v>
      </c>
      <c r="I15" s="889">
        <f>'WA Volumes &amp; Revenues'!N20</f>
        <v>9</v>
      </c>
      <c r="J15" s="619">
        <f>'Rates in Detail'!E18</f>
        <v>0.24087999999999973</v>
      </c>
      <c r="K15" s="623">
        <f>'Rates in Detail'!H18</f>
        <v>0.10141</v>
      </c>
      <c r="L15" s="623">
        <f>'Rates in Detail'!F18</f>
        <v>0.26333000000000001</v>
      </c>
      <c r="M15" s="623">
        <f>'Rates in Detail'!I18</f>
        <v>3.8710000000000001E-2</v>
      </c>
      <c r="N15" s="135">
        <f t="shared" si="0"/>
        <v>0.64432999999999985</v>
      </c>
      <c r="O15" s="1305">
        <f>'Rates in Detail'!L18</f>
        <v>5.006E-2</v>
      </c>
      <c r="P15" s="1298">
        <f>'Rates in Detail'!P18</f>
        <v>-4.1000000000000003E-3</v>
      </c>
      <c r="Q15" s="1304">
        <f t="shared" si="1"/>
        <v>0.69028999999999985</v>
      </c>
      <c r="R15" s="1305">
        <f>'Rates in Detail'!S18</f>
        <v>-7.3299999999999997E-3</v>
      </c>
      <c r="S15" s="1298">
        <f>'Rates in Detail'!T18</f>
        <v>-3.8899999999999998E-3</v>
      </c>
      <c r="T15" s="1298">
        <f>'Rates in Detail'!U18</f>
        <v>1.3699999999999999E-3</v>
      </c>
      <c r="U15" s="1313">
        <f t="shared" si="2"/>
        <v>0.67906999999999995</v>
      </c>
      <c r="V15" s="1305">
        <f>'Rates in Detail'!AC18</f>
        <v>2.777E-2</v>
      </c>
      <c r="W15" s="1530">
        <f>'Rates in Detail'!AD18</f>
        <v>-4.0000000000000002E-4</v>
      </c>
      <c r="X15" s="1298">
        <f>'Rates in Detail'!AE18</f>
        <v>-7.3299999999999997E-3</v>
      </c>
      <c r="Y15" s="1526">
        <f>'Rates in Detail'!AF18</f>
        <v>-3.8999999999999998E-3</v>
      </c>
      <c r="Z15" s="1317">
        <f t="shared" si="3"/>
        <v>0.70506000000000002</v>
      </c>
      <c r="AA15" s="130"/>
    </row>
    <row r="16" spans="2:27" x14ac:dyDescent="0.3">
      <c r="B16" s="109">
        <f t="shared" si="4"/>
        <v>7</v>
      </c>
      <c r="C16" s="1287" t="str">
        <f>'WA Volumes &amp; Revenues'!B21</f>
        <v>41C Firm Sales</v>
      </c>
      <c r="D16" s="1287" t="s">
        <v>4</v>
      </c>
      <c r="E16" s="114">
        <v>2000</v>
      </c>
      <c r="F16" s="115">
        <f>'WA Volumes &amp; Revenues'!E21</f>
        <v>1777065.1510316674</v>
      </c>
      <c r="G16" s="115">
        <f>'WA Volumes &amp; Revenues'!H21</f>
        <v>91</v>
      </c>
      <c r="H16" s="890">
        <f>'WA Volumes &amp; Revenues'!O21</f>
        <v>250</v>
      </c>
      <c r="I16" s="891">
        <f>'WA Volumes &amp; Revenues'!N21</f>
        <v>250</v>
      </c>
      <c r="J16" s="620">
        <f>'Rates in Detail'!E19</f>
        <v>0.34474000000000016</v>
      </c>
      <c r="K16" s="622">
        <f>'Rates in Detail'!H19</f>
        <v>0</v>
      </c>
      <c r="L16" s="622">
        <f>'Rates in Detail'!F19</f>
        <v>0.26333000000000001</v>
      </c>
      <c r="M16" s="622">
        <f>'Rates in Detail'!I19</f>
        <v>4.3429999999999996E-2</v>
      </c>
      <c r="N16" s="136">
        <f t="shared" si="0"/>
        <v>0.65150000000000008</v>
      </c>
      <c r="O16" s="1306">
        <f>'Rates in Detail'!L19</f>
        <v>5.0160000000000003E-2</v>
      </c>
      <c r="P16" s="1307">
        <f>'Rates in Detail'!P19</f>
        <v>-4.1099999999999999E-3</v>
      </c>
      <c r="Q16" s="1308">
        <f t="shared" si="1"/>
        <v>0.69755000000000011</v>
      </c>
      <c r="R16" s="1306">
        <f>'Rates in Detail'!S19</f>
        <v>-7.3400000000000002E-3</v>
      </c>
      <c r="S16" s="1307">
        <f>'Rates in Detail'!T19</f>
        <v>-3.8999999999999998E-3</v>
      </c>
      <c r="T16" s="1307">
        <f>'Rates in Detail'!U19</f>
        <v>1.3799999999999999E-3</v>
      </c>
      <c r="U16" s="1314">
        <f t="shared" si="2"/>
        <v>0.68631000000000009</v>
      </c>
      <c r="V16" s="1306">
        <f>'Rates in Detail'!AC19</f>
        <v>2.7820000000000001E-2</v>
      </c>
      <c r="W16" s="1531">
        <f>'Rates in Detail'!AD19</f>
        <v>-4.0000000000000002E-4</v>
      </c>
      <c r="X16" s="1307">
        <f>'Rates in Detail'!AE19</f>
        <v>-7.3400000000000002E-3</v>
      </c>
      <c r="Y16" s="1527">
        <f>'Rates in Detail'!AF19</f>
        <v>-3.9100000000000003E-3</v>
      </c>
      <c r="Z16" s="1317">
        <f t="shared" si="3"/>
        <v>0.71234000000000008</v>
      </c>
      <c r="AA16" s="130"/>
    </row>
    <row r="17" spans="2:27" x14ac:dyDescent="0.3">
      <c r="B17" s="109">
        <f t="shared" si="4"/>
        <v>8</v>
      </c>
      <c r="C17" s="110"/>
      <c r="D17" s="110" t="s">
        <v>5</v>
      </c>
      <c r="E17" s="111" t="s">
        <v>72</v>
      </c>
      <c r="F17" s="112">
        <f>'WA Volumes &amp; Revenues'!E22</f>
        <v>1974656.4658023661</v>
      </c>
      <c r="G17" s="112"/>
      <c r="H17" s="885"/>
      <c r="I17" s="887"/>
      <c r="J17" s="619">
        <f>'Rates in Detail'!E20</f>
        <v>0.30376999999999998</v>
      </c>
      <c r="K17" s="623">
        <f>'Rates in Detail'!H20</f>
        <v>0</v>
      </c>
      <c r="L17" s="623">
        <f>'Rates in Detail'!F20</f>
        <v>0.26333000000000001</v>
      </c>
      <c r="M17" s="623">
        <f>'Rates in Detail'!I20</f>
        <v>3.7170000000000002E-2</v>
      </c>
      <c r="N17" s="134">
        <f t="shared" si="0"/>
        <v>0.60426999999999997</v>
      </c>
      <c r="O17" s="1305">
        <f>'Rates in Detail'!L20</f>
        <v>4.4200000000000003E-2</v>
      </c>
      <c r="P17" s="1298">
        <f>'Rates in Detail'!P20</f>
        <v>-3.62E-3</v>
      </c>
      <c r="Q17" s="1304">
        <f t="shared" si="1"/>
        <v>0.64485000000000003</v>
      </c>
      <c r="R17" s="1305">
        <f>'Rates in Detail'!S20</f>
        <v>-6.4700000000000001E-3</v>
      </c>
      <c r="S17" s="1298">
        <f>'Rates in Detail'!T20</f>
        <v>-3.4399999999999999E-3</v>
      </c>
      <c r="T17" s="1298">
        <f>'Rates in Detail'!U20</f>
        <v>1.2099999999999999E-3</v>
      </c>
      <c r="U17" s="1313">
        <f t="shared" si="2"/>
        <v>0.63494000000000006</v>
      </c>
      <c r="V17" s="1305">
        <f>'Rates in Detail'!AC20</f>
        <v>2.4510000000000001E-2</v>
      </c>
      <c r="W17" s="1530">
        <f>'Rates in Detail'!AD20</f>
        <v>-3.5E-4</v>
      </c>
      <c r="X17" s="1298">
        <f>'Rates in Detail'!AE20</f>
        <v>-6.4700000000000001E-3</v>
      </c>
      <c r="Y17" s="1526">
        <f>'Rates in Detail'!AF20</f>
        <v>-3.4499999999999999E-3</v>
      </c>
      <c r="Z17" s="1317">
        <f t="shared" si="3"/>
        <v>0.65788000000000024</v>
      </c>
      <c r="AA17" s="130"/>
    </row>
    <row r="18" spans="2:27" x14ac:dyDescent="0.3">
      <c r="B18" s="109">
        <f t="shared" si="4"/>
        <v>9</v>
      </c>
      <c r="C18" s="1287" t="str">
        <f>'WA Volumes &amp; Revenues'!B23</f>
        <v>41I Firm Sales</v>
      </c>
      <c r="D18" s="1287" t="s">
        <v>4</v>
      </c>
      <c r="E18" s="114">
        <v>2000</v>
      </c>
      <c r="F18" s="115">
        <f>'WA Volumes &amp; Revenues'!E23</f>
        <v>392890.20000000007</v>
      </c>
      <c r="G18" s="115">
        <f>'WA Volumes &amp; Revenues'!H23</f>
        <v>17.833333333333332</v>
      </c>
      <c r="H18" s="890">
        <f>'WA Volumes &amp; Revenues'!O23</f>
        <v>250</v>
      </c>
      <c r="I18" s="891">
        <f>'WA Volumes &amp; Revenues'!N23</f>
        <v>250</v>
      </c>
      <c r="J18" s="620">
        <f>'Rates in Detail'!E21</f>
        <v>0.34416000000000024</v>
      </c>
      <c r="K18" s="622">
        <f>'Rates in Detail'!H21</f>
        <v>0</v>
      </c>
      <c r="L18" s="622">
        <f>'Rates in Detail'!F21</f>
        <v>0.26333000000000001</v>
      </c>
      <c r="M18" s="622">
        <f>'Rates in Detail'!I21</f>
        <v>-1.7200000000000002E-3</v>
      </c>
      <c r="N18" s="136">
        <f t="shared" si="0"/>
        <v>0.60577000000000025</v>
      </c>
      <c r="O18" s="1306">
        <f>'Rates in Detail'!L21</f>
        <v>2.3040000000000001E-2</v>
      </c>
      <c r="P18" s="1307">
        <f>'Rates in Detail'!P21</f>
        <v>-3.9100000000000003E-3</v>
      </c>
      <c r="Q18" s="1308">
        <f t="shared" si="1"/>
        <v>0.62490000000000023</v>
      </c>
      <c r="R18" s="1306">
        <f>'Rates in Detail'!S21</f>
        <v>0</v>
      </c>
      <c r="S18" s="1307">
        <f>'Rates in Detail'!T21</f>
        <v>-3.5200000000000001E-3</v>
      </c>
      <c r="T18" s="1307">
        <f>'Rates in Detail'!U21</f>
        <v>1.24E-3</v>
      </c>
      <c r="U18" s="1314">
        <f t="shared" si="2"/>
        <v>0.62138000000000027</v>
      </c>
      <c r="V18" s="1306">
        <f>'Rates in Detail'!AC21</f>
        <v>8.7299999999999999E-3</v>
      </c>
      <c r="W18" s="1531">
        <f>'Rates in Detail'!AD21</f>
        <v>-3.5E-4</v>
      </c>
      <c r="X18" s="1307">
        <f>'Rates in Detail'!AE21</f>
        <v>0</v>
      </c>
      <c r="Y18" s="1527">
        <f>'Rates in Detail'!AF21</f>
        <v>-3.3999999999999998E-3</v>
      </c>
      <c r="Z18" s="1317">
        <f t="shared" si="3"/>
        <v>0.62864000000000031</v>
      </c>
      <c r="AA18" s="130"/>
    </row>
    <row r="19" spans="2:27" x14ac:dyDescent="0.3">
      <c r="B19" s="109">
        <f t="shared" si="4"/>
        <v>10</v>
      </c>
      <c r="C19" s="110"/>
      <c r="D19" s="110" t="s">
        <v>5</v>
      </c>
      <c r="E19" s="111" t="s">
        <v>72</v>
      </c>
      <c r="F19" s="112">
        <f>'WA Volumes &amp; Revenues'!E24</f>
        <v>621650.00000000012</v>
      </c>
      <c r="G19" s="112"/>
      <c r="H19" s="885"/>
      <c r="I19" s="887"/>
      <c r="J19" s="619">
        <f>'Rates in Detail'!E22</f>
        <v>0.30325000000000002</v>
      </c>
      <c r="K19" s="623">
        <f>'Rates in Detail'!H22</f>
        <v>0</v>
      </c>
      <c r="L19" s="623">
        <f>'Rates in Detail'!F22</f>
        <v>0.26333000000000001</v>
      </c>
      <c r="M19" s="623">
        <f>'Rates in Detail'!I22</f>
        <v>-2.6199999999999999E-3</v>
      </c>
      <c r="N19" s="134">
        <f t="shared" si="0"/>
        <v>0.56396000000000013</v>
      </c>
      <c r="O19" s="1305">
        <f>'Rates in Detail'!L22</f>
        <v>2.0299999999999999E-2</v>
      </c>
      <c r="P19" s="1298">
        <f>'Rates in Detail'!P22</f>
        <v>-3.4399999999999999E-3</v>
      </c>
      <c r="Q19" s="1304">
        <f t="shared" si="1"/>
        <v>0.58082000000000011</v>
      </c>
      <c r="R19" s="1305">
        <f>'Rates in Detail'!S22</f>
        <v>0</v>
      </c>
      <c r="S19" s="1298">
        <f>'Rates in Detail'!T22</f>
        <v>-3.0999999999999999E-3</v>
      </c>
      <c r="T19" s="1298">
        <f>'Rates in Detail'!U22</f>
        <v>1.09E-3</v>
      </c>
      <c r="U19" s="1313">
        <f t="shared" si="2"/>
        <v>0.57772000000000012</v>
      </c>
      <c r="V19" s="1305">
        <f>'Rates in Detail'!AC22</f>
        <v>7.6899999999999998E-3</v>
      </c>
      <c r="W19" s="1530">
        <f>'Rates in Detail'!AD22</f>
        <v>-2.9999999999999997E-4</v>
      </c>
      <c r="X19" s="1298">
        <f>'Rates in Detail'!AE22</f>
        <v>0</v>
      </c>
      <c r="Y19" s="1526">
        <f>'Rates in Detail'!AF22</f>
        <v>-2.99E-3</v>
      </c>
      <c r="Z19" s="1317">
        <f t="shared" si="3"/>
        <v>0.58413000000000004</v>
      </c>
      <c r="AA19" s="130"/>
    </row>
    <row r="20" spans="2:27" x14ac:dyDescent="0.3">
      <c r="B20" s="109">
        <f t="shared" si="4"/>
        <v>11</v>
      </c>
      <c r="C20" s="1287" t="str">
        <f>'WA Volumes &amp; Revenues'!B25</f>
        <v>41C Interr Sales</v>
      </c>
      <c r="D20" s="1287" t="s">
        <v>4</v>
      </c>
      <c r="E20" s="114">
        <v>2000</v>
      </c>
      <c r="F20" s="115">
        <f>'WA Volumes &amp; Revenues'!E25</f>
        <v>0</v>
      </c>
      <c r="G20" s="115">
        <f>'WA Volumes &amp; Revenues'!H25</f>
        <v>0</v>
      </c>
      <c r="H20" s="890">
        <f>'WA Volumes &amp; Revenues'!O25</f>
        <v>250</v>
      </c>
      <c r="I20" s="891">
        <f>'WA Volumes &amp; Revenues'!N25</f>
        <v>250</v>
      </c>
      <c r="J20" s="620">
        <f>'Rates in Detail'!E23</f>
        <v>0.34372999999999987</v>
      </c>
      <c r="K20" s="622">
        <f>'Rates in Detail'!H23</f>
        <v>0</v>
      </c>
      <c r="L20" s="622">
        <f>'Rates in Detail'!F23</f>
        <v>0.26333000000000001</v>
      </c>
      <c r="M20" s="622">
        <f>'Rates in Detail'!I23</f>
        <v>5.3189999999999994E-2</v>
      </c>
      <c r="N20" s="136">
        <f t="shared" si="0"/>
        <v>0.66024999999999989</v>
      </c>
      <c r="O20" s="1306">
        <f>'Rates in Detail'!L23</f>
        <v>3.6089999999999997E-2</v>
      </c>
      <c r="P20" s="1307">
        <f>'Rates in Detail'!P23</f>
        <v>-3.2200000000000002E-3</v>
      </c>
      <c r="Q20" s="1308">
        <f t="shared" si="1"/>
        <v>0.69311999999999985</v>
      </c>
      <c r="R20" s="1306">
        <f>'Rates in Detail'!S23</f>
        <v>-6.8599999999999998E-3</v>
      </c>
      <c r="S20" s="1307">
        <f>'Rates in Detail'!T23</f>
        <v>-3.0300000000000001E-3</v>
      </c>
      <c r="T20" s="1307">
        <f>'Rates in Detail'!U23</f>
        <v>1.3799999999999999E-3</v>
      </c>
      <c r="U20" s="1314">
        <f t="shared" si="2"/>
        <v>0.68322999999999989</v>
      </c>
      <c r="V20" s="1306">
        <f>'Rates in Detail'!AC23</f>
        <v>2.162E-2</v>
      </c>
      <c r="W20" s="1531">
        <f>'Rates in Detail'!AD23</f>
        <v>-3.1E-4</v>
      </c>
      <c r="X20" s="1307">
        <f>'Rates in Detail'!AE23</f>
        <v>-6.7799999999999996E-3</v>
      </c>
      <c r="Y20" s="1527">
        <f>'Rates in Detail'!AF23</f>
        <v>-3.0400000000000002E-3</v>
      </c>
      <c r="Z20" s="1317">
        <f t="shared" si="3"/>
        <v>0.7032299999999998</v>
      </c>
      <c r="AA20" s="130"/>
    </row>
    <row r="21" spans="2:27" x14ac:dyDescent="0.3">
      <c r="B21" s="109">
        <f t="shared" si="4"/>
        <v>12</v>
      </c>
      <c r="C21" s="110"/>
      <c r="D21" s="110" t="s">
        <v>5</v>
      </c>
      <c r="E21" s="111" t="s">
        <v>72</v>
      </c>
      <c r="F21" s="112">
        <f>'WA Volumes &amp; Revenues'!E26</f>
        <v>0</v>
      </c>
      <c r="G21" s="112"/>
      <c r="H21" s="885"/>
      <c r="I21" s="887"/>
      <c r="J21" s="619">
        <f>'Rates in Detail'!E24</f>
        <v>0.30284999999999984</v>
      </c>
      <c r="K21" s="623">
        <f>'Rates in Detail'!H24</f>
        <v>0</v>
      </c>
      <c r="L21" s="623">
        <f>'Rates in Detail'!F24</f>
        <v>0.26333000000000001</v>
      </c>
      <c r="M21" s="623">
        <f>'Rates in Detail'!I24</f>
        <v>4.6990000000000004E-2</v>
      </c>
      <c r="N21" s="134">
        <f t="shared" si="0"/>
        <v>0.61316999999999988</v>
      </c>
      <c r="O21" s="1305">
        <f>'Rates in Detail'!L24</f>
        <v>3.1800000000000002E-2</v>
      </c>
      <c r="P21" s="1298">
        <f>'Rates in Detail'!P24</f>
        <v>-2.8400000000000001E-3</v>
      </c>
      <c r="Q21" s="1304">
        <f t="shared" si="1"/>
        <v>0.64212999999999998</v>
      </c>
      <c r="R21" s="1305">
        <f>'Rates in Detail'!S24</f>
        <v>-6.0499999999999998E-3</v>
      </c>
      <c r="S21" s="1298">
        <f>'Rates in Detail'!T24</f>
        <v>-2.6700000000000001E-3</v>
      </c>
      <c r="T21" s="1298">
        <f>'Rates in Detail'!U24</f>
        <v>1.2099999999999999E-3</v>
      </c>
      <c r="U21" s="1313">
        <f t="shared" si="2"/>
        <v>0.63341000000000003</v>
      </c>
      <c r="V21" s="1305">
        <f>'Rates in Detail'!AC24</f>
        <v>1.9050000000000001E-2</v>
      </c>
      <c r="W21" s="1530">
        <f>'Rates in Detail'!AD24</f>
        <v>-2.7E-4</v>
      </c>
      <c r="X21" s="1298">
        <f>'Rates in Detail'!AE24</f>
        <v>-5.9699999999999996E-3</v>
      </c>
      <c r="Y21" s="1526">
        <f>'Rates in Detail'!AF24</f>
        <v>-2.6800000000000001E-3</v>
      </c>
      <c r="Z21" s="1317">
        <f t="shared" si="3"/>
        <v>0.65105000000000002</v>
      </c>
      <c r="AA21" s="130"/>
    </row>
    <row r="22" spans="2:27" x14ac:dyDescent="0.3">
      <c r="B22" s="109">
        <f t="shared" si="4"/>
        <v>13</v>
      </c>
      <c r="C22" s="1287" t="str">
        <f>'WA Volumes &amp; Revenues'!B27</f>
        <v>41I Interr Sales</v>
      </c>
      <c r="D22" s="1287" t="s">
        <v>4</v>
      </c>
      <c r="E22" s="114">
        <v>2000</v>
      </c>
      <c r="F22" s="115">
        <f>'WA Volumes &amp; Revenues'!E27</f>
        <v>0</v>
      </c>
      <c r="G22" s="115">
        <f>'WA Volumes &amp; Revenues'!H27</f>
        <v>0</v>
      </c>
      <c r="H22" s="890">
        <f>'WA Volumes &amp; Revenues'!O27</f>
        <v>250</v>
      </c>
      <c r="I22" s="891">
        <f>'WA Volumes &amp; Revenues'!N27</f>
        <v>250</v>
      </c>
      <c r="J22" s="620">
        <f>'Rates in Detail'!E25</f>
        <v>0.34372999999999987</v>
      </c>
      <c r="K22" s="622">
        <f>'Rates in Detail'!H25</f>
        <v>0</v>
      </c>
      <c r="L22" s="622">
        <f>'Rates in Detail'!F25</f>
        <v>0.26333000000000001</v>
      </c>
      <c r="M22" s="622">
        <f>'Rates in Detail'!I25</f>
        <v>8.7499999999999991E-3</v>
      </c>
      <c r="N22" s="136">
        <f t="shared" si="0"/>
        <v>0.61580999999999997</v>
      </c>
      <c r="O22" s="1306">
        <f>'Rates in Detail'!L25</f>
        <v>1.576E-2</v>
      </c>
      <c r="P22" s="1307">
        <f>'Rates in Detail'!P25</f>
        <v>-3.2200000000000002E-3</v>
      </c>
      <c r="Q22" s="1308">
        <f t="shared" si="1"/>
        <v>0.62834999999999996</v>
      </c>
      <c r="R22" s="1306">
        <f>'Rates in Detail'!S25</f>
        <v>0</v>
      </c>
      <c r="S22" s="1307">
        <f>'Rates in Detail'!T25</f>
        <v>-2.8700000000000002E-3</v>
      </c>
      <c r="T22" s="1307">
        <f>'Rates in Detail'!U25</f>
        <v>1.2999999999999999E-3</v>
      </c>
      <c r="U22" s="1314">
        <f t="shared" si="2"/>
        <v>0.62547999999999992</v>
      </c>
      <c r="V22" s="1306">
        <f>'Rates in Detail'!AC25</f>
        <v>7.1300000000000001E-3</v>
      </c>
      <c r="W22" s="1531">
        <f>'Rates in Detail'!AD25</f>
        <v>-2.7999999999999998E-4</v>
      </c>
      <c r="X22" s="1307">
        <f>'Rates in Detail'!AE25</f>
        <v>0</v>
      </c>
      <c r="Y22" s="1527">
        <f>'Rates in Detail'!AF25</f>
        <v>-2.7699999999999999E-3</v>
      </c>
      <c r="Z22" s="1317">
        <f t="shared" si="3"/>
        <v>0.63112999999999986</v>
      </c>
      <c r="AA22" s="130"/>
    </row>
    <row r="23" spans="2:27" x14ac:dyDescent="0.3">
      <c r="B23" s="109">
        <f t="shared" si="4"/>
        <v>14</v>
      </c>
      <c r="C23" s="110"/>
      <c r="D23" s="110" t="s">
        <v>5</v>
      </c>
      <c r="E23" s="111" t="s">
        <v>72</v>
      </c>
      <c r="F23" s="112">
        <f>'WA Volumes &amp; Revenues'!E28</f>
        <v>0</v>
      </c>
      <c r="G23" s="112"/>
      <c r="H23" s="885"/>
      <c r="I23" s="887"/>
      <c r="J23" s="619">
        <f>'Rates in Detail'!E26</f>
        <v>0.30284999999999984</v>
      </c>
      <c r="K23" s="623">
        <f>'Rates in Detail'!H26</f>
        <v>0</v>
      </c>
      <c r="L23" s="623">
        <f>'Rates in Detail'!F26</f>
        <v>0.26333000000000001</v>
      </c>
      <c r="M23" s="623">
        <f>'Rates in Detail'!I26</f>
        <v>7.8399999999999997E-3</v>
      </c>
      <c r="N23" s="134">
        <f t="shared" si="0"/>
        <v>0.57401999999999986</v>
      </c>
      <c r="O23" s="1305">
        <f>'Rates in Detail'!L26</f>
        <v>1.388E-2</v>
      </c>
      <c r="P23" s="1298">
        <f>'Rates in Detail'!P26</f>
        <v>-2.8400000000000001E-3</v>
      </c>
      <c r="Q23" s="1304">
        <f t="shared" si="1"/>
        <v>0.58505999999999991</v>
      </c>
      <c r="R23" s="1305">
        <f>'Rates in Detail'!S26</f>
        <v>0</v>
      </c>
      <c r="S23" s="1298">
        <f>'Rates in Detail'!T26</f>
        <v>-2.5300000000000001E-3</v>
      </c>
      <c r="T23" s="1298">
        <f>'Rates in Detail'!U26</f>
        <v>1.15E-3</v>
      </c>
      <c r="U23" s="1313">
        <f t="shared" si="2"/>
        <v>0.58252999999999988</v>
      </c>
      <c r="V23" s="1305">
        <f>'Rates in Detail'!AC26</f>
        <v>6.28E-3</v>
      </c>
      <c r="W23" s="1530">
        <f>'Rates in Detail'!AD26</f>
        <v>-2.5000000000000001E-4</v>
      </c>
      <c r="X23" s="1298">
        <f>'Rates in Detail'!AE26</f>
        <v>0</v>
      </c>
      <c r="Y23" s="1526">
        <f>'Rates in Detail'!AF26</f>
        <v>-2.4399999999999999E-3</v>
      </c>
      <c r="Z23" s="1317">
        <f t="shared" si="3"/>
        <v>0.58749999999999991</v>
      </c>
      <c r="AA23" s="130"/>
    </row>
    <row r="24" spans="2:27" x14ac:dyDescent="0.3">
      <c r="B24" s="109">
        <f t="shared" si="4"/>
        <v>15</v>
      </c>
      <c r="C24" s="1287" t="str">
        <f>'WA Volumes &amp; Revenues'!B29</f>
        <v>41C Firm Transpt</v>
      </c>
      <c r="D24" s="1287" t="s">
        <v>4</v>
      </c>
      <c r="E24" s="114">
        <v>2000</v>
      </c>
      <c r="F24" s="115">
        <f>'WA Volumes &amp; Revenues'!E29</f>
        <v>168721</v>
      </c>
      <c r="G24" s="115">
        <f>'WA Volumes &amp; Revenues'!H29</f>
        <v>7.916666666666667</v>
      </c>
      <c r="H24" s="890">
        <f>'WA Volumes &amp; Revenues'!O29</f>
        <v>500</v>
      </c>
      <c r="I24" s="891">
        <f>'WA Volumes &amp; Revenues'!N29</f>
        <v>500</v>
      </c>
      <c r="J24" s="620">
        <f>'Rates in Detail'!E27</f>
        <v>0.34791</v>
      </c>
      <c r="K24" s="622">
        <f>'Rates in Detail'!H27</f>
        <v>0</v>
      </c>
      <c r="L24" s="622">
        <f>'Rates in Detail'!F27</f>
        <v>0</v>
      </c>
      <c r="M24" s="622">
        <f>'Rates in Detail'!I27</f>
        <v>1.5499999999999999E-3</v>
      </c>
      <c r="N24" s="136">
        <f t="shared" si="0"/>
        <v>0.34945999999999999</v>
      </c>
      <c r="O24" s="1306">
        <f>'Rates in Detail'!L27</f>
        <v>2.562E-2</v>
      </c>
      <c r="P24" s="1307">
        <f>'Rates in Detail'!P27</f>
        <v>-4.3499999999999997E-3</v>
      </c>
      <c r="Q24" s="1308">
        <f t="shared" si="1"/>
        <v>0.37072999999999995</v>
      </c>
      <c r="R24" s="1306">
        <f>'Rates in Detail'!S27</f>
        <v>0</v>
      </c>
      <c r="S24" s="1307">
        <f>'Rates in Detail'!T27</f>
        <v>-3.9100000000000003E-3</v>
      </c>
      <c r="T24" s="1307">
        <f>'Rates in Detail'!U27</f>
        <v>1.3799999999999999E-3</v>
      </c>
      <c r="U24" s="1314">
        <f t="shared" si="2"/>
        <v>0.36681999999999992</v>
      </c>
      <c r="V24" s="1306">
        <f>'Rates in Detail'!AC27</f>
        <v>9.7099999999999999E-3</v>
      </c>
      <c r="W24" s="1531">
        <f>'Rates in Detail'!AD27</f>
        <v>-3.8000000000000002E-4</v>
      </c>
      <c r="X24" s="1307">
        <f>'Rates in Detail'!AE27</f>
        <v>0</v>
      </c>
      <c r="Y24" s="1527">
        <f>'Rates in Detail'!AF27</f>
        <v>-3.7799999999999999E-3</v>
      </c>
      <c r="Z24" s="1317">
        <f t="shared" si="3"/>
        <v>0.3748999999999999</v>
      </c>
      <c r="AA24" s="130"/>
    </row>
    <row r="25" spans="2:27" x14ac:dyDescent="0.3">
      <c r="B25" s="109">
        <f t="shared" si="4"/>
        <v>16</v>
      </c>
      <c r="C25" s="110"/>
      <c r="D25" s="110" t="s">
        <v>5</v>
      </c>
      <c r="E25" s="111" t="s">
        <v>72</v>
      </c>
      <c r="F25" s="112">
        <f>'WA Volumes &amp; Revenues'!E30</f>
        <v>272866</v>
      </c>
      <c r="G25" s="112"/>
      <c r="H25" s="885"/>
      <c r="I25" s="887"/>
      <c r="J25" s="619">
        <f>'Rates in Detail'!E28</f>
        <v>0.30653000000000008</v>
      </c>
      <c r="K25" s="623">
        <f>'Rates in Detail'!H28</f>
        <v>0</v>
      </c>
      <c r="L25" s="623">
        <f>'Rates in Detail'!F28</f>
        <v>0</v>
      </c>
      <c r="M25" s="623">
        <f>'Rates in Detail'!I28</f>
        <v>1.3600000000000001E-3</v>
      </c>
      <c r="N25" s="134">
        <f t="shared" si="0"/>
        <v>0.30789000000000011</v>
      </c>
      <c r="O25" s="1305">
        <f>'Rates in Detail'!L28</f>
        <v>2.257E-2</v>
      </c>
      <c r="P25" s="1298">
        <f>'Rates in Detail'!P28</f>
        <v>-3.8300000000000001E-3</v>
      </c>
      <c r="Q25" s="1304">
        <f t="shared" si="1"/>
        <v>0.32663000000000009</v>
      </c>
      <c r="R25" s="1305">
        <f>'Rates in Detail'!S28</f>
        <v>0</v>
      </c>
      <c r="S25" s="1298">
        <f>'Rates in Detail'!T28</f>
        <v>-3.4399999999999999E-3</v>
      </c>
      <c r="T25" s="1298">
        <f>'Rates in Detail'!U28</f>
        <v>1.2099999999999999E-3</v>
      </c>
      <c r="U25" s="1313">
        <f t="shared" si="2"/>
        <v>0.32319000000000009</v>
      </c>
      <c r="V25" s="1305">
        <f>'Rates in Detail'!AC28</f>
        <v>8.5500000000000003E-3</v>
      </c>
      <c r="W25" s="1530">
        <f>'Rates in Detail'!AD28</f>
        <v>-3.4000000000000002E-4</v>
      </c>
      <c r="X25" s="1298">
        <f>'Rates in Detail'!AE28</f>
        <v>0</v>
      </c>
      <c r="Y25" s="1526">
        <f>'Rates in Detail'!AF28</f>
        <v>-3.3300000000000001E-3</v>
      </c>
      <c r="Z25" s="1317">
        <f t="shared" si="3"/>
        <v>0.33030000000000009</v>
      </c>
      <c r="AA25" s="130"/>
    </row>
    <row r="26" spans="2:27" x14ac:dyDescent="0.3">
      <c r="B26" s="109">
        <f t="shared" si="4"/>
        <v>17</v>
      </c>
      <c r="C26" s="1287" t="str">
        <f>'WA Volumes &amp; Revenues'!B31</f>
        <v>41I Firm Transpt</v>
      </c>
      <c r="D26" s="1287" t="s">
        <v>4</v>
      </c>
      <c r="E26" s="114">
        <v>2000</v>
      </c>
      <c r="F26" s="115">
        <f>'WA Volumes &amp; Revenues'!E31</f>
        <v>0</v>
      </c>
      <c r="G26" s="115">
        <f>'WA Volumes &amp; Revenues'!H31</f>
        <v>0</v>
      </c>
      <c r="H26" s="890">
        <f>'WA Volumes &amp; Revenues'!O31</f>
        <v>500</v>
      </c>
      <c r="I26" s="891">
        <f>'WA Volumes &amp; Revenues'!N31</f>
        <v>500</v>
      </c>
      <c r="J26" s="620">
        <f>'Rates in Detail'!E29</f>
        <v>0.34791</v>
      </c>
      <c r="K26" s="622">
        <f>'Rates in Detail'!H29</f>
        <v>0</v>
      </c>
      <c r="L26" s="622">
        <f>'Rates in Detail'!F29</f>
        <v>0</v>
      </c>
      <c r="M26" s="622">
        <f>'Rates in Detail'!I29</f>
        <v>1.5499999999999999E-3</v>
      </c>
      <c r="N26" s="136">
        <f t="shared" si="0"/>
        <v>0.34945999999999999</v>
      </c>
      <c r="O26" s="1306">
        <f>'Rates in Detail'!L29</f>
        <v>1.5949999999999999E-2</v>
      </c>
      <c r="P26" s="1307">
        <f>'Rates in Detail'!P29</f>
        <v>-3.2599999999999999E-3</v>
      </c>
      <c r="Q26" s="1308">
        <f t="shared" si="1"/>
        <v>0.36215000000000003</v>
      </c>
      <c r="R26" s="1306">
        <f>'Rates in Detail'!S29</f>
        <v>0</v>
      </c>
      <c r="S26" s="1307">
        <f>'Rates in Detail'!T29</f>
        <v>-2.8999999999999998E-3</v>
      </c>
      <c r="T26" s="1307">
        <f>'Rates in Detail'!U29</f>
        <v>1.32E-3</v>
      </c>
      <c r="U26" s="1314">
        <f t="shared" si="2"/>
        <v>0.35925000000000001</v>
      </c>
      <c r="V26" s="1306">
        <f>'Rates in Detail'!AC29</f>
        <v>7.2100000000000003E-3</v>
      </c>
      <c r="W26" s="1531">
        <f>'Rates in Detail'!AD29</f>
        <v>-2.9E-4</v>
      </c>
      <c r="X26" s="1307">
        <f>'Rates in Detail'!AE29</f>
        <v>0</v>
      </c>
      <c r="Y26" s="1527">
        <f>'Rates in Detail'!AF29</f>
        <v>-2.81E-3</v>
      </c>
      <c r="Z26" s="1317">
        <f t="shared" si="3"/>
        <v>0.36494000000000004</v>
      </c>
      <c r="AA26" s="130"/>
    </row>
    <row r="27" spans="2:27" x14ac:dyDescent="0.3">
      <c r="B27" s="109">
        <f t="shared" si="4"/>
        <v>18</v>
      </c>
      <c r="C27" s="110"/>
      <c r="D27" s="110" t="s">
        <v>5</v>
      </c>
      <c r="E27" s="111" t="s">
        <v>72</v>
      </c>
      <c r="F27" s="112">
        <f>'WA Volumes &amp; Revenues'!E32</f>
        <v>0</v>
      </c>
      <c r="G27" s="112"/>
      <c r="H27" s="885"/>
      <c r="I27" s="887"/>
      <c r="J27" s="619">
        <f>'Rates in Detail'!E30</f>
        <v>0.30653000000000008</v>
      </c>
      <c r="K27" s="623">
        <f>'Rates in Detail'!H30</f>
        <v>0</v>
      </c>
      <c r="L27" s="623">
        <f>'Rates in Detail'!F30</f>
        <v>0</v>
      </c>
      <c r="M27" s="623">
        <f>'Rates in Detail'!I30</f>
        <v>1.3600000000000001E-3</v>
      </c>
      <c r="N27" s="134">
        <f t="shared" si="0"/>
        <v>0.30789000000000011</v>
      </c>
      <c r="O27" s="1305">
        <f>'Rates in Detail'!L30</f>
        <v>1.405E-2</v>
      </c>
      <c r="P27" s="1298">
        <f>'Rates in Detail'!P30</f>
        <v>-2.8700000000000002E-3</v>
      </c>
      <c r="Q27" s="1304">
        <f t="shared" si="1"/>
        <v>0.31907000000000013</v>
      </c>
      <c r="R27" s="1305">
        <f>'Rates in Detail'!S30</f>
        <v>0</v>
      </c>
      <c r="S27" s="1298">
        <f>'Rates in Detail'!T30</f>
        <v>-2.5600000000000002E-3</v>
      </c>
      <c r="T27" s="1298">
        <f>'Rates in Detail'!U30</f>
        <v>1.16E-3</v>
      </c>
      <c r="U27" s="1313">
        <f t="shared" si="2"/>
        <v>0.31651000000000012</v>
      </c>
      <c r="V27" s="1305">
        <f>'Rates in Detail'!AC30</f>
        <v>6.3499999999999997E-3</v>
      </c>
      <c r="W27" s="1530">
        <f>'Rates in Detail'!AD30</f>
        <v>-2.5000000000000001E-4</v>
      </c>
      <c r="X27" s="1298">
        <f>'Rates in Detail'!AE30</f>
        <v>0</v>
      </c>
      <c r="Y27" s="1526">
        <f>'Rates in Detail'!AF30</f>
        <v>-2.47E-3</v>
      </c>
      <c r="Z27" s="1317">
        <f t="shared" si="3"/>
        <v>0.32154000000000021</v>
      </c>
      <c r="AA27" s="130"/>
    </row>
    <row r="28" spans="2:27" x14ac:dyDescent="0.3">
      <c r="B28" s="109">
        <f t="shared" si="4"/>
        <v>19</v>
      </c>
      <c r="C28" s="1287" t="str">
        <f>'WA Volumes &amp; Revenues'!B33</f>
        <v>42C Firm Sales</v>
      </c>
      <c r="D28" s="1287" t="s">
        <v>4</v>
      </c>
      <c r="E28" s="114">
        <v>10000</v>
      </c>
      <c r="F28" s="115">
        <f>'WA Volumes &amp; Revenues'!E33</f>
        <v>350769.66174469434</v>
      </c>
      <c r="G28" s="115">
        <f>'WA Volumes &amp; Revenues'!H33</f>
        <v>5</v>
      </c>
      <c r="H28" s="890">
        <f>'WA Volumes &amp; Revenues'!O33</f>
        <v>1300</v>
      </c>
      <c r="I28" s="891">
        <f>'WA Volumes &amp; Revenues'!N33</f>
        <v>1300</v>
      </c>
      <c r="J28" s="620">
        <f>'Rates in Detail'!E31</f>
        <v>0.15245999999999996</v>
      </c>
      <c r="K28" s="622">
        <f>'Rates in Detail'!H31</f>
        <v>0</v>
      </c>
      <c r="L28" s="622">
        <f>'Rates in Detail'!F31</f>
        <v>0.26333000000000001</v>
      </c>
      <c r="M28" s="622">
        <f>'Rates in Detail'!I31</f>
        <v>1.9560000000000001E-2</v>
      </c>
      <c r="N28" s="136">
        <f t="shared" si="0"/>
        <v>0.43535000000000001</v>
      </c>
      <c r="O28" s="1306">
        <f>'Rates in Detail'!L31</f>
        <v>3.7769999999999998E-2</v>
      </c>
      <c r="P28" s="1307">
        <f>'Rates in Detail'!P31</f>
        <v>-3.0899999999999999E-3</v>
      </c>
      <c r="Q28" s="1308">
        <f t="shared" si="1"/>
        <v>0.47003</v>
      </c>
      <c r="R28" s="1306">
        <f>'Rates in Detail'!S31</f>
        <v>-5.5300000000000002E-3</v>
      </c>
      <c r="S28" s="1307">
        <f>'Rates in Detail'!T31</f>
        <v>-2.9399999999999999E-3</v>
      </c>
      <c r="T28" s="1307">
        <f>'Rates in Detail'!U31</f>
        <v>1.0399999999999999E-3</v>
      </c>
      <c r="U28" s="1314">
        <f t="shared" si="2"/>
        <v>0.46156000000000003</v>
      </c>
      <c r="V28" s="1306">
        <f>'Rates in Detail'!AC31</f>
        <v>2.095E-2</v>
      </c>
      <c r="W28" s="1531">
        <f>'Rates in Detail'!AD31</f>
        <v>-2.9999999999999997E-4</v>
      </c>
      <c r="X28" s="1307">
        <f>'Rates in Detail'!AE31</f>
        <v>-5.5300000000000002E-3</v>
      </c>
      <c r="Y28" s="1527">
        <f>'Rates in Detail'!AF31</f>
        <v>-2.9399999999999999E-3</v>
      </c>
      <c r="Z28" s="1317">
        <f t="shared" si="3"/>
        <v>0.48117000000000004</v>
      </c>
      <c r="AA28" s="130"/>
    </row>
    <row r="29" spans="2:27" x14ac:dyDescent="0.3">
      <c r="B29" s="109">
        <f t="shared" si="4"/>
        <v>20</v>
      </c>
      <c r="C29" s="1287"/>
      <c r="D29" s="1287" t="s">
        <v>5</v>
      </c>
      <c r="E29" s="114">
        <v>20000</v>
      </c>
      <c r="F29" s="115">
        <f>'WA Volumes &amp; Revenues'!E34</f>
        <v>303088.75426472601</v>
      </c>
      <c r="G29" s="115"/>
      <c r="H29" s="890"/>
      <c r="I29" s="891"/>
      <c r="J29" s="620">
        <f>'Rates in Detail'!E32</f>
        <v>0.1364699999999997</v>
      </c>
      <c r="K29" s="622">
        <f>'Rates in Detail'!H32</f>
        <v>0</v>
      </c>
      <c r="L29" s="622">
        <f>'Rates in Detail'!F32</f>
        <v>0.26333000000000001</v>
      </c>
      <c r="M29" s="622">
        <f>'Rates in Detail'!I32</f>
        <v>1.6539999999999999E-2</v>
      </c>
      <c r="N29" s="136">
        <f t="shared" si="0"/>
        <v>0.41633999999999971</v>
      </c>
      <c r="O29" s="1306">
        <f>'Rates in Detail'!L32</f>
        <v>3.381E-2</v>
      </c>
      <c r="P29" s="1307">
        <f>'Rates in Detail'!P32</f>
        <v>-2.7699999999999999E-3</v>
      </c>
      <c r="Q29" s="1308">
        <f t="shared" si="1"/>
        <v>0.44737999999999972</v>
      </c>
      <c r="R29" s="1306">
        <f>'Rates in Detail'!S32</f>
        <v>-4.9500000000000004E-3</v>
      </c>
      <c r="S29" s="1307">
        <f>'Rates in Detail'!T32</f>
        <v>-2.63E-3</v>
      </c>
      <c r="T29" s="1307">
        <f>'Rates in Detail'!U32</f>
        <v>9.3000000000000005E-4</v>
      </c>
      <c r="U29" s="1314">
        <f t="shared" si="2"/>
        <v>0.43979999999999969</v>
      </c>
      <c r="V29" s="1306">
        <f>'Rates in Detail'!AC32</f>
        <v>1.8749999999999999E-2</v>
      </c>
      <c r="W29" s="1531">
        <f>'Rates in Detail'!AD32</f>
        <v>-2.7E-4</v>
      </c>
      <c r="X29" s="1307">
        <f>'Rates in Detail'!AE32</f>
        <v>-4.9500000000000004E-3</v>
      </c>
      <c r="Y29" s="1527">
        <f>'Rates in Detail'!AF32</f>
        <v>-2.64E-3</v>
      </c>
      <c r="Z29" s="1317">
        <f t="shared" si="3"/>
        <v>0.45733999999999969</v>
      </c>
      <c r="AA29" s="130"/>
    </row>
    <row r="30" spans="2:27" x14ac:dyDescent="0.3">
      <c r="B30" s="109">
        <f t="shared" si="4"/>
        <v>21</v>
      </c>
      <c r="C30" s="1287"/>
      <c r="D30" s="1287" t="s">
        <v>6</v>
      </c>
      <c r="E30" s="114">
        <v>20000</v>
      </c>
      <c r="F30" s="115">
        <f>'WA Volumes &amp; Revenues'!E35</f>
        <v>59441.942130257296</v>
      </c>
      <c r="G30" s="115"/>
      <c r="H30" s="890"/>
      <c r="I30" s="891"/>
      <c r="J30" s="620">
        <f>'Rates in Detail'!E33</f>
        <v>0.1046699999999999</v>
      </c>
      <c r="K30" s="622">
        <f>'Rates in Detail'!H33</f>
        <v>0</v>
      </c>
      <c r="L30" s="622">
        <f>'Rates in Detail'!F33</f>
        <v>0.26333000000000001</v>
      </c>
      <c r="M30" s="622">
        <f>'Rates in Detail'!I33</f>
        <v>1.052E-2</v>
      </c>
      <c r="N30" s="136">
        <f t="shared" si="0"/>
        <v>0.37851999999999986</v>
      </c>
      <c r="O30" s="1306">
        <f>'Rates in Detail'!L33</f>
        <v>2.5930000000000002E-2</v>
      </c>
      <c r="P30" s="1307">
        <f>'Rates in Detail'!P33</f>
        <v>-2.1199999999999999E-3</v>
      </c>
      <c r="Q30" s="1308">
        <f t="shared" si="1"/>
        <v>0.40232999999999985</v>
      </c>
      <c r="R30" s="1306">
        <f>'Rates in Detail'!S33</f>
        <v>-3.8E-3</v>
      </c>
      <c r="S30" s="1307">
        <f>'Rates in Detail'!T33</f>
        <v>-2.0200000000000001E-3</v>
      </c>
      <c r="T30" s="1307">
        <f>'Rates in Detail'!U33</f>
        <v>7.1000000000000002E-4</v>
      </c>
      <c r="U30" s="1314">
        <f t="shared" si="2"/>
        <v>0.39650999999999981</v>
      </c>
      <c r="V30" s="1306">
        <f>'Rates in Detail'!AC33</f>
        <v>1.438E-2</v>
      </c>
      <c r="W30" s="1531">
        <f>'Rates in Detail'!AD33</f>
        <v>-2.1000000000000001E-4</v>
      </c>
      <c r="X30" s="1307">
        <f>'Rates in Detail'!AE33</f>
        <v>-3.8E-3</v>
      </c>
      <c r="Y30" s="1527">
        <f>'Rates in Detail'!AF33</f>
        <v>-2.0200000000000001E-3</v>
      </c>
      <c r="Z30" s="1317">
        <f t="shared" si="3"/>
        <v>0.40996999999999978</v>
      </c>
      <c r="AA30" s="130"/>
    </row>
    <row r="31" spans="2:27" x14ac:dyDescent="0.3">
      <c r="B31" s="109">
        <f t="shared" si="4"/>
        <v>22</v>
      </c>
      <c r="C31" s="1287"/>
      <c r="D31" s="1287" t="s">
        <v>7</v>
      </c>
      <c r="E31" s="114">
        <v>100000</v>
      </c>
      <c r="F31" s="115">
        <f>'WA Volumes &amp; Revenues'!E36</f>
        <v>3614.6071898605187</v>
      </c>
      <c r="G31" s="115"/>
      <c r="H31" s="890"/>
      <c r="I31" s="891"/>
      <c r="J31" s="620">
        <f>'Rates in Detail'!E34</f>
        <v>8.3729999999999999E-2</v>
      </c>
      <c r="K31" s="622">
        <f>'Rates in Detail'!H34</f>
        <v>0</v>
      </c>
      <c r="L31" s="622">
        <f>'Rates in Detail'!F34</f>
        <v>0.26333000000000001</v>
      </c>
      <c r="M31" s="622">
        <f>'Rates in Detail'!I34</f>
        <v>6.550000000000002E-3</v>
      </c>
      <c r="N31" s="136">
        <f t="shared" si="0"/>
        <v>0.35361000000000004</v>
      </c>
      <c r="O31" s="1306">
        <f>'Rates in Detail'!L34</f>
        <v>2.0740000000000001E-2</v>
      </c>
      <c r="P31" s="1307">
        <f>'Rates in Detail'!P34</f>
        <v>-1.6999999999999999E-3</v>
      </c>
      <c r="Q31" s="1308">
        <f t="shared" si="1"/>
        <v>0.37265000000000004</v>
      </c>
      <c r="R31" s="1306">
        <f>'Rates in Detail'!S34</f>
        <v>-3.0400000000000002E-3</v>
      </c>
      <c r="S31" s="1307">
        <f>'Rates in Detail'!T34</f>
        <v>-1.6100000000000001E-3</v>
      </c>
      <c r="T31" s="1307">
        <f>'Rates in Detail'!U34</f>
        <v>5.6999999999999998E-4</v>
      </c>
      <c r="U31" s="1314">
        <f t="shared" si="2"/>
        <v>0.36800000000000005</v>
      </c>
      <c r="V31" s="1306">
        <f>'Rates in Detail'!AC34</f>
        <v>1.1509999999999999E-2</v>
      </c>
      <c r="W31" s="1531">
        <f>'Rates in Detail'!AD34</f>
        <v>-1.6000000000000001E-4</v>
      </c>
      <c r="X31" s="1307">
        <f>'Rates in Detail'!AE34</f>
        <v>-3.0400000000000002E-3</v>
      </c>
      <c r="Y31" s="1527">
        <f>'Rates in Detail'!AF34</f>
        <v>-1.6199999999999999E-3</v>
      </c>
      <c r="Z31" s="1317">
        <f t="shared" si="3"/>
        <v>0.37877000000000005</v>
      </c>
      <c r="AA31" s="130"/>
    </row>
    <row r="32" spans="2:27" x14ac:dyDescent="0.3">
      <c r="B32" s="109">
        <f t="shared" si="4"/>
        <v>23</v>
      </c>
      <c r="C32" s="1287"/>
      <c r="D32" s="1287" t="s">
        <v>8</v>
      </c>
      <c r="E32" s="114">
        <v>600000</v>
      </c>
      <c r="F32" s="115">
        <f>'WA Volumes &amp; Revenues'!E37</f>
        <v>0</v>
      </c>
      <c r="G32" s="115"/>
      <c r="H32" s="890"/>
      <c r="I32" s="891"/>
      <c r="J32" s="620">
        <f>'Rates in Detail'!E35</f>
        <v>5.5809999999999992E-2</v>
      </c>
      <c r="K32" s="622">
        <f>'Rates in Detail'!H35</f>
        <v>0</v>
      </c>
      <c r="L32" s="622">
        <f>'Rates in Detail'!F35</f>
        <v>0.26333000000000001</v>
      </c>
      <c r="M32" s="622">
        <f>'Rates in Detail'!I35</f>
        <v>1.239999999999998E-3</v>
      </c>
      <c r="N32" s="136">
        <f t="shared" si="0"/>
        <v>0.32038</v>
      </c>
      <c r="O32" s="1306">
        <f>'Rates in Detail'!L35</f>
        <v>1.383E-2</v>
      </c>
      <c r="P32" s="1307">
        <f>'Rates in Detail'!P35</f>
        <v>-1.1299999999999999E-3</v>
      </c>
      <c r="Q32" s="1308">
        <f t="shared" si="1"/>
        <v>0.33307999999999999</v>
      </c>
      <c r="R32" s="1306">
        <f>'Rates in Detail'!S35</f>
        <v>-2.0200000000000001E-3</v>
      </c>
      <c r="S32" s="1307">
        <f>'Rates in Detail'!T35</f>
        <v>-1.08E-3</v>
      </c>
      <c r="T32" s="1307">
        <f>'Rates in Detail'!U35</f>
        <v>3.8000000000000002E-4</v>
      </c>
      <c r="U32" s="1314">
        <f t="shared" si="2"/>
        <v>0.32997999999999994</v>
      </c>
      <c r="V32" s="1306">
        <f>'Rates in Detail'!AC35</f>
        <v>7.6699999999999997E-3</v>
      </c>
      <c r="W32" s="1531">
        <f>'Rates in Detail'!AD35</f>
        <v>-1.1E-4</v>
      </c>
      <c r="X32" s="1307">
        <f>'Rates in Detail'!AE35</f>
        <v>-2.0200000000000001E-3</v>
      </c>
      <c r="Y32" s="1527">
        <f>'Rates in Detail'!AF35</f>
        <v>-1.08E-3</v>
      </c>
      <c r="Z32" s="1317">
        <f t="shared" si="3"/>
        <v>0.3371599999999999</v>
      </c>
      <c r="AA32" s="130"/>
    </row>
    <row r="33" spans="2:27" x14ac:dyDescent="0.3">
      <c r="B33" s="109">
        <f t="shared" si="4"/>
        <v>24</v>
      </c>
      <c r="C33" s="110"/>
      <c r="D33" s="110" t="s">
        <v>9</v>
      </c>
      <c r="E33" s="111" t="s">
        <v>72</v>
      </c>
      <c r="F33" s="112">
        <f>'WA Volumes &amp; Revenues'!E38</f>
        <v>0</v>
      </c>
      <c r="G33" s="112"/>
      <c r="H33" s="885"/>
      <c r="I33" s="887"/>
      <c r="J33" s="619">
        <f>'Rates in Detail'!E36</f>
        <v>2.0920000000000029E-2</v>
      </c>
      <c r="K33" s="623">
        <f>'Rates in Detail'!H36</f>
        <v>0</v>
      </c>
      <c r="L33" s="623">
        <f>'Rates in Detail'!F36</f>
        <v>0.26333000000000001</v>
      </c>
      <c r="M33" s="623">
        <f>'Rates in Detail'!I36</f>
        <v>-5.3500000000000006E-3</v>
      </c>
      <c r="N33" s="134">
        <f t="shared" si="0"/>
        <v>0.27890000000000004</v>
      </c>
      <c r="O33" s="1305">
        <f>'Rates in Detail'!L36</f>
        <v>5.1799999999999997E-3</v>
      </c>
      <c r="P33" s="1298">
        <f>'Rates in Detail'!P36</f>
        <v>-4.2000000000000002E-4</v>
      </c>
      <c r="Q33" s="1304">
        <f t="shared" si="1"/>
        <v>0.28366000000000008</v>
      </c>
      <c r="R33" s="1305">
        <f>'Rates in Detail'!S36</f>
        <v>-7.6000000000000004E-4</v>
      </c>
      <c r="S33" s="1298">
        <f>'Rates in Detail'!T36</f>
        <v>-4.0000000000000002E-4</v>
      </c>
      <c r="T33" s="1298">
        <f>'Rates in Detail'!U36</f>
        <v>1.3999999999999999E-4</v>
      </c>
      <c r="U33" s="1313">
        <f t="shared" si="2"/>
        <v>0.28250000000000008</v>
      </c>
      <c r="V33" s="1305">
        <f>'Rates in Detail'!AC36</f>
        <v>2.8800000000000002E-3</v>
      </c>
      <c r="W33" s="1530">
        <f>'Rates in Detail'!AD36</f>
        <v>-4.0000000000000003E-5</v>
      </c>
      <c r="X33" s="1298">
        <f>'Rates in Detail'!AE36</f>
        <v>-7.6000000000000004E-4</v>
      </c>
      <c r="Y33" s="1526">
        <f>'Rates in Detail'!AF36</f>
        <v>-4.0000000000000002E-4</v>
      </c>
      <c r="Z33" s="1317">
        <f t="shared" si="3"/>
        <v>0.28520000000000012</v>
      </c>
      <c r="AA33" s="130"/>
    </row>
    <row r="34" spans="2:27" x14ac:dyDescent="0.3">
      <c r="B34" s="109">
        <f t="shared" si="4"/>
        <v>25</v>
      </c>
      <c r="C34" s="1287" t="str">
        <f>'WA Volumes &amp; Revenues'!B39</f>
        <v>42I Firm Sales</v>
      </c>
      <c r="D34" s="1287" t="s">
        <v>4</v>
      </c>
      <c r="E34" s="114">
        <v>10000</v>
      </c>
      <c r="F34" s="115">
        <f>'WA Volumes &amp; Revenues'!E39</f>
        <v>1093724.2000000002</v>
      </c>
      <c r="G34" s="115">
        <f>'WA Volumes &amp; Revenues'!H39</f>
        <v>11.916666666666666</v>
      </c>
      <c r="H34" s="890">
        <f>'WA Volumes &amp; Revenues'!O39</f>
        <v>1300</v>
      </c>
      <c r="I34" s="891">
        <f>'WA Volumes &amp; Revenues'!N39</f>
        <v>1300</v>
      </c>
      <c r="J34" s="620">
        <f>'Rates in Detail'!E37</f>
        <v>0.14721000000000001</v>
      </c>
      <c r="K34" s="622">
        <f>'Rates in Detail'!H37</f>
        <v>0</v>
      </c>
      <c r="L34" s="622">
        <f>'Rates in Detail'!F37</f>
        <v>0.26333000000000001</v>
      </c>
      <c r="M34" s="622">
        <f>'Rates in Detail'!I37</f>
        <v>-4.6100000000000012E-3</v>
      </c>
      <c r="N34" s="136">
        <f t="shared" si="0"/>
        <v>0.40593000000000001</v>
      </c>
      <c r="O34" s="1306">
        <f>'Rates in Detail'!L37</f>
        <v>1.6219999999999998E-2</v>
      </c>
      <c r="P34" s="1307">
        <f>'Rates in Detail'!P37</f>
        <v>-2.7499999999999998E-3</v>
      </c>
      <c r="Q34" s="1308">
        <f t="shared" si="1"/>
        <v>0.41940000000000005</v>
      </c>
      <c r="R34" s="1306">
        <f>'Rates in Detail'!S37</f>
        <v>0</v>
      </c>
      <c r="S34" s="1307">
        <f>'Rates in Detail'!T37</f>
        <v>-2.47E-3</v>
      </c>
      <c r="T34" s="1307">
        <f>'Rates in Detail'!U37</f>
        <v>8.7000000000000001E-4</v>
      </c>
      <c r="U34" s="1314">
        <f t="shared" si="2"/>
        <v>0.41693000000000002</v>
      </c>
      <c r="V34" s="1306">
        <f>'Rates in Detail'!AC37</f>
        <v>6.1399999999999996E-3</v>
      </c>
      <c r="W34" s="1531">
        <f>'Rates in Detail'!AD37</f>
        <v>-2.4000000000000001E-4</v>
      </c>
      <c r="X34" s="1307">
        <f>'Rates in Detail'!AE37</f>
        <v>0</v>
      </c>
      <c r="Y34" s="1527">
        <f>'Rates in Detail'!AF37</f>
        <v>-2.3900000000000002E-3</v>
      </c>
      <c r="Z34" s="1317">
        <f t="shared" si="3"/>
        <v>0.42203999999999997</v>
      </c>
      <c r="AA34" s="130"/>
    </row>
    <row r="35" spans="2:27" x14ac:dyDescent="0.3">
      <c r="B35" s="109">
        <f t="shared" si="4"/>
        <v>26</v>
      </c>
      <c r="C35" s="1287"/>
      <c r="D35" s="1287" t="s">
        <v>5</v>
      </c>
      <c r="E35" s="114">
        <v>20000</v>
      </c>
      <c r="F35" s="115">
        <f>'WA Volumes &amp; Revenues'!E40</f>
        <v>655939.80000000005</v>
      </c>
      <c r="G35" s="115"/>
      <c r="H35" s="890"/>
      <c r="I35" s="891"/>
      <c r="J35" s="620">
        <f>'Rates in Detail'!E38</f>
        <v>0.13177</v>
      </c>
      <c r="K35" s="622">
        <f>'Rates in Detail'!H38</f>
        <v>0</v>
      </c>
      <c r="L35" s="622">
        <f>'Rates in Detail'!F38</f>
        <v>0.26333000000000001</v>
      </c>
      <c r="M35" s="622">
        <f>'Rates in Detail'!I38</f>
        <v>-5.1100000000000008E-3</v>
      </c>
      <c r="N35" s="136">
        <f t="shared" si="0"/>
        <v>0.38999</v>
      </c>
      <c r="O35" s="1306">
        <f>'Rates in Detail'!L38</f>
        <v>1.452E-2</v>
      </c>
      <c r="P35" s="1307">
        <f>'Rates in Detail'!P38</f>
        <v>-2.4599999999999999E-3</v>
      </c>
      <c r="Q35" s="1308">
        <f t="shared" si="1"/>
        <v>0.40204999999999996</v>
      </c>
      <c r="R35" s="1306">
        <f>'Rates in Detail'!S38</f>
        <v>0</v>
      </c>
      <c r="S35" s="1307">
        <f>'Rates in Detail'!T38</f>
        <v>-2.2200000000000002E-3</v>
      </c>
      <c r="T35" s="1307">
        <f>'Rates in Detail'!U38</f>
        <v>7.7999999999999999E-4</v>
      </c>
      <c r="U35" s="1314">
        <f t="shared" si="2"/>
        <v>0.39982999999999996</v>
      </c>
      <c r="V35" s="1306">
        <f>'Rates in Detail'!AC38</f>
        <v>5.4999999999999997E-3</v>
      </c>
      <c r="W35" s="1531">
        <f>'Rates in Detail'!AD38</f>
        <v>-2.2000000000000001E-4</v>
      </c>
      <c r="X35" s="1307">
        <f>'Rates in Detail'!AE38</f>
        <v>0</v>
      </c>
      <c r="Y35" s="1527">
        <f>'Rates in Detail'!AF38</f>
        <v>-2.14E-3</v>
      </c>
      <c r="Z35" s="1317">
        <f t="shared" si="3"/>
        <v>0.40440999999999999</v>
      </c>
      <c r="AA35" s="130"/>
    </row>
    <row r="36" spans="2:27" x14ac:dyDescent="0.3">
      <c r="B36" s="109">
        <f t="shared" si="4"/>
        <v>27</v>
      </c>
      <c r="C36" s="1287"/>
      <c r="D36" s="1287" t="s">
        <v>6</v>
      </c>
      <c r="E36" s="114">
        <v>20000</v>
      </c>
      <c r="F36" s="115">
        <f>'WA Volumes &amp; Revenues'!E41</f>
        <v>81241.3</v>
      </c>
      <c r="G36" s="115"/>
      <c r="H36" s="890"/>
      <c r="I36" s="891"/>
      <c r="J36" s="620">
        <f>'Rates in Detail'!E39</f>
        <v>0.10104999999999985</v>
      </c>
      <c r="K36" s="622">
        <f>'Rates in Detail'!H39</f>
        <v>0</v>
      </c>
      <c r="L36" s="622">
        <f>'Rates in Detail'!F39</f>
        <v>0.26333000000000001</v>
      </c>
      <c r="M36" s="622">
        <f>'Rates in Detail'!I39</f>
        <v>-6.0700000000000007E-3</v>
      </c>
      <c r="N36" s="136">
        <f t="shared" si="0"/>
        <v>0.35830999999999985</v>
      </c>
      <c r="O36" s="1306">
        <f>'Rates in Detail'!L39</f>
        <v>1.1129999999999999E-2</v>
      </c>
      <c r="P36" s="1307">
        <f>'Rates in Detail'!P39</f>
        <v>-1.89E-3</v>
      </c>
      <c r="Q36" s="1308">
        <f t="shared" si="1"/>
        <v>0.36754999999999982</v>
      </c>
      <c r="R36" s="1306">
        <f>'Rates in Detail'!S39</f>
        <v>0</v>
      </c>
      <c r="S36" s="1307">
        <f>'Rates in Detail'!T39</f>
        <v>-1.6999999999999999E-3</v>
      </c>
      <c r="T36" s="1307">
        <f>'Rates in Detail'!U39</f>
        <v>5.9999999999999995E-4</v>
      </c>
      <c r="U36" s="1314">
        <f t="shared" si="2"/>
        <v>0.36584999999999984</v>
      </c>
      <c r="V36" s="1306">
        <f>'Rates in Detail'!AC39</f>
        <v>4.2199999999999998E-3</v>
      </c>
      <c r="W36" s="1531">
        <f>'Rates in Detail'!AD39</f>
        <v>-1.7000000000000001E-4</v>
      </c>
      <c r="X36" s="1307">
        <f>'Rates in Detail'!AE39</f>
        <v>0</v>
      </c>
      <c r="Y36" s="1527">
        <f>'Rates in Detail'!AF39</f>
        <v>-1.64E-3</v>
      </c>
      <c r="Z36" s="1317">
        <f t="shared" si="3"/>
        <v>0.36935999999999986</v>
      </c>
      <c r="AA36" s="130"/>
    </row>
    <row r="37" spans="2:27" x14ac:dyDescent="0.3">
      <c r="B37" s="109">
        <f t="shared" si="4"/>
        <v>28</v>
      </c>
      <c r="C37" s="1287"/>
      <c r="D37" s="1287" t="s">
        <v>7</v>
      </c>
      <c r="E37" s="114">
        <v>100000</v>
      </c>
      <c r="F37" s="115">
        <f>'WA Volumes &amp; Revenues'!E42</f>
        <v>9320.1</v>
      </c>
      <c r="G37" s="115"/>
      <c r="H37" s="890"/>
      <c r="I37" s="891"/>
      <c r="J37" s="620">
        <f>'Rates in Detail'!E40</f>
        <v>8.0839999999999995E-2</v>
      </c>
      <c r="K37" s="622">
        <f>'Rates in Detail'!H40</f>
        <v>0</v>
      </c>
      <c r="L37" s="622">
        <f>'Rates in Detail'!F40</f>
        <v>0.26333000000000001</v>
      </c>
      <c r="M37" s="622">
        <f>'Rates in Detail'!I40</f>
        <v>-6.7300000000000007E-3</v>
      </c>
      <c r="N37" s="136">
        <f t="shared" si="0"/>
        <v>0.33743999999999996</v>
      </c>
      <c r="O37" s="1306">
        <f>'Rates in Detail'!L40</f>
        <v>8.9099999999999995E-3</v>
      </c>
      <c r="P37" s="1307">
        <f>'Rates in Detail'!P40</f>
        <v>-1.5100000000000001E-3</v>
      </c>
      <c r="Q37" s="1308">
        <f t="shared" si="1"/>
        <v>0.34483999999999992</v>
      </c>
      <c r="R37" s="1306">
        <f>'Rates in Detail'!S40</f>
        <v>0</v>
      </c>
      <c r="S37" s="1307">
        <f>'Rates in Detail'!T40</f>
        <v>-1.3600000000000001E-3</v>
      </c>
      <c r="T37" s="1307">
        <f>'Rates in Detail'!U40</f>
        <v>4.8000000000000001E-4</v>
      </c>
      <c r="U37" s="1314">
        <f t="shared" si="2"/>
        <v>0.3434799999999999</v>
      </c>
      <c r="V37" s="1306">
        <f>'Rates in Detail'!AC40</f>
        <v>3.3700000000000002E-3</v>
      </c>
      <c r="W37" s="1531">
        <f>'Rates in Detail'!AD40</f>
        <v>-1.2999999999999999E-4</v>
      </c>
      <c r="X37" s="1307">
        <f>'Rates in Detail'!AE40</f>
        <v>0</v>
      </c>
      <c r="Y37" s="1527">
        <f>'Rates in Detail'!AF40</f>
        <v>-1.31E-3</v>
      </c>
      <c r="Z37" s="1317">
        <f t="shared" si="3"/>
        <v>0.34628999999999988</v>
      </c>
      <c r="AA37" s="130"/>
    </row>
    <row r="38" spans="2:27" x14ac:dyDescent="0.3">
      <c r="B38" s="109">
        <f t="shared" si="4"/>
        <v>29</v>
      </c>
      <c r="C38" s="1287"/>
      <c r="D38" s="1287" t="s">
        <v>8</v>
      </c>
      <c r="E38" s="114">
        <v>600000</v>
      </c>
      <c r="F38" s="115">
        <f>'WA Volumes &amp; Revenues'!E43</f>
        <v>0</v>
      </c>
      <c r="G38" s="115"/>
      <c r="H38" s="890"/>
      <c r="I38" s="891"/>
      <c r="J38" s="620">
        <f>'Rates in Detail'!E41</f>
        <v>5.391E-2</v>
      </c>
      <c r="K38" s="622">
        <f>'Rates in Detail'!H41</f>
        <v>0</v>
      </c>
      <c r="L38" s="622">
        <f>'Rates in Detail'!F41</f>
        <v>0.26333000000000001</v>
      </c>
      <c r="M38" s="622">
        <f>'Rates in Detail'!I41</f>
        <v>-7.5900000000000004E-3</v>
      </c>
      <c r="N38" s="136">
        <f t="shared" si="0"/>
        <v>0.30965000000000004</v>
      </c>
      <c r="O38" s="1306">
        <f>'Rates in Detail'!L41</f>
        <v>5.94E-3</v>
      </c>
      <c r="P38" s="1307">
        <f>'Rates in Detail'!P41</f>
        <v>-1.01E-3</v>
      </c>
      <c r="Q38" s="1308">
        <f t="shared" si="1"/>
        <v>0.31458000000000003</v>
      </c>
      <c r="R38" s="1306">
        <f>'Rates in Detail'!S41</f>
        <v>0</v>
      </c>
      <c r="S38" s="1307">
        <f>'Rates in Detail'!T41</f>
        <v>-9.1E-4</v>
      </c>
      <c r="T38" s="1307">
        <f>'Rates in Detail'!U41</f>
        <v>3.2000000000000003E-4</v>
      </c>
      <c r="U38" s="1314">
        <f t="shared" si="2"/>
        <v>0.31367</v>
      </c>
      <c r="V38" s="1306">
        <f>'Rates in Detail'!AC41</f>
        <v>2.2499999999999998E-3</v>
      </c>
      <c r="W38" s="1531">
        <f>'Rates in Detail'!AD41</f>
        <v>-9.0000000000000006E-5</v>
      </c>
      <c r="X38" s="1307">
        <f>'Rates in Detail'!AE41</f>
        <v>0</v>
      </c>
      <c r="Y38" s="1527">
        <f>'Rates in Detail'!AF41</f>
        <v>-8.8000000000000003E-4</v>
      </c>
      <c r="Z38" s="1317">
        <f t="shared" si="3"/>
        <v>0.31553999999999999</v>
      </c>
      <c r="AA38" s="130"/>
    </row>
    <row r="39" spans="2:27" x14ac:dyDescent="0.3">
      <c r="B39" s="109">
        <f t="shared" si="4"/>
        <v>30</v>
      </c>
      <c r="C39" s="110"/>
      <c r="D39" s="110" t="s">
        <v>9</v>
      </c>
      <c r="E39" s="111" t="s">
        <v>72</v>
      </c>
      <c r="F39" s="112">
        <f>'WA Volumes &amp; Revenues'!E44</f>
        <v>0</v>
      </c>
      <c r="G39" s="112"/>
      <c r="H39" s="885"/>
      <c r="I39" s="887"/>
      <c r="J39" s="619">
        <f>'Rates in Detail'!E42</f>
        <v>2.0199999999999999E-2</v>
      </c>
      <c r="K39" s="623">
        <f>'Rates in Detail'!H42</f>
        <v>0</v>
      </c>
      <c r="L39" s="623">
        <f>'Rates in Detail'!F42</f>
        <v>0.26333000000000001</v>
      </c>
      <c r="M39" s="623">
        <f>'Rates in Detail'!I42</f>
        <v>-8.6700000000000006E-3</v>
      </c>
      <c r="N39" s="134">
        <f t="shared" si="0"/>
        <v>0.27485999999999999</v>
      </c>
      <c r="O39" s="1305">
        <f>'Rates in Detail'!L42</f>
        <v>2.2300000000000002E-3</v>
      </c>
      <c r="P39" s="1298">
        <f>'Rates in Detail'!P42</f>
        <v>-3.8000000000000002E-4</v>
      </c>
      <c r="Q39" s="1304">
        <f t="shared" si="1"/>
        <v>0.27671000000000001</v>
      </c>
      <c r="R39" s="1305">
        <f>'Rates in Detail'!S42</f>
        <v>0</v>
      </c>
      <c r="S39" s="1298">
        <f>'Rates in Detail'!T42</f>
        <v>-3.4000000000000002E-4</v>
      </c>
      <c r="T39" s="1298">
        <f>'Rates in Detail'!U42</f>
        <v>1.2E-4</v>
      </c>
      <c r="U39" s="1313">
        <f t="shared" si="2"/>
        <v>0.27637</v>
      </c>
      <c r="V39" s="1305">
        <f>'Rates in Detail'!AC42</f>
        <v>8.4000000000000003E-4</v>
      </c>
      <c r="W39" s="1530">
        <f>'Rates in Detail'!AD42</f>
        <v>-3.0000000000000001E-5</v>
      </c>
      <c r="X39" s="1298">
        <f>'Rates in Detail'!AE42</f>
        <v>0</v>
      </c>
      <c r="Y39" s="1526">
        <f>'Rates in Detail'!AF42</f>
        <v>-3.3E-4</v>
      </c>
      <c r="Z39" s="1317">
        <f t="shared" si="3"/>
        <v>0.27707000000000004</v>
      </c>
      <c r="AA39" s="130"/>
    </row>
    <row r="40" spans="2:27" x14ac:dyDescent="0.3">
      <c r="B40" s="109">
        <f t="shared" si="4"/>
        <v>31</v>
      </c>
      <c r="C40" s="1287" t="str">
        <f>'WA Volumes &amp; Revenues'!B45</f>
        <v>42C Firm Transpt</v>
      </c>
      <c r="D40" s="1287" t="s">
        <v>4</v>
      </c>
      <c r="E40" s="114">
        <v>10000</v>
      </c>
      <c r="F40" s="115">
        <f>'WA Volumes &amp; Revenues'!E45</f>
        <v>480000</v>
      </c>
      <c r="G40" s="115">
        <f>'WA Volumes &amp; Revenues'!H45</f>
        <v>4</v>
      </c>
      <c r="H40" s="890">
        <f>'WA Volumes &amp; Revenues'!O45</f>
        <v>1550</v>
      </c>
      <c r="I40" s="891">
        <f>'WA Volumes &amp; Revenues'!N45</f>
        <v>1550</v>
      </c>
      <c r="J40" s="620">
        <f>'Rates in Detail'!E43</f>
        <v>0.13791999999999999</v>
      </c>
      <c r="K40" s="622">
        <f>'Rates in Detail'!H43</f>
        <v>0</v>
      </c>
      <c r="L40" s="622">
        <f>'Rates in Detail'!F43</f>
        <v>0</v>
      </c>
      <c r="M40" s="622">
        <f>'Rates in Detail'!I43</f>
        <v>5.9999999999999995E-4</v>
      </c>
      <c r="N40" s="136">
        <f t="shared" si="0"/>
        <v>0.13851999999999998</v>
      </c>
      <c r="O40" s="1306">
        <f>'Rates in Detail'!L43</f>
        <v>1.295E-2</v>
      </c>
      <c r="P40" s="1307">
        <f>'Rates in Detail'!P43</f>
        <v>-1.75E-3</v>
      </c>
      <c r="Q40" s="1308">
        <f t="shared" si="1"/>
        <v>0.14971999999999996</v>
      </c>
      <c r="R40" s="1306">
        <f>'Rates in Detail'!S43</f>
        <v>0</v>
      </c>
      <c r="S40" s="1307">
        <f>'Rates in Detail'!T43</f>
        <v>-1.5900000000000001E-3</v>
      </c>
      <c r="T40" s="1307">
        <f>'Rates in Detail'!U43</f>
        <v>5.5999999999999995E-4</v>
      </c>
      <c r="U40" s="1314">
        <f t="shared" si="2"/>
        <v>0.14812999999999996</v>
      </c>
      <c r="V40" s="1306">
        <f>'Rates in Detail'!AC43</f>
        <v>5.94E-3</v>
      </c>
      <c r="W40" s="1531">
        <f>'Rates in Detail'!AD43</f>
        <v>-1.6000000000000001E-4</v>
      </c>
      <c r="X40" s="1307">
        <f>'Rates in Detail'!AE43</f>
        <v>0</v>
      </c>
      <c r="Y40" s="1527">
        <f>'Rates in Detail'!AF43</f>
        <v>-1.56E-3</v>
      </c>
      <c r="Z40" s="1317">
        <f t="shared" si="3"/>
        <v>0.15337999999999996</v>
      </c>
      <c r="AA40" s="130"/>
    </row>
    <row r="41" spans="2:27" x14ac:dyDescent="0.3">
      <c r="B41" s="109">
        <f t="shared" si="4"/>
        <v>32</v>
      </c>
      <c r="C41" s="1287"/>
      <c r="D41" s="1287" t="s">
        <v>5</v>
      </c>
      <c r="E41" s="114">
        <v>20000</v>
      </c>
      <c r="F41" s="115">
        <f>'WA Volumes &amp; Revenues'!E46</f>
        <v>807846</v>
      </c>
      <c r="G41" s="115"/>
      <c r="H41" s="890"/>
      <c r="I41" s="891"/>
      <c r="J41" s="620">
        <f>'Rates in Detail'!E44</f>
        <v>0.12346999999999998</v>
      </c>
      <c r="K41" s="622">
        <f>'Rates in Detail'!H44</f>
        <v>0</v>
      </c>
      <c r="L41" s="622">
        <f>'Rates in Detail'!F44</f>
        <v>0</v>
      </c>
      <c r="M41" s="622">
        <f>'Rates in Detail'!I44</f>
        <v>5.2999999999999998E-4</v>
      </c>
      <c r="N41" s="136">
        <f t="shared" si="0"/>
        <v>0.12399999999999999</v>
      </c>
      <c r="O41" s="1306">
        <f>'Rates in Detail'!L44</f>
        <v>1.159E-2</v>
      </c>
      <c r="P41" s="1307">
        <f>'Rates in Detail'!P44</f>
        <v>-1.57E-3</v>
      </c>
      <c r="Q41" s="1308">
        <f t="shared" si="1"/>
        <v>0.13402</v>
      </c>
      <c r="R41" s="1306">
        <f>'Rates in Detail'!S44</f>
        <v>0</v>
      </c>
      <c r="S41" s="1307">
        <f>'Rates in Detail'!T44</f>
        <v>-1.4300000000000001E-3</v>
      </c>
      <c r="T41" s="1307">
        <f>'Rates in Detail'!U44</f>
        <v>5.0000000000000001E-4</v>
      </c>
      <c r="U41" s="1314">
        <f t="shared" si="2"/>
        <v>0.13259000000000001</v>
      </c>
      <c r="V41" s="1306">
        <f>'Rates in Detail'!AC44</f>
        <v>5.3099999999999996E-3</v>
      </c>
      <c r="W41" s="1531">
        <f>'Rates in Detail'!AD44</f>
        <v>-1.3999999999999999E-4</v>
      </c>
      <c r="X41" s="1307">
        <f>'Rates in Detail'!AE44</f>
        <v>0</v>
      </c>
      <c r="Y41" s="1527">
        <f>'Rates in Detail'!AF44</f>
        <v>-1.39E-3</v>
      </c>
      <c r="Z41" s="1317">
        <f t="shared" si="3"/>
        <v>0.13730000000000001</v>
      </c>
      <c r="AA41" s="130"/>
    </row>
    <row r="42" spans="2:27" x14ac:dyDescent="0.3">
      <c r="B42" s="109">
        <f t="shared" si="4"/>
        <v>33</v>
      </c>
      <c r="C42" s="1287"/>
      <c r="D42" s="1287" t="s">
        <v>6</v>
      </c>
      <c r="E42" s="114">
        <v>20000</v>
      </c>
      <c r="F42" s="115">
        <f>'WA Volumes &amp; Revenues'!E47</f>
        <v>583779</v>
      </c>
      <c r="G42" s="115"/>
      <c r="H42" s="890"/>
      <c r="I42" s="891"/>
      <c r="J42" s="620">
        <f>'Rates in Detail'!E45</f>
        <v>9.4670000000000004E-2</v>
      </c>
      <c r="K42" s="622">
        <f>'Rates in Detail'!H45</f>
        <v>0</v>
      </c>
      <c r="L42" s="622">
        <f>'Rates in Detail'!F45</f>
        <v>0</v>
      </c>
      <c r="M42" s="622">
        <f>'Rates in Detail'!I45</f>
        <v>4.1000000000000005E-4</v>
      </c>
      <c r="N42" s="136">
        <f t="shared" si="0"/>
        <v>9.5079999999999998E-2</v>
      </c>
      <c r="O42" s="1306">
        <f>'Rates in Detail'!L45</f>
        <v>8.8900000000000003E-3</v>
      </c>
      <c r="P42" s="1307">
        <f>'Rates in Detail'!P45</f>
        <v>-1.1999999999999999E-3</v>
      </c>
      <c r="Q42" s="1308">
        <f t="shared" si="1"/>
        <v>0.10276999999999999</v>
      </c>
      <c r="R42" s="1306">
        <f>'Rates in Detail'!S45</f>
        <v>0</v>
      </c>
      <c r="S42" s="1307">
        <f>'Rates in Detail'!T45</f>
        <v>-1.09E-3</v>
      </c>
      <c r="T42" s="1307">
        <f>'Rates in Detail'!U45</f>
        <v>3.8999999999999999E-4</v>
      </c>
      <c r="U42" s="1314">
        <f t="shared" si="2"/>
        <v>0.10167999999999999</v>
      </c>
      <c r="V42" s="1306">
        <f>'Rates in Detail'!AC45</f>
        <v>4.0699999999999998E-3</v>
      </c>
      <c r="W42" s="1531">
        <f>'Rates in Detail'!AD45</f>
        <v>-1.1E-4</v>
      </c>
      <c r="X42" s="1307">
        <f>'Rates in Detail'!AE45</f>
        <v>0</v>
      </c>
      <c r="Y42" s="1527">
        <f>'Rates in Detail'!AF45</f>
        <v>-1.07E-3</v>
      </c>
      <c r="Z42" s="1317">
        <f t="shared" si="3"/>
        <v>0.10527</v>
      </c>
      <c r="AA42" s="130"/>
    </row>
    <row r="43" spans="2:27" x14ac:dyDescent="0.3">
      <c r="B43" s="109">
        <f t="shared" si="4"/>
        <v>34</v>
      </c>
      <c r="C43" s="1287"/>
      <c r="D43" s="1287" t="s">
        <v>7</v>
      </c>
      <c r="E43" s="114">
        <v>100000</v>
      </c>
      <c r="F43" s="115">
        <f>'WA Volumes &amp; Revenues'!E48</f>
        <v>598933</v>
      </c>
      <c r="G43" s="115"/>
      <c r="H43" s="890"/>
      <c r="I43" s="891"/>
      <c r="J43" s="620">
        <f>'Rates in Detail'!E46</f>
        <v>7.5750000000000012E-2</v>
      </c>
      <c r="K43" s="622">
        <f>'Rates in Detail'!H46</f>
        <v>0</v>
      </c>
      <c r="L43" s="622">
        <f>'Rates in Detail'!F46</f>
        <v>0</v>
      </c>
      <c r="M43" s="622">
        <f>'Rates in Detail'!I46</f>
        <v>3.1999999999999997E-4</v>
      </c>
      <c r="N43" s="136">
        <f t="shared" si="0"/>
        <v>7.6070000000000013E-2</v>
      </c>
      <c r="O43" s="1306">
        <f>'Rates in Detail'!L46</f>
        <v>7.11E-3</v>
      </c>
      <c r="P43" s="1307">
        <f>'Rates in Detail'!P46</f>
        <v>-9.6000000000000002E-4</v>
      </c>
      <c r="Q43" s="1308">
        <f t="shared" si="1"/>
        <v>8.2220000000000015E-2</v>
      </c>
      <c r="R43" s="1306">
        <f>'Rates in Detail'!S46</f>
        <v>0</v>
      </c>
      <c r="S43" s="1307">
        <f>'Rates in Detail'!T46</f>
        <v>-8.8000000000000003E-4</v>
      </c>
      <c r="T43" s="1307">
        <f>'Rates in Detail'!U46</f>
        <v>3.1E-4</v>
      </c>
      <c r="U43" s="1314">
        <f t="shared" si="2"/>
        <v>8.134000000000001E-2</v>
      </c>
      <c r="V43" s="1306">
        <f>'Rates in Detail'!AC46</f>
        <v>3.2599999999999999E-3</v>
      </c>
      <c r="W43" s="1531">
        <f>'Rates in Detail'!AD46</f>
        <v>-9.0000000000000006E-5</v>
      </c>
      <c r="X43" s="1307">
        <f>'Rates in Detail'!AE46</f>
        <v>0</v>
      </c>
      <c r="Y43" s="1527">
        <f>'Rates in Detail'!AF46</f>
        <v>-8.4999999999999995E-4</v>
      </c>
      <c r="Z43" s="1317">
        <f t="shared" si="3"/>
        <v>8.4229999999999999E-2</v>
      </c>
      <c r="AA43" s="130"/>
    </row>
    <row r="44" spans="2:27" x14ac:dyDescent="0.3">
      <c r="B44" s="109">
        <f t="shared" si="4"/>
        <v>35</v>
      </c>
      <c r="C44" s="1287"/>
      <c r="D44" s="1287" t="s">
        <v>8</v>
      </c>
      <c r="E44" s="114">
        <v>600000</v>
      </c>
      <c r="F44" s="115">
        <f>'WA Volumes &amp; Revenues'!E49</f>
        <v>0</v>
      </c>
      <c r="G44" s="115"/>
      <c r="H44" s="890"/>
      <c r="I44" s="891"/>
      <c r="J44" s="620">
        <f>'Rates in Detail'!E47</f>
        <v>5.0500000000000003E-2</v>
      </c>
      <c r="K44" s="622">
        <f>'Rates in Detail'!H47</f>
        <v>0</v>
      </c>
      <c r="L44" s="622">
        <f>'Rates in Detail'!F47</f>
        <v>0</v>
      </c>
      <c r="M44" s="622">
        <f>'Rates in Detail'!I47</f>
        <v>2.1000000000000001E-4</v>
      </c>
      <c r="N44" s="136">
        <f t="shared" si="0"/>
        <v>5.0710000000000005E-2</v>
      </c>
      <c r="O44" s="1306">
        <f>'Rates in Detail'!L47</f>
        <v>4.7400000000000003E-3</v>
      </c>
      <c r="P44" s="1307">
        <f>'Rates in Detail'!P47</f>
        <v>-6.4000000000000005E-4</v>
      </c>
      <c r="Q44" s="1308">
        <f t="shared" si="1"/>
        <v>5.4810000000000005E-2</v>
      </c>
      <c r="R44" s="1306">
        <f>'Rates in Detail'!S47</f>
        <v>0</v>
      </c>
      <c r="S44" s="1307">
        <f>'Rates in Detail'!T47</f>
        <v>-5.8E-4</v>
      </c>
      <c r="T44" s="1307">
        <f>'Rates in Detail'!U47</f>
        <v>2.1000000000000001E-4</v>
      </c>
      <c r="U44" s="1314">
        <f t="shared" si="2"/>
        <v>5.4230000000000007E-2</v>
      </c>
      <c r="V44" s="1306">
        <f>'Rates in Detail'!AC47</f>
        <v>2.1700000000000001E-3</v>
      </c>
      <c r="W44" s="1531">
        <f>'Rates in Detail'!AD47</f>
        <v>-6.0000000000000002E-5</v>
      </c>
      <c r="X44" s="1307">
        <f>'Rates in Detail'!AE47</f>
        <v>0</v>
      </c>
      <c r="Y44" s="1527">
        <f>'Rates in Detail'!AF47</f>
        <v>-5.6999999999999998E-4</v>
      </c>
      <c r="Z44" s="1317">
        <f t="shared" si="3"/>
        <v>5.6140000000000009E-2</v>
      </c>
      <c r="AA44" s="130"/>
    </row>
    <row r="45" spans="2:27" x14ac:dyDescent="0.3">
      <c r="B45" s="109">
        <f t="shared" si="4"/>
        <v>36</v>
      </c>
      <c r="C45" s="110"/>
      <c r="D45" s="110" t="s">
        <v>9</v>
      </c>
      <c r="E45" s="111" t="s">
        <v>72</v>
      </c>
      <c r="F45" s="112">
        <f>'WA Volumes &amp; Revenues'!E50</f>
        <v>0</v>
      </c>
      <c r="G45" s="112"/>
      <c r="H45" s="885"/>
      <c r="I45" s="887"/>
      <c r="J45" s="619">
        <f>'Rates in Detail'!E48</f>
        <v>1.8929999999999999E-2</v>
      </c>
      <c r="K45" s="623">
        <f>'Rates in Detail'!H48</f>
        <v>0</v>
      </c>
      <c r="L45" s="623">
        <f>'Rates in Detail'!F48</f>
        <v>0</v>
      </c>
      <c r="M45" s="623">
        <f>'Rates in Detail'!I48</f>
        <v>7.9999999999999993E-5</v>
      </c>
      <c r="N45" s="134">
        <f t="shared" si="0"/>
        <v>1.9009999999999999E-2</v>
      </c>
      <c r="O45" s="1305">
        <f>'Rates in Detail'!L48</f>
        <v>1.7799999999999999E-3</v>
      </c>
      <c r="P45" s="1298">
        <f>'Rates in Detail'!P48</f>
        <v>-2.4000000000000001E-4</v>
      </c>
      <c r="Q45" s="1304">
        <f t="shared" si="1"/>
        <v>2.0549999999999999E-2</v>
      </c>
      <c r="R45" s="1305">
        <f>'Rates in Detail'!S48</f>
        <v>0</v>
      </c>
      <c r="S45" s="1298">
        <f>'Rates in Detail'!T48</f>
        <v>-2.2000000000000001E-4</v>
      </c>
      <c r="T45" s="1298">
        <f>'Rates in Detail'!U48</f>
        <v>8.0000000000000007E-5</v>
      </c>
      <c r="U45" s="1313">
        <f t="shared" si="2"/>
        <v>2.0329999999999997E-2</v>
      </c>
      <c r="V45" s="1305">
        <f>'Rates in Detail'!AC48</f>
        <v>8.0999999999999996E-4</v>
      </c>
      <c r="W45" s="1530">
        <f>'Rates in Detail'!AD48</f>
        <v>-2.0000000000000002E-5</v>
      </c>
      <c r="X45" s="1298">
        <f>'Rates in Detail'!AE48</f>
        <v>0</v>
      </c>
      <c r="Y45" s="1526">
        <f>'Rates in Detail'!AF48</f>
        <v>-2.1000000000000001E-4</v>
      </c>
      <c r="Z45" s="1317">
        <f t="shared" si="3"/>
        <v>2.1050000000000003E-2</v>
      </c>
      <c r="AA45" s="130"/>
    </row>
    <row r="46" spans="2:27" x14ac:dyDescent="0.3">
      <c r="B46" s="109">
        <f t="shared" si="4"/>
        <v>37</v>
      </c>
      <c r="C46" s="1287" t="str">
        <f>'WA Volumes &amp; Revenues'!B51</f>
        <v>42I Firm Transpt</v>
      </c>
      <c r="D46" s="1287" t="s">
        <v>4</v>
      </c>
      <c r="E46" s="114">
        <v>10000</v>
      </c>
      <c r="F46" s="115">
        <f>'WA Volumes &amp; Revenues'!E51</f>
        <v>924395</v>
      </c>
      <c r="G46" s="115">
        <f>'WA Volumes &amp; Revenues'!H51</f>
        <v>8.9166666666666661</v>
      </c>
      <c r="H46" s="890">
        <f>'WA Volumes &amp; Revenues'!O51</f>
        <v>1550</v>
      </c>
      <c r="I46" s="891">
        <f>'WA Volumes &amp; Revenues'!N51</f>
        <v>1550</v>
      </c>
      <c r="J46" s="620">
        <f>'Rates in Detail'!E49</f>
        <v>0.13941000000000001</v>
      </c>
      <c r="K46" s="622">
        <f>'Rates in Detail'!H49</f>
        <v>0</v>
      </c>
      <c r="L46" s="622">
        <f>'Rates in Detail'!F49</f>
        <v>0</v>
      </c>
      <c r="M46" s="622">
        <f>'Rates in Detail'!I49</f>
        <v>5.8999999999999992E-4</v>
      </c>
      <c r="N46" s="136">
        <f t="shared" si="0"/>
        <v>0.14000000000000001</v>
      </c>
      <c r="O46" s="1306">
        <f>'Rates in Detail'!L49</f>
        <v>1.044E-2</v>
      </c>
      <c r="P46" s="1307">
        <f>'Rates in Detail'!P49</f>
        <v>-1.7700000000000001E-3</v>
      </c>
      <c r="Q46" s="1308">
        <f t="shared" si="1"/>
        <v>0.14867000000000002</v>
      </c>
      <c r="R46" s="1306">
        <f>'Rates in Detail'!S49</f>
        <v>0</v>
      </c>
      <c r="S46" s="1307">
        <f>'Rates in Detail'!T49</f>
        <v>-1.5900000000000001E-3</v>
      </c>
      <c r="T46" s="1307">
        <f>'Rates in Detail'!U49</f>
        <v>5.5999999999999995E-4</v>
      </c>
      <c r="U46" s="1314">
        <f t="shared" si="2"/>
        <v>0.14708000000000002</v>
      </c>
      <c r="V46" s="1306">
        <f>'Rates in Detail'!AC49</f>
        <v>3.96E-3</v>
      </c>
      <c r="W46" s="1531">
        <f>'Rates in Detail'!AD49</f>
        <v>-1.6000000000000001E-4</v>
      </c>
      <c r="X46" s="1307">
        <f>'Rates in Detail'!AE49</f>
        <v>0</v>
      </c>
      <c r="Y46" s="1527">
        <f>'Rates in Detail'!AF49</f>
        <v>-1.5399999999999999E-3</v>
      </c>
      <c r="Z46" s="1317">
        <f t="shared" si="3"/>
        <v>0.15037</v>
      </c>
      <c r="AA46" s="130"/>
    </row>
    <row r="47" spans="2:27" x14ac:dyDescent="0.3">
      <c r="B47" s="109">
        <f t="shared" si="4"/>
        <v>38</v>
      </c>
      <c r="C47" s="1287"/>
      <c r="D47" s="1287" t="s">
        <v>5</v>
      </c>
      <c r="E47" s="114">
        <v>20000</v>
      </c>
      <c r="F47" s="115">
        <f>'WA Volumes &amp; Revenues'!E52</f>
        <v>1036796</v>
      </c>
      <c r="G47" s="115"/>
      <c r="H47" s="890"/>
      <c r="I47" s="891"/>
      <c r="J47" s="620">
        <f>'Rates in Detail'!E50</f>
        <v>0.12478999999999997</v>
      </c>
      <c r="K47" s="622">
        <f>'Rates in Detail'!H50</f>
        <v>0</v>
      </c>
      <c r="L47" s="622">
        <f>'Rates in Detail'!F50</f>
        <v>0</v>
      </c>
      <c r="M47" s="622">
        <f>'Rates in Detail'!I50</f>
        <v>5.2000000000000006E-4</v>
      </c>
      <c r="N47" s="136">
        <f t="shared" si="0"/>
        <v>0.12530999999999998</v>
      </c>
      <c r="O47" s="1306">
        <f>'Rates in Detail'!L50</f>
        <v>9.3500000000000007E-3</v>
      </c>
      <c r="P47" s="1307">
        <f>'Rates in Detail'!P50</f>
        <v>-1.5900000000000001E-3</v>
      </c>
      <c r="Q47" s="1308">
        <f t="shared" si="1"/>
        <v>0.13306999999999997</v>
      </c>
      <c r="R47" s="1306">
        <f>'Rates in Detail'!S50</f>
        <v>0</v>
      </c>
      <c r="S47" s="1307">
        <f>'Rates in Detail'!T50</f>
        <v>-1.4300000000000001E-3</v>
      </c>
      <c r="T47" s="1307">
        <f>'Rates in Detail'!U50</f>
        <v>5.0000000000000001E-4</v>
      </c>
      <c r="U47" s="1314">
        <f t="shared" si="2"/>
        <v>0.13163999999999998</v>
      </c>
      <c r="V47" s="1306">
        <f>'Rates in Detail'!AC50</f>
        <v>3.5400000000000002E-3</v>
      </c>
      <c r="W47" s="1531">
        <f>'Rates in Detail'!AD50</f>
        <v>-1.3999999999999999E-4</v>
      </c>
      <c r="X47" s="1307">
        <f>'Rates in Detail'!AE50</f>
        <v>0</v>
      </c>
      <c r="Y47" s="1527">
        <f>'Rates in Detail'!AF50</f>
        <v>-1.3799999999999999E-3</v>
      </c>
      <c r="Z47" s="1317">
        <f t="shared" si="3"/>
        <v>0.13458999999999996</v>
      </c>
      <c r="AA47" s="130"/>
    </row>
    <row r="48" spans="2:27" x14ac:dyDescent="0.3">
      <c r="B48" s="109">
        <f t="shared" si="4"/>
        <v>39</v>
      </c>
      <c r="C48" s="1287"/>
      <c r="D48" s="1287" t="s">
        <v>6</v>
      </c>
      <c r="E48" s="114">
        <v>20000</v>
      </c>
      <c r="F48" s="115">
        <f>'WA Volumes &amp; Revenues'!E53</f>
        <v>937215</v>
      </c>
      <c r="G48" s="115"/>
      <c r="H48" s="890"/>
      <c r="I48" s="891"/>
      <c r="J48" s="620">
        <f>'Rates in Detail'!E51</f>
        <v>9.5690000000000011E-2</v>
      </c>
      <c r="K48" s="622">
        <f>'Rates in Detail'!H51</f>
        <v>0</v>
      </c>
      <c r="L48" s="622">
        <f>'Rates in Detail'!F51</f>
        <v>0</v>
      </c>
      <c r="M48" s="622">
        <f>'Rates in Detail'!I51</f>
        <v>4.1000000000000005E-4</v>
      </c>
      <c r="N48" s="136">
        <f t="shared" si="0"/>
        <v>9.6100000000000005E-2</v>
      </c>
      <c r="O48" s="1306">
        <f>'Rates in Detail'!L51</f>
        <v>7.1700000000000002E-3</v>
      </c>
      <c r="P48" s="1307">
        <f>'Rates in Detail'!P51</f>
        <v>-1.2199999999999999E-3</v>
      </c>
      <c r="Q48" s="1308">
        <f t="shared" si="1"/>
        <v>0.10205</v>
      </c>
      <c r="R48" s="1306">
        <f>'Rates in Detail'!S51</f>
        <v>0</v>
      </c>
      <c r="S48" s="1307">
        <f>'Rates in Detail'!T51</f>
        <v>-1.09E-3</v>
      </c>
      <c r="T48" s="1307">
        <f>'Rates in Detail'!U51</f>
        <v>3.8999999999999999E-4</v>
      </c>
      <c r="U48" s="1314">
        <f t="shared" si="2"/>
        <v>0.10096000000000001</v>
      </c>
      <c r="V48" s="1306">
        <f>'Rates in Detail'!AC51</f>
        <v>2.7200000000000002E-3</v>
      </c>
      <c r="W48" s="1531">
        <f>'Rates in Detail'!AD51</f>
        <v>-1.1E-4</v>
      </c>
      <c r="X48" s="1307">
        <f>'Rates in Detail'!AE51</f>
        <v>0</v>
      </c>
      <c r="Y48" s="1527">
        <f>'Rates in Detail'!AF51</f>
        <v>-1.06E-3</v>
      </c>
      <c r="Z48" s="1317">
        <f t="shared" si="3"/>
        <v>0.10321000000000001</v>
      </c>
      <c r="AA48" s="130"/>
    </row>
    <row r="49" spans="2:27" x14ac:dyDescent="0.3">
      <c r="B49" s="109">
        <f t="shared" si="4"/>
        <v>40</v>
      </c>
      <c r="C49" s="1287"/>
      <c r="D49" s="1287" t="s">
        <v>7</v>
      </c>
      <c r="E49" s="114">
        <v>100000</v>
      </c>
      <c r="F49" s="115">
        <f>'WA Volumes &amp; Revenues'!E54</f>
        <v>2390318</v>
      </c>
      <c r="G49" s="115"/>
      <c r="H49" s="890"/>
      <c r="I49" s="891"/>
      <c r="J49" s="620">
        <f>'Rates in Detail'!E52</f>
        <v>7.6560000000000017E-2</v>
      </c>
      <c r="K49" s="622">
        <f>'Rates in Detail'!H52</f>
        <v>0</v>
      </c>
      <c r="L49" s="622">
        <f>'Rates in Detail'!F52</f>
        <v>0</v>
      </c>
      <c r="M49" s="622">
        <f>'Rates in Detail'!I52</f>
        <v>3.1999999999999997E-4</v>
      </c>
      <c r="N49" s="136">
        <f t="shared" si="0"/>
        <v>7.6880000000000018E-2</v>
      </c>
      <c r="O49" s="1306">
        <f>'Rates in Detail'!L52</f>
        <v>5.7299999999999999E-3</v>
      </c>
      <c r="P49" s="1307">
        <f>'Rates in Detail'!P52</f>
        <v>-9.7000000000000005E-4</v>
      </c>
      <c r="Q49" s="1308">
        <f t="shared" si="1"/>
        <v>8.1640000000000018E-2</v>
      </c>
      <c r="R49" s="1306">
        <f>'Rates in Detail'!S52</f>
        <v>0</v>
      </c>
      <c r="S49" s="1307">
        <f>'Rates in Detail'!T52</f>
        <v>-8.7000000000000001E-4</v>
      </c>
      <c r="T49" s="1307">
        <f>'Rates in Detail'!U52</f>
        <v>3.1E-4</v>
      </c>
      <c r="U49" s="1314">
        <f t="shared" si="2"/>
        <v>8.0770000000000022E-2</v>
      </c>
      <c r="V49" s="1306">
        <f>'Rates in Detail'!AC52</f>
        <v>2.1700000000000001E-3</v>
      </c>
      <c r="W49" s="1531">
        <f>'Rates in Detail'!AD52</f>
        <v>-9.0000000000000006E-5</v>
      </c>
      <c r="X49" s="1307">
        <f>'Rates in Detail'!AE52</f>
        <v>0</v>
      </c>
      <c r="Y49" s="1527">
        <f>'Rates in Detail'!AF52</f>
        <v>-8.4999999999999995E-4</v>
      </c>
      <c r="Z49" s="1317">
        <f t="shared" si="3"/>
        <v>8.2560000000000022E-2</v>
      </c>
      <c r="AA49" s="130"/>
    </row>
    <row r="50" spans="2:27" x14ac:dyDescent="0.3">
      <c r="B50" s="109">
        <f t="shared" si="4"/>
        <v>41</v>
      </c>
      <c r="C50" s="1287"/>
      <c r="D50" s="1287" t="s">
        <v>8</v>
      </c>
      <c r="E50" s="114">
        <v>600000</v>
      </c>
      <c r="F50" s="115">
        <f>'WA Volumes &amp; Revenues'!E55</f>
        <v>1492257</v>
      </c>
      <c r="G50" s="115"/>
      <c r="H50" s="890"/>
      <c r="I50" s="891"/>
      <c r="J50" s="620">
        <f>'Rates in Detail'!E53</f>
        <v>5.1040000000000002E-2</v>
      </c>
      <c r="K50" s="622">
        <f>'Rates in Detail'!H53</f>
        <v>0</v>
      </c>
      <c r="L50" s="622">
        <f>'Rates in Detail'!F53</f>
        <v>0</v>
      </c>
      <c r="M50" s="622">
        <f>'Rates in Detail'!I53</f>
        <v>2.1000000000000001E-4</v>
      </c>
      <c r="N50" s="136">
        <f t="shared" si="0"/>
        <v>5.1250000000000004E-2</v>
      </c>
      <c r="O50" s="1306">
        <f>'Rates in Detail'!L53</f>
        <v>3.82E-3</v>
      </c>
      <c r="P50" s="1307">
        <f>'Rates in Detail'!P53</f>
        <v>-6.4999999999999997E-4</v>
      </c>
      <c r="Q50" s="1308">
        <f t="shared" si="1"/>
        <v>5.4420000000000003E-2</v>
      </c>
      <c r="R50" s="1306">
        <f>'Rates in Detail'!S53</f>
        <v>0</v>
      </c>
      <c r="S50" s="1307">
        <f>'Rates in Detail'!T53</f>
        <v>-5.8E-4</v>
      </c>
      <c r="T50" s="1307">
        <f>'Rates in Detail'!U53</f>
        <v>2.1000000000000001E-4</v>
      </c>
      <c r="U50" s="1314">
        <f t="shared" si="2"/>
        <v>5.3840000000000006E-2</v>
      </c>
      <c r="V50" s="1306">
        <f>'Rates in Detail'!AC53</f>
        <v>1.4499999999999999E-3</v>
      </c>
      <c r="W50" s="1531">
        <f>'Rates in Detail'!AD53</f>
        <v>-6.0000000000000002E-5</v>
      </c>
      <c r="X50" s="1307">
        <f>'Rates in Detail'!AE53</f>
        <v>0</v>
      </c>
      <c r="Y50" s="1527">
        <f>'Rates in Detail'!AF53</f>
        <v>-5.5999999999999995E-4</v>
      </c>
      <c r="Z50" s="1317">
        <f t="shared" si="3"/>
        <v>5.5040000000000013E-2</v>
      </c>
      <c r="AA50" s="130"/>
    </row>
    <row r="51" spans="2:27" x14ac:dyDescent="0.3">
      <c r="B51" s="109">
        <f t="shared" si="4"/>
        <v>42</v>
      </c>
      <c r="C51" s="110"/>
      <c r="D51" s="110" t="s">
        <v>9</v>
      </c>
      <c r="E51" s="111" t="s">
        <v>72</v>
      </c>
      <c r="F51" s="112">
        <f>'WA Volumes &amp; Revenues'!E56</f>
        <v>0</v>
      </c>
      <c r="G51" s="112"/>
      <c r="H51" s="885"/>
      <c r="I51" s="887"/>
      <c r="J51" s="619">
        <f>'Rates in Detail'!E54</f>
        <v>1.9140000000000001E-2</v>
      </c>
      <c r="K51" s="623">
        <f>'Rates in Detail'!H54</f>
        <v>0</v>
      </c>
      <c r="L51" s="623">
        <f>'Rates in Detail'!F54</f>
        <v>0</v>
      </c>
      <c r="M51" s="623">
        <f>'Rates in Detail'!I54</f>
        <v>7.9999999999999993E-5</v>
      </c>
      <c r="N51" s="134">
        <f t="shared" si="0"/>
        <v>1.9220000000000001E-2</v>
      </c>
      <c r="O51" s="1305">
        <f>'Rates in Detail'!L54</f>
        <v>1.4300000000000001E-3</v>
      </c>
      <c r="P51" s="1298">
        <f>'Rates in Detail'!P54</f>
        <v>-2.4000000000000001E-4</v>
      </c>
      <c r="Q51" s="1304">
        <f t="shared" si="1"/>
        <v>2.0410000000000001E-2</v>
      </c>
      <c r="R51" s="1305">
        <f>'Rates in Detail'!S54</f>
        <v>0</v>
      </c>
      <c r="S51" s="1298">
        <f>'Rates in Detail'!T54</f>
        <v>-2.2000000000000001E-4</v>
      </c>
      <c r="T51" s="1298">
        <f>'Rates in Detail'!U54</f>
        <v>8.0000000000000007E-5</v>
      </c>
      <c r="U51" s="1313">
        <f t="shared" si="2"/>
        <v>2.019E-2</v>
      </c>
      <c r="V51" s="1305">
        <f>'Rates in Detail'!AC54</f>
        <v>5.4000000000000001E-4</v>
      </c>
      <c r="W51" s="1530">
        <f>'Rates in Detail'!AD54</f>
        <v>-2.0000000000000002E-5</v>
      </c>
      <c r="X51" s="1298">
        <f>'Rates in Detail'!AE54</f>
        <v>0</v>
      </c>
      <c r="Y51" s="1526">
        <f>'Rates in Detail'!AF54</f>
        <v>-2.1000000000000001E-4</v>
      </c>
      <c r="Z51" s="1317">
        <f t="shared" si="3"/>
        <v>2.0640000000000002E-2</v>
      </c>
      <c r="AA51" s="130"/>
    </row>
    <row r="52" spans="2:27" x14ac:dyDescent="0.3">
      <c r="B52" s="109">
        <f t="shared" si="4"/>
        <v>43</v>
      </c>
      <c r="C52" s="1287" t="str">
        <f>'WA Volumes &amp; Revenues'!B57</f>
        <v>42C Interr Sales</v>
      </c>
      <c r="D52" s="1287" t="s">
        <v>4</v>
      </c>
      <c r="E52" s="114">
        <v>10000</v>
      </c>
      <c r="F52" s="115">
        <f>'WA Volumes &amp; Revenues'!E57</f>
        <v>240000</v>
      </c>
      <c r="G52" s="115">
        <f>'WA Volumes &amp; Revenues'!H57</f>
        <v>2</v>
      </c>
      <c r="H52" s="890">
        <f>'WA Volumes &amp; Revenues'!O57</f>
        <v>1300</v>
      </c>
      <c r="I52" s="891">
        <f>'WA Volumes &amp; Revenues'!N57</f>
        <v>1300</v>
      </c>
      <c r="J52" s="620">
        <f>'Rates in Detail'!E55</f>
        <v>0.13682000000000002</v>
      </c>
      <c r="K52" s="622">
        <f>'Rates in Detail'!H55</f>
        <v>0</v>
      </c>
      <c r="L52" s="622">
        <f>'Rates in Detail'!F55</f>
        <v>0.26333000000000001</v>
      </c>
      <c r="M52" s="622">
        <f>'Rates in Detail'!I55</f>
        <v>2.334E-2</v>
      </c>
      <c r="N52" s="136">
        <f t="shared" si="0"/>
        <v>0.42349000000000003</v>
      </c>
      <c r="O52" s="1306">
        <f>'Rates in Detail'!L55</f>
        <v>2.2440000000000002E-2</v>
      </c>
      <c r="P52" s="1307">
        <f>'Rates in Detail'!P55</f>
        <v>-1.8400000000000001E-3</v>
      </c>
      <c r="Q52" s="1308">
        <f t="shared" si="1"/>
        <v>0.44409000000000004</v>
      </c>
      <c r="R52" s="1306">
        <f>'Rates in Detail'!S55</f>
        <v>-3.2799999999999999E-3</v>
      </c>
      <c r="S52" s="1307">
        <f>'Rates in Detail'!T55</f>
        <v>-1.75E-3</v>
      </c>
      <c r="T52" s="1307">
        <f>'Rates in Detail'!U55</f>
        <v>6.2E-4</v>
      </c>
      <c r="U52" s="1314">
        <f t="shared" si="2"/>
        <v>0.43906000000000006</v>
      </c>
      <c r="V52" s="1306">
        <f>'Rates in Detail'!AC55</f>
        <v>1.2449999999999999E-2</v>
      </c>
      <c r="W52" s="1531">
        <f>'Rates in Detail'!AD55</f>
        <v>-1.8000000000000001E-4</v>
      </c>
      <c r="X52" s="1307">
        <f>'Rates in Detail'!AE55</f>
        <v>-3.2799999999999999E-3</v>
      </c>
      <c r="Y52" s="1527">
        <f>'Rates in Detail'!AF55</f>
        <v>-1.75E-3</v>
      </c>
      <c r="Z52" s="1317">
        <f t="shared" si="3"/>
        <v>0.45071000000000011</v>
      </c>
      <c r="AA52" s="130"/>
    </row>
    <row r="53" spans="2:27" x14ac:dyDescent="0.3">
      <c r="B53" s="109">
        <f t="shared" si="4"/>
        <v>44</v>
      </c>
      <c r="C53" s="1287"/>
      <c r="D53" s="1287" t="s">
        <v>5</v>
      </c>
      <c r="E53" s="114">
        <v>20000</v>
      </c>
      <c r="F53" s="115">
        <f>'WA Volumes &amp; Revenues'!E58</f>
        <v>467511</v>
      </c>
      <c r="G53" s="115"/>
      <c r="H53" s="890"/>
      <c r="I53" s="891"/>
      <c r="J53" s="620">
        <f>'Rates in Detail'!E56</f>
        <v>0.12246999999999988</v>
      </c>
      <c r="K53" s="622">
        <f>'Rates in Detail'!H56</f>
        <v>0</v>
      </c>
      <c r="L53" s="622">
        <f>'Rates in Detail'!F56</f>
        <v>0.26333000000000001</v>
      </c>
      <c r="M53" s="622">
        <f>'Rates in Detail'!I56</f>
        <v>2.0999999999999998E-2</v>
      </c>
      <c r="N53" s="136">
        <f t="shared" si="0"/>
        <v>0.40679999999999994</v>
      </c>
      <c r="O53" s="1306">
        <f>'Rates in Detail'!L56</f>
        <v>2.009E-2</v>
      </c>
      <c r="P53" s="1307">
        <f>'Rates in Detail'!P56</f>
        <v>-1.64E-3</v>
      </c>
      <c r="Q53" s="1308">
        <f t="shared" si="1"/>
        <v>0.42524999999999996</v>
      </c>
      <c r="R53" s="1306">
        <f>'Rates in Detail'!S56</f>
        <v>-2.9399999999999999E-3</v>
      </c>
      <c r="S53" s="1307">
        <f>'Rates in Detail'!T56</f>
        <v>-1.56E-3</v>
      </c>
      <c r="T53" s="1307">
        <f>'Rates in Detail'!U56</f>
        <v>5.5000000000000003E-4</v>
      </c>
      <c r="U53" s="1314">
        <f t="shared" si="2"/>
        <v>0.42074999999999996</v>
      </c>
      <c r="V53" s="1306">
        <f>'Rates in Detail'!AC56</f>
        <v>1.1140000000000001E-2</v>
      </c>
      <c r="W53" s="1531">
        <f>'Rates in Detail'!AD56</f>
        <v>-1.6000000000000001E-4</v>
      </c>
      <c r="X53" s="1307">
        <f>'Rates in Detail'!AE56</f>
        <v>-2.9399999999999999E-3</v>
      </c>
      <c r="Y53" s="1527">
        <f>'Rates in Detail'!AF56</f>
        <v>-1.57E-3</v>
      </c>
      <c r="Z53" s="1317">
        <f t="shared" si="3"/>
        <v>0.43116999999999994</v>
      </c>
      <c r="AA53" s="130"/>
    </row>
    <row r="54" spans="2:27" x14ac:dyDescent="0.3">
      <c r="B54" s="109">
        <f t="shared" si="4"/>
        <v>45</v>
      </c>
      <c r="C54" s="1287"/>
      <c r="D54" s="1287" t="s">
        <v>6</v>
      </c>
      <c r="E54" s="114">
        <v>20000</v>
      </c>
      <c r="F54" s="115">
        <f>'WA Volumes &amp; Revenues'!E59</f>
        <v>218004</v>
      </c>
      <c r="G54" s="115"/>
      <c r="H54" s="890"/>
      <c r="I54" s="891"/>
      <c r="J54" s="620">
        <f>'Rates in Detail'!E57</f>
        <v>9.3909999999999993E-2</v>
      </c>
      <c r="K54" s="622">
        <f>'Rates in Detail'!H57</f>
        <v>0</v>
      </c>
      <c r="L54" s="622">
        <f>'Rates in Detail'!F57</f>
        <v>0.26333000000000001</v>
      </c>
      <c r="M54" s="622">
        <f>'Rates in Detail'!I57</f>
        <v>1.6370000000000003E-2</v>
      </c>
      <c r="N54" s="136">
        <f t="shared" si="0"/>
        <v>0.37361</v>
      </c>
      <c r="O54" s="1306">
        <f>'Rates in Detail'!L57</f>
        <v>1.54E-2</v>
      </c>
      <c r="P54" s="1307">
        <f>'Rates in Detail'!P57</f>
        <v>-1.2600000000000001E-3</v>
      </c>
      <c r="Q54" s="1308">
        <f t="shared" si="1"/>
        <v>0.38775000000000004</v>
      </c>
      <c r="R54" s="1306">
        <f>'Rates in Detail'!S57</f>
        <v>-2.2499999999999998E-3</v>
      </c>
      <c r="S54" s="1307">
        <f>'Rates in Detail'!T57</f>
        <v>-1.1999999999999999E-3</v>
      </c>
      <c r="T54" s="1307">
        <f>'Rates in Detail'!U57</f>
        <v>4.2000000000000002E-4</v>
      </c>
      <c r="U54" s="1314">
        <f t="shared" si="2"/>
        <v>0.38430000000000009</v>
      </c>
      <c r="V54" s="1306">
        <f>'Rates in Detail'!AC57</f>
        <v>8.5400000000000007E-3</v>
      </c>
      <c r="W54" s="1531">
        <f>'Rates in Detail'!AD57</f>
        <v>-1.2E-4</v>
      </c>
      <c r="X54" s="1307">
        <f>'Rates in Detail'!AE57</f>
        <v>-2.2499999999999998E-3</v>
      </c>
      <c r="Y54" s="1527">
        <f>'Rates in Detail'!AF57</f>
        <v>-1.1999999999999999E-3</v>
      </c>
      <c r="Z54" s="1317">
        <f t="shared" si="3"/>
        <v>0.39230000000000009</v>
      </c>
      <c r="AA54" s="130"/>
    </row>
    <row r="55" spans="2:27" x14ac:dyDescent="0.3">
      <c r="B55" s="109">
        <f t="shared" si="4"/>
        <v>46</v>
      </c>
      <c r="C55" s="1287"/>
      <c r="D55" s="1287" t="s">
        <v>7</v>
      </c>
      <c r="E55" s="114">
        <v>100000</v>
      </c>
      <c r="F55" s="115">
        <f>'WA Volumes &amp; Revenues'!E60</f>
        <v>18208</v>
      </c>
      <c r="G55" s="115"/>
      <c r="H55" s="890"/>
      <c r="I55" s="891"/>
      <c r="J55" s="620">
        <f>'Rates in Detail'!E58</f>
        <v>7.5130000000000044E-2</v>
      </c>
      <c r="K55" s="622">
        <f>'Rates in Detail'!H58</f>
        <v>0</v>
      </c>
      <c r="L55" s="622">
        <f>'Rates in Detail'!F58</f>
        <v>0.26333000000000001</v>
      </c>
      <c r="M55" s="622">
        <f>'Rates in Detail'!I58</f>
        <v>1.3339999999999999E-2</v>
      </c>
      <c r="N55" s="136">
        <f t="shared" si="0"/>
        <v>0.35180000000000006</v>
      </c>
      <c r="O55" s="1306">
        <f>'Rates in Detail'!L58</f>
        <v>1.2319999999999999E-2</v>
      </c>
      <c r="P55" s="1307">
        <f>'Rates in Detail'!P58</f>
        <v>-1.01E-3</v>
      </c>
      <c r="Q55" s="1308">
        <f t="shared" si="1"/>
        <v>0.36311000000000004</v>
      </c>
      <c r="R55" s="1306">
        <f>'Rates in Detail'!S58</f>
        <v>-1.8E-3</v>
      </c>
      <c r="S55" s="1307">
        <f>'Rates in Detail'!T58</f>
        <v>-9.6000000000000002E-4</v>
      </c>
      <c r="T55" s="1307">
        <f>'Rates in Detail'!U58</f>
        <v>3.4000000000000002E-4</v>
      </c>
      <c r="U55" s="1314">
        <f t="shared" si="2"/>
        <v>0.36035</v>
      </c>
      <c r="V55" s="1306">
        <f>'Rates in Detail'!AC58</f>
        <v>6.8300000000000001E-3</v>
      </c>
      <c r="W55" s="1531">
        <f>'Rates in Detail'!AD58</f>
        <v>-1E-4</v>
      </c>
      <c r="X55" s="1307">
        <f>'Rates in Detail'!AE58</f>
        <v>-1.8E-3</v>
      </c>
      <c r="Y55" s="1527">
        <f>'Rates in Detail'!AF58</f>
        <v>-9.6000000000000002E-4</v>
      </c>
      <c r="Z55" s="1317">
        <f t="shared" si="3"/>
        <v>0.36673999999999995</v>
      </c>
      <c r="AA55" s="130"/>
    </row>
    <row r="56" spans="2:27" x14ac:dyDescent="0.3">
      <c r="B56" s="109">
        <f t="shared" si="4"/>
        <v>47</v>
      </c>
      <c r="C56" s="1287"/>
      <c r="D56" s="1287" t="s">
        <v>8</v>
      </c>
      <c r="E56" s="114">
        <v>600000</v>
      </c>
      <c r="F56" s="115">
        <f>'WA Volumes &amp; Revenues'!E61</f>
        <v>0</v>
      </c>
      <c r="G56" s="115"/>
      <c r="H56" s="890"/>
      <c r="I56" s="891"/>
      <c r="J56" s="620">
        <f>'Rates in Detail'!E59</f>
        <v>5.0089999999999968E-2</v>
      </c>
      <c r="K56" s="622">
        <f>'Rates in Detail'!H59</f>
        <v>0</v>
      </c>
      <c r="L56" s="622">
        <f>'Rates in Detail'!F59</f>
        <v>0.26333000000000001</v>
      </c>
      <c r="M56" s="622">
        <f>'Rates in Detail'!I59</f>
        <v>9.2699999999999987E-3</v>
      </c>
      <c r="N56" s="136">
        <f t="shared" si="0"/>
        <v>0.32268999999999998</v>
      </c>
      <c r="O56" s="1306">
        <f>'Rates in Detail'!L59</f>
        <v>8.2199999999999999E-3</v>
      </c>
      <c r="P56" s="1307">
        <f>'Rates in Detail'!P59</f>
        <v>-6.7000000000000002E-4</v>
      </c>
      <c r="Q56" s="1308">
        <f t="shared" si="1"/>
        <v>0.33023999999999998</v>
      </c>
      <c r="R56" s="1306">
        <f>'Rates in Detail'!S59</f>
        <v>-1.1999999999999999E-3</v>
      </c>
      <c r="S56" s="1307">
        <f>'Rates in Detail'!T59</f>
        <v>-6.4000000000000005E-4</v>
      </c>
      <c r="T56" s="1307">
        <f>'Rates in Detail'!U59</f>
        <v>2.3000000000000001E-4</v>
      </c>
      <c r="U56" s="1314">
        <f t="shared" si="2"/>
        <v>0.32840000000000003</v>
      </c>
      <c r="V56" s="1306">
        <f>'Rates in Detail'!AC59</f>
        <v>4.5599999999999998E-3</v>
      </c>
      <c r="W56" s="1531">
        <f>'Rates in Detail'!AD59</f>
        <v>-6.9999999999999994E-5</v>
      </c>
      <c r="X56" s="1307">
        <f>'Rates in Detail'!AE59</f>
        <v>-1.1999999999999999E-3</v>
      </c>
      <c r="Y56" s="1527">
        <f>'Rates in Detail'!AF59</f>
        <v>-6.4000000000000005E-4</v>
      </c>
      <c r="Z56" s="1317">
        <f t="shared" si="3"/>
        <v>0.33266000000000007</v>
      </c>
      <c r="AA56" s="130"/>
    </row>
    <row r="57" spans="2:27" x14ac:dyDescent="0.3">
      <c r="B57" s="109">
        <f t="shared" si="4"/>
        <v>48</v>
      </c>
      <c r="C57" s="110"/>
      <c r="D57" s="110" t="s">
        <v>9</v>
      </c>
      <c r="E57" s="111" t="s">
        <v>72</v>
      </c>
      <c r="F57" s="112">
        <f>'WA Volumes &amp; Revenues'!E62</f>
        <v>0</v>
      </c>
      <c r="G57" s="112"/>
      <c r="H57" s="885"/>
      <c r="I57" s="887"/>
      <c r="J57" s="619">
        <f>'Rates in Detail'!E60</f>
        <v>1.8790000000000001E-2</v>
      </c>
      <c r="K57" s="623">
        <f>'Rates in Detail'!H60</f>
        <v>0</v>
      </c>
      <c r="L57" s="623">
        <f>'Rates in Detail'!F60</f>
        <v>0.26333000000000001</v>
      </c>
      <c r="M57" s="623">
        <f>'Rates in Detail'!I60</f>
        <v>4.1999999999999989E-3</v>
      </c>
      <c r="N57" s="134">
        <f t="shared" si="0"/>
        <v>0.28632000000000002</v>
      </c>
      <c r="O57" s="1305">
        <f>'Rates in Detail'!L60</f>
        <v>3.0799999999999998E-3</v>
      </c>
      <c r="P57" s="1298">
        <f>'Rates in Detail'!P60</f>
        <v>-2.5000000000000001E-4</v>
      </c>
      <c r="Q57" s="1304">
        <f t="shared" si="1"/>
        <v>0.28915000000000007</v>
      </c>
      <c r="R57" s="1305">
        <f>'Rates in Detail'!S60</f>
        <v>-4.4999999999999999E-4</v>
      </c>
      <c r="S57" s="1298">
        <f>'Rates in Detail'!T60</f>
        <v>-2.4000000000000001E-4</v>
      </c>
      <c r="T57" s="1298">
        <f>'Rates in Detail'!U60</f>
        <v>8.0000000000000007E-5</v>
      </c>
      <c r="U57" s="1313">
        <f t="shared" si="2"/>
        <v>0.28846000000000005</v>
      </c>
      <c r="V57" s="1305">
        <f>'Rates in Detail'!AC60</f>
        <v>1.7099999999999999E-3</v>
      </c>
      <c r="W57" s="1530">
        <f>'Rates in Detail'!AD60</f>
        <v>-2.0000000000000002E-5</v>
      </c>
      <c r="X57" s="1298">
        <f>'Rates in Detail'!AE60</f>
        <v>-4.4999999999999999E-4</v>
      </c>
      <c r="Y57" s="1526">
        <f>'Rates in Detail'!AF60</f>
        <v>-2.4000000000000001E-4</v>
      </c>
      <c r="Z57" s="1317">
        <f t="shared" si="3"/>
        <v>0.29006999999999999</v>
      </c>
      <c r="AA57" s="130"/>
    </row>
    <row r="58" spans="2:27" x14ac:dyDescent="0.3">
      <c r="B58" s="109">
        <f t="shared" si="4"/>
        <v>49</v>
      </c>
      <c r="C58" s="1287" t="str">
        <f>'WA Volumes &amp; Revenues'!B63</f>
        <v>42I Interr Sales</v>
      </c>
      <c r="D58" s="1287" t="s">
        <v>4</v>
      </c>
      <c r="E58" s="114">
        <v>10000</v>
      </c>
      <c r="F58" s="115">
        <f>'WA Volumes &amp; Revenues'!E63</f>
        <v>156740</v>
      </c>
      <c r="G58" s="115">
        <f>'WA Volumes &amp; Revenues'!H63</f>
        <v>1.9166666666666701</v>
      </c>
      <c r="H58" s="890">
        <f>'WA Volumes &amp; Revenues'!O63</f>
        <v>1300</v>
      </c>
      <c r="I58" s="891">
        <f>'WA Volumes &amp; Revenues'!N63</f>
        <v>1300</v>
      </c>
      <c r="J58" s="620">
        <f>'Rates in Detail'!E61</f>
        <v>0.14583999999999989</v>
      </c>
      <c r="K58" s="622">
        <f>'Rates in Detail'!H61</f>
        <v>0</v>
      </c>
      <c r="L58" s="622">
        <f>'Rates in Detail'!F61</f>
        <v>0.26333000000000001</v>
      </c>
      <c r="M58" s="622">
        <f>'Rates in Detail'!I61</f>
        <v>6.9699999999999996E-3</v>
      </c>
      <c r="N58" s="136">
        <f t="shared" si="0"/>
        <v>0.4161399999999999</v>
      </c>
      <c r="O58" s="1306">
        <f>'Rates in Detail'!L61</f>
        <v>1.495E-2</v>
      </c>
      <c r="P58" s="1307">
        <f>'Rates in Detail'!P61</f>
        <v>-2.5400000000000002E-3</v>
      </c>
      <c r="Q58" s="1308">
        <f t="shared" si="1"/>
        <v>0.42854999999999993</v>
      </c>
      <c r="R58" s="1306">
        <f>'Rates in Detail'!S61</f>
        <v>0</v>
      </c>
      <c r="S58" s="1307">
        <f>'Rates in Detail'!T61</f>
        <v>-2.2799999999999999E-3</v>
      </c>
      <c r="T58" s="1307">
        <f>'Rates in Detail'!U61</f>
        <v>8.0000000000000004E-4</v>
      </c>
      <c r="U58" s="1314">
        <f t="shared" si="2"/>
        <v>0.42626999999999993</v>
      </c>
      <c r="V58" s="1306">
        <f>'Rates in Detail'!AC61</f>
        <v>5.6600000000000001E-3</v>
      </c>
      <c r="W58" s="1531">
        <f>'Rates in Detail'!AD61</f>
        <v>-2.2000000000000001E-4</v>
      </c>
      <c r="X58" s="1307">
        <f>'Rates in Detail'!AE61</f>
        <v>0</v>
      </c>
      <c r="Y58" s="1527">
        <f>'Rates in Detail'!AF61</f>
        <v>-2.2100000000000002E-3</v>
      </c>
      <c r="Z58" s="1317">
        <f t="shared" si="3"/>
        <v>0.43097999999999992</v>
      </c>
      <c r="AA58" s="130"/>
    </row>
    <row r="59" spans="2:27" x14ac:dyDescent="0.3">
      <c r="B59" s="109">
        <f t="shared" si="4"/>
        <v>50</v>
      </c>
      <c r="C59" s="1287"/>
      <c r="D59" s="1287" t="s">
        <v>5</v>
      </c>
      <c r="E59" s="114">
        <v>20000</v>
      </c>
      <c r="F59" s="115">
        <f>'WA Volumes &amp; Revenues'!E64</f>
        <v>159690</v>
      </c>
      <c r="G59" s="115"/>
      <c r="H59" s="890"/>
      <c r="I59" s="891"/>
      <c r="J59" s="620">
        <f>'Rates in Detail'!E62</f>
        <v>0.13054999999999992</v>
      </c>
      <c r="K59" s="622">
        <f>'Rates in Detail'!H62</f>
        <v>0</v>
      </c>
      <c r="L59" s="622">
        <f>'Rates in Detail'!F62</f>
        <v>0.26333000000000001</v>
      </c>
      <c r="M59" s="622">
        <f>'Rates in Detail'!I62</f>
        <v>6.3499999999999997E-3</v>
      </c>
      <c r="N59" s="136">
        <f t="shared" si="0"/>
        <v>0.40022999999999992</v>
      </c>
      <c r="O59" s="1306">
        <f>'Rates in Detail'!L62</f>
        <v>1.338E-2</v>
      </c>
      <c r="P59" s="1307">
        <f>'Rates in Detail'!P62</f>
        <v>-2.2699999999999999E-3</v>
      </c>
      <c r="Q59" s="1308">
        <f t="shared" si="1"/>
        <v>0.41133999999999993</v>
      </c>
      <c r="R59" s="1306">
        <f>'Rates in Detail'!S62</f>
        <v>0</v>
      </c>
      <c r="S59" s="1307">
        <f>'Rates in Detail'!T62</f>
        <v>-2.0400000000000001E-3</v>
      </c>
      <c r="T59" s="1307">
        <f>'Rates in Detail'!U62</f>
        <v>7.2000000000000005E-4</v>
      </c>
      <c r="U59" s="1314">
        <f t="shared" si="2"/>
        <v>0.40929999999999994</v>
      </c>
      <c r="V59" s="1306">
        <f>'Rates in Detail'!AC62</f>
        <v>5.0699999999999999E-3</v>
      </c>
      <c r="W59" s="1531">
        <f>'Rates in Detail'!AD62</f>
        <v>-2.0000000000000001E-4</v>
      </c>
      <c r="X59" s="1307">
        <f>'Rates in Detail'!AE62</f>
        <v>0</v>
      </c>
      <c r="Y59" s="1527">
        <f>'Rates in Detail'!AF62</f>
        <v>-1.97E-3</v>
      </c>
      <c r="Z59" s="1317">
        <f t="shared" si="3"/>
        <v>0.41351999999999994</v>
      </c>
      <c r="AA59" s="130"/>
    </row>
    <row r="60" spans="2:27" x14ac:dyDescent="0.3">
      <c r="B60" s="109">
        <f t="shared" si="4"/>
        <v>51</v>
      </c>
      <c r="C60" s="1287"/>
      <c r="D60" s="1287" t="s">
        <v>6</v>
      </c>
      <c r="E60" s="114">
        <v>20000</v>
      </c>
      <c r="F60" s="115">
        <f>'WA Volumes &amp; Revenues'!E65</f>
        <v>0</v>
      </c>
      <c r="G60" s="115"/>
      <c r="H60" s="890"/>
      <c r="I60" s="891"/>
      <c r="J60" s="620">
        <f>'Rates in Detail'!E63</f>
        <v>0.10011</v>
      </c>
      <c r="K60" s="622">
        <f>'Rates in Detail'!H63</f>
        <v>0</v>
      </c>
      <c r="L60" s="622">
        <f>'Rates in Detail'!F63</f>
        <v>0.26333000000000001</v>
      </c>
      <c r="M60" s="622">
        <f>'Rates in Detail'!I63</f>
        <v>5.1399999999999996E-3</v>
      </c>
      <c r="N60" s="136">
        <f t="shared" si="0"/>
        <v>0.36857999999999996</v>
      </c>
      <c r="O60" s="1306">
        <f>'Rates in Detail'!L63</f>
        <v>1.026E-2</v>
      </c>
      <c r="P60" s="1307">
        <f>'Rates in Detail'!P63</f>
        <v>-1.74E-3</v>
      </c>
      <c r="Q60" s="1308">
        <f t="shared" si="1"/>
        <v>0.37709999999999994</v>
      </c>
      <c r="R60" s="1306">
        <f>'Rates in Detail'!S63</f>
        <v>0</v>
      </c>
      <c r="S60" s="1307">
        <f>'Rates in Detail'!T63</f>
        <v>-1.56E-3</v>
      </c>
      <c r="T60" s="1307">
        <f>'Rates in Detail'!U63</f>
        <v>5.5000000000000003E-4</v>
      </c>
      <c r="U60" s="1314">
        <f t="shared" si="2"/>
        <v>0.37553999999999993</v>
      </c>
      <c r="V60" s="1306">
        <f>'Rates in Detail'!AC63</f>
        <v>3.8899999999999998E-3</v>
      </c>
      <c r="W60" s="1531">
        <f>'Rates in Detail'!AD63</f>
        <v>-1.4999999999999999E-4</v>
      </c>
      <c r="X60" s="1307">
        <f>'Rates in Detail'!AE63</f>
        <v>0</v>
      </c>
      <c r="Y60" s="1527">
        <f>'Rates in Detail'!AF63</f>
        <v>-1.5100000000000001E-3</v>
      </c>
      <c r="Z60" s="1317">
        <f t="shared" si="3"/>
        <v>0.37877999999999995</v>
      </c>
      <c r="AA60" s="130"/>
    </row>
    <row r="61" spans="2:27" x14ac:dyDescent="0.3">
      <c r="B61" s="109">
        <f t="shared" si="4"/>
        <v>52</v>
      </c>
      <c r="C61" s="1287"/>
      <c r="D61" s="1287" t="s">
        <v>7</v>
      </c>
      <c r="E61" s="114">
        <v>100000</v>
      </c>
      <c r="F61" s="115">
        <f>'WA Volumes &amp; Revenues'!E66</f>
        <v>0</v>
      </c>
      <c r="G61" s="115"/>
      <c r="H61" s="890"/>
      <c r="I61" s="891"/>
      <c r="J61" s="620">
        <f>'Rates in Detail'!E64</f>
        <v>8.0089999999999995E-2</v>
      </c>
      <c r="K61" s="622">
        <f>'Rates in Detail'!H64</f>
        <v>0</v>
      </c>
      <c r="L61" s="622">
        <f>'Rates in Detail'!F64</f>
        <v>0.26333000000000001</v>
      </c>
      <c r="M61" s="622">
        <f>'Rates in Detail'!I64</f>
        <v>4.3499999999999997E-3</v>
      </c>
      <c r="N61" s="136">
        <f t="shared" si="0"/>
        <v>0.34777000000000002</v>
      </c>
      <c r="O61" s="1306">
        <f>'Rates in Detail'!L64</f>
        <v>8.2100000000000003E-3</v>
      </c>
      <c r="P61" s="1307">
        <f>'Rates in Detail'!P64</f>
        <v>-1.39E-3</v>
      </c>
      <c r="Q61" s="1308">
        <f t="shared" si="1"/>
        <v>0.35459000000000002</v>
      </c>
      <c r="R61" s="1306">
        <f>'Rates in Detail'!S64</f>
        <v>0</v>
      </c>
      <c r="S61" s="1307">
        <f>'Rates in Detail'!T64</f>
        <v>-1.25E-3</v>
      </c>
      <c r="T61" s="1307">
        <f>'Rates in Detail'!U64</f>
        <v>4.4000000000000002E-4</v>
      </c>
      <c r="U61" s="1314">
        <f t="shared" si="2"/>
        <v>0.35334000000000004</v>
      </c>
      <c r="V61" s="1306">
        <f>'Rates in Detail'!AC64</f>
        <v>3.1099999999999999E-3</v>
      </c>
      <c r="W61" s="1531">
        <f>'Rates in Detail'!AD64</f>
        <v>-1.2E-4</v>
      </c>
      <c r="X61" s="1307">
        <f>'Rates in Detail'!AE64</f>
        <v>0</v>
      </c>
      <c r="Y61" s="1527">
        <f>'Rates in Detail'!AF64</f>
        <v>-1.2099999999999999E-3</v>
      </c>
      <c r="Z61" s="1317">
        <f t="shared" si="3"/>
        <v>0.35593000000000002</v>
      </c>
      <c r="AA61" s="130"/>
    </row>
    <row r="62" spans="2:27" x14ac:dyDescent="0.3">
      <c r="B62" s="109">
        <f t="shared" si="4"/>
        <v>53</v>
      </c>
      <c r="C62" s="1287"/>
      <c r="D62" s="1287" t="s">
        <v>8</v>
      </c>
      <c r="E62" s="114">
        <v>600000</v>
      </c>
      <c r="F62" s="115">
        <f>'WA Volumes &amp; Revenues'!E67</f>
        <v>0</v>
      </c>
      <c r="G62" s="115"/>
      <c r="H62" s="890"/>
      <c r="I62" s="891"/>
      <c r="J62" s="620">
        <f>'Rates in Detail'!E65</f>
        <v>5.339E-2</v>
      </c>
      <c r="K62" s="622">
        <f>'Rates in Detail'!H65</f>
        <v>0</v>
      </c>
      <c r="L62" s="622">
        <f>'Rates in Detail'!F65</f>
        <v>0.26333000000000001</v>
      </c>
      <c r="M62" s="622">
        <f>'Rates in Detail'!I65</f>
        <v>3.2999999999999995E-3</v>
      </c>
      <c r="N62" s="136">
        <f t="shared" si="0"/>
        <v>0.32002000000000003</v>
      </c>
      <c r="O62" s="1306">
        <f>'Rates in Detail'!L65</f>
        <v>5.47E-3</v>
      </c>
      <c r="P62" s="1307">
        <f>'Rates in Detail'!P65</f>
        <v>-9.3000000000000005E-4</v>
      </c>
      <c r="Q62" s="1308">
        <f t="shared" si="1"/>
        <v>0.32456000000000002</v>
      </c>
      <c r="R62" s="1306">
        <f>'Rates in Detail'!S65</f>
        <v>0</v>
      </c>
      <c r="S62" s="1307">
        <f>'Rates in Detail'!T65</f>
        <v>-8.3000000000000001E-4</v>
      </c>
      <c r="T62" s="1307">
        <f>'Rates in Detail'!U65</f>
        <v>2.9E-4</v>
      </c>
      <c r="U62" s="1314">
        <f t="shared" si="2"/>
        <v>0.32373000000000002</v>
      </c>
      <c r="V62" s="1306">
        <f>'Rates in Detail'!AC65</f>
        <v>2.0699999999999998E-3</v>
      </c>
      <c r="W62" s="1531">
        <f>'Rates in Detail'!AD65</f>
        <v>-8.0000000000000007E-5</v>
      </c>
      <c r="X62" s="1307">
        <f>'Rates in Detail'!AE65</f>
        <v>0</v>
      </c>
      <c r="Y62" s="1527">
        <f>'Rates in Detail'!AF65</f>
        <v>-8.0999999999999996E-4</v>
      </c>
      <c r="Z62" s="1317">
        <f t="shared" si="3"/>
        <v>0.32545000000000002</v>
      </c>
      <c r="AA62" s="130"/>
    </row>
    <row r="63" spans="2:27" x14ac:dyDescent="0.3">
      <c r="B63" s="109">
        <f t="shared" si="4"/>
        <v>54</v>
      </c>
      <c r="C63" s="110"/>
      <c r="D63" s="110" t="s">
        <v>9</v>
      </c>
      <c r="E63" s="111" t="s">
        <v>72</v>
      </c>
      <c r="F63" s="112">
        <f>'WA Volumes &amp; Revenues'!E68</f>
        <v>0</v>
      </c>
      <c r="G63" s="112"/>
      <c r="H63" s="885"/>
      <c r="I63" s="887"/>
      <c r="J63" s="619">
        <f>'Rates in Detail'!E66</f>
        <v>2.002E-2</v>
      </c>
      <c r="K63" s="623">
        <f>'Rates in Detail'!H66</f>
        <v>0</v>
      </c>
      <c r="L63" s="623">
        <f>'Rates in Detail'!F66</f>
        <v>0.26333000000000001</v>
      </c>
      <c r="M63" s="623">
        <f>'Rates in Detail'!I66</f>
        <v>1.9499999999999995E-3</v>
      </c>
      <c r="N63" s="134">
        <f t="shared" si="0"/>
        <v>0.2853</v>
      </c>
      <c r="O63" s="1305">
        <f>'Rates in Detail'!L66</f>
        <v>2.0500000000000002E-3</v>
      </c>
      <c r="P63" s="1298">
        <f>'Rates in Detail'!P66</f>
        <v>-3.5E-4</v>
      </c>
      <c r="Q63" s="1304">
        <f t="shared" si="1"/>
        <v>0.28699999999999998</v>
      </c>
      <c r="R63" s="1305">
        <f>'Rates in Detail'!S66</f>
        <v>0</v>
      </c>
      <c r="S63" s="1298">
        <f>'Rates in Detail'!T66</f>
        <v>-3.1E-4</v>
      </c>
      <c r="T63" s="1298">
        <f>'Rates in Detail'!U66</f>
        <v>1.1E-4</v>
      </c>
      <c r="U63" s="1313">
        <f t="shared" si="2"/>
        <v>0.28669</v>
      </c>
      <c r="V63" s="1305">
        <f>'Rates in Detail'!AC66</f>
        <v>7.7999999999999999E-4</v>
      </c>
      <c r="W63" s="1530">
        <f>'Rates in Detail'!AD66</f>
        <v>-3.0000000000000001E-5</v>
      </c>
      <c r="X63" s="1298">
        <f>'Rates in Detail'!AE66</f>
        <v>0</v>
      </c>
      <c r="Y63" s="1526">
        <f>'Rates in Detail'!AF66</f>
        <v>-2.9999999999999997E-4</v>
      </c>
      <c r="Z63" s="1317">
        <f t="shared" si="3"/>
        <v>0.28733999999999998</v>
      </c>
      <c r="AA63" s="130"/>
    </row>
    <row r="64" spans="2:27" x14ac:dyDescent="0.3">
      <c r="B64" s="109">
        <f t="shared" si="4"/>
        <v>55</v>
      </c>
      <c r="C64" s="1287" t="str">
        <f>'WA Volumes &amp; Revenues'!B69</f>
        <v>42C Inter Transpt</v>
      </c>
      <c r="D64" s="1287" t="s">
        <v>4</v>
      </c>
      <c r="E64" s="114">
        <v>10000</v>
      </c>
      <c r="F64" s="115">
        <f>'WA Volumes &amp; Revenues'!E69</f>
        <v>0</v>
      </c>
      <c r="G64" s="115">
        <f>'WA Volumes &amp; Revenues'!H69</f>
        <v>0</v>
      </c>
      <c r="H64" s="890">
        <f>'WA Volumes &amp; Revenues'!O69</f>
        <v>1550</v>
      </c>
      <c r="I64" s="891">
        <f>'WA Volumes &amp; Revenues'!N69</f>
        <v>1550</v>
      </c>
      <c r="J64" s="620">
        <f>'Rates in Detail'!E67</f>
        <v>0.13402999999999998</v>
      </c>
      <c r="K64" s="622">
        <f>'Rates in Detail'!H67</f>
        <v>0</v>
      </c>
      <c r="L64" s="622">
        <f>'Rates in Detail'!F67</f>
        <v>0</v>
      </c>
      <c r="M64" s="622">
        <f>'Rates in Detail'!I67</f>
        <v>5.6999999999999998E-4</v>
      </c>
      <c r="N64" s="136">
        <f t="shared" si="0"/>
        <v>0.13459999999999997</v>
      </c>
      <c r="O64" s="1306">
        <f>'Rates in Detail'!L67</f>
        <v>6.1399999999999996E-3</v>
      </c>
      <c r="P64" s="1307">
        <f>'Rates in Detail'!P67</f>
        <v>-1.2600000000000001E-3</v>
      </c>
      <c r="Q64" s="1308">
        <f t="shared" si="1"/>
        <v>0.13947999999999997</v>
      </c>
      <c r="R64" s="1306">
        <f>'Rates in Detail'!S67</f>
        <v>0</v>
      </c>
      <c r="S64" s="1307">
        <f>'Rates in Detail'!T67</f>
        <v>-1.1199999999999999E-3</v>
      </c>
      <c r="T64" s="1307">
        <f>'Rates in Detail'!U67</f>
        <v>5.1000000000000004E-4</v>
      </c>
      <c r="U64" s="1314">
        <f t="shared" si="2"/>
        <v>0.13835999999999996</v>
      </c>
      <c r="V64" s="1306">
        <f>'Rates in Detail'!AC67</f>
        <v>2.7799999999999999E-3</v>
      </c>
      <c r="W64" s="1531">
        <f>'Rates in Detail'!AD67</f>
        <v>-1.1E-4</v>
      </c>
      <c r="X64" s="1307">
        <f>'Rates in Detail'!AE67</f>
        <v>0</v>
      </c>
      <c r="Y64" s="1527">
        <f>'Rates in Detail'!AF67</f>
        <v>-1.08E-3</v>
      </c>
      <c r="Z64" s="1317">
        <f t="shared" si="3"/>
        <v>0.14055999999999996</v>
      </c>
      <c r="AA64" s="130"/>
    </row>
    <row r="65" spans="2:27" x14ac:dyDescent="0.3">
      <c r="B65" s="109">
        <f t="shared" si="4"/>
        <v>56</v>
      </c>
      <c r="C65" s="1287"/>
      <c r="D65" s="1287" t="s">
        <v>5</v>
      </c>
      <c r="E65" s="114">
        <v>20000</v>
      </c>
      <c r="F65" s="115">
        <f>'WA Volumes &amp; Revenues'!E70</f>
        <v>0</v>
      </c>
      <c r="G65" s="115"/>
      <c r="H65" s="890"/>
      <c r="I65" s="891"/>
      <c r="J65" s="620">
        <f>'Rates in Detail'!E68</f>
        <v>0.11997999999999999</v>
      </c>
      <c r="K65" s="622">
        <f>'Rates in Detail'!H68</f>
        <v>0</v>
      </c>
      <c r="L65" s="622">
        <f>'Rates in Detail'!F68</f>
        <v>0</v>
      </c>
      <c r="M65" s="622">
        <f>'Rates in Detail'!I68</f>
        <v>5.1000000000000004E-4</v>
      </c>
      <c r="N65" s="136">
        <f t="shared" si="0"/>
        <v>0.12048999999999999</v>
      </c>
      <c r="O65" s="1306">
        <f>'Rates in Detail'!L68</f>
        <v>5.4999999999999997E-3</v>
      </c>
      <c r="P65" s="1307">
        <f>'Rates in Detail'!P68</f>
        <v>-1.1199999999999999E-3</v>
      </c>
      <c r="Q65" s="1308">
        <f t="shared" si="1"/>
        <v>0.12486999999999999</v>
      </c>
      <c r="R65" s="1306">
        <f>'Rates in Detail'!S68</f>
        <v>0</v>
      </c>
      <c r="S65" s="1307">
        <f>'Rates in Detail'!T68</f>
        <v>-1E-3</v>
      </c>
      <c r="T65" s="1307">
        <f>'Rates in Detail'!U68</f>
        <v>4.4999999999999999E-4</v>
      </c>
      <c r="U65" s="1314">
        <f t="shared" si="2"/>
        <v>0.12386999999999999</v>
      </c>
      <c r="V65" s="1306">
        <f>'Rates in Detail'!AC68</f>
        <v>2.49E-3</v>
      </c>
      <c r="W65" s="1531">
        <f>'Rates in Detail'!AD68</f>
        <v>-1E-4</v>
      </c>
      <c r="X65" s="1307">
        <f>'Rates in Detail'!AE68</f>
        <v>0</v>
      </c>
      <c r="Y65" s="1527">
        <f>'Rates in Detail'!AF68</f>
        <v>-9.7000000000000005E-4</v>
      </c>
      <c r="Z65" s="1317">
        <f t="shared" si="3"/>
        <v>0.12584000000000001</v>
      </c>
      <c r="AA65" s="130"/>
    </row>
    <row r="66" spans="2:27" x14ac:dyDescent="0.3">
      <c r="B66" s="109">
        <f t="shared" si="4"/>
        <v>57</v>
      </c>
      <c r="C66" s="1287"/>
      <c r="D66" s="1287" t="s">
        <v>6</v>
      </c>
      <c r="E66" s="114">
        <v>20000</v>
      </c>
      <c r="F66" s="115">
        <f>'WA Volumes &amp; Revenues'!E71</f>
        <v>0</v>
      </c>
      <c r="G66" s="115"/>
      <c r="H66" s="890"/>
      <c r="I66" s="891"/>
      <c r="J66" s="620">
        <f>'Rates in Detail'!E69</f>
        <v>9.1999999999999998E-2</v>
      </c>
      <c r="K66" s="622">
        <f>'Rates in Detail'!H69</f>
        <v>0</v>
      </c>
      <c r="L66" s="622">
        <f>'Rates in Detail'!F69</f>
        <v>0</v>
      </c>
      <c r="M66" s="622">
        <f>'Rates in Detail'!I69</f>
        <v>3.7999999999999997E-4</v>
      </c>
      <c r="N66" s="136">
        <f t="shared" si="0"/>
        <v>9.2380000000000004E-2</v>
      </c>
      <c r="O66" s="1306">
        <f>'Rates in Detail'!L69</f>
        <v>4.2199999999999998E-3</v>
      </c>
      <c r="P66" s="1307">
        <f>'Rates in Detail'!P69</f>
        <v>-8.5999999999999998E-4</v>
      </c>
      <c r="Q66" s="1308">
        <f t="shared" si="1"/>
        <v>9.5740000000000006E-2</v>
      </c>
      <c r="R66" s="1306">
        <f>'Rates in Detail'!S69</f>
        <v>0</v>
      </c>
      <c r="S66" s="1307">
        <f>'Rates in Detail'!T69</f>
        <v>-7.6999999999999996E-4</v>
      </c>
      <c r="T66" s="1307">
        <f>'Rates in Detail'!U69</f>
        <v>3.5E-4</v>
      </c>
      <c r="U66" s="1314">
        <f t="shared" si="2"/>
        <v>9.4969999999999999E-2</v>
      </c>
      <c r="V66" s="1306">
        <f>'Rates in Detail'!AC69</f>
        <v>1.91E-3</v>
      </c>
      <c r="W66" s="1531">
        <f>'Rates in Detail'!AD69</f>
        <v>-8.0000000000000007E-5</v>
      </c>
      <c r="X66" s="1307">
        <f>'Rates in Detail'!AE69</f>
        <v>0</v>
      </c>
      <c r="Y66" s="1527">
        <f>'Rates in Detail'!AF69</f>
        <v>-7.3999999999999999E-4</v>
      </c>
      <c r="Z66" s="1317">
        <f t="shared" si="3"/>
        <v>9.6479999999999996E-2</v>
      </c>
      <c r="AA66" s="130"/>
    </row>
    <row r="67" spans="2:27" x14ac:dyDescent="0.3">
      <c r="B67" s="109">
        <f t="shared" si="4"/>
        <v>58</v>
      </c>
      <c r="C67" s="1287"/>
      <c r="D67" s="1287" t="s">
        <v>7</v>
      </c>
      <c r="E67" s="114">
        <v>100000</v>
      </c>
      <c r="F67" s="115">
        <f>'WA Volumes &amp; Revenues'!E72</f>
        <v>0</v>
      </c>
      <c r="G67" s="115"/>
      <c r="H67" s="890"/>
      <c r="I67" s="891"/>
      <c r="J67" s="620">
        <f>'Rates in Detail'!E70</f>
        <v>7.3609999999999995E-2</v>
      </c>
      <c r="K67" s="622">
        <f>'Rates in Detail'!H70</f>
        <v>0</v>
      </c>
      <c r="L67" s="622">
        <f>'Rates in Detail'!F70</f>
        <v>0</v>
      </c>
      <c r="M67" s="622">
        <f>'Rates in Detail'!I70</f>
        <v>3.0999999999999995E-4</v>
      </c>
      <c r="N67" s="136">
        <f t="shared" si="0"/>
        <v>7.392E-2</v>
      </c>
      <c r="O67" s="1306">
        <f>'Rates in Detail'!L70</f>
        <v>3.3700000000000002E-3</v>
      </c>
      <c r="P67" s="1307">
        <f>'Rates in Detail'!P70</f>
        <v>-6.8999999999999997E-4</v>
      </c>
      <c r="Q67" s="1308">
        <f t="shared" si="1"/>
        <v>7.6600000000000001E-2</v>
      </c>
      <c r="R67" s="1306">
        <f>'Rates in Detail'!S70</f>
        <v>0</v>
      </c>
      <c r="S67" s="1307">
        <f>'Rates in Detail'!T70</f>
        <v>-6.0999999999999997E-4</v>
      </c>
      <c r="T67" s="1307">
        <f>'Rates in Detail'!U70</f>
        <v>2.7999999999999998E-4</v>
      </c>
      <c r="U67" s="1314">
        <f t="shared" si="2"/>
        <v>7.5990000000000002E-2</v>
      </c>
      <c r="V67" s="1306">
        <f>'Rates in Detail'!AC70</f>
        <v>1.5299999999999999E-3</v>
      </c>
      <c r="W67" s="1531">
        <f>'Rates in Detail'!AD70</f>
        <v>-6.0000000000000002E-5</v>
      </c>
      <c r="X67" s="1307">
        <f>'Rates in Detail'!AE70</f>
        <v>0</v>
      </c>
      <c r="Y67" s="1527">
        <f>'Rates in Detail'!AF70</f>
        <v>-5.9000000000000003E-4</v>
      </c>
      <c r="Z67" s="1317">
        <f t="shared" si="3"/>
        <v>7.7200000000000005E-2</v>
      </c>
      <c r="AA67" s="130"/>
    </row>
    <row r="68" spans="2:27" x14ac:dyDescent="0.3">
      <c r="B68" s="109">
        <f t="shared" si="4"/>
        <v>59</v>
      </c>
      <c r="C68" s="1287"/>
      <c r="D68" s="1287" t="s">
        <v>8</v>
      </c>
      <c r="E68" s="114">
        <v>600000</v>
      </c>
      <c r="F68" s="115">
        <f>'WA Volumes &amp; Revenues'!E73</f>
        <v>0</v>
      </c>
      <c r="G68" s="115"/>
      <c r="H68" s="890"/>
      <c r="I68" s="891"/>
      <c r="J68" s="620">
        <f>'Rates in Detail'!E71</f>
        <v>4.9079999999999999E-2</v>
      </c>
      <c r="K68" s="622">
        <f>'Rates in Detail'!H71</f>
        <v>0</v>
      </c>
      <c r="L68" s="622">
        <f>'Rates in Detail'!F71</f>
        <v>0</v>
      </c>
      <c r="M68" s="622">
        <f>'Rates in Detail'!I71</f>
        <v>2.0999999999999998E-4</v>
      </c>
      <c r="N68" s="136">
        <f t="shared" si="0"/>
        <v>4.929E-2</v>
      </c>
      <c r="O68" s="1306">
        <f>'Rates in Detail'!L71</f>
        <v>2.2499999999999998E-3</v>
      </c>
      <c r="P68" s="1307">
        <f>'Rates in Detail'!P71</f>
        <v>-4.6000000000000001E-4</v>
      </c>
      <c r="Q68" s="1308">
        <f t="shared" si="1"/>
        <v>5.108E-2</v>
      </c>
      <c r="R68" s="1306">
        <f>'Rates in Detail'!S71</f>
        <v>0</v>
      </c>
      <c r="S68" s="1307">
        <f>'Rates in Detail'!T71</f>
        <v>-4.0999999999999999E-4</v>
      </c>
      <c r="T68" s="1307">
        <f>'Rates in Detail'!U71</f>
        <v>1.9000000000000001E-4</v>
      </c>
      <c r="U68" s="1314">
        <f t="shared" si="2"/>
        <v>5.067E-2</v>
      </c>
      <c r="V68" s="1306">
        <f>'Rates in Detail'!AC71</f>
        <v>1.0200000000000001E-3</v>
      </c>
      <c r="W68" s="1531">
        <f>'Rates in Detail'!AD71</f>
        <v>-4.0000000000000003E-5</v>
      </c>
      <c r="X68" s="1307">
        <f>'Rates in Detail'!AE71</f>
        <v>0</v>
      </c>
      <c r="Y68" s="1527">
        <f>'Rates in Detail'!AF71</f>
        <v>-4.0000000000000002E-4</v>
      </c>
      <c r="Z68" s="1317">
        <f t="shared" si="3"/>
        <v>5.1470000000000002E-2</v>
      </c>
      <c r="AA68" s="130"/>
    </row>
    <row r="69" spans="2:27" x14ac:dyDescent="0.3">
      <c r="B69" s="109">
        <f t="shared" si="4"/>
        <v>60</v>
      </c>
      <c r="C69" s="110"/>
      <c r="D69" s="110" t="s">
        <v>9</v>
      </c>
      <c r="E69" s="111" t="s">
        <v>72</v>
      </c>
      <c r="F69" s="112">
        <f>'WA Volumes &amp; Revenues'!E74</f>
        <v>0</v>
      </c>
      <c r="G69" s="112"/>
      <c r="H69" s="885"/>
      <c r="I69" s="887"/>
      <c r="J69" s="619">
        <f>'Rates in Detail'!E72</f>
        <v>1.839E-2</v>
      </c>
      <c r="K69" s="623">
        <f>'Rates in Detail'!H72</f>
        <v>0</v>
      </c>
      <c r="L69" s="623">
        <f>'Rates in Detail'!F72</f>
        <v>0</v>
      </c>
      <c r="M69" s="623">
        <f>'Rates in Detail'!I72</f>
        <v>6.9999999999999994E-5</v>
      </c>
      <c r="N69" s="134">
        <f t="shared" si="0"/>
        <v>1.8460000000000001E-2</v>
      </c>
      <c r="O69" s="1305">
        <f>'Rates in Detail'!L72</f>
        <v>8.4000000000000003E-4</v>
      </c>
      <c r="P69" s="1298">
        <f>'Rates in Detail'!P72</f>
        <v>-1.7000000000000001E-4</v>
      </c>
      <c r="Q69" s="1304">
        <f t="shared" si="1"/>
        <v>1.9130000000000001E-2</v>
      </c>
      <c r="R69" s="1305">
        <f>'Rates in Detail'!S72</f>
        <v>0</v>
      </c>
      <c r="S69" s="1298">
        <f>'Rates in Detail'!T72</f>
        <v>-1.4999999999999999E-4</v>
      </c>
      <c r="T69" s="1298">
        <f>'Rates in Detail'!U72</f>
        <v>6.9999999999999994E-5</v>
      </c>
      <c r="U69" s="1313">
        <f t="shared" si="2"/>
        <v>1.898E-2</v>
      </c>
      <c r="V69" s="1305">
        <f>'Rates in Detail'!AC72</f>
        <v>3.8000000000000002E-4</v>
      </c>
      <c r="W69" s="1530">
        <f>'Rates in Detail'!AD72</f>
        <v>-2.0000000000000002E-5</v>
      </c>
      <c r="X69" s="1298">
        <f>'Rates in Detail'!AE72</f>
        <v>0</v>
      </c>
      <c r="Y69" s="1526">
        <f>'Rates in Detail'!AF72</f>
        <v>-1.4999999999999999E-4</v>
      </c>
      <c r="Z69" s="1317">
        <f t="shared" si="3"/>
        <v>1.9269999999999999E-2</v>
      </c>
      <c r="AA69" s="130"/>
    </row>
    <row r="70" spans="2:27" x14ac:dyDescent="0.3">
      <c r="B70" s="109">
        <f t="shared" si="4"/>
        <v>61</v>
      </c>
      <c r="C70" s="1287" t="str">
        <f>'WA Volumes &amp; Revenues'!B75</f>
        <v>42I Inter Transpt</v>
      </c>
      <c r="D70" s="1287" t="s">
        <v>4</v>
      </c>
      <c r="E70" s="114">
        <v>10000</v>
      </c>
      <c r="F70" s="115">
        <f>'WA Volumes &amp; Revenues'!E75</f>
        <v>844078</v>
      </c>
      <c r="G70" s="115">
        <f>'WA Volumes &amp; Revenues'!H75</f>
        <v>7</v>
      </c>
      <c r="H70" s="890">
        <f>'WA Volumes &amp; Revenues'!O75</f>
        <v>1550</v>
      </c>
      <c r="I70" s="891">
        <f>'WA Volumes &amp; Revenues'!N75</f>
        <v>1550</v>
      </c>
      <c r="J70" s="620">
        <f>'Rates in Detail'!E73</f>
        <v>0.13402999999999998</v>
      </c>
      <c r="K70" s="622">
        <f>'Rates in Detail'!H73</f>
        <v>0</v>
      </c>
      <c r="L70" s="622">
        <f>'Rates in Detail'!F73</f>
        <v>0</v>
      </c>
      <c r="M70" s="622">
        <f>'Rates in Detail'!I73</f>
        <v>5.6999999999999998E-4</v>
      </c>
      <c r="N70" s="136">
        <f t="shared" si="0"/>
        <v>0.13459999999999997</v>
      </c>
      <c r="O70" s="1306">
        <f>'Rates in Detail'!L73</f>
        <v>8.7899999999999992E-3</v>
      </c>
      <c r="P70" s="1307">
        <f>'Rates in Detail'!P73</f>
        <v>-1.49E-3</v>
      </c>
      <c r="Q70" s="1308">
        <f t="shared" si="1"/>
        <v>0.14189999999999997</v>
      </c>
      <c r="R70" s="1306">
        <f>'Rates in Detail'!S73</f>
        <v>0</v>
      </c>
      <c r="S70" s="1307">
        <f>'Rates in Detail'!T73</f>
        <v>-1.34E-3</v>
      </c>
      <c r="T70" s="1307">
        <f>'Rates in Detail'!U73</f>
        <v>4.6999999999999999E-4</v>
      </c>
      <c r="U70" s="1314">
        <f t="shared" si="2"/>
        <v>0.14055999999999996</v>
      </c>
      <c r="V70" s="1306">
        <f>'Rates in Detail'!AC73</f>
        <v>3.3300000000000001E-3</v>
      </c>
      <c r="W70" s="1531">
        <f>'Rates in Detail'!AD73</f>
        <v>-1.2999999999999999E-4</v>
      </c>
      <c r="X70" s="1307">
        <f>'Rates in Detail'!AE73</f>
        <v>0</v>
      </c>
      <c r="Y70" s="1527">
        <f>'Rates in Detail'!AF73</f>
        <v>-1.2999999999999999E-3</v>
      </c>
      <c r="Z70" s="1317">
        <f t="shared" si="3"/>
        <v>0.14332999999999999</v>
      </c>
      <c r="AA70" s="130"/>
    </row>
    <row r="71" spans="2:27" x14ac:dyDescent="0.3">
      <c r="B71" s="109">
        <f t="shared" si="4"/>
        <v>62</v>
      </c>
      <c r="C71" s="1287"/>
      <c r="D71" s="1287" t="s">
        <v>5</v>
      </c>
      <c r="E71" s="114">
        <v>20000</v>
      </c>
      <c r="F71" s="115">
        <f>'WA Volumes &amp; Revenues'!E76</f>
        <v>1445175</v>
      </c>
      <c r="G71" s="115"/>
      <c r="H71" s="890"/>
      <c r="I71" s="891"/>
      <c r="J71" s="620">
        <f>'Rates in Detail'!E74</f>
        <v>0.11997999999999999</v>
      </c>
      <c r="K71" s="622">
        <f>'Rates in Detail'!H74</f>
        <v>0</v>
      </c>
      <c r="L71" s="622">
        <f>'Rates in Detail'!F74</f>
        <v>0</v>
      </c>
      <c r="M71" s="622">
        <f>'Rates in Detail'!I74</f>
        <v>5.1000000000000004E-4</v>
      </c>
      <c r="N71" s="136">
        <f t="shared" si="0"/>
        <v>0.12048999999999999</v>
      </c>
      <c r="O71" s="1306">
        <f>'Rates in Detail'!L74</f>
        <v>7.8600000000000007E-3</v>
      </c>
      <c r="P71" s="1307">
        <f>'Rates in Detail'!P74</f>
        <v>-1.33E-3</v>
      </c>
      <c r="Q71" s="1308">
        <f t="shared" si="1"/>
        <v>0.12701999999999999</v>
      </c>
      <c r="R71" s="1306">
        <f>'Rates in Detail'!S74</f>
        <v>0</v>
      </c>
      <c r="S71" s="1307">
        <f>'Rates in Detail'!T74</f>
        <v>-1.1999999999999999E-3</v>
      </c>
      <c r="T71" s="1307">
        <f>'Rates in Detail'!U74</f>
        <v>4.2000000000000002E-4</v>
      </c>
      <c r="U71" s="1314">
        <f t="shared" si="2"/>
        <v>0.12581999999999999</v>
      </c>
      <c r="V71" s="1306">
        <f>'Rates in Detail'!AC74</f>
        <v>2.98E-3</v>
      </c>
      <c r="W71" s="1531">
        <f>'Rates in Detail'!AD74</f>
        <v>-1.2E-4</v>
      </c>
      <c r="X71" s="1307">
        <f>'Rates in Detail'!AE74</f>
        <v>0</v>
      </c>
      <c r="Y71" s="1527">
        <f>'Rates in Detail'!AF74</f>
        <v>-1.16E-3</v>
      </c>
      <c r="Z71" s="1317">
        <f t="shared" si="3"/>
        <v>0.1283</v>
      </c>
      <c r="AA71" s="130"/>
    </row>
    <row r="72" spans="2:27" x14ac:dyDescent="0.3">
      <c r="B72" s="109">
        <f t="shared" si="4"/>
        <v>63</v>
      </c>
      <c r="C72" s="1287"/>
      <c r="D72" s="1287" t="s">
        <v>6</v>
      </c>
      <c r="E72" s="114">
        <v>20000</v>
      </c>
      <c r="F72" s="115">
        <f>'WA Volumes &amp; Revenues'!E77</f>
        <v>1034978</v>
      </c>
      <c r="G72" s="115"/>
      <c r="H72" s="890"/>
      <c r="I72" s="891"/>
      <c r="J72" s="620">
        <f>'Rates in Detail'!E75</f>
        <v>9.1999999999999998E-2</v>
      </c>
      <c r="K72" s="622">
        <f>'Rates in Detail'!H75</f>
        <v>0</v>
      </c>
      <c r="L72" s="622">
        <f>'Rates in Detail'!F75</f>
        <v>0</v>
      </c>
      <c r="M72" s="622">
        <f>'Rates in Detail'!I75</f>
        <v>3.7999999999999997E-4</v>
      </c>
      <c r="N72" s="136">
        <f t="shared" si="0"/>
        <v>9.2380000000000004E-2</v>
      </c>
      <c r="O72" s="1306">
        <f>'Rates in Detail'!L75</f>
        <v>6.0299999999999998E-3</v>
      </c>
      <c r="P72" s="1307">
        <f>'Rates in Detail'!P75</f>
        <v>-1.0200000000000001E-3</v>
      </c>
      <c r="Q72" s="1308">
        <f t="shared" si="1"/>
        <v>9.7390000000000004E-2</v>
      </c>
      <c r="R72" s="1306">
        <f>'Rates in Detail'!S75</f>
        <v>0</v>
      </c>
      <c r="S72" s="1307">
        <f>'Rates in Detail'!T75</f>
        <v>-9.2000000000000003E-4</v>
      </c>
      <c r="T72" s="1307">
        <f>'Rates in Detail'!U75</f>
        <v>3.2000000000000003E-4</v>
      </c>
      <c r="U72" s="1314">
        <f t="shared" si="2"/>
        <v>9.647E-2</v>
      </c>
      <c r="V72" s="1306">
        <f>'Rates in Detail'!AC75</f>
        <v>2.2799999999999999E-3</v>
      </c>
      <c r="W72" s="1531">
        <f>'Rates in Detail'!AD75</f>
        <v>-9.0000000000000006E-5</v>
      </c>
      <c r="X72" s="1307">
        <f>'Rates in Detail'!AE75</f>
        <v>0</v>
      </c>
      <c r="Y72" s="1527">
        <f>'Rates in Detail'!AF75</f>
        <v>-8.8999999999999995E-4</v>
      </c>
      <c r="Z72" s="1317">
        <f t="shared" si="3"/>
        <v>9.8369999999999999E-2</v>
      </c>
      <c r="AA72" s="130"/>
    </row>
    <row r="73" spans="2:27" x14ac:dyDescent="0.3">
      <c r="B73" s="109">
        <f t="shared" si="4"/>
        <v>64</v>
      </c>
      <c r="C73" s="1287"/>
      <c r="D73" s="1287" t="s">
        <v>7</v>
      </c>
      <c r="E73" s="114">
        <v>100000</v>
      </c>
      <c r="F73" s="115">
        <f>'WA Volumes &amp; Revenues'!E78</f>
        <v>3359916</v>
      </c>
      <c r="G73" s="115"/>
      <c r="H73" s="890"/>
      <c r="I73" s="891"/>
      <c r="J73" s="620">
        <f>'Rates in Detail'!E76</f>
        <v>7.3609999999999995E-2</v>
      </c>
      <c r="K73" s="622">
        <f>'Rates in Detail'!H76</f>
        <v>0</v>
      </c>
      <c r="L73" s="622">
        <f>'Rates in Detail'!F76</f>
        <v>0</v>
      </c>
      <c r="M73" s="622">
        <f>'Rates in Detail'!I76</f>
        <v>3.0999999999999995E-4</v>
      </c>
      <c r="N73" s="136">
        <f t="shared" si="0"/>
        <v>7.392E-2</v>
      </c>
      <c r="O73" s="1306">
        <f>'Rates in Detail'!L76</f>
        <v>4.8300000000000001E-3</v>
      </c>
      <c r="P73" s="1307">
        <f>'Rates in Detail'!P76</f>
        <v>-8.1999999999999998E-4</v>
      </c>
      <c r="Q73" s="1308">
        <f t="shared" si="1"/>
        <v>7.7929999999999999E-2</v>
      </c>
      <c r="R73" s="1306">
        <f>'Rates in Detail'!S76</f>
        <v>0</v>
      </c>
      <c r="S73" s="1307">
        <f>'Rates in Detail'!T76</f>
        <v>-7.3999999999999999E-4</v>
      </c>
      <c r="T73" s="1307">
        <f>'Rates in Detail'!U76</f>
        <v>2.5999999999999998E-4</v>
      </c>
      <c r="U73" s="1314">
        <f t="shared" si="2"/>
        <v>7.7189999999999995E-2</v>
      </c>
      <c r="V73" s="1306">
        <f>'Rates in Detail'!AC76</f>
        <v>1.83E-3</v>
      </c>
      <c r="W73" s="1531">
        <f>'Rates in Detail'!AD76</f>
        <v>-6.9999999999999994E-5</v>
      </c>
      <c r="X73" s="1307">
        <f>'Rates in Detail'!AE76</f>
        <v>0</v>
      </c>
      <c r="Y73" s="1527">
        <f>'Rates in Detail'!AF76</f>
        <v>-7.1000000000000002E-4</v>
      </c>
      <c r="Z73" s="1317">
        <f t="shared" si="3"/>
        <v>7.8719999999999984E-2</v>
      </c>
      <c r="AA73" s="130"/>
    </row>
    <row r="74" spans="2:27" x14ac:dyDescent="0.3">
      <c r="B74" s="109">
        <f t="shared" si="4"/>
        <v>65</v>
      </c>
      <c r="C74" s="1287"/>
      <c r="D74" s="1287" t="s">
        <v>8</v>
      </c>
      <c r="E74" s="114">
        <v>600000</v>
      </c>
      <c r="F74" s="115">
        <f>'WA Volumes &amp; Revenues'!E79</f>
        <v>1349120</v>
      </c>
      <c r="G74" s="115"/>
      <c r="H74" s="890"/>
      <c r="I74" s="891"/>
      <c r="J74" s="620">
        <f>'Rates in Detail'!E77</f>
        <v>4.9079999999999999E-2</v>
      </c>
      <c r="K74" s="622">
        <f>'Rates in Detail'!H77</f>
        <v>0</v>
      </c>
      <c r="L74" s="622">
        <f>'Rates in Detail'!F77</f>
        <v>0</v>
      </c>
      <c r="M74" s="622">
        <f>'Rates in Detail'!I77</f>
        <v>2.0999999999999998E-4</v>
      </c>
      <c r="N74" s="136">
        <f t="shared" si="0"/>
        <v>4.929E-2</v>
      </c>
      <c r="O74" s="1306">
        <f>'Rates in Detail'!L77</f>
        <v>3.2200000000000002E-3</v>
      </c>
      <c r="P74" s="1307">
        <f>'Rates in Detail'!P77</f>
        <v>-5.5000000000000003E-4</v>
      </c>
      <c r="Q74" s="1308">
        <f t="shared" si="1"/>
        <v>5.1959999999999999E-2</v>
      </c>
      <c r="R74" s="1306">
        <f>'Rates in Detail'!S77</f>
        <v>0</v>
      </c>
      <c r="S74" s="1307">
        <f>'Rates in Detail'!T77</f>
        <v>-4.8999999999999998E-4</v>
      </c>
      <c r="T74" s="1307">
        <f>'Rates in Detail'!U77</f>
        <v>1.7000000000000001E-4</v>
      </c>
      <c r="U74" s="1314">
        <f t="shared" si="2"/>
        <v>5.1470000000000002E-2</v>
      </c>
      <c r="V74" s="1306">
        <f>'Rates in Detail'!AC77</f>
        <v>1.2199999999999999E-3</v>
      </c>
      <c r="W74" s="1531">
        <f>'Rates in Detail'!AD77</f>
        <v>-5.0000000000000002E-5</v>
      </c>
      <c r="X74" s="1307">
        <f>'Rates in Detail'!AE77</f>
        <v>0</v>
      </c>
      <c r="Y74" s="1527">
        <f>'Rates in Detail'!AF77</f>
        <v>-4.6999999999999999E-4</v>
      </c>
      <c r="Z74" s="1317">
        <f t="shared" si="3"/>
        <v>5.2490000000000002E-2</v>
      </c>
      <c r="AA74" s="130"/>
    </row>
    <row r="75" spans="2:27" x14ac:dyDescent="0.3">
      <c r="B75" s="109">
        <f t="shared" si="4"/>
        <v>66</v>
      </c>
      <c r="C75" s="110"/>
      <c r="D75" s="110" t="s">
        <v>9</v>
      </c>
      <c r="E75" s="111" t="s">
        <v>72</v>
      </c>
      <c r="F75" s="112">
        <f>'WA Volumes &amp; Revenues'!E80</f>
        <v>0</v>
      </c>
      <c r="G75" s="112"/>
      <c r="H75" s="885"/>
      <c r="I75" s="887"/>
      <c r="J75" s="620">
        <f>'Rates in Detail'!E78</f>
        <v>1.839E-2</v>
      </c>
      <c r="K75" s="622">
        <f>'Rates in Detail'!H78</f>
        <v>0</v>
      </c>
      <c r="L75" s="622">
        <f>'Rates in Detail'!F78</f>
        <v>0</v>
      </c>
      <c r="M75" s="622">
        <f>'Rates in Detail'!I78</f>
        <v>6.9999999999999994E-5</v>
      </c>
      <c r="N75" s="621">
        <f t="shared" ref="N75:N78" si="5">SUM(J75:M75)</f>
        <v>1.8460000000000001E-2</v>
      </c>
      <c r="O75" s="1306">
        <f>'Rates in Detail'!L78</f>
        <v>1.2099999999999999E-3</v>
      </c>
      <c r="P75" s="1307">
        <f>'Rates in Detail'!P78</f>
        <v>-2.0000000000000001E-4</v>
      </c>
      <c r="Q75" s="1308">
        <f t="shared" ref="Q75:Q78" si="6">SUM(N75:P75)</f>
        <v>1.9470000000000001E-2</v>
      </c>
      <c r="R75" s="1306">
        <f>'Rates in Detail'!S78</f>
        <v>0</v>
      </c>
      <c r="S75" s="1307">
        <f>'Rates in Detail'!T78</f>
        <v>-1.8000000000000001E-4</v>
      </c>
      <c r="T75" s="1307">
        <f>'Rates in Detail'!U78</f>
        <v>6.0000000000000002E-5</v>
      </c>
      <c r="U75" s="1314">
        <f t="shared" ref="U75:U78" si="7">SUM(Q75:S75)</f>
        <v>1.9290000000000002E-2</v>
      </c>
      <c r="V75" s="1306">
        <f>'Rates in Detail'!AC78</f>
        <v>4.6000000000000001E-4</v>
      </c>
      <c r="W75" s="1531">
        <f>'Rates in Detail'!AD78</f>
        <v>-2.0000000000000002E-5</v>
      </c>
      <c r="X75" s="1307">
        <f>'Rates in Detail'!AE78</f>
        <v>0</v>
      </c>
      <c r="Y75" s="1527">
        <f>'Rates in Detail'!AF78</f>
        <v>-1.8000000000000001E-4</v>
      </c>
      <c r="Z75" s="1317">
        <f t="shared" ref="Z75:Z78" si="8">SUM(U75:Y75)-(R75+S75+T75)</f>
        <v>1.967E-2</v>
      </c>
      <c r="AA75" s="130"/>
    </row>
    <row r="76" spans="2:27" x14ac:dyDescent="0.3">
      <c r="B76" s="109">
        <f t="shared" ref="B76:B78" si="9">B75+1</f>
        <v>67</v>
      </c>
      <c r="C76" s="1286" t="str">
        <f>'WA Volumes &amp; Revenues'!B81</f>
        <v>43 Firm Transpt</v>
      </c>
      <c r="D76" s="110" t="s">
        <v>270</v>
      </c>
      <c r="E76" s="110" t="s">
        <v>270</v>
      </c>
      <c r="F76" s="112">
        <f>'WA Volumes &amp; Revenues'!E81</f>
        <v>0</v>
      </c>
      <c r="G76" s="112">
        <f>'WA Volumes &amp; Revenues'!H81</f>
        <v>0</v>
      </c>
      <c r="H76" s="885">
        <f>'WA Volumes &amp; Revenues'!O81</f>
        <v>38000</v>
      </c>
      <c r="I76" s="887">
        <f>'WA Volumes &amp; Revenues'!N81</f>
        <v>38000</v>
      </c>
      <c r="J76" s="617">
        <f>'Rates in Detail'!E79</f>
        <v>4.9099999999999994E-3</v>
      </c>
      <c r="K76" s="618">
        <f>'Rates in Detail'!H79</f>
        <v>0</v>
      </c>
      <c r="L76" s="618">
        <f>'Rates in Detail'!F79</f>
        <v>0</v>
      </c>
      <c r="M76" s="618">
        <f>'Rates in Detail'!I79</f>
        <v>1.0000000000000001E-5</v>
      </c>
      <c r="N76" s="134">
        <f t="shared" si="5"/>
        <v>4.919999999999999E-3</v>
      </c>
      <c r="O76" s="117">
        <f>'Rates in Detail'!L79</f>
        <v>0</v>
      </c>
      <c r="P76" s="1309">
        <f>'Rates in Detail'!P79</f>
        <v>0</v>
      </c>
      <c r="Q76" s="1310">
        <f t="shared" si="6"/>
        <v>4.919999999999999E-3</v>
      </c>
      <c r="R76" s="117">
        <f>'Rates in Detail'!S79</f>
        <v>0</v>
      </c>
      <c r="S76" s="1309">
        <f>'Rates in Detail'!T79</f>
        <v>-4.0000000000000003E-5</v>
      </c>
      <c r="T76" s="1309">
        <f>'Rates in Detail'!U79</f>
        <v>2.0000000000000002E-5</v>
      </c>
      <c r="U76" s="1315">
        <f t="shared" si="7"/>
        <v>4.8799999999999989E-3</v>
      </c>
      <c r="V76" s="117">
        <f>'Rates in Detail'!AC79</f>
        <v>0</v>
      </c>
      <c r="W76" s="1532">
        <f>'Rates in Detail'!AD79</f>
        <v>0</v>
      </c>
      <c r="X76" s="1309">
        <f>'Rates in Detail'!AE79</f>
        <v>0</v>
      </c>
      <c r="Y76" s="1528">
        <f>'Rates in Detail'!AF79</f>
        <v>-4.0000000000000003E-5</v>
      </c>
      <c r="Z76" s="1317">
        <f t="shared" si="8"/>
        <v>4.8599999999999989E-3</v>
      </c>
      <c r="AA76" s="130"/>
    </row>
    <row r="77" spans="2:27" x14ac:dyDescent="0.3">
      <c r="B77" s="109">
        <f t="shared" si="9"/>
        <v>68</v>
      </c>
      <c r="C77" s="1286" t="str">
        <f>'WA Volumes &amp; Revenues'!B82</f>
        <v>43 Interr Transpt</v>
      </c>
      <c r="D77" s="110" t="s">
        <v>270</v>
      </c>
      <c r="E77" s="110" t="s">
        <v>270</v>
      </c>
      <c r="F77" s="112">
        <f>'WA Volumes &amp; Revenues'!E82</f>
        <v>0</v>
      </c>
      <c r="G77" s="112">
        <f>'WA Volumes &amp; Revenues'!H82</f>
        <v>0</v>
      </c>
      <c r="H77" s="885">
        <f>'WA Volumes &amp; Revenues'!O82</f>
        <v>38000</v>
      </c>
      <c r="I77" s="887">
        <f>'WA Volumes &amp; Revenues'!N82</f>
        <v>38000</v>
      </c>
      <c r="J77" s="617">
        <f>'Rates in Detail'!E80</f>
        <v>4.9099999999999994E-3</v>
      </c>
      <c r="K77" s="618">
        <f>'Rates in Detail'!H80</f>
        <v>0</v>
      </c>
      <c r="L77" s="618">
        <f>'Rates in Detail'!F80</f>
        <v>0</v>
      </c>
      <c r="M77" s="618">
        <f>'Rates in Detail'!I80</f>
        <v>1.0000000000000001E-5</v>
      </c>
      <c r="N77" s="134">
        <f t="shared" si="5"/>
        <v>4.919999999999999E-3</v>
      </c>
      <c r="O77" s="117">
        <f>'Rates in Detail'!L80</f>
        <v>0</v>
      </c>
      <c r="P77" s="1309">
        <f>'Rates in Detail'!P80</f>
        <v>0</v>
      </c>
      <c r="Q77" s="1310">
        <f t="shared" si="6"/>
        <v>4.919999999999999E-3</v>
      </c>
      <c r="R77" s="117">
        <f>'Rates in Detail'!S80</f>
        <v>0</v>
      </c>
      <c r="S77" s="1309">
        <f>'Rates in Detail'!T80</f>
        <v>-4.0000000000000003E-5</v>
      </c>
      <c r="T77" s="1309">
        <f>'Rates in Detail'!U80</f>
        <v>2.0000000000000002E-5</v>
      </c>
      <c r="U77" s="1315">
        <f t="shared" si="7"/>
        <v>4.8799999999999989E-3</v>
      </c>
      <c r="V77" s="117">
        <f>'Rates in Detail'!AC80</f>
        <v>0</v>
      </c>
      <c r="W77" s="1532">
        <f>'Rates in Detail'!AD80</f>
        <v>0</v>
      </c>
      <c r="X77" s="1309">
        <f>'Rates in Detail'!AE80</f>
        <v>0</v>
      </c>
      <c r="Y77" s="1528">
        <f>'Rates in Detail'!AF80</f>
        <v>-4.0000000000000003E-5</v>
      </c>
      <c r="Z77" s="1317">
        <f t="shared" si="8"/>
        <v>4.8599999999999989E-3</v>
      </c>
      <c r="AA77" s="130"/>
    </row>
    <row r="78" spans="2:27" ht="13.5" thickBot="1" x14ac:dyDescent="0.35">
      <c r="B78" s="1360">
        <f t="shared" si="9"/>
        <v>69</v>
      </c>
      <c r="C78" s="1286" t="str">
        <f>'WA Volumes &amp; Revenues'!B83</f>
        <v>Special Contract</v>
      </c>
      <c r="D78" s="110" t="s">
        <v>270</v>
      </c>
      <c r="E78" s="110" t="s">
        <v>270</v>
      </c>
      <c r="F78" s="112">
        <f>'WA Volumes &amp; Revenues'!E83</f>
        <v>2895114</v>
      </c>
      <c r="G78" s="112">
        <f>'WA Volumes &amp; Revenues'!H83</f>
        <v>1</v>
      </c>
      <c r="H78" s="885">
        <f>'WA Volumes &amp; Revenues'!O83</f>
        <v>0</v>
      </c>
      <c r="I78" s="887">
        <f>'WA Volumes &amp; Revenues'!N83</f>
        <v>0</v>
      </c>
      <c r="J78" s="617">
        <f>'Rates in Detail'!E81</f>
        <v>0</v>
      </c>
      <c r="K78" s="618">
        <f>'Rates in Detail'!H81</f>
        <v>0</v>
      </c>
      <c r="L78" s="618">
        <f>'Rates in Detail'!F81</f>
        <v>0</v>
      </c>
      <c r="M78" s="618">
        <f>'Rates in Detail'!I81</f>
        <v>0</v>
      </c>
      <c r="N78" s="134">
        <f t="shared" si="5"/>
        <v>0</v>
      </c>
      <c r="O78" s="117">
        <f>'Rates in Detail'!L81</f>
        <v>0</v>
      </c>
      <c r="P78" s="1309">
        <f>'Rates in Detail'!P81</f>
        <v>0</v>
      </c>
      <c r="Q78" s="1311">
        <f t="shared" si="6"/>
        <v>0</v>
      </c>
      <c r="R78" s="117">
        <f>'Rates in Detail'!S81</f>
        <v>0</v>
      </c>
      <c r="S78" s="1309">
        <f>'Rates in Detail'!T81</f>
        <v>0</v>
      </c>
      <c r="T78" s="1309">
        <f>'Rates in Detail'!U81</f>
        <v>0</v>
      </c>
      <c r="U78" s="1316">
        <f t="shared" si="7"/>
        <v>0</v>
      </c>
      <c r="V78" s="117">
        <f>'Rates in Detail'!AC81</f>
        <v>0</v>
      </c>
      <c r="W78" s="1533">
        <f>'Rates in Detail'!AD81</f>
        <v>0</v>
      </c>
      <c r="X78" s="1535">
        <f>'Rates in Detail'!AE81</f>
        <v>0</v>
      </c>
      <c r="Y78" s="1529">
        <f>'Rates in Detail'!AF81</f>
        <v>0</v>
      </c>
      <c r="Z78" s="1317">
        <f t="shared" si="8"/>
        <v>0</v>
      </c>
      <c r="AA78" s="130"/>
    </row>
  </sheetData>
  <mergeCells count="3">
    <mergeCell ref="J7:N7"/>
    <mergeCell ref="V6:Z6"/>
    <mergeCell ref="O6:U6"/>
  </mergeCells>
  <printOptions verticalCentered="1"/>
  <pageMargins left="0.5" right="0.5" top="0.5" bottom="0.5" header="0.25" footer="0.25"/>
  <pageSetup scale="43" orientation="landscape" r:id="rId1"/>
  <headerFooter alignWithMargins="0">
    <oddHeader>&amp;RUG 388 - NW Natural/2500
Wyman/WP02</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AA113"/>
  <sheetViews>
    <sheetView view="pageLayout" zoomScaleNormal="80" workbookViewId="0">
      <selection activeCell="E99" sqref="E99"/>
    </sheetView>
  </sheetViews>
  <sheetFormatPr defaultRowHeight="13" outlineLevelRow="1" x14ac:dyDescent="0.3"/>
  <cols>
    <col min="1" max="1" width="2.19921875" customWidth="1"/>
    <col min="3" max="3" width="55.5" customWidth="1"/>
    <col min="4" max="4" width="17.796875" bestFit="1" customWidth="1"/>
    <col min="5" max="5" width="16.69921875" customWidth="1"/>
    <col min="6" max="6" width="15.5" customWidth="1"/>
    <col min="7" max="8" width="15.19921875" bestFit="1" customWidth="1"/>
    <col min="9" max="27" width="14.296875" customWidth="1"/>
    <col min="28" max="28" width="2.19921875" customWidth="1"/>
  </cols>
  <sheetData>
    <row r="1" spans="1:27" ht="15.5" x14ac:dyDescent="0.35">
      <c r="A1" s="713" t="str">
        <f>'WA Volumes &amp; Revenues'!A1</f>
        <v>NW Natural</v>
      </c>
      <c r="B1" s="712"/>
      <c r="C1" s="1"/>
      <c r="D1" s="1"/>
      <c r="E1" s="1"/>
      <c r="F1" s="1"/>
      <c r="G1" s="1"/>
      <c r="H1" s="1"/>
      <c r="I1" s="1"/>
      <c r="J1" s="1"/>
      <c r="K1" s="1"/>
      <c r="L1" s="1"/>
      <c r="M1" s="1"/>
      <c r="N1" s="1"/>
      <c r="O1" s="1"/>
      <c r="P1" s="1"/>
      <c r="Q1" s="1"/>
      <c r="R1" s="1"/>
      <c r="S1" s="1"/>
      <c r="T1" s="1"/>
      <c r="U1" s="1"/>
      <c r="V1" s="1"/>
      <c r="W1" s="1"/>
      <c r="X1" s="1"/>
      <c r="Y1" s="1"/>
      <c r="Z1" s="1"/>
      <c r="AA1" s="1"/>
    </row>
    <row r="2" spans="1:27" ht="15.5" x14ac:dyDescent="0.35">
      <c r="A2" s="713" t="str">
        <f>'WA Volumes &amp; Revenues'!A2</f>
        <v>Rates &amp; Regulatory Affairs</v>
      </c>
      <c r="B2" s="712"/>
      <c r="C2" s="1"/>
      <c r="D2" s="1"/>
      <c r="E2" s="1"/>
      <c r="F2" s="1"/>
      <c r="G2" s="1"/>
      <c r="H2" s="1"/>
      <c r="I2" s="1"/>
      <c r="J2" s="1057"/>
      <c r="K2" s="1057"/>
      <c r="L2" s="1057"/>
      <c r="M2" s="1057"/>
      <c r="N2" s="1057"/>
      <c r="O2" s="1057"/>
      <c r="P2" s="1057"/>
      <c r="Q2" s="1057"/>
      <c r="R2" s="1057"/>
      <c r="S2" s="1057"/>
      <c r="T2" s="1057"/>
      <c r="U2" s="1057"/>
      <c r="V2" s="1057"/>
      <c r="W2" s="1057"/>
      <c r="X2" s="1057"/>
      <c r="Y2" s="1057"/>
      <c r="Z2" s="1"/>
      <c r="AA2" s="1"/>
    </row>
    <row r="3" spans="1:27" ht="15.5" x14ac:dyDescent="0.35">
      <c r="A3" s="713" t="str">
        <f>'WA Volumes &amp; Revenues'!A3</f>
        <v>Test Year Ending September 30, 2020</v>
      </c>
      <c r="B3" s="712"/>
      <c r="C3" s="1"/>
      <c r="D3" s="1"/>
      <c r="E3" s="1"/>
      <c r="F3" s="1"/>
      <c r="G3" s="1"/>
      <c r="H3" s="1"/>
      <c r="I3" s="1"/>
      <c r="J3" s="1058"/>
      <c r="K3" s="1058"/>
      <c r="L3" s="1058"/>
      <c r="M3" s="1058"/>
      <c r="N3" s="1058"/>
      <c r="O3" s="1058"/>
      <c r="P3" s="1058"/>
      <c r="Q3" s="1058"/>
      <c r="R3" s="1058"/>
      <c r="S3" s="1058"/>
      <c r="T3" s="1058"/>
      <c r="U3" s="1058"/>
      <c r="V3" s="1058"/>
      <c r="W3" s="1058"/>
      <c r="X3" s="1058"/>
      <c r="Y3" s="1058"/>
      <c r="Z3" s="1"/>
      <c r="AA3" s="1"/>
    </row>
    <row r="4" spans="1:27" ht="15.5" x14ac:dyDescent="0.35">
      <c r="A4" s="713" t="str">
        <f>'WA Volumes &amp; Revenues'!A4</f>
        <v>Year One: October 1, 2020 through October 31, 2021</v>
      </c>
      <c r="B4" s="712"/>
      <c r="C4" s="1"/>
      <c r="D4" s="1"/>
      <c r="E4" s="1"/>
      <c r="F4" s="1"/>
      <c r="G4" s="1"/>
      <c r="H4" s="1"/>
      <c r="I4" s="1"/>
      <c r="J4" s="1058"/>
      <c r="K4" s="1058"/>
      <c r="L4" s="1058"/>
      <c r="M4" s="1058"/>
      <c r="N4" s="1058"/>
      <c r="O4" s="1058"/>
      <c r="P4" s="1059"/>
      <c r="Q4" s="1059"/>
      <c r="R4" s="1059"/>
      <c r="S4" s="1059"/>
      <c r="T4" s="1059"/>
      <c r="U4" s="1059"/>
      <c r="V4" s="1059"/>
      <c r="W4" s="1059"/>
      <c r="X4" s="1059"/>
      <c r="Y4" s="1059"/>
      <c r="Z4" s="1"/>
      <c r="AA4" s="1"/>
    </row>
    <row r="5" spans="1:27" ht="15.5" x14ac:dyDescent="0.35">
      <c r="A5" s="713" t="str">
        <f>'WA Volumes &amp; Revenues'!A5</f>
        <v>Year One: November 1, 2021 through October 31, 2022</v>
      </c>
      <c r="B5" s="712"/>
      <c r="C5" s="1"/>
      <c r="D5" s="1"/>
      <c r="E5" s="1"/>
      <c r="F5" s="1"/>
      <c r="G5" s="1"/>
      <c r="H5" s="1"/>
      <c r="I5" s="1"/>
      <c r="J5" s="1061"/>
      <c r="K5" s="1061"/>
      <c r="L5" s="1062"/>
      <c r="M5" s="1062"/>
      <c r="N5" s="1062"/>
      <c r="O5" s="1062"/>
      <c r="P5" s="1062"/>
      <c r="Q5" s="1062"/>
      <c r="R5" s="1062"/>
      <c r="S5" s="1063"/>
      <c r="T5" s="1063"/>
      <c r="U5" s="1063"/>
      <c r="V5" s="1063"/>
      <c r="W5" s="1063"/>
      <c r="X5" s="1063"/>
      <c r="Y5" s="1063"/>
      <c r="Z5" s="1064"/>
      <c r="AA5" s="1"/>
    </row>
    <row r="6" spans="1:27" ht="15.5" x14ac:dyDescent="0.35">
      <c r="A6" s="714" t="s">
        <v>579</v>
      </c>
      <c r="B6" s="712"/>
      <c r="C6" s="1"/>
      <c r="D6" s="1"/>
      <c r="E6" s="23"/>
      <c r="F6" s="24"/>
      <c r="G6" s="1"/>
      <c r="H6" s="1"/>
      <c r="I6" s="1"/>
      <c r="J6" s="10"/>
      <c r="K6" s="10"/>
      <c r="L6" s="10"/>
      <c r="M6" s="10"/>
      <c r="N6" s="10"/>
      <c r="O6" s="10"/>
      <c r="P6" s="10"/>
      <c r="Q6" s="10"/>
      <c r="R6" s="10"/>
      <c r="S6" s="10"/>
      <c r="T6" s="10"/>
      <c r="U6" s="10"/>
      <c r="V6" s="8"/>
      <c r="W6" s="8"/>
      <c r="X6" s="8"/>
      <c r="Y6" s="8"/>
      <c r="Z6" s="1"/>
      <c r="AA6" s="1"/>
    </row>
    <row r="7" spans="1:27" ht="14.5" x14ac:dyDescent="0.35">
      <c r="A7" s="715"/>
      <c r="B7" s="3"/>
      <c r="C7" s="2"/>
      <c r="D7" s="1394"/>
      <c r="E7" s="1060">
        <v>1</v>
      </c>
      <c r="F7" s="1060">
        <v>2</v>
      </c>
      <c r="G7" s="1060">
        <v>3</v>
      </c>
      <c r="H7" s="1060">
        <v>4</v>
      </c>
      <c r="I7" s="1060">
        <v>5</v>
      </c>
      <c r="J7" s="1060">
        <v>6</v>
      </c>
      <c r="K7" s="1060">
        <v>7</v>
      </c>
      <c r="L7" s="1060">
        <v>8</v>
      </c>
      <c r="M7" s="1060">
        <v>9</v>
      </c>
      <c r="N7" s="1060">
        <v>10</v>
      </c>
      <c r="O7" s="1060">
        <v>11</v>
      </c>
      <c r="P7" s="1060">
        <v>12</v>
      </c>
      <c r="Q7" s="1060">
        <v>13</v>
      </c>
      <c r="R7" s="1060">
        <v>14</v>
      </c>
      <c r="S7" s="1060">
        <v>15</v>
      </c>
      <c r="T7" s="1060">
        <v>16</v>
      </c>
      <c r="U7" s="1060">
        <v>17</v>
      </c>
      <c r="V7" s="1060">
        <v>18</v>
      </c>
      <c r="W7" s="1060">
        <v>19</v>
      </c>
      <c r="X7" s="1060">
        <v>20</v>
      </c>
      <c r="Y7" s="1060">
        <v>21</v>
      </c>
      <c r="Z7" s="1060">
        <v>22</v>
      </c>
      <c r="AA7" s="1060">
        <v>23</v>
      </c>
    </row>
    <row r="8" spans="1:27" x14ac:dyDescent="0.3">
      <c r="B8" s="3"/>
      <c r="C8" s="4"/>
      <c r="D8" s="976" t="s">
        <v>136</v>
      </c>
      <c r="E8" s="1395" t="s">
        <v>137</v>
      </c>
      <c r="F8" s="1395" t="s">
        <v>138</v>
      </c>
      <c r="G8" s="1395" t="s">
        <v>137</v>
      </c>
      <c r="H8" s="1395" t="s">
        <v>138</v>
      </c>
      <c r="I8" s="1395" t="s">
        <v>139</v>
      </c>
      <c r="J8" s="1395" t="s">
        <v>138</v>
      </c>
      <c r="K8" s="1395" t="s">
        <v>138</v>
      </c>
      <c r="L8" s="1395" t="s">
        <v>139</v>
      </c>
      <c r="M8" s="1395" t="s">
        <v>138</v>
      </c>
      <c r="N8" s="30" t="s">
        <v>140</v>
      </c>
      <c r="O8" s="30" t="s">
        <v>26</v>
      </c>
      <c r="P8" s="30" t="s">
        <v>140</v>
      </c>
      <c r="Q8" s="1395" t="s">
        <v>138</v>
      </c>
      <c r="R8" s="1395" t="s">
        <v>140</v>
      </c>
      <c r="S8" s="1395" t="s">
        <v>138</v>
      </c>
      <c r="T8" s="1395" t="s">
        <v>140</v>
      </c>
      <c r="U8" s="1395" t="s">
        <v>138</v>
      </c>
      <c r="V8" s="1395" t="s">
        <v>140</v>
      </c>
      <c r="W8" s="1395" t="s">
        <v>138</v>
      </c>
      <c r="X8" s="1395" t="s">
        <v>140</v>
      </c>
      <c r="Y8" s="30"/>
      <c r="Z8" s="1395"/>
      <c r="AA8" s="1395"/>
    </row>
    <row r="9" spans="1:27" x14ac:dyDescent="0.3">
      <c r="B9" s="3"/>
      <c r="C9" s="4"/>
      <c r="D9" s="976" t="s">
        <v>141</v>
      </c>
      <c r="E9" s="1396" t="s">
        <v>82</v>
      </c>
      <c r="F9" s="1396" t="s">
        <v>82</v>
      </c>
      <c r="G9" s="1396" t="s">
        <v>142</v>
      </c>
      <c r="H9" s="1396" t="s">
        <v>82</v>
      </c>
      <c r="I9" s="1396" t="s">
        <v>82</v>
      </c>
      <c r="J9" s="1396" t="s">
        <v>82</v>
      </c>
      <c r="K9" s="1396" t="s">
        <v>82</v>
      </c>
      <c r="L9" s="1396" t="s">
        <v>82</v>
      </c>
      <c r="M9" s="1396" t="s">
        <v>82</v>
      </c>
      <c r="N9" s="1396" t="s">
        <v>82</v>
      </c>
      <c r="O9" s="1396" t="s">
        <v>132</v>
      </c>
      <c r="P9" s="1396" t="s">
        <v>132</v>
      </c>
      <c r="Q9" s="1396" t="s">
        <v>82</v>
      </c>
      <c r="R9" s="1396" t="s">
        <v>82</v>
      </c>
      <c r="S9" s="1396" t="s">
        <v>132</v>
      </c>
      <c r="T9" s="1396" t="s">
        <v>132</v>
      </c>
      <c r="U9" s="1396" t="s">
        <v>82</v>
      </c>
      <c r="V9" s="1396" t="s">
        <v>352</v>
      </c>
      <c r="W9" s="1396" t="s">
        <v>132</v>
      </c>
      <c r="X9" s="1396" t="s">
        <v>132</v>
      </c>
      <c r="Y9" s="1396" t="s">
        <v>132</v>
      </c>
      <c r="Z9" s="1396" t="s">
        <v>132</v>
      </c>
      <c r="AA9" s="1396" t="s">
        <v>373</v>
      </c>
    </row>
    <row r="10" spans="1:27" x14ac:dyDescent="0.3">
      <c r="B10" s="3"/>
      <c r="C10" s="5"/>
      <c r="D10" s="1397"/>
      <c r="E10" s="1396" t="s">
        <v>143</v>
      </c>
      <c r="F10" s="1396" t="s">
        <v>143</v>
      </c>
      <c r="G10" s="1396" t="s">
        <v>143</v>
      </c>
      <c r="H10" s="1396" t="s">
        <v>143</v>
      </c>
      <c r="I10" s="1396" t="s">
        <v>143</v>
      </c>
      <c r="J10" s="1396" t="s">
        <v>143</v>
      </c>
      <c r="K10" s="1396" t="s">
        <v>143</v>
      </c>
      <c r="L10" s="1396" t="s">
        <v>143</v>
      </c>
      <c r="M10" s="1396" t="s">
        <v>144</v>
      </c>
      <c r="N10" s="1396" t="s">
        <v>144</v>
      </c>
      <c r="O10" s="1396" t="s">
        <v>143</v>
      </c>
      <c r="P10" s="1396" t="s">
        <v>143</v>
      </c>
      <c r="Q10" s="1396" t="s">
        <v>143</v>
      </c>
      <c r="R10" s="1396" t="s">
        <v>143</v>
      </c>
      <c r="S10" s="1396" t="s">
        <v>143</v>
      </c>
      <c r="T10" s="1396" t="s">
        <v>143</v>
      </c>
      <c r="U10" s="1396" t="s">
        <v>144</v>
      </c>
      <c r="V10" s="1396" t="s">
        <v>144</v>
      </c>
      <c r="W10" s="1396" t="s">
        <v>144</v>
      </c>
      <c r="X10" s="1396" t="s">
        <v>144</v>
      </c>
      <c r="Y10" s="1396" t="s">
        <v>143</v>
      </c>
      <c r="Z10" s="1396" t="s">
        <v>144</v>
      </c>
      <c r="AA10" s="1396" t="s">
        <v>382</v>
      </c>
    </row>
    <row r="11" spans="1:27" ht="15" thickBot="1" x14ac:dyDescent="0.4">
      <c r="B11" s="6" t="s">
        <v>145</v>
      </c>
      <c r="C11" s="7"/>
      <c r="D11" s="1398" t="s">
        <v>146</v>
      </c>
      <c r="E11" s="1399" t="s">
        <v>419</v>
      </c>
      <c r="F11" s="1400" t="s">
        <v>420</v>
      </c>
      <c r="G11" s="1400" t="s">
        <v>421</v>
      </c>
      <c r="H11" s="1400" t="s">
        <v>422</v>
      </c>
      <c r="I11" s="1400" t="s">
        <v>423</v>
      </c>
      <c r="J11" s="1400" t="s">
        <v>434</v>
      </c>
      <c r="K11" s="1400" t="s">
        <v>339</v>
      </c>
      <c r="L11" s="1400" t="s">
        <v>340</v>
      </c>
      <c r="M11" s="1400" t="s">
        <v>342</v>
      </c>
      <c r="N11" s="1400" t="s">
        <v>343</v>
      </c>
      <c r="O11" s="1400" t="s">
        <v>344</v>
      </c>
      <c r="P11" s="1400" t="s">
        <v>345</v>
      </c>
      <c r="Q11" s="1400" t="s">
        <v>346</v>
      </c>
      <c r="R11" s="1400" t="s">
        <v>347</v>
      </c>
      <c r="S11" s="1400" t="s">
        <v>348</v>
      </c>
      <c r="T11" s="1400" t="s">
        <v>349</v>
      </c>
      <c r="U11" s="1400" t="s">
        <v>350</v>
      </c>
      <c r="V11" s="1400" t="s">
        <v>351</v>
      </c>
      <c r="W11" s="1400" t="s">
        <v>353</v>
      </c>
      <c r="X11" s="1401" t="s">
        <v>354</v>
      </c>
      <c r="Y11" s="1400" t="s">
        <v>56</v>
      </c>
      <c r="Z11" s="1400" t="s">
        <v>335</v>
      </c>
      <c r="AA11" s="1400" t="s">
        <v>373</v>
      </c>
    </row>
    <row r="12" spans="1:27" ht="15" thickTop="1" x14ac:dyDescent="0.35">
      <c r="B12" s="9"/>
      <c r="C12" s="31"/>
      <c r="D12" s="32"/>
      <c r="E12" s="33"/>
      <c r="F12" s="34"/>
      <c r="G12" s="34"/>
      <c r="H12" s="34"/>
      <c r="I12" s="34"/>
      <c r="J12" s="35"/>
      <c r="K12" s="35"/>
      <c r="L12" s="35"/>
      <c r="M12" s="35"/>
      <c r="N12" s="35"/>
      <c r="O12" s="35"/>
      <c r="P12" s="35"/>
      <c r="Q12" s="35"/>
      <c r="R12" s="35"/>
      <c r="S12" s="36"/>
      <c r="T12" s="36"/>
      <c r="U12" s="36"/>
      <c r="V12" s="36"/>
      <c r="W12" s="36"/>
      <c r="X12" s="36"/>
      <c r="Y12" s="36"/>
      <c r="Z12" s="34"/>
      <c r="AA12" s="34"/>
    </row>
    <row r="13" spans="1:27" x14ac:dyDescent="0.3">
      <c r="B13" s="3"/>
      <c r="C13" s="8"/>
      <c r="D13" s="9" t="s">
        <v>341</v>
      </c>
      <c r="E13" s="10"/>
      <c r="F13" s="10"/>
      <c r="G13" s="10"/>
      <c r="H13" s="10"/>
      <c r="I13" s="10"/>
      <c r="J13" s="10"/>
      <c r="K13" s="10"/>
      <c r="L13" s="10"/>
      <c r="M13" s="8"/>
      <c r="N13" s="8"/>
      <c r="O13" s="8"/>
      <c r="P13" s="8"/>
      <c r="Q13" s="8"/>
      <c r="R13" s="8"/>
      <c r="S13" s="8"/>
      <c r="T13" s="8"/>
      <c r="U13" s="8"/>
      <c r="V13" s="8"/>
      <c r="W13" s="8"/>
      <c r="X13" s="8"/>
      <c r="Y13" s="8"/>
      <c r="Z13" s="8"/>
      <c r="AA13" s="8"/>
    </row>
    <row r="14" spans="1:27" x14ac:dyDescent="0.3">
      <c r="B14" s="3">
        <v>1</v>
      </c>
      <c r="C14" s="28" t="s">
        <v>204</v>
      </c>
      <c r="D14" s="898">
        <f>SUM(E14:AA14)</f>
        <v>78333454.662138224</v>
      </c>
      <c r="E14" s="1068">
        <f>'[24]Total Revenue'!$Q$6</f>
        <v>283691.13211741613</v>
      </c>
      <c r="F14" s="1068">
        <f>'[24]Total Revenue'!$Q$8</f>
        <v>53871.380821902283</v>
      </c>
      <c r="G14" s="1068">
        <f>'[24]Total Revenue'!$Q$7</f>
        <v>53008197.589697547</v>
      </c>
      <c r="H14" s="1068">
        <f>'[24]Total Revenue'!$Q$9</f>
        <v>16112007.068833409</v>
      </c>
      <c r="I14" s="1068">
        <f>'[24]Total Revenue'!$Q$24</f>
        <v>241043.72505190157</v>
      </c>
      <c r="J14" s="1068">
        <f>'[24]Total Revenue'!$Q$10</f>
        <v>363218.20437801839</v>
      </c>
      <c r="K14" s="1068">
        <f>'[24]Total Revenue'!$Q$14</f>
        <v>2853836.1753150364</v>
      </c>
      <c r="L14" s="1068">
        <f>'[24]Total Revenue'!$Q$28</f>
        <v>747266.28046789952</v>
      </c>
      <c r="M14" s="1068">
        <f>'[24]Total Revenue'!$Q$40</f>
        <v>0</v>
      </c>
      <c r="N14" s="1068">
        <f>'[24]Total Revenue'!$Q$44</f>
        <v>0</v>
      </c>
      <c r="O14" s="1068">
        <f>'[24]Total Revenue'!$Q$65</f>
        <v>189841.33809000003</v>
      </c>
      <c r="P14" s="1068">
        <f>'[24]Total Revenue'!$Q$69</f>
        <v>0</v>
      </c>
      <c r="Q14" s="1068">
        <f>'[24]Total Revenue'!$Q$22</f>
        <v>470188.60083981924</v>
      </c>
      <c r="R14" s="1068">
        <f>'[24]Total Revenue'!$Q$36</f>
        <v>1154958.3793378912</v>
      </c>
      <c r="S14" s="1068">
        <f>'[24]Total Revenue'!$Q$77</f>
        <v>360784.67333999998</v>
      </c>
      <c r="T14" s="1068">
        <f>'[24]Total Revenue'!$Q$85</f>
        <v>823615.79209999996</v>
      </c>
      <c r="U14" s="1068">
        <f>'[24]Total Revenue'!$Q$52</f>
        <v>430728.61187958985</v>
      </c>
      <c r="V14" s="1068">
        <f>'[24]Total Revenue'!$Q$60</f>
        <v>171731.03459599178</v>
      </c>
      <c r="W14" s="1068">
        <f>'[24]Total Revenue'!$Q$93</f>
        <v>0</v>
      </c>
      <c r="X14" s="1068">
        <f>'[24]Total Revenue'!$Q$101</f>
        <v>825480.07319999998</v>
      </c>
      <c r="Y14" s="1069">
        <f>'[24]Total Revenue'!$Q$103</f>
        <v>0</v>
      </c>
      <c r="Z14" s="1070">
        <f>'[24]Total Revenue'!$Q$104</f>
        <v>0</v>
      </c>
      <c r="AA14" s="1070">
        <f>'[24]Total Revenue'!$Q$106</f>
        <v>242994.60207180592</v>
      </c>
    </row>
    <row r="15" spans="1:27" x14ac:dyDescent="0.3">
      <c r="B15" s="3">
        <v>2</v>
      </c>
      <c r="C15" s="28" t="s">
        <v>383</v>
      </c>
      <c r="D15" s="899">
        <f>SUM(E15:AA15)</f>
        <v>49604902.662138224</v>
      </c>
      <c r="E15" s="1071">
        <f>'[24]Monthly Margin'!$Q$6</f>
        <v>208635.1321174161</v>
      </c>
      <c r="F15" s="1071">
        <f>'[24]Monthly Margin'!$Q$8</f>
        <v>37604.380821902283</v>
      </c>
      <c r="G15" s="1071">
        <f>'[24]Monthly Margin'!$Q$7</f>
        <v>33798099.589697547</v>
      </c>
      <c r="H15" s="1071">
        <f>'[24]Monthly Margin'!$Q$9</f>
        <v>9866168.0688334089</v>
      </c>
      <c r="I15" s="1071">
        <f>'[24]Monthly Margin'!$Q$24</f>
        <v>141888.72505190157</v>
      </c>
      <c r="J15" s="1071">
        <f>'[24]Monthly Margin'!$Q$10</f>
        <v>201938.20437801833</v>
      </c>
      <c r="K15" s="1071">
        <f>'[24]Monthly Margin'!$Q$14</f>
        <v>1542348.175315036</v>
      </c>
      <c r="L15" s="1071">
        <f>'[24]Monthly Margin'!$Q$28</f>
        <v>392614.2804678994</v>
      </c>
      <c r="M15" s="1071">
        <f>'[24]Monthly Margin'!$Q$40</f>
        <v>0</v>
      </c>
      <c r="N15" s="1071">
        <f>'[24]Monthly Margin'!$Q$44</f>
        <v>0</v>
      </c>
      <c r="O15" s="1071">
        <f>'[24]Monthly Margin'!$Q$65</f>
        <v>189841.33809000003</v>
      </c>
      <c r="P15" s="1071">
        <f>'[24]Monthly Margin'!$Q$69</f>
        <v>0</v>
      </c>
      <c r="Q15" s="1071">
        <f>'[24]Monthly Margin'!$Q$22</f>
        <v>219574.60083981926</v>
      </c>
      <c r="R15" s="1071">
        <f>'[24]Monthly Margin'!$Q$36</f>
        <v>511672.37933789124</v>
      </c>
      <c r="S15" s="1071">
        <f>'[24]Monthly Margin'!$Q$77</f>
        <v>360784.67333999998</v>
      </c>
      <c r="T15" s="1071">
        <f>'[24]Monthly Margin'!$Q$85</f>
        <v>823615.79209999996</v>
      </c>
      <c r="U15" s="1071">
        <f>'[24]Monthly Margin'!$Q$52</f>
        <v>160512.61187958997</v>
      </c>
      <c r="V15" s="1071">
        <f>'[24]Monthly Margin'!$Q$60</f>
        <v>81130.03459599179</v>
      </c>
      <c r="W15" s="1071">
        <f>'[24]Monthly Margin'!$Q$93</f>
        <v>0</v>
      </c>
      <c r="X15" s="1071">
        <f>'[24]Monthly Margin'!$Q$101</f>
        <v>825480.07319999998</v>
      </c>
      <c r="Y15" s="1072">
        <f>'[24]Monthly Margin'!$Q$103</f>
        <v>0</v>
      </c>
      <c r="Z15" s="1073">
        <f>'[24]Monthly Margin'!$Q$104</f>
        <v>0</v>
      </c>
      <c r="AA15" s="1073">
        <f>'[24]Monthly Margin'!$Q$106</f>
        <v>242994.60207180592</v>
      </c>
    </row>
    <row r="16" spans="1:27" x14ac:dyDescent="0.3">
      <c r="B16" s="3">
        <v>3</v>
      </c>
      <c r="C16" s="8" t="s">
        <v>147</v>
      </c>
      <c r="D16" s="17">
        <f>D15/$D$15</f>
        <v>1</v>
      </c>
      <c r="E16" s="17">
        <f>E15/$D$15</f>
        <v>4.2059377384215772E-3</v>
      </c>
      <c r="F16" s="17">
        <f t="shared" ref="F16:Z16" si="0">F15/$D$15</f>
        <v>7.5807790770254769E-4</v>
      </c>
      <c r="G16" s="17">
        <f t="shared" si="0"/>
        <v>0.68134595122377928</v>
      </c>
      <c r="H16" s="17">
        <f t="shared" si="0"/>
        <v>0.19889501922889424</v>
      </c>
      <c r="I16" s="17">
        <f t="shared" si="0"/>
        <v>2.8603770481783553E-3</v>
      </c>
      <c r="J16" s="17">
        <f t="shared" si="0"/>
        <v>4.0709323784673219E-3</v>
      </c>
      <c r="K16" s="17">
        <f t="shared" si="0"/>
        <v>3.1092656018701537E-2</v>
      </c>
      <c r="L16" s="17">
        <f t="shared" si="0"/>
        <v>7.9148281600715416E-3</v>
      </c>
      <c r="M16" s="17">
        <f t="shared" si="0"/>
        <v>0</v>
      </c>
      <c r="N16" s="17">
        <f t="shared" si="0"/>
        <v>0</v>
      </c>
      <c r="O16" s="17">
        <f t="shared" si="0"/>
        <v>3.8270680497655652E-3</v>
      </c>
      <c r="P16" s="17">
        <f t="shared" si="0"/>
        <v>0</v>
      </c>
      <c r="Q16" s="17">
        <f t="shared" si="0"/>
        <v>4.4264697450442387E-3</v>
      </c>
      <c r="R16" s="17">
        <f t="shared" si="0"/>
        <v>1.0314955818438361E-2</v>
      </c>
      <c r="S16" s="17">
        <f t="shared" si="0"/>
        <v>7.2731656343995804E-3</v>
      </c>
      <c r="T16" s="17">
        <f t="shared" si="0"/>
        <v>1.6603515940948284E-2</v>
      </c>
      <c r="U16" s="17">
        <f t="shared" si="0"/>
        <v>3.2358215270141821E-3</v>
      </c>
      <c r="V16" s="17">
        <f t="shared" si="0"/>
        <v>1.6355245195938193E-3</v>
      </c>
      <c r="W16" s="17">
        <f t="shared" si="0"/>
        <v>0</v>
      </c>
      <c r="X16" s="17">
        <f t="shared" si="0"/>
        <v>1.6641098538634196E-2</v>
      </c>
      <c r="Y16" s="17">
        <f t="shared" si="0"/>
        <v>0</v>
      </c>
      <c r="Z16" s="17">
        <f t="shared" si="0"/>
        <v>0</v>
      </c>
      <c r="AA16" s="17">
        <f>AA15/$D$15</f>
        <v>4.8986005219454976E-3</v>
      </c>
    </row>
    <row r="17" spans="2:27" x14ac:dyDescent="0.3">
      <c r="B17" s="3"/>
      <c r="C17" s="8"/>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2:27" x14ac:dyDescent="0.3">
      <c r="B18" s="3"/>
      <c r="C18" s="8" t="s">
        <v>150</v>
      </c>
      <c r="D18" s="22">
        <f>SUM(E18:AA18)</f>
        <v>37287356</v>
      </c>
      <c r="E18" s="21">
        <f>'WA Volumes &amp; Revenues'!Q15</f>
        <v>145254</v>
      </c>
      <c r="F18" s="21">
        <f>'WA Volumes &amp; Revenues'!Q16</f>
        <v>34043</v>
      </c>
      <c r="G18" s="21">
        <f>'WA Volumes &amp; Revenues'!Q17</f>
        <v>25177503</v>
      </c>
      <c r="H18" s="21">
        <f>'WA Volumes &amp; Revenues'!Q18</f>
        <v>7927324</v>
      </c>
      <c r="I18" s="21">
        <f>'WA Volumes &amp; Revenues'!Q19</f>
        <v>131186</v>
      </c>
      <c r="J18" s="21">
        <f>'WA Volumes &amp; Revenues'!Q20</f>
        <v>111135</v>
      </c>
      <c r="K18" s="21">
        <f>'WA Volumes &amp; Revenues'!Q21</f>
        <v>1212467</v>
      </c>
      <c r="L18" s="21">
        <f>'WA Volumes &amp; Revenues'!Q23</f>
        <v>323732</v>
      </c>
      <c r="M18" s="21">
        <f>'WA Volumes &amp; Revenues'!Q25</f>
        <v>0</v>
      </c>
      <c r="N18" s="21">
        <f>'WA Volumes &amp; Revenues'!Q27</f>
        <v>0</v>
      </c>
      <c r="O18" s="21">
        <f>'WA Volumes &amp; Revenues'!Q29</f>
        <v>142341</v>
      </c>
      <c r="P18" s="21">
        <f>'WA Volumes &amp; Revenues'!Q31</f>
        <v>0</v>
      </c>
      <c r="Q18" s="21">
        <f>'WA Volumes &amp; Revenues'!Q33</f>
        <v>101365</v>
      </c>
      <c r="R18" s="21">
        <f>'WA Volumes &amp; Revenues'!Q39</f>
        <v>256403</v>
      </c>
      <c r="S18" s="21">
        <f>'WA Volumes &amp; Revenues'!Q45</f>
        <v>266582</v>
      </c>
      <c r="T18" s="21">
        <f>'WA Volumes &amp; Revenues'!Q51</f>
        <v>607101</v>
      </c>
      <c r="U18" s="21">
        <f>'WA Volumes &amp; Revenues'!Q57</f>
        <v>111934</v>
      </c>
      <c r="V18" s="21">
        <f>'WA Volumes &amp; Revenues'!Q63</f>
        <v>43706</v>
      </c>
      <c r="W18" s="21">
        <f>'WA Volumes &amp; Revenues'!Q69</f>
        <v>0</v>
      </c>
      <c r="X18" s="21">
        <f>'WA Volumes &amp; Revenues'!Q75</f>
        <v>695280</v>
      </c>
      <c r="Y18" s="21">
        <f>'WA Volumes &amp; Revenues'!L81</f>
        <v>0</v>
      </c>
      <c r="Z18" s="21">
        <f>'WA Volumes &amp; Revenues'!Q82</f>
        <v>0</v>
      </c>
      <c r="AA18" s="21">
        <f>'WA Volumes &amp; Revenues'!Q83</f>
        <v>0</v>
      </c>
    </row>
    <row r="19" spans="2:27" x14ac:dyDescent="0.3">
      <c r="B19" s="3"/>
      <c r="C19" s="8"/>
      <c r="D19" s="22"/>
      <c r="E19" s="21"/>
      <c r="F19" s="21"/>
      <c r="G19" s="21"/>
      <c r="H19" s="21"/>
      <c r="I19" s="21"/>
      <c r="J19" s="21"/>
      <c r="K19" s="21"/>
      <c r="L19" s="21"/>
      <c r="M19" s="21"/>
      <c r="N19" s="21"/>
      <c r="O19" s="21"/>
      <c r="P19" s="21"/>
      <c r="Q19" s="21"/>
      <c r="R19" s="21"/>
      <c r="S19" s="21"/>
      <c r="T19" s="21"/>
      <c r="U19" s="21"/>
      <c r="V19" s="21"/>
      <c r="W19" s="21"/>
      <c r="X19" s="21"/>
      <c r="Y19" s="21"/>
      <c r="Z19" s="21"/>
      <c r="AA19" s="21"/>
    </row>
    <row r="20" spans="2:27" x14ac:dyDescent="0.3">
      <c r="B20" s="3">
        <v>4</v>
      </c>
      <c r="C20" s="1084" t="s">
        <v>402</v>
      </c>
      <c r="D20" s="22"/>
      <c r="E20" s="1403" t="s">
        <v>559</v>
      </c>
      <c r="F20" s="21"/>
      <c r="G20" s="21"/>
      <c r="H20" s="21"/>
      <c r="I20" s="21"/>
      <c r="J20" s="21"/>
      <c r="K20" s="21"/>
      <c r="L20" s="21"/>
      <c r="M20" s="21"/>
      <c r="N20" s="21"/>
      <c r="O20" s="21"/>
      <c r="P20" s="21"/>
      <c r="Q20" s="21"/>
      <c r="R20" s="21"/>
      <c r="S20" s="21"/>
      <c r="T20" s="21"/>
      <c r="U20" s="21"/>
      <c r="V20" s="21"/>
      <c r="W20" s="21"/>
      <c r="X20" s="21"/>
      <c r="Y20" s="21"/>
      <c r="Z20" s="21"/>
      <c r="AA20" s="21"/>
    </row>
    <row r="21" spans="2:27" x14ac:dyDescent="0.3">
      <c r="B21" s="3" t="s">
        <v>159</v>
      </c>
      <c r="C21" s="13" t="s">
        <v>555</v>
      </c>
      <c r="D21" s="15">
        <v>5000000</v>
      </c>
      <c r="E21" s="1402" t="s">
        <v>558</v>
      </c>
      <c r="F21" s="21"/>
      <c r="G21" s="21"/>
      <c r="H21" s="21"/>
      <c r="I21" s="21"/>
      <c r="J21" s="21"/>
      <c r="K21" s="21"/>
      <c r="L21" s="21"/>
      <c r="M21" s="21"/>
      <c r="N21" s="21"/>
      <c r="O21" s="21"/>
      <c r="P21" s="21"/>
      <c r="Q21" s="21"/>
      <c r="R21" s="21"/>
      <c r="S21" s="21"/>
      <c r="T21" s="21"/>
      <c r="U21" s="21"/>
      <c r="V21" s="21"/>
      <c r="W21" s="21"/>
      <c r="X21" s="21"/>
      <c r="Y21" s="21"/>
      <c r="Z21" s="21"/>
      <c r="AA21" s="21"/>
    </row>
    <row r="22" spans="2:27" x14ac:dyDescent="0.3">
      <c r="B22" s="3" t="s">
        <v>160</v>
      </c>
      <c r="C22" s="28" t="s">
        <v>432</v>
      </c>
      <c r="D22" s="1087">
        <f>'Allocation = % of Margin'!AB8</f>
        <v>-462252</v>
      </c>
      <c r="E22" s="1402" t="s">
        <v>557</v>
      </c>
      <c r="F22" s="1074" t="s">
        <v>580</v>
      </c>
      <c r="G22" s="11"/>
      <c r="H22" s="11"/>
      <c r="I22" s="11"/>
      <c r="J22" s="11"/>
      <c r="K22" s="11"/>
      <c r="L22" s="11"/>
      <c r="M22" s="11"/>
      <c r="N22" s="11"/>
      <c r="O22" s="11"/>
      <c r="P22" s="11"/>
      <c r="Q22" s="11"/>
      <c r="R22" s="11"/>
      <c r="S22" s="11"/>
      <c r="T22" s="11"/>
      <c r="U22" s="11"/>
      <c r="V22" s="11"/>
      <c r="W22" s="11"/>
      <c r="X22" s="11"/>
      <c r="Y22" s="11"/>
      <c r="Z22" s="11"/>
      <c r="AA22" s="11"/>
    </row>
    <row r="23" spans="2:27" x14ac:dyDescent="0.3">
      <c r="B23" s="12" t="s">
        <v>161</v>
      </c>
      <c r="C23" s="13" t="s">
        <v>581</v>
      </c>
      <c r="D23" s="607">
        <f>D21-D22</f>
        <v>5462252</v>
      </c>
      <c r="E23" s="1402" t="s">
        <v>557</v>
      </c>
      <c r="F23" s="1074" t="s">
        <v>716</v>
      </c>
      <c r="G23" s="14"/>
      <c r="H23" s="14"/>
      <c r="I23" s="14"/>
      <c r="J23" s="14"/>
      <c r="K23" s="14"/>
      <c r="L23" s="14"/>
      <c r="M23" s="14"/>
      <c r="N23" s="14"/>
      <c r="O23" s="14"/>
      <c r="P23" s="14"/>
      <c r="Q23" s="14"/>
      <c r="R23" s="14"/>
      <c r="S23" s="14"/>
      <c r="T23" s="14"/>
      <c r="U23" s="14"/>
      <c r="V23" s="14"/>
      <c r="W23" s="14"/>
      <c r="X23" s="14"/>
      <c r="Y23" s="14"/>
      <c r="Z23" s="14"/>
      <c r="AA23" s="14"/>
    </row>
    <row r="24" spans="2:27" x14ac:dyDescent="0.3">
      <c r="B24" s="12" t="s">
        <v>186</v>
      </c>
      <c r="C24" s="13" t="s">
        <v>239</v>
      </c>
      <c r="D24" s="1449">
        <v>0</v>
      </c>
      <c r="E24" s="1402"/>
      <c r="F24" s="1074" t="s">
        <v>556</v>
      </c>
      <c r="G24" s="14"/>
      <c r="H24" s="14"/>
      <c r="I24" s="14"/>
      <c r="J24" s="14"/>
      <c r="K24" s="14"/>
      <c r="L24" s="14"/>
      <c r="M24" s="14"/>
      <c r="N24" s="14"/>
      <c r="O24" s="14"/>
      <c r="P24" s="14"/>
      <c r="Q24" s="14"/>
      <c r="R24" s="14"/>
      <c r="S24" s="14"/>
      <c r="T24" s="14"/>
      <c r="U24" s="14"/>
      <c r="V24" s="14"/>
      <c r="W24" s="14"/>
      <c r="X24" s="14"/>
      <c r="Y24" s="14"/>
      <c r="Z24" s="14"/>
      <c r="AA24" s="14"/>
    </row>
    <row r="25" spans="2:27" x14ac:dyDescent="0.3">
      <c r="B25" s="12" t="s">
        <v>238</v>
      </c>
      <c r="C25" s="13" t="s">
        <v>444</v>
      </c>
      <c r="D25" s="900">
        <f>D23+D24</f>
        <v>5462252</v>
      </c>
      <c r="E25" s="50"/>
      <c r="F25" s="11"/>
      <c r="G25" s="14"/>
      <c r="H25" s="14"/>
      <c r="I25" s="14"/>
      <c r="J25" s="897"/>
      <c r="K25" s="897"/>
      <c r="L25" s="14"/>
      <c r="M25" s="14"/>
      <c r="N25" s="14"/>
      <c r="O25" s="14"/>
      <c r="P25" s="14"/>
      <c r="Q25" s="14"/>
      <c r="R25" s="14"/>
      <c r="S25" s="14"/>
      <c r="T25" s="14"/>
      <c r="U25" s="14"/>
      <c r="V25" s="14"/>
      <c r="W25" s="14"/>
      <c r="X25" s="14"/>
      <c r="Y25" s="14"/>
      <c r="Z25" s="14"/>
      <c r="AA25" s="14"/>
    </row>
    <row r="26" spans="2:27" x14ac:dyDescent="0.3">
      <c r="B26" s="12"/>
      <c r="C26" s="13"/>
      <c r="D26" s="1085"/>
      <c r="E26" s="50"/>
      <c r="F26" s="11"/>
      <c r="G26" s="14"/>
      <c r="H26" s="14"/>
      <c r="I26" s="14"/>
      <c r="J26" s="897"/>
      <c r="K26" s="897"/>
      <c r="L26" s="14"/>
      <c r="M26" s="14"/>
      <c r="N26" s="14"/>
      <c r="O26" s="14"/>
      <c r="P26" s="14"/>
      <c r="Q26" s="14"/>
      <c r="R26" s="14"/>
      <c r="S26" s="14"/>
      <c r="T26" s="14"/>
      <c r="U26" s="14"/>
      <c r="V26" s="14"/>
      <c r="W26" s="14"/>
      <c r="X26" s="14"/>
      <c r="Y26" s="14"/>
      <c r="Z26" s="14"/>
      <c r="AA26" s="14"/>
    </row>
    <row r="27" spans="2:27" x14ac:dyDescent="0.3">
      <c r="B27" s="12">
        <v>5</v>
      </c>
      <c r="C27" s="1084" t="s">
        <v>397</v>
      </c>
      <c r="D27" s="1085"/>
      <c r="E27" s="50"/>
      <c r="F27" s="11"/>
      <c r="G27" s="14"/>
      <c r="H27" s="14"/>
      <c r="I27" s="14"/>
      <c r="J27" s="897"/>
      <c r="K27" s="897"/>
      <c r="L27" s="14"/>
      <c r="M27" s="14"/>
      <c r="N27" s="14"/>
      <c r="O27" s="14"/>
      <c r="P27" s="14"/>
      <c r="Q27" s="14"/>
      <c r="R27" s="14"/>
      <c r="S27" s="14"/>
      <c r="T27" s="14"/>
      <c r="U27" s="14"/>
      <c r="V27" s="14"/>
      <c r="W27" s="14"/>
      <c r="X27" s="14"/>
      <c r="Y27" s="14"/>
      <c r="Z27" s="14"/>
      <c r="AA27" s="14"/>
    </row>
    <row r="28" spans="2:27" x14ac:dyDescent="0.3">
      <c r="B28" s="12" t="s">
        <v>426</v>
      </c>
      <c r="C28" s="13" t="s">
        <v>555</v>
      </c>
      <c r="D28" s="15">
        <v>3000000</v>
      </c>
      <c r="E28" s="1402" t="s">
        <v>558</v>
      </c>
      <c r="F28" s="11"/>
      <c r="G28" s="14"/>
      <c r="H28" s="14"/>
      <c r="I28" s="14"/>
      <c r="J28" s="897"/>
      <c r="K28" s="897"/>
      <c r="L28" s="14"/>
      <c r="M28" s="14"/>
      <c r="N28" s="14"/>
      <c r="O28" s="14"/>
      <c r="P28" s="14"/>
      <c r="Q28" s="14"/>
      <c r="R28" s="14"/>
      <c r="S28" s="14"/>
      <c r="T28" s="14"/>
      <c r="U28" s="14"/>
      <c r="V28" s="14"/>
      <c r="W28" s="14"/>
      <c r="X28" s="14"/>
      <c r="Y28" s="14"/>
      <c r="Z28" s="14"/>
      <c r="AA28" s="14"/>
    </row>
    <row r="29" spans="2:27" x14ac:dyDescent="0.3">
      <c r="B29" s="12" t="s">
        <v>427</v>
      </c>
      <c r="C29" s="13" t="s">
        <v>581</v>
      </c>
      <c r="D29" s="607">
        <f>D28</f>
        <v>3000000</v>
      </c>
      <c r="E29" s="1402" t="s">
        <v>557</v>
      </c>
      <c r="F29" s="1074" t="s">
        <v>716</v>
      </c>
      <c r="G29" s="14"/>
      <c r="H29" s="14"/>
      <c r="I29" s="14"/>
      <c r="J29" s="897"/>
      <c r="K29" s="897"/>
      <c r="L29" s="14"/>
      <c r="M29" s="14"/>
      <c r="N29" s="14"/>
      <c r="O29" s="14"/>
      <c r="P29" s="14"/>
      <c r="Q29" s="14"/>
      <c r="R29" s="14"/>
      <c r="S29" s="14"/>
      <c r="T29" s="14"/>
      <c r="U29" s="14"/>
      <c r="V29" s="14"/>
      <c r="W29" s="14"/>
      <c r="X29" s="14"/>
      <c r="Y29" s="14"/>
      <c r="Z29" s="14"/>
      <c r="AA29" s="14"/>
    </row>
    <row r="30" spans="2:27" x14ac:dyDescent="0.3">
      <c r="B30" s="12" t="s">
        <v>428</v>
      </c>
      <c r="C30" s="13" t="s">
        <v>239</v>
      </c>
      <c r="D30" s="1449">
        <v>0</v>
      </c>
      <c r="F30" s="1074" t="s">
        <v>556</v>
      </c>
      <c r="G30" s="14"/>
      <c r="H30" s="14"/>
      <c r="I30" s="14"/>
      <c r="J30" s="897"/>
      <c r="K30" s="897"/>
      <c r="L30" s="14"/>
      <c r="M30" s="14"/>
      <c r="N30" s="14"/>
      <c r="O30" s="14"/>
      <c r="P30" s="14"/>
      <c r="Q30" s="14"/>
      <c r="R30" s="14"/>
      <c r="S30" s="14"/>
      <c r="T30" s="14"/>
      <c r="U30" s="14"/>
      <c r="V30" s="14"/>
      <c r="W30" s="14"/>
      <c r="X30" s="14"/>
      <c r="Y30" s="14"/>
      <c r="Z30" s="14"/>
      <c r="AA30" s="14"/>
    </row>
    <row r="31" spans="2:27" x14ac:dyDescent="0.3">
      <c r="B31" s="12" t="s">
        <v>429</v>
      </c>
      <c r="C31" s="13" t="s">
        <v>445</v>
      </c>
      <c r="D31" s="900">
        <f>D29+D30</f>
        <v>3000000</v>
      </c>
      <c r="E31" s="50"/>
      <c r="G31" s="14"/>
      <c r="H31" s="14"/>
      <c r="I31" s="14"/>
      <c r="J31" s="897"/>
      <c r="K31" s="897"/>
      <c r="L31" s="14"/>
      <c r="M31" s="14"/>
      <c r="N31" s="14"/>
      <c r="O31" s="14"/>
      <c r="P31" s="14"/>
      <c r="Q31" s="14"/>
      <c r="R31" s="14"/>
      <c r="S31" s="14"/>
      <c r="T31" s="14"/>
      <c r="U31" s="14"/>
      <c r="V31" s="14"/>
      <c r="W31" s="14"/>
      <c r="X31" s="14"/>
      <c r="Y31" s="14"/>
      <c r="Z31" s="14"/>
      <c r="AA31" s="14"/>
    </row>
    <row r="32" spans="2:27" x14ac:dyDescent="0.3">
      <c r="B32" s="12"/>
      <c r="C32" s="13"/>
      <c r="D32" s="1085"/>
      <c r="E32" s="50"/>
      <c r="F32" s="11"/>
      <c r="G32" s="14"/>
      <c r="H32" s="14"/>
      <c r="I32" s="14"/>
      <c r="J32" s="897"/>
      <c r="K32" s="897"/>
      <c r="L32" s="14"/>
      <c r="M32" s="14"/>
      <c r="N32" s="14"/>
      <c r="O32" s="14"/>
      <c r="P32" s="14"/>
      <c r="Q32" s="14"/>
      <c r="R32" s="14"/>
      <c r="S32" s="14"/>
      <c r="T32" s="14"/>
      <c r="U32" s="14"/>
      <c r="V32" s="14"/>
      <c r="W32" s="14"/>
      <c r="X32" s="14"/>
      <c r="Y32" s="14"/>
      <c r="Z32" s="14"/>
      <c r="AA32" s="14"/>
    </row>
    <row r="33" spans="2:27" x14ac:dyDescent="0.3">
      <c r="D33" s="608"/>
      <c r="E33" s="609"/>
      <c r="J33" s="19"/>
      <c r="K33" s="19"/>
    </row>
    <row r="34" spans="2:27" x14ac:dyDescent="0.3">
      <c r="B34" s="26" t="s">
        <v>594</v>
      </c>
      <c r="D34" s="610"/>
      <c r="E34" s="27"/>
      <c r="H34" s="1404"/>
      <c r="I34" s="27"/>
    </row>
    <row r="35" spans="2:27" x14ac:dyDescent="0.3">
      <c r="B35" s="26"/>
      <c r="D35" s="610"/>
      <c r="E35" s="27"/>
      <c r="H35" s="1404"/>
      <c r="I35" s="27"/>
    </row>
    <row r="36" spans="2:27" s="27" customFormat="1" x14ac:dyDescent="0.3">
      <c r="B36" s="41" t="s">
        <v>164</v>
      </c>
      <c r="C36" s="28"/>
      <c r="D36" s="38"/>
      <c r="E36" s="38"/>
      <c r="F36" s="38"/>
      <c r="G36" s="38"/>
      <c r="H36" s="38"/>
      <c r="I36" s="38"/>
      <c r="J36" s="38"/>
      <c r="K36" s="38"/>
      <c r="L36" s="38"/>
      <c r="M36" s="38"/>
      <c r="N36" s="38"/>
      <c r="O36" s="38"/>
      <c r="P36" s="38"/>
      <c r="Q36" s="38"/>
      <c r="R36" s="38"/>
      <c r="S36" s="38"/>
      <c r="T36" s="38"/>
      <c r="U36" s="38"/>
      <c r="V36" s="38"/>
      <c r="W36" s="38"/>
      <c r="X36" s="38"/>
      <c r="Y36" s="38"/>
      <c r="Z36" s="38"/>
      <c r="AA36" s="38"/>
    </row>
    <row r="37" spans="2:27" s="27" customFormat="1" x14ac:dyDescent="0.3">
      <c r="B37" s="18" t="s">
        <v>433</v>
      </c>
      <c r="C37" s="18"/>
      <c r="D37" s="18"/>
      <c r="E37" s="18"/>
      <c r="F37" s="1077"/>
      <c r="G37" s="38"/>
      <c r="H37" s="38"/>
      <c r="J37" s="38"/>
      <c r="K37" s="38"/>
      <c r="L37" s="38"/>
      <c r="M37" s="38"/>
      <c r="N37" s="38"/>
      <c r="O37" s="38"/>
      <c r="P37" s="38"/>
      <c r="Q37" s="38"/>
      <c r="R37" s="38"/>
      <c r="S37" s="38"/>
      <c r="T37" s="38"/>
      <c r="U37" s="38"/>
      <c r="V37" s="38"/>
      <c r="W37" s="38"/>
      <c r="X37" s="38"/>
      <c r="Y37" s="38"/>
      <c r="Z37" s="38"/>
      <c r="AA37" s="38"/>
    </row>
    <row r="38" spans="2:27" s="27" customFormat="1" x14ac:dyDescent="0.3">
      <c r="B38" s="43"/>
      <c r="C38" s="43"/>
      <c r="D38" s="43"/>
      <c r="E38" s="43"/>
      <c r="F38" s="43"/>
      <c r="G38" s="38"/>
      <c r="H38" s="38"/>
      <c r="J38" s="38"/>
      <c r="K38" s="38"/>
      <c r="L38" s="38"/>
      <c r="M38" s="38"/>
      <c r="N38" s="38"/>
      <c r="O38" s="38"/>
      <c r="P38" s="38"/>
      <c r="Q38" s="38"/>
      <c r="R38" s="38"/>
      <c r="S38" s="38"/>
      <c r="T38" s="38"/>
      <c r="U38" s="38"/>
      <c r="V38" s="38"/>
      <c r="W38" s="38"/>
      <c r="X38" s="38"/>
      <c r="Y38" s="38"/>
      <c r="Z38" s="38"/>
      <c r="AA38" s="38"/>
    </row>
    <row r="39" spans="2:27" s="27" customFormat="1" x14ac:dyDescent="0.3">
      <c r="B39" s="30"/>
      <c r="C39" s="28"/>
      <c r="D39" s="38"/>
      <c r="E39" s="38"/>
      <c r="F39" s="38"/>
      <c r="G39" s="38"/>
      <c r="H39" s="38"/>
      <c r="I39" s="38"/>
      <c r="J39" s="38"/>
      <c r="K39" s="38"/>
      <c r="L39" s="38"/>
      <c r="M39" s="38"/>
      <c r="N39" s="38"/>
      <c r="O39" s="38"/>
      <c r="P39" s="38"/>
      <c r="Q39" s="38"/>
      <c r="R39" s="38"/>
      <c r="S39" s="38"/>
      <c r="T39" s="38"/>
      <c r="U39" s="38"/>
      <c r="V39" s="38"/>
      <c r="W39" s="38"/>
      <c r="X39" s="38"/>
      <c r="Y39" s="38"/>
      <c r="Z39" s="38"/>
      <c r="AA39" s="38"/>
    </row>
    <row r="40" spans="2:27" x14ac:dyDescent="0.3">
      <c r="B40" s="3">
        <v>6</v>
      </c>
      <c r="C40" s="8" t="s">
        <v>166</v>
      </c>
      <c r="D40" s="39">
        <f>SUM(E40:Z40)</f>
        <v>-462252.00000000012</v>
      </c>
      <c r="E40" s="40">
        <f t="shared" ref="E40:Z40" si="1">($D$22*(E15/($D$15-$AA$15)))</f>
        <v>-1953.7738892545167</v>
      </c>
      <c r="F40" s="40">
        <f t="shared" si="1"/>
        <v>-352.14806167001689</v>
      </c>
      <c r="G40" s="40">
        <f t="shared" si="1"/>
        <v>-316503.95508466999</v>
      </c>
      <c r="H40" s="40">
        <f t="shared" si="1"/>
        <v>-92392.21297127963</v>
      </c>
      <c r="I40" s="40">
        <f t="shared" si="1"/>
        <v>-1328.7238988590134</v>
      </c>
      <c r="J40" s="40">
        <f t="shared" si="1"/>
        <v>-1891.0601822068654</v>
      </c>
      <c r="K40" s="40">
        <f t="shared" si="1"/>
        <v>-14443.394851515121</v>
      </c>
      <c r="L40" s="40">
        <f t="shared" si="1"/>
        <v>-3676.6556137579591</v>
      </c>
      <c r="M40" s="40">
        <f t="shared" si="1"/>
        <v>0</v>
      </c>
      <c r="N40" s="40">
        <f t="shared" si="1"/>
        <v>0</v>
      </c>
      <c r="O40" s="40">
        <f t="shared" si="1"/>
        <v>-1777.7784867633948</v>
      </c>
      <c r="P40" s="40">
        <f t="shared" si="1"/>
        <v>0</v>
      </c>
      <c r="Q40" s="40">
        <f t="shared" si="1"/>
        <v>-2056.2170786408528</v>
      </c>
      <c r="R40" s="40">
        <f t="shared" si="1"/>
        <v>-4791.5809981633165</v>
      </c>
      <c r="S40" s="40">
        <f t="shared" si="1"/>
        <v>-3378.5857025182681</v>
      </c>
      <c r="T40" s="40">
        <f t="shared" si="1"/>
        <v>-7712.7903294688185</v>
      </c>
      <c r="U40" s="40">
        <f t="shared" si="1"/>
        <v>-1503.1281970761077</v>
      </c>
      <c r="V40" s="40">
        <f t="shared" si="1"/>
        <v>-759.74617323202267</v>
      </c>
      <c r="W40" s="40">
        <f t="shared" si="1"/>
        <v>0</v>
      </c>
      <c r="X40" s="40">
        <f t="shared" si="1"/>
        <v>-7730.2484809241587</v>
      </c>
      <c r="Y40" s="40">
        <f t="shared" si="1"/>
        <v>0</v>
      </c>
      <c r="Z40" s="40">
        <f t="shared" si="1"/>
        <v>0</v>
      </c>
      <c r="AA40" s="40">
        <v>0</v>
      </c>
    </row>
    <row r="41" spans="2:27" x14ac:dyDescent="0.3">
      <c r="B41" s="3"/>
      <c r="C41" s="8"/>
      <c r="D41" s="38"/>
      <c r="E41" s="38"/>
      <c r="F41" s="38"/>
      <c r="G41" s="38"/>
      <c r="H41" s="38"/>
      <c r="I41" s="38"/>
      <c r="J41" s="38"/>
      <c r="K41" s="38"/>
      <c r="L41" s="38"/>
      <c r="M41" s="38"/>
      <c r="N41" s="38"/>
      <c r="O41" s="38"/>
      <c r="P41" s="38"/>
      <c r="Q41" s="38"/>
      <c r="R41" s="38"/>
      <c r="S41" s="38"/>
      <c r="T41" s="38"/>
      <c r="U41" s="38"/>
      <c r="V41" s="38"/>
      <c r="W41" s="38"/>
      <c r="X41" s="38"/>
      <c r="Y41" s="38"/>
      <c r="Z41" s="38"/>
      <c r="AA41" s="38"/>
    </row>
    <row r="42" spans="2:27" x14ac:dyDescent="0.3">
      <c r="B42" s="3"/>
      <c r="C42" s="8"/>
      <c r="D42" s="38"/>
      <c r="E42" s="38"/>
      <c r="F42" s="38"/>
      <c r="G42" s="38"/>
      <c r="H42" s="38"/>
      <c r="I42" s="38"/>
      <c r="J42" s="38"/>
      <c r="K42" s="38"/>
      <c r="L42" s="38"/>
      <c r="M42" s="38"/>
      <c r="N42" s="38"/>
      <c r="O42" s="38"/>
      <c r="P42" s="38"/>
      <c r="Q42" s="38"/>
      <c r="R42" s="38"/>
      <c r="S42" s="38"/>
      <c r="T42" s="38"/>
      <c r="U42" s="38"/>
      <c r="V42" s="38"/>
      <c r="W42" s="38"/>
      <c r="X42" s="38"/>
      <c r="Y42" s="38"/>
      <c r="Z42" s="38"/>
      <c r="AA42" s="38"/>
    </row>
    <row r="43" spans="2:27" x14ac:dyDescent="0.3">
      <c r="B43" s="1076" t="s">
        <v>165</v>
      </c>
      <c r="G43" s="47"/>
      <c r="H43" s="16"/>
      <c r="I43" s="16"/>
      <c r="J43" s="8"/>
      <c r="K43" s="8"/>
      <c r="L43" s="8"/>
      <c r="M43" s="8"/>
      <c r="N43" s="8"/>
      <c r="O43" s="8"/>
      <c r="P43" s="8"/>
      <c r="Q43" s="8"/>
      <c r="R43" s="8"/>
      <c r="S43" s="8"/>
      <c r="T43" s="8"/>
      <c r="U43" s="8"/>
      <c r="V43" s="8"/>
      <c r="W43" s="8"/>
      <c r="X43" s="8"/>
      <c r="Y43" s="8"/>
      <c r="Z43" s="8"/>
      <c r="AA43" s="8"/>
    </row>
    <row r="44" spans="2:27" x14ac:dyDescent="0.3">
      <c r="B44" s="18" t="s">
        <v>717</v>
      </c>
      <c r="C44" s="18"/>
      <c r="D44" s="37"/>
      <c r="E44" s="43"/>
      <c r="F44" s="43"/>
      <c r="G44" s="1121"/>
      <c r="H44" s="1121"/>
      <c r="I44" s="1121"/>
    </row>
    <row r="45" spans="2:27" x14ac:dyDescent="0.3">
      <c r="B45" s="1075" t="s">
        <v>424</v>
      </c>
      <c r="C45" s="44"/>
      <c r="D45" s="45"/>
      <c r="E45" s="46"/>
      <c r="F45" s="16"/>
    </row>
    <row r="46" spans="2:27" x14ac:dyDescent="0.3">
      <c r="D46" s="19"/>
      <c r="E46" s="19"/>
      <c r="F46" s="19"/>
      <c r="G46" s="19"/>
      <c r="H46" s="19"/>
      <c r="I46" s="19"/>
      <c r="J46" s="19"/>
      <c r="K46" s="19"/>
      <c r="L46" s="19"/>
      <c r="M46" s="19"/>
      <c r="N46" s="19"/>
      <c r="O46" s="19"/>
      <c r="P46" s="19"/>
      <c r="Q46" s="19"/>
      <c r="R46" s="19"/>
      <c r="S46" s="19"/>
      <c r="T46" s="19"/>
      <c r="U46" s="19"/>
      <c r="V46" s="19"/>
      <c r="W46" s="19"/>
      <c r="X46" s="19"/>
      <c r="Y46" s="19"/>
      <c r="Z46" s="19"/>
      <c r="AA46" s="19"/>
    </row>
    <row r="47" spans="2:27" x14ac:dyDescent="0.3">
      <c r="B47" s="3" t="s">
        <v>589</v>
      </c>
      <c r="C47" s="8" t="s">
        <v>582</v>
      </c>
      <c r="D47" s="39">
        <f>SUM(E47:AA47)</f>
        <v>4999999.9999999991</v>
      </c>
      <c r="E47" s="1447">
        <v>21908.068090715322</v>
      </c>
      <c r="F47" s="1447">
        <v>3948.6710881839526</v>
      </c>
      <c r="G47" s="1447">
        <v>3549026.1755544636</v>
      </c>
      <c r="H47" s="1447">
        <v>1036013.5180503587</v>
      </c>
      <c r="I47" s="1447">
        <v>14899.29241653369</v>
      </c>
      <c r="J47" s="1447">
        <v>21204.83837372862</v>
      </c>
      <c r="K47" s="1447">
        <v>161956.83851500752</v>
      </c>
      <c r="L47" s="1447">
        <v>17999.563526258313</v>
      </c>
      <c r="M47" s="1447">
        <v>0</v>
      </c>
      <c r="N47" s="1447">
        <v>0</v>
      </c>
      <c r="O47" s="1447">
        <v>8703.3451160386649</v>
      </c>
      <c r="P47" s="1447">
        <v>0</v>
      </c>
      <c r="Q47" s="1447">
        <v>23056.841138921161</v>
      </c>
      <c r="R47" s="1447">
        <v>23457.830511921744</v>
      </c>
      <c r="S47" s="1447">
        <v>21647.1</v>
      </c>
      <c r="T47" s="1447">
        <v>37759.041993517218</v>
      </c>
      <c r="U47" s="1447">
        <v>16854.936772089957</v>
      </c>
      <c r="V47" s="1447">
        <v>3719.4409493429603</v>
      </c>
      <c r="W47" s="1447">
        <v>0</v>
      </c>
      <c r="X47" s="1447">
        <v>37844.497902916635</v>
      </c>
      <c r="Y47" s="1447">
        <v>0</v>
      </c>
      <c r="Z47" s="1447">
        <v>0</v>
      </c>
      <c r="AA47" s="1447">
        <v>0</v>
      </c>
    </row>
    <row r="49" spans="2:27" x14ac:dyDescent="0.3">
      <c r="B49" s="3" t="s">
        <v>590</v>
      </c>
      <c r="C49" s="8" t="s">
        <v>583</v>
      </c>
      <c r="D49" s="39">
        <f>SUM(E49:AA49)</f>
        <v>5462251.9999999991</v>
      </c>
      <c r="E49" s="1448">
        <f>(-1*E40)+E47</f>
        <v>23861.841979969839</v>
      </c>
      <c r="F49" s="1448">
        <f t="shared" ref="F49:AA49" si="2">(-1*F40)+F47</f>
        <v>4300.8191498539691</v>
      </c>
      <c r="G49" s="1448">
        <f t="shared" si="2"/>
        <v>3865530.1306391335</v>
      </c>
      <c r="H49" s="1448">
        <f t="shared" si="2"/>
        <v>1128405.7310216385</v>
      </c>
      <c r="I49" s="1448">
        <f t="shared" si="2"/>
        <v>16228.016315392702</v>
      </c>
      <c r="J49" s="1448">
        <f t="shared" si="2"/>
        <v>23095.898555935484</v>
      </c>
      <c r="K49" s="1448">
        <f t="shared" si="2"/>
        <v>176400.23336652265</v>
      </c>
      <c r="L49" s="1448">
        <f t="shared" si="2"/>
        <v>21676.21914001627</v>
      </c>
      <c r="M49" s="1448">
        <f t="shared" si="2"/>
        <v>0</v>
      </c>
      <c r="N49" s="1448">
        <f t="shared" si="2"/>
        <v>0</v>
      </c>
      <c r="O49" s="1448">
        <f t="shared" si="2"/>
        <v>10481.123602802059</v>
      </c>
      <c r="P49" s="1448">
        <f t="shared" si="2"/>
        <v>0</v>
      </c>
      <c r="Q49" s="1448">
        <f t="shared" si="2"/>
        <v>25113.058217562015</v>
      </c>
      <c r="R49" s="1448">
        <f t="shared" si="2"/>
        <v>28249.411510085061</v>
      </c>
      <c r="S49" s="1448">
        <f t="shared" si="2"/>
        <v>25025.685702518265</v>
      </c>
      <c r="T49" s="1448">
        <f t="shared" si="2"/>
        <v>45471.83232298604</v>
      </c>
      <c r="U49" s="1448">
        <f t="shared" si="2"/>
        <v>18358.064969166066</v>
      </c>
      <c r="V49" s="1448">
        <f t="shared" si="2"/>
        <v>4479.1871225749828</v>
      </c>
      <c r="W49" s="1448">
        <f t="shared" si="2"/>
        <v>0</v>
      </c>
      <c r="X49" s="1448">
        <f t="shared" si="2"/>
        <v>45574.746383840793</v>
      </c>
      <c r="Y49" s="1448">
        <f t="shared" si="2"/>
        <v>0</v>
      </c>
      <c r="Z49" s="1448">
        <f t="shared" si="2"/>
        <v>0</v>
      </c>
      <c r="AA49" s="1448">
        <f t="shared" si="2"/>
        <v>0</v>
      </c>
    </row>
    <row r="50" spans="2:27" s="27" customFormat="1" x14ac:dyDescent="0.3">
      <c r="B50" s="30"/>
      <c r="C50" s="28"/>
      <c r="D50" s="38"/>
      <c r="E50" s="38"/>
      <c r="F50" s="38"/>
      <c r="G50" s="38"/>
      <c r="H50" s="38"/>
      <c r="I50" s="38"/>
      <c r="J50" s="38"/>
      <c r="K50" s="38"/>
      <c r="L50" s="38"/>
      <c r="M50" s="38"/>
      <c r="N50" s="38"/>
      <c r="O50" s="38"/>
      <c r="P50" s="38"/>
      <c r="Q50" s="38"/>
      <c r="R50" s="38"/>
      <c r="S50" s="38"/>
      <c r="T50" s="38"/>
      <c r="U50" s="38"/>
      <c r="V50" s="38"/>
      <c r="W50" s="38"/>
      <c r="X50" s="38"/>
      <c r="Y50" s="38"/>
      <c r="Z50" s="38"/>
      <c r="AA50" s="38"/>
    </row>
    <row r="51" spans="2:27" s="27" customFormat="1" x14ac:dyDescent="0.3">
      <c r="B51" s="30"/>
      <c r="C51" s="28"/>
      <c r="D51" s="38"/>
      <c r="E51" s="38"/>
      <c r="F51" s="38"/>
      <c r="G51" s="38"/>
      <c r="H51" s="38"/>
      <c r="I51" s="38"/>
      <c r="J51" s="38"/>
      <c r="K51" s="38"/>
      <c r="L51" s="38"/>
      <c r="M51" s="38"/>
      <c r="N51" s="38"/>
      <c r="O51" s="38"/>
      <c r="P51" s="38"/>
      <c r="Q51" s="38"/>
      <c r="R51" s="38"/>
      <c r="S51" s="38"/>
      <c r="T51" s="38"/>
      <c r="U51" s="38"/>
      <c r="V51" s="38"/>
      <c r="W51" s="38"/>
      <c r="X51" s="38"/>
      <c r="Y51" s="38"/>
      <c r="Z51" s="38"/>
      <c r="AA51" s="38"/>
    </row>
    <row r="52" spans="2:27" s="27" customFormat="1" x14ac:dyDescent="0.3">
      <c r="B52" s="30"/>
      <c r="C52" s="28"/>
      <c r="D52" s="38"/>
      <c r="E52" s="38"/>
      <c r="F52" s="1121"/>
      <c r="G52" s="38"/>
      <c r="H52" s="1122"/>
      <c r="I52" s="1123"/>
      <c r="J52" s="38"/>
      <c r="K52" s="38"/>
      <c r="L52" s="1404"/>
      <c r="M52" s="38"/>
      <c r="N52" s="38"/>
      <c r="O52" s="38"/>
      <c r="P52" s="38"/>
      <c r="Q52" s="38"/>
      <c r="R52" s="38"/>
      <c r="S52" s="38"/>
      <c r="T52" s="38"/>
      <c r="U52" s="38"/>
      <c r="V52" s="38"/>
      <c r="W52" s="38"/>
      <c r="X52" s="38"/>
      <c r="Y52" s="38"/>
      <c r="Z52" s="38"/>
      <c r="AA52" s="38"/>
    </row>
    <row r="53" spans="2:27" s="27" customFormat="1" x14ac:dyDescent="0.3">
      <c r="B53" s="30"/>
      <c r="C53" s="30" t="s">
        <v>584</v>
      </c>
      <c r="D53" s="38"/>
      <c r="E53" s="38"/>
      <c r="F53" s="38"/>
      <c r="G53" s="38"/>
      <c r="H53" s="46"/>
      <c r="I53" s="1120"/>
      <c r="J53" s="38"/>
      <c r="K53" s="38"/>
      <c r="L53" s="38"/>
      <c r="M53" s="38"/>
      <c r="N53" s="38"/>
      <c r="O53" s="38"/>
      <c r="P53" s="38"/>
      <c r="Q53" s="38"/>
      <c r="R53" s="38"/>
      <c r="S53" s="38"/>
      <c r="T53" s="38"/>
      <c r="U53" s="38"/>
      <c r="V53" s="38"/>
      <c r="W53" s="38"/>
      <c r="X53" s="38"/>
      <c r="Y53" s="38"/>
      <c r="Z53" s="38"/>
      <c r="AA53" s="38"/>
    </row>
    <row r="54" spans="2:27" x14ac:dyDescent="0.3">
      <c r="C54" s="1450" t="s">
        <v>585</v>
      </c>
      <c r="D54" s="1121"/>
      <c r="E54" s="1121"/>
      <c r="F54" s="1121"/>
      <c r="G54" s="1121"/>
      <c r="H54" s="1124"/>
      <c r="I54" s="1120"/>
      <c r="J54" s="1121"/>
    </row>
    <row r="55" spans="2:27" x14ac:dyDescent="0.3">
      <c r="D55" s="1121"/>
      <c r="E55" s="1121"/>
      <c r="F55" s="1121"/>
      <c r="G55" s="1121"/>
      <c r="H55" s="1121"/>
      <c r="I55" s="1121"/>
      <c r="J55" s="1121"/>
    </row>
    <row r="56" spans="2:27" x14ac:dyDescent="0.3">
      <c r="D56" s="1125"/>
      <c r="E56" s="1120"/>
      <c r="F56" s="1121"/>
      <c r="G56" s="1121"/>
      <c r="H56" s="1122"/>
      <c r="I56" s="1123"/>
      <c r="J56" s="1121"/>
    </row>
    <row r="57" spans="2:27" x14ac:dyDescent="0.3">
      <c r="D57" s="49"/>
      <c r="E57" s="1120"/>
      <c r="F57" s="1121"/>
      <c r="G57" s="1121"/>
      <c r="H57" s="46"/>
      <c r="I57" s="1120"/>
      <c r="J57" s="1121"/>
    </row>
    <row r="58" spans="2:27" x14ac:dyDescent="0.3">
      <c r="D58" s="49"/>
      <c r="E58" s="1120"/>
      <c r="F58" s="1121"/>
      <c r="G58" s="1121"/>
      <c r="H58" s="1124"/>
      <c r="I58" s="1120"/>
      <c r="J58" s="1121"/>
    </row>
    <row r="59" spans="2:27" x14ac:dyDescent="0.3">
      <c r="D59" s="1125"/>
      <c r="E59" s="1120"/>
      <c r="F59" s="1121"/>
      <c r="G59" s="1121"/>
      <c r="H59" s="1119"/>
      <c r="I59" s="1120"/>
      <c r="J59" s="1121"/>
    </row>
    <row r="60" spans="2:27" x14ac:dyDescent="0.3">
      <c r="D60" s="1121"/>
      <c r="E60" s="1121"/>
      <c r="F60" s="1121"/>
      <c r="G60" s="1121"/>
      <c r="H60" s="1121"/>
      <c r="I60" s="1121"/>
      <c r="J60" s="1121"/>
    </row>
    <row r="63" spans="2:27" x14ac:dyDescent="0.3">
      <c r="C63" s="1084"/>
    </row>
    <row r="64" spans="2:27" s="27" customFormat="1" x14ac:dyDescent="0.3">
      <c r="B64" s="20" t="s">
        <v>241</v>
      </c>
      <c r="C64" s="42" t="s">
        <v>586</v>
      </c>
      <c r="D64" s="39">
        <f>SUM(E64:AA64)</f>
        <v>4999999.9999999991</v>
      </c>
      <c r="E64" s="25">
        <f t="shared" ref="E64:AA64" si="3">E49+E40</f>
        <v>21908.068090715322</v>
      </c>
      <c r="F64" s="25">
        <f t="shared" si="3"/>
        <v>3948.6710881839522</v>
      </c>
      <c r="G64" s="25">
        <f t="shared" si="3"/>
        <v>3549026.1755544636</v>
      </c>
      <c r="H64" s="25">
        <f t="shared" si="3"/>
        <v>1036013.5180503589</v>
      </c>
      <c r="I64" s="25">
        <f t="shared" si="3"/>
        <v>14899.292416533688</v>
      </c>
      <c r="J64" s="25">
        <f t="shared" si="3"/>
        <v>21204.83837372862</v>
      </c>
      <c r="K64" s="25">
        <f t="shared" si="3"/>
        <v>161956.83851500752</v>
      </c>
      <c r="L64" s="25">
        <f t="shared" si="3"/>
        <v>17999.563526258309</v>
      </c>
      <c r="M64" s="25">
        <f t="shared" si="3"/>
        <v>0</v>
      </c>
      <c r="N64" s="25">
        <f t="shared" si="3"/>
        <v>0</v>
      </c>
      <c r="O64" s="25">
        <f t="shared" si="3"/>
        <v>8703.3451160386649</v>
      </c>
      <c r="P64" s="25">
        <f t="shared" si="3"/>
        <v>0</v>
      </c>
      <c r="Q64" s="25">
        <f t="shared" si="3"/>
        <v>23056.841138921161</v>
      </c>
      <c r="R64" s="25">
        <f t="shared" si="3"/>
        <v>23457.830511921744</v>
      </c>
      <c r="S64" s="25">
        <f t="shared" si="3"/>
        <v>21647.1</v>
      </c>
      <c r="T64" s="25">
        <f t="shared" si="3"/>
        <v>37759.041993517225</v>
      </c>
      <c r="U64" s="25">
        <f t="shared" si="3"/>
        <v>16854.936772089957</v>
      </c>
      <c r="V64" s="25">
        <f t="shared" si="3"/>
        <v>3719.4409493429603</v>
      </c>
      <c r="W64" s="25">
        <f t="shared" si="3"/>
        <v>0</v>
      </c>
      <c r="X64" s="25">
        <f t="shared" si="3"/>
        <v>37844.497902916635</v>
      </c>
      <c r="Y64" s="25">
        <f t="shared" si="3"/>
        <v>0</v>
      </c>
      <c r="Z64" s="25">
        <f t="shared" si="3"/>
        <v>0</v>
      </c>
      <c r="AA64" s="25">
        <f t="shared" si="3"/>
        <v>0</v>
      </c>
    </row>
    <row r="65" spans="2:27" s="27" customFormat="1" x14ac:dyDescent="0.3">
      <c r="B65" s="20" t="s">
        <v>240</v>
      </c>
      <c r="C65" s="42"/>
      <c r="D65" s="38"/>
      <c r="E65" s="604"/>
      <c r="F65" s="604"/>
      <c r="G65" s="604"/>
      <c r="H65" s="604"/>
      <c r="I65" s="604"/>
      <c r="J65" s="604"/>
      <c r="K65" s="604"/>
      <c r="L65" s="604"/>
      <c r="M65" s="604"/>
      <c r="N65" s="604"/>
      <c r="O65" s="604"/>
      <c r="P65" s="604"/>
      <c r="Q65" s="604"/>
      <c r="R65" s="604"/>
      <c r="S65" s="604"/>
      <c r="T65" s="604"/>
      <c r="U65" s="604"/>
      <c r="V65" s="604"/>
      <c r="W65" s="604"/>
      <c r="X65" s="604"/>
      <c r="Y65" s="604"/>
      <c r="Z65" s="604"/>
      <c r="AA65" s="604"/>
    </row>
    <row r="66" spans="2:27" s="27" customFormat="1" x14ac:dyDescent="0.3">
      <c r="B66" s="20" t="s">
        <v>591</v>
      </c>
      <c r="C66" s="28" t="s">
        <v>587</v>
      </c>
      <c r="D66" s="38">
        <f>SUM(E66:Z66)</f>
        <v>0</v>
      </c>
      <c r="E66" s="49">
        <f t="shared" ref="E66:AA66" si="4">ROUND((E64/$D$64)*$D$24,2)</f>
        <v>0</v>
      </c>
      <c r="F66" s="49">
        <f t="shared" si="4"/>
        <v>0</v>
      </c>
      <c r="G66" s="49">
        <f t="shared" si="4"/>
        <v>0</v>
      </c>
      <c r="H66" s="49">
        <f t="shared" si="4"/>
        <v>0</v>
      </c>
      <c r="I66" s="49">
        <f t="shared" si="4"/>
        <v>0</v>
      </c>
      <c r="J66" s="49">
        <f t="shared" si="4"/>
        <v>0</v>
      </c>
      <c r="K66" s="49">
        <f t="shared" si="4"/>
        <v>0</v>
      </c>
      <c r="L66" s="49">
        <f t="shared" si="4"/>
        <v>0</v>
      </c>
      <c r="M66" s="49">
        <f t="shared" si="4"/>
        <v>0</v>
      </c>
      <c r="N66" s="49">
        <f t="shared" si="4"/>
        <v>0</v>
      </c>
      <c r="O66" s="49">
        <f t="shared" si="4"/>
        <v>0</v>
      </c>
      <c r="P66" s="49">
        <f t="shared" si="4"/>
        <v>0</v>
      </c>
      <c r="Q66" s="49">
        <f t="shared" si="4"/>
        <v>0</v>
      </c>
      <c r="R66" s="49">
        <f t="shared" si="4"/>
        <v>0</v>
      </c>
      <c r="S66" s="49">
        <f t="shared" si="4"/>
        <v>0</v>
      </c>
      <c r="T66" s="49">
        <f t="shared" si="4"/>
        <v>0</v>
      </c>
      <c r="U66" s="49">
        <f t="shared" si="4"/>
        <v>0</v>
      </c>
      <c r="V66" s="49">
        <f t="shared" si="4"/>
        <v>0</v>
      </c>
      <c r="W66" s="49">
        <f t="shared" si="4"/>
        <v>0</v>
      </c>
      <c r="X66" s="49">
        <f t="shared" si="4"/>
        <v>0</v>
      </c>
      <c r="Y66" s="49">
        <f t="shared" si="4"/>
        <v>0</v>
      </c>
      <c r="Z66" s="49">
        <f t="shared" si="4"/>
        <v>0</v>
      </c>
      <c r="AA66" s="49">
        <f t="shared" si="4"/>
        <v>0</v>
      </c>
    </row>
    <row r="67" spans="2:27" s="27" customFormat="1" x14ac:dyDescent="0.3">
      <c r="B67" s="20"/>
      <c r="C67" s="28"/>
      <c r="D67" s="38"/>
      <c r="E67" s="49"/>
      <c r="F67" s="49"/>
      <c r="G67" s="49"/>
      <c r="H67" s="49"/>
      <c r="I67" s="49"/>
      <c r="J67" s="49"/>
      <c r="K67" s="49"/>
      <c r="L67" s="49"/>
      <c r="M67" s="49"/>
      <c r="N67" s="49"/>
      <c r="O67" s="49"/>
      <c r="P67" s="49"/>
      <c r="Q67" s="49"/>
      <c r="R67" s="49"/>
      <c r="S67" s="49"/>
      <c r="T67" s="49"/>
      <c r="U67" s="49"/>
      <c r="V67" s="49"/>
      <c r="W67" s="49"/>
      <c r="X67" s="49"/>
      <c r="Y67" s="49"/>
      <c r="Z67" s="49"/>
      <c r="AA67" s="49"/>
    </row>
    <row r="68" spans="2:27" s="27" customFormat="1" x14ac:dyDescent="0.3">
      <c r="B68" s="20"/>
      <c r="C68" s="1084" t="s">
        <v>402</v>
      </c>
      <c r="D68" s="38"/>
      <c r="E68" s="604"/>
      <c r="F68" s="604"/>
      <c r="G68" s="604"/>
      <c r="H68" s="604"/>
      <c r="I68" s="604"/>
      <c r="J68" s="604"/>
      <c r="K68" s="604"/>
      <c r="L68" s="604"/>
      <c r="M68" s="604"/>
      <c r="N68" s="604"/>
      <c r="O68" s="604"/>
      <c r="P68" s="604"/>
      <c r="Q68" s="604"/>
      <c r="R68" s="604"/>
      <c r="S68" s="604"/>
      <c r="T68" s="604"/>
      <c r="U68" s="604"/>
      <c r="V68" s="604"/>
      <c r="W68" s="604"/>
      <c r="X68" s="604"/>
      <c r="Y68" s="604"/>
      <c r="Z68" s="604"/>
      <c r="AA68" s="604"/>
    </row>
    <row r="69" spans="2:27" s="27" customFormat="1" x14ac:dyDescent="0.3">
      <c r="B69" s="20">
        <v>9</v>
      </c>
      <c r="C69" s="42" t="s">
        <v>588</v>
      </c>
      <c r="D69" s="39">
        <f>SUM(E69:AA69)</f>
        <v>4999999.9999999991</v>
      </c>
      <c r="E69" s="1448">
        <f>E64-E66</f>
        <v>21908.068090715322</v>
      </c>
      <c r="F69" s="1448">
        <f t="shared" ref="F69:AA69" si="5">F64-F66</f>
        <v>3948.6710881839522</v>
      </c>
      <c r="G69" s="1448">
        <f t="shared" si="5"/>
        <v>3549026.1755544636</v>
      </c>
      <c r="H69" s="1448">
        <f t="shared" si="5"/>
        <v>1036013.5180503589</v>
      </c>
      <c r="I69" s="1448">
        <f t="shared" si="5"/>
        <v>14899.292416533688</v>
      </c>
      <c r="J69" s="1448">
        <f t="shared" si="5"/>
        <v>21204.83837372862</v>
      </c>
      <c r="K69" s="1448">
        <f t="shared" si="5"/>
        <v>161956.83851500752</v>
      </c>
      <c r="L69" s="1448">
        <f t="shared" si="5"/>
        <v>17999.563526258309</v>
      </c>
      <c r="M69" s="1448">
        <f t="shared" si="5"/>
        <v>0</v>
      </c>
      <c r="N69" s="1448">
        <f t="shared" si="5"/>
        <v>0</v>
      </c>
      <c r="O69" s="1448">
        <f t="shared" si="5"/>
        <v>8703.3451160386649</v>
      </c>
      <c r="P69" s="1448">
        <f t="shared" si="5"/>
        <v>0</v>
      </c>
      <c r="Q69" s="1448">
        <f t="shared" si="5"/>
        <v>23056.841138921161</v>
      </c>
      <c r="R69" s="1448">
        <f t="shared" si="5"/>
        <v>23457.830511921744</v>
      </c>
      <c r="S69" s="1448">
        <f t="shared" si="5"/>
        <v>21647.1</v>
      </c>
      <c r="T69" s="1448">
        <f t="shared" si="5"/>
        <v>37759.041993517225</v>
      </c>
      <c r="U69" s="1448">
        <f t="shared" si="5"/>
        <v>16854.936772089957</v>
      </c>
      <c r="V69" s="1448">
        <f t="shared" si="5"/>
        <v>3719.4409493429603</v>
      </c>
      <c r="W69" s="1448">
        <f t="shared" si="5"/>
        <v>0</v>
      </c>
      <c r="X69" s="1448">
        <f t="shared" si="5"/>
        <v>37844.497902916635</v>
      </c>
      <c r="Y69" s="1448">
        <f t="shared" si="5"/>
        <v>0</v>
      </c>
      <c r="Z69" s="1448">
        <f t="shared" si="5"/>
        <v>0</v>
      </c>
      <c r="AA69" s="1448">
        <f t="shared" si="5"/>
        <v>0</v>
      </c>
    </row>
    <row r="70" spans="2:27" s="27" customFormat="1" x14ac:dyDescent="0.3">
      <c r="B70" s="20"/>
      <c r="C70" s="42"/>
      <c r="D70" s="38"/>
      <c r="E70" s="38"/>
      <c r="F70" s="38"/>
      <c r="G70" s="38"/>
      <c r="H70" s="38"/>
      <c r="I70" s="38"/>
      <c r="J70" s="38"/>
      <c r="K70" s="38"/>
      <c r="L70" s="38"/>
      <c r="M70" s="38"/>
      <c r="N70" s="38"/>
      <c r="O70" s="38"/>
      <c r="P70" s="38"/>
      <c r="Q70" s="38"/>
      <c r="R70" s="38"/>
      <c r="S70" s="38"/>
      <c r="T70" s="38"/>
      <c r="U70" s="38"/>
      <c r="V70" s="38"/>
      <c r="W70" s="38"/>
      <c r="X70" s="38"/>
      <c r="Y70" s="38"/>
      <c r="Z70" s="38"/>
      <c r="AA70" s="38"/>
    </row>
    <row r="71" spans="2:27" s="27" customFormat="1" x14ac:dyDescent="0.3">
      <c r="B71" s="20"/>
      <c r="C71" s="42"/>
      <c r="D71" s="38"/>
      <c r="E71" s="38"/>
      <c r="F71" s="38"/>
      <c r="G71" s="38"/>
      <c r="H71" s="38"/>
      <c r="I71" s="38"/>
      <c r="J71" s="38"/>
      <c r="K71" s="38"/>
      <c r="L71" s="38"/>
      <c r="M71" s="38"/>
      <c r="N71" s="38"/>
      <c r="O71" s="38"/>
      <c r="P71" s="38"/>
      <c r="Q71" s="38"/>
      <c r="R71" s="38"/>
      <c r="S71" s="38"/>
      <c r="T71" s="38"/>
      <c r="U71" s="38"/>
      <c r="V71" s="38"/>
      <c r="W71" s="38"/>
      <c r="X71" s="38"/>
      <c r="Y71" s="38"/>
      <c r="Z71" s="38"/>
      <c r="AA71" s="38"/>
    </row>
    <row r="72" spans="2:27" s="27" customFormat="1" x14ac:dyDescent="0.3">
      <c r="B72" s="20"/>
      <c r="C72" s="42"/>
      <c r="D72" s="1451"/>
      <c r="E72" s="604"/>
      <c r="F72" s="38"/>
      <c r="G72" s="38"/>
      <c r="H72" s="38"/>
      <c r="I72" s="38"/>
      <c r="J72" s="38"/>
      <c r="K72" s="38"/>
      <c r="L72" s="38"/>
      <c r="M72" s="38"/>
      <c r="N72" s="38"/>
      <c r="O72" s="38"/>
      <c r="P72" s="38"/>
      <c r="Q72" s="38"/>
      <c r="R72" s="38"/>
      <c r="S72" s="38"/>
      <c r="T72" s="38"/>
      <c r="U72" s="38"/>
      <c r="V72" s="38"/>
      <c r="W72" s="38"/>
      <c r="X72" s="38"/>
      <c r="Y72" s="38"/>
      <c r="Z72" s="38"/>
      <c r="AA72" s="38"/>
    </row>
    <row r="73" spans="2:27" x14ac:dyDescent="0.3">
      <c r="B73" s="3"/>
      <c r="C73" s="1084" t="s">
        <v>402</v>
      </c>
      <c r="D73" s="1091" t="str">
        <f t="shared" ref="D73:AA73" si="6">D11</f>
        <v>RATE SCHEDULE</v>
      </c>
      <c r="E73" s="1091" t="str">
        <f t="shared" si="6"/>
        <v>01R</v>
      </c>
      <c r="F73" s="1091" t="str">
        <f t="shared" si="6"/>
        <v>01C</v>
      </c>
      <c r="G73" s="1091" t="str">
        <f t="shared" si="6"/>
        <v>02R</v>
      </c>
      <c r="H73" s="1091" t="str">
        <f t="shared" si="6"/>
        <v>03C</v>
      </c>
      <c r="I73" s="1091" t="str">
        <f t="shared" si="6"/>
        <v>03I</v>
      </c>
      <c r="J73" s="1091" t="str">
        <f t="shared" si="6"/>
        <v>27R</v>
      </c>
      <c r="K73" s="1091" t="str">
        <f t="shared" si="6"/>
        <v>41CFS</v>
      </c>
      <c r="L73" s="1091" t="str">
        <f t="shared" si="6"/>
        <v>41IFS</v>
      </c>
      <c r="M73" s="1091" t="str">
        <f t="shared" si="6"/>
        <v>41CIS</v>
      </c>
      <c r="N73" s="1091" t="str">
        <f t="shared" si="6"/>
        <v>41IIS</v>
      </c>
      <c r="O73" s="1091" t="str">
        <f t="shared" si="6"/>
        <v>41CTF</v>
      </c>
      <c r="P73" s="1091" t="str">
        <f t="shared" si="6"/>
        <v>41ITF</v>
      </c>
      <c r="Q73" s="1091" t="str">
        <f t="shared" si="6"/>
        <v>42CFS</v>
      </c>
      <c r="R73" s="1091" t="str">
        <f t="shared" si="6"/>
        <v>42IFS</v>
      </c>
      <c r="S73" s="1091" t="str">
        <f t="shared" si="6"/>
        <v>42CFT</v>
      </c>
      <c r="T73" s="1091" t="str">
        <f t="shared" si="6"/>
        <v>42IFT</v>
      </c>
      <c r="U73" s="1091" t="str">
        <f t="shared" si="6"/>
        <v>42CIS</v>
      </c>
      <c r="V73" s="1091" t="str">
        <f t="shared" si="6"/>
        <v>42IIS</v>
      </c>
      <c r="W73" s="1091" t="str">
        <f t="shared" si="6"/>
        <v>42CIT</v>
      </c>
      <c r="X73" s="1091" t="str">
        <f t="shared" si="6"/>
        <v>42IIT</v>
      </c>
      <c r="Y73" s="1091" t="str">
        <f t="shared" si="6"/>
        <v>43 FT</v>
      </c>
      <c r="Z73" s="1091" t="str">
        <f t="shared" si="6"/>
        <v>43 IT</v>
      </c>
      <c r="AA73" s="1091" t="str">
        <f t="shared" si="6"/>
        <v>Special</v>
      </c>
    </row>
    <row r="74" spans="2:27" x14ac:dyDescent="0.3">
      <c r="B74" s="3">
        <v>10</v>
      </c>
      <c r="C74" s="10" t="s">
        <v>592</v>
      </c>
      <c r="D74" s="1079">
        <f>D14+D$69</f>
        <v>83333454.662138224</v>
      </c>
      <c r="E74" s="1079">
        <f t="shared" ref="E74:AA74" si="7">E14+E$69</f>
        <v>305599.20020813146</v>
      </c>
      <c r="F74" s="1079">
        <f t="shared" si="7"/>
        <v>57820.051910086237</v>
      </c>
      <c r="G74" s="1079">
        <f t="shared" si="7"/>
        <v>56557223.765252009</v>
      </c>
      <c r="H74" s="1079">
        <f t="shared" si="7"/>
        <v>17148020.586883768</v>
      </c>
      <c r="I74" s="1079">
        <f t="shared" si="7"/>
        <v>255943.01746843525</v>
      </c>
      <c r="J74" s="1079">
        <f t="shared" si="7"/>
        <v>384423.04275174701</v>
      </c>
      <c r="K74" s="1079">
        <f t="shared" si="7"/>
        <v>3015793.0138300438</v>
      </c>
      <c r="L74" s="1079">
        <f t="shared" si="7"/>
        <v>765265.84399415785</v>
      </c>
      <c r="M74" s="1079">
        <f t="shared" si="7"/>
        <v>0</v>
      </c>
      <c r="N74" s="1079">
        <f t="shared" si="7"/>
        <v>0</v>
      </c>
      <c r="O74" s="1079">
        <f t="shared" si="7"/>
        <v>198544.6832060387</v>
      </c>
      <c r="P74" s="1079">
        <f t="shared" si="7"/>
        <v>0</v>
      </c>
      <c r="Q74" s="1079">
        <f t="shared" si="7"/>
        <v>493245.44197874039</v>
      </c>
      <c r="R74" s="1079">
        <f t="shared" si="7"/>
        <v>1178416.209849813</v>
      </c>
      <c r="S74" s="1079">
        <f t="shared" si="7"/>
        <v>382431.77333999996</v>
      </c>
      <c r="T74" s="1079">
        <f t="shared" si="7"/>
        <v>861374.83409351716</v>
      </c>
      <c r="U74" s="1079">
        <f t="shared" si="7"/>
        <v>447583.54865167983</v>
      </c>
      <c r="V74" s="1079">
        <f t="shared" si="7"/>
        <v>175450.47554533475</v>
      </c>
      <c r="W74" s="1079">
        <f t="shared" si="7"/>
        <v>0</v>
      </c>
      <c r="X74" s="1079">
        <f t="shared" si="7"/>
        <v>863324.57110291661</v>
      </c>
      <c r="Y74" s="1079">
        <f t="shared" si="7"/>
        <v>0</v>
      </c>
      <c r="Z74" s="1079">
        <f t="shared" si="7"/>
        <v>0</v>
      </c>
      <c r="AA74" s="1079">
        <f t="shared" si="7"/>
        <v>242994.60207180592</v>
      </c>
    </row>
    <row r="75" spans="2:27" x14ac:dyDescent="0.3">
      <c r="B75" s="3">
        <v>11</v>
      </c>
      <c r="C75" s="8" t="s">
        <v>148</v>
      </c>
      <c r="D75" s="1080">
        <f>IFERROR((D74-D14-$AA$14)/(D14-$AA$14),0)</f>
        <v>6.0916601006949532E-2</v>
      </c>
      <c r="E75" s="1080">
        <f t="shared" ref="E75:AA75" si="8">IFERROR((E74-E14)/E14,0)</f>
        <v>7.7225071954832414E-2</v>
      </c>
      <c r="F75" s="1080">
        <f t="shared" si="8"/>
        <v>7.3298122824031225E-2</v>
      </c>
      <c r="G75" s="1080">
        <f t="shared" si="8"/>
        <v>6.6952402400572014E-2</v>
      </c>
      <c r="H75" s="1080">
        <f t="shared" si="8"/>
        <v>6.4300711489532147E-2</v>
      </c>
      <c r="I75" s="1080">
        <f t="shared" si="8"/>
        <v>6.1811575527741164E-2</v>
      </c>
      <c r="J75" s="1080">
        <f t="shared" si="8"/>
        <v>5.8380439411180339E-2</v>
      </c>
      <c r="K75" s="1080">
        <f t="shared" si="8"/>
        <v>5.675057311134158E-2</v>
      </c>
      <c r="L75" s="1080">
        <f t="shared" si="8"/>
        <v>2.4087214955006323E-2</v>
      </c>
      <c r="M75" s="1080">
        <f t="shared" si="8"/>
        <v>0</v>
      </c>
      <c r="N75" s="1080">
        <f t="shared" si="8"/>
        <v>0</v>
      </c>
      <c r="O75" s="1080">
        <f t="shared" si="8"/>
        <v>4.5845363310242665E-2</v>
      </c>
      <c r="P75" s="1080">
        <f t="shared" si="8"/>
        <v>0</v>
      </c>
      <c r="Q75" s="1080">
        <f t="shared" si="8"/>
        <v>4.9037431145158725E-2</v>
      </c>
      <c r="R75" s="1080">
        <f t="shared" si="8"/>
        <v>2.0310541861577359E-2</v>
      </c>
      <c r="S75" s="1080">
        <f t="shared" si="8"/>
        <v>6.000005432492405E-2</v>
      </c>
      <c r="T75" s="1080">
        <f t="shared" si="8"/>
        <v>4.584545652924131E-2</v>
      </c>
      <c r="U75" s="1080">
        <f t="shared" si="8"/>
        <v>3.9131221625931301E-2</v>
      </c>
      <c r="V75" s="1080">
        <f t="shared" si="8"/>
        <v>2.1658525251962712E-2</v>
      </c>
      <c r="W75" s="1080">
        <f t="shared" si="8"/>
        <v>0</v>
      </c>
      <c r="X75" s="1080">
        <f t="shared" si="8"/>
        <v>4.5845440891396951E-2</v>
      </c>
      <c r="Y75" s="1080">
        <f t="shared" si="8"/>
        <v>0</v>
      </c>
      <c r="Z75" s="1080">
        <f t="shared" si="8"/>
        <v>0</v>
      </c>
      <c r="AA75" s="1080">
        <f t="shared" si="8"/>
        <v>0</v>
      </c>
    </row>
    <row r="76" spans="2:27" x14ac:dyDescent="0.3">
      <c r="B76" s="3">
        <v>12</v>
      </c>
      <c r="C76" s="8" t="s">
        <v>593</v>
      </c>
      <c r="D76" s="1081">
        <f t="shared" ref="D76:AA76" si="9">D15+D$69</f>
        <v>54604902.662138224</v>
      </c>
      <c r="E76" s="1081">
        <f t="shared" si="9"/>
        <v>230543.20020813143</v>
      </c>
      <c r="F76" s="1081">
        <f t="shared" si="9"/>
        <v>41553.051910086237</v>
      </c>
      <c r="G76" s="1081">
        <f t="shared" si="9"/>
        <v>37347125.765252009</v>
      </c>
      <c r="H76" s="1081">
        <f t="shared" si="9"/>
        <v>10902181.586883768</v>
      </c>
      <c r="I76" s="1081">
        <f t="shared" si="9"/>
        <v>156788.01746843525</v>
      </c>
      <c r="J76" s="1081">
        <f t="shared" si="9"/>
        <v>223143.04275174695</v>
      </c>
      <c r="K76" s="1081">
        <f t="shared" si="9"/>
        <v>1704305.0138300434</v>
      </c>
      <c r="L76" s="1081">
        <f t="shared" si="9"/>
        <v>410613.84399415774</v>
      </c>
      <c r="M76" s="1081">
        <f t="shared" si="9"/>
        <v>0</v>
      </c>
      <c r="N76" s="1081">
        <f t="shared" si="9"/>
        <v>0</v>
      </c>
      <c r="O76" s="1081">
        <f t="shared" si="9"/>
        <v>198544.6832060387</v>
      </c>
      <c r="P76" s="1081">
        <f t="shared" si="9"/>
        <v>0</v>
      </c>
      <c r="Q76" s="1081">
        <f t="shared" si="9"/>
        <v>242631.44197874042</v>
      </c>
      <c r="R76" s="1081">
        <f t="shared" si="9"/>
        <v>535130.20984981302</v>
      </c>
      <c r="S76" s="1081">
        <f t="shared" si="9"/>
        <v>382431.77333999996</v>
      </c>
      <c r="T76" s="1081">
        <f t="shared" si="9"/>
        <v>861374.83409351716</v>
      </c>
      <c r="U76" s="1081">
        <f t="shared" si="9"/>
        <v>177367.54865167991</v>
      </c>
      <c r="V76" s="1081">
        <f t="shared" si="9"/>
        <v>84849.475545334746</v>
      </c>
      <c r="W76" s="1081">
        <f t="shared" si="9"/>
        <v>0</v>
      </c>
      <c r="X76" s="1081">
        <f t="shared" si="9"/>
        <v>863324.57110291661</v>
      </c>
      <c r="Y76" s="1081">
        <f t="shared" si="9"/>
        <v>0</v>
      </c>
      <c r="Z76" s="1081">
        <f t="shared" si="9"/>
        <v>0</v>
      </c>
      <c r="AA76" s="1081">
        <f t="shared" si="9"/>
        <v>242994.60207180592</v>
      </c>
    </row>
    <row r="77" spans="2:27" x14ac:dyDescent="0.3">
      <c r="B77" s="3">
        <v>13</v>
      </c>
      <c r="C77" s="8" t="s">
        <v>149</v>
      </c>
      <c r="D77" s="1082">
        <f>IFERROR(D69/(D15-AA15),0)</f>
        <v>0.10129268086468032</v>
      </c>
      <c r="E77" s="1082">
        <f t="shared" ref="E77:AA77" si="10">IFERROR(E69/E15,0)</f>
        <v>0.1050066106718108</v>
      </c>
      <c r="F77" s="1082">
        <f t="shared" si="10"/>
        <v>0.10500561375774839</v>
      </c>
      <c r="G77" s="1082">
        <f t="shared" si="10"/>
        <v>0.10500667844165681</v>
      </c>
      <c r="H77" s="1082">
        <f t="shared" si="10"/>
        <v>0.10500667643429459</v>
      </c>
      <c r="I77" s="1082">
        <f t="shared" si="10"/>
        <v>0.10500688064596864</v>
      </c>
      <c r="J77" s="1082">
        <f t="shared" si="10"/>
        <v>0.10500657089152983</v>
      </c>
      <c r="K77" s="1082">
        <f t="shared" si="10"/>
        <v>0.10500666523103749</v>
      </c>
      <c r="L77" s="1082">
        <f t="shared" si="10"/>
        <v>4.5845412206624955E-2</v>
      </c>
      <c r="M77" s="1082">
        <f t="shared" si="10"/>
        <v>0</v>
      </c>
      <c r="N77" s="1082">
        <f t="shared" si="10"/>
        <v>0</v>
      </c>
      <c r="O77" s="1082">
        <f t="shared" si="10"/>
        <v>4.5845363310242686E-2</v>
      </c>
      <c r="P77" s="1082">
        <f t="shared" si="10"/>
        <v>0</v>
      </c>
      <c r="Q77" s="1082">
        <f t="shared" si="10"/>
        <v>0.1050068680563889</v>
      </c>
      <c r="R77" s="1082">
        <f t="shared" si="10"/>
        <v>4.584541096839425E-2</v>
      </c>
      <c r="S77" s="1082">
        <f t="shared" si="10"/>
        <v>6.0000054324924113E-2</v>
      </c>
      <c r="T77" s="1082">
        <f t="shared" si="10"/>
        <v>4.5845456529241345E-2</v>
      </c>
      <c r="U77" s="1082">
        <f t="shared" si="10"/>
        <v>0.10500693107363952</v>
      </c>
      <c r="V77" s="1082">
        <f t="shared" si="10"/>
        <v>4.5845425407062733E-2</v>
      </c>
      <c r="W77" s="1082">
        <f t="shared" si="10"/>
        <v>0</v>
      </c>
      <c r="X77" s="1082">
        <f t="shared" si="10"/>
        <v>4.5845440891396957E-2</v>
      </c>
      <c r="Y77" s="1082">
        <f t="shared" si="10"/>
        <v>0</v>
      </c>
      <c r="Z77" s="1082">
        <f t="shared" si="10"/>
        <v>0</v>
      </c>
      <c r="AA77" s="1082">
        <f t="shared" si="10"/>
        <v>0</v>
      </c>
    </row>
    <row r="78" spans="2:27" x14ac:dyDescent="0.3">
      <c r="B78" s="3">
        <v>14</v>
      </c>
      <c r="C78" s="8" t="s">
        <v>151</v>
      </c>
      <c r="D78" s="1083">
        <f t="shared" ref="D78:X78" si="11">IF(ISERROR(D49/D18),$D$82,(D49/D18))</f>
        <v>0.14649072999437127</v>
      </c>
      <c r="E78" s="1083">
        <f t="shared" si="11"/>
        <v>0.1642766600573467</v>
      </c>
      <c r="F78" s="1083">
        <f t="shared" si="11"/>
        <v>0.12633490438134035</v>
      </c>
      <c r="G78" s="1083">
        <f t="shared" si="11"/>
        <v>0.15353111587908991</v>
      </c>
      <c r="H78" s="1083">
        <f t="shared" si="11"/>
        <v>0.14234383898294539</v>
      </c>
      <c r="I78" s="1083">
        <f t="shared" si="11"/>
        <v>0.12370234869111568</v>
      </c>
      <c r="J78" s="1083">
        <f t="shared" si="11"/>
        <v>0.20781840604611945</v>
      </c>
      <c r="K78" s="1083">
        <f t="shared" si="11"/>
        <v>0.14548868824184299</v>
      </c>
      <c r="L78" s="1083">
        <f t="shared" si="11"/>
        <v>6.6957295355467697E-2</v>
      </c>
      <c r="M78" s="1083">
        <f>IF(ISERROR(M49/M18),$D$83,(M49/M18))</f>
        <v>0.10500667716689588</v>
      </c>
      <c r="N78" s="1083">
        <f t="shared" si="11"/>
        <v>4.5845444956772591E-2</v>
      </c>
      <c r="O78" s="1083">
        <f t="shared" si="11"/>
        <v>7.3633904516633014E-2</v>
      </c>
      <c r="P78" s="1083">
        <f t="shared" si="11"/>
        <v>4.5845444956772591E-2</v>
      </c>
      <c r="Q78" s="1083">
        <f t="shared" si="11"/>
        <v>0.24774881090674311</v>
      </c>
      <c r="R78" s="1083">
        <f t="shared" si="11"/>
        <v>0.11017582286511882</v>
      </c>
      <c r="S78" s="1083">
        <f t="shared" si="11"/>
        <v>9.387612705478339E-2</v>
      </c>
      <c r="T78" s="1083">
        <f t="shared" si="11"/>
        <v>7.4899946340042337E-2</v>
      </c>
      <c r="U78" s="1083">
        <f t="shared" si="11"/>
        <v>0.16400794190474802</v>
      </c>
      <c r="V78" s="1083">
        <f t="shared" si="11"/>
        <v>0.10248449006028881</v>
      </c>
      <c r="W78" s="1083">
        <f t="shared" si="11"/>
        <v>4.5845444956772591E-2</v>
      </c>
      <c r="X78" s="1083">
        <f t="shared" si="11"/>
        <v>6.5548766516857662E-2</v>
      </c>
      <c r="Y78" s="1655">
        <v>0</v>
      </c>
      <c r="Z78" s="1655">
        <v>0</v>
      </c>
      <c r="AA78" s="1083">
        <v>0</v>
      </c>
    </row>
    <row r="79" spans="2:27" x14ac:dyDescent="0.3">
      <c r="B79" s="3"/>
      <c r="C79" s="1099" t="s">
        <v>441</v>
      </c>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2:27" x14ac:dyDescent="0.3">
      <c r="B80" s="3">
        <v>15</v>
      </c>
      <c r="C80" s="8" t="s">
        <v>151</v>
      </c>
      <c r="D80" s="1083">
        <f t="shared" ref="D80:X80" si="12">IF(ISERROR(D69/D18),$D$82,(D69/D18))</f>
        <v>0.13409371262472991</v>
      </c>
      <c r="E80" s="1083">
        <f t="shared" si="12"/>
        <v>0.15082591935998541</v>
      </c>
      <c r="F80" s="1083">
        <f t="shared" si="12"/>
        <v>0.11599069083758635</v>
      </c>
      <c r="G80" s="1083">
        <f t="shared" si="12"/>
        <v>0.14096021259751071</v>
      </c>
      <c r="H80" s="1083">
        <f t="shared" si="12"/>
        <v>0.13068893337150833</v>
      </c>
      <c r="I80" s="1083">
        <f t="shared" si="12"/>
        <v>0.11357379915946586</v>
      </c>
      <c r="J80" s="1083">
        <f t="shared" si="12"/>
        <v>0.19080252282115104</v>
      </c>
      <c r="K80" s="1083">
        <f t="shared" si="12"/>
        <v>0.13357628579994962</v>
      </c>
      <c r="L80" s="1083">
        <f t="shared" si="12"/>
        <v>5.5600198702192891E-2</v>
      </c>
      <c r="M80" s="1083">
        <f>IF(ISERROR(M69/M18),$D$83,(M69/M18))</f>
        <v>0.10500667716689588</v>
      </c>
      <c r="N80" s="1083">
        <f t="shared" si="12"/>
        <v>4.5845444956772591E-2</v>
      </c>
      <c r="O80" s="1083">
        <f t="shared" si="12"/>
        <v>6.114433027756349E-2</v>
      </c>
      <c r="P80" s="1083">
        <f t="shared" si="12"/>
        <v>4.5845444956772591E-2</v>
      </c>
      <c r="Q80" s="1083">
        <f t="shared" si="12"/>
        <v>0.22746353414809017</v>
      </c>
      <c r="R80" s="1083">
        <f t="shared" si="12"/>
        <v>9.1488128110520331E-2</v>
      </c>
      <c r="S80" s="1083">
        <f t="shared" si="12"/>
        <v>8.1202406764147611E-2</v>
      </c>
      <c r="T80" s="1083">
        <f t="shared" si="12"/>
        <v>6.2195651124800036E-2</v>
      </c>
      <c r="U80" s="1083">
        <f t="shared" si="12"/>
        <v>0.15057924108930223</v>
      </c>
      <c r="V80" s="1083">
        <f t="shared" si="12"/>
        <v>8.5101380802245927E-2</v>
      </c>
      <c r="W80" s="1083">
        <f t="shared" si="12"/>
        <v>4.5845444956772591E-2</v>
      </c>
      <c r="X80" s="1083">
        <f t="shared" si="12"/>
        <v>5.4430586099005633E-2</v>
      </c>
      <c r="Y80" s="1655">
        <v>0</v>
      </c>
      <c r="Z80" s="1655">
        <v>0</v>
      </c>
      <c r="AA80" s="1083">
        <v>0</v>
      </c>
    </row>
    <row r="81" spans="2:27" x14ac:dyDescent="0.3">
      <c r="B81" s="3"/>
      <c r="C81" s="1099" t="s">
        <v>442</v>
      </c>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2:27" x14ac:dyDescent="0.3">
      <c r="B82" s="3"/>
      <c r="C82" s="1078" t="s">
        <v>425</v>
      </c>
      <c r="D82" s="1452">
        <v>4.5845444956772591E-2</v>
      </c>
      <c r="E82" s="1092" t="s">
        <v>627</v>
      </c>
      <c r="F82" s="29"/>
      <c r="G82" s="29"/>
      <c r="H82" s="29"/>
      <c r="I82" s="29"/>
      <c r="J82" s="29"/>
      <c r="K82" s="29"/>
      <c r="L82" s="29"/>
      <c r="M82" s="29"/>
      <c r="N82" s="29"/>
      <c r="O82" s="29"/>
      <c r="P82" s="29"/>
      <c r="Q82" s="29"/>
      <c r="R82" s="29"/>
      <c r="S82" s="29"/>
      <c r="T82" s="29"/>
      <c r="U82" s="29"/>
      <c r="V82" s="29"/>
      <c r="W82" s="29"/>
      <c r="X82" s="29"/>
      <c r="Y82" s="29"/>
      <c r="Z82" s="29"/>
      <c r="AA82" s="29"/>
    </row>
    <row r="83" spans="2:27" x14ac:dyDescent="0.3">
      <c r="B83" s="3"/>
      <c r="C83" s="1078"/>
      <c r="D83" s="1452">
        <v>0.10500667716689588</v>
      </c>
      <c r="E83" s="1092" t="s">
        <v>626</v>
      </c>
      <c r="F83" s="29"/>
      <c r="G83" s="29"/>
      <c r="H83" s="29"/>
      <c r="I83" s="29"/>
      <c r="J83" s="29"/>
      <c r="K83" s="29"/>
      <c r="L83" s="29"/>
      <c r="M83" s="29"/>
      <c r="N83" s="29"/>
      <c r="O83" s="29"/>
      <c r="P83" s="29"/>
      <c r="Q83" s="29"/>
      <c r="R83" s="29"/>
      <c r="S83" s="29"/>
      <c r="T83" s="29"/>
      <c r="U83" s="29"/>
      <c r="V83" s="29"/>
      <c r="W83" s="29"/>
      <c r="X83" s="29"/>
      <c r="Y83" s="29"/>
      <c r="Z83" s="29"/>
      <c r="AA83" s="29"/>
    </row>
    <row r="84" spans="2:27" x14ac:dyDescent="0.3">
      <c r="D84" s="547"/>
      <c r="E84" s="547"/>
      <c r="F84" s="547"/>
      <c r="G84" s="547"/>
      <c r="H84" s="547"/>
      <c r="I84" s="547"/>
      <c r="J84" s="547"/>
      <c r="K84" s="547"/>
      <c r="L84" s="547"/>
      <c r="M84" s="547"/>
      <c r="N84" s="547"/>
      <c r="O84" s="547"/>
      <c r="P84" s="547"/>
      <c r="Q84" s="547"/>
      <c r="R84" s="547"/>
      <c r="S84" s="547"/>
      <c r="T84" s="547"/>
      <c r="U84" s="547"/>
      <c r="V84" s="547"/>
      <c r="W84" s="547"/>
      <c r="X84" s="547"/>
      <c r="Y84" s="547"/>
      <c r="Z84" s="547"/>
      <c r="AA84" s="547"/>
    </row>
    <row r="85" spans="2:27" outlineLevel="1" x14ac:dyDescent="0.3">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row>
    <row r="86" spans="2:27" outlineLevel="1" x14ac:dyDescent="0.3">
      <c r="B86" s="26" t="s">
        <v>595</v>
      </c>
    </row>
    <row r="87" spans="2:27" outlineLevel="1" x14ac:dyDescent="0.3"/>
    <row r="88" spans="2:27" outlineLevel="1" x14ac:dyDescent="0.3">
      <c r="B88" s="1076" t="s">
        <v>164</v>
      </c>
      <c r="G88" s="47"/>
      <c r="H88" s="28"/>
    </row>
    <row r="89" spans="2:27" outlineLevel="1" x14ac:dyDescent="0.3">
      <c r="B89" s="18" t="s">
        <v>717</v>
      </c>
      <c r="C89" s="18"/>
      <c r="D89" s="37"/>
      <c r="E89" s="43"/>
      <c r="F89" s="43"/>
      <c r="G89" s="1121"/>
      <c r="H89" s="1121"/>
    </row>
    <row r="90" spans="2:27" outlineLevel="1" x14ac:dyDescent="0.3">
      <c r="B90" s="1075" t="s">
        <v>424</v>
      </c>
      <c r="C90" s="44"/>
      <c r="D90" s="45"/>
      <c r="E90" s="46"/>
      <c r="F90" s="16"/>
    </row>
    <row r="91" spans="2:27" outlineLevel="1" x14ac:dyDescent="0.3">
      <c r="B91" s="1075"/>
      <c r="C91" s="44"/>
      <c r="D91" s="45"/>
      <c r="E91" s="46"/>
      <c r="F91" s="16"/>
    </row>
    <row r="92" spans="2:27" outlineLevel="1" x14ac:dyDescent="0.3">
      <c r="B92" s="3">
        <v>16</v>
      </c>
      <c r="C92" s="44" t="s">
        <v>430</v>
      </c>
      <c r="D92" s="39">
        <f>(D15-AA15)+D69</f>
        <v>54361908.060066417</v>
      </c>
      <c r="E92" s="1405">
        <f t="shared" ref="E92:Z92" si="13">E15+E69</f>
        <v>230543.20020813143</v>
      </c>
      <c r="F92" s="48">
        <f t="shared" si="13"/>
        <v>41553.051910086237</v>
      </c>
      <c r="G92" s="48">
        <f t="shared" si="13"/>
        <v>37347125.765252009</v>
      </c>
      <c r="H92" s="48">
        <f t="shared" si="13"/>
        <v>10902181.586883768</v>
      </c>
      <c r="I92" s="48">
        <f t="shared" si="13"/>
        <v>156788.01746843525</v>
      </c>
      <c r="J92" s="48">
        <f t="shared" si="13"/>
        <v>223143.04275174695</v>
      </c>
      <c r="K92" s="48">
        <f t="shared" si="13"/>
        <v>1704305.0138300434</v>
      </c>
      <c r="L92" s="48">
        <f t="shared" si="13"/>
        <v>410613.84399415774</v>
      </c>
      <c r="M92" s="48">
        <f t="shared" si="13"/>
        <v>0</v>
      </c>
      <c r="N92" s="48">
        <f t="shared" si="13"/>
        <v>0</v>
      </c>
      <c r="O92" s="48">
        <f t="shared" si="13"/>
        <v>198544.6832060387</v>
      </c>
      <c r="P92" s="48">
        <f t="shared" si="13"/>
        <v>0</v>
      </c>
      <c r="Q92" s="48">
        <f t="shared" si="13"/>
        <v>242631.44197874042</v>
      </c>
      <c r="R92" s="48">
        <f t="shared" si="13"/>
        <v>535130.20984981302</v>
      </c>
      <c r="S92" s="48">
        <f t="shared" si="13"/>
        <v>382431.77333999996</v>
      </c>
      <c r="T92" s="48">
        <f t="shared" si="13"/>
        <v>861374.83409351716</v>
      </c>
      <c r="U92" s="48">
        <f t="shared" si="13"/>
        <v>177367.54865167991</v>
      </c>
      <c r="V92" s="48">
        <f t="shared" si="13"/>
        <v>84849.475545334746</v>
      </c>
      <c r="W92" s="48">
        <f t="shared" si="13"/>
        <v>0</v>
      </c>
      <c r="X92" s="48">
        <f t="shared" si="13"/>
        <v>863324.57110291661</v>
      </c>
      <c r="Y92" s="48">
        <f t="shared" si="13"/>
        <v>0</v>
      </c>
      <c r="Z92" s="48">
        <f t="shared" si="13"/>
        <v>0</v>
      </c>
      <c r="AA92" s="1406">
        <v>0</v>
      </c>
    </row>
    <row r="93" spans="2:27" outlineLevel="1" x14ac:dyDescent="0.3">
      <c r="B93" s="3"/>
      <c r="C93" s="44"/>
      <c r="D93" s="45"/>
      <c r="E93" s="46"/>
      <c r="F93" s="16"/>
    </row>
    <row r="94" spans="2:27" outlineLevel="1" x14ac:dyDescent="0.3">
      <c r="B94" s="3"/>
      <c r="C94" s="44"/>
      <c r="D94" s="45"/>
      <c r="E94" s="46"/>
      <c r="F94" s="16"/>
    </row>
    <row r="95" spans="2:27" outlineLevel="1" x14ac:dyDescent="0.3">
      <c r="B95" s="3">
        <v>17</v>
      </c>
      <c r="C95" s="8" t="s">
        <v>596</v>
      </c>
      <c r="D95" s="39">
        <f>SUM(E95:Z95)</f>
        <v>2999999.9999999991</v>
      </c>
      <c r="E95" s="1447">
        <v>13235.786389627317</v>
      </c>
      <c r="F95" s="1447">
        <v>2385.594513842575</v>
      </c>
      <c r="G95" s="1447">
        <v>2144148.5463860952</v>
      </c>
      <c r="H95" s="1447">
        <v>625908.84622511361</v>
      </c>
      <c r="I95" s="1447">
        <v>9001.4259114617889</v>
      </c>
      <c r="J95" s="1447">
        <v>12810.92928774444</v>
      </c>
      <c r="K95" s="1447">
        <v>97846.423977131897</v>
      </c>
      <c r="L95" s="1447">
        <v>8212.271270525167</v>
      </c>
      <c r="M95" s="1447">
        <v>0</v>
      </c>
      <c r="N95" s="1447">
        <v>0</v>
      </c>
      <c r="O95" s="1447">
        <v>3970.8869023207735</v>
      </c>
      <c r="P95" s="1447">
        <v>0</v>
      </c>
      <c r="Q95" s="1447">
        <v>13929.819045234108</v>
      </c>
      <c r="R95" s="1447">
        <v>10702.596610238435</v>
      </c>
      <c r="S95" s="1447">
        <v>11472.963</v>
      </c>
      <c r="T95" s="1447">
        <v>17227.500839870343</v>
      </c>
      <c r="U95" s="1447">
        <v>10182.930863748888</v>
      </c>
      <c r="V95" s="1447">
        <v>1696.9888189868591</v>
      </c>
      <c r="W95" s="1447">
        <v>0</v>
      </c>
      <c r="X95" s="1447">
        <v>17266.489958058333</v>
      </c>
      <c r="Y95" s="1447">
        <v>0</v>
      </c>
      <c r="Z95" s="1447">
        <v>0</v>
      </c>
      <c r="AA95" s="1453">
        <v>0</v>
      </c>
    </row>
    <row r="96" spans="2:27" outlineLevel="1" x14ac:dyDescent="0.3">
      <c r="B96" s="3"/>
      <c r="C96" s="8"/>
      <c r="D96" s="1443"/>
      <c r="E96" s="1443"/>
      <c r="F96" s="1443"/>
      <c r="G96" s="1443"/>
      <c r="H96" s="1443"/>
      <c r="I96" s="1443"/>
      <c r="J96" s="1443"/>
      <c r="K96" s="1443"/>
      <c r="L96" s="1443"/>
      <c r="M96" s="1443"/>
      <c r="N96" s="1443"/>
      <c r="O96" s="1443"/>
      <c r="P96" s="1443"/>
      <c r="Q96" s="1443"/>
      <c r="R96" s="1443"/>
      <c r="S96" s="1443"/>
      <c r="T96" s="1443"/>
      <c r="U96" s="1443"/>
      <c r="V96" s="1443"/>
      <c r="W96" s="1443"/>
      <c r="X96" s="1443"/>
      <c r="Y96" s="1443"/>
      <c r="Z96" s="1443"/>
      <c r="AA96" s="1443"/>
    </row>
    <row r="97" spans="2:27" outlineLevel="1" x14ac:dyDescent="0.3">
      <c r="B97" s="3"/>
      <c r="C97" s="8"/>
      <c r="D97" s="1443"/>
      <c r="E97" s="38"/>
      <c r="F97" s="38"/>
      <c r="G97" s="38"/>
      <c r="H97" s="38"/>
      <c r="J97" s="38"/>
      <c r="K97" s="38"/>
      <c r="L97" s="38"/>
      <c r="M97" s="38"/>
      <c r="N97" s="38"/>
      <c r="O97" s="38"/>
      <c r="P97" s="38"/>
      <c r="Q97" s="38"/>
      <c r="R97" s="38"/>
      <c r="S97" s="38"/>
      <c r="T97" s="38"/>
      <c r="U97" s="38"/>
      <c r="V97" s="38"/>
      <c r="W97" s="38"/>
      <c r="X97" s="38"/>
      <c r="Y97" s="38"/>
      <c r="Z97" s="38"/>
      <c r="AA97" s="38"/>
    </row>
    <row r="98" spans="2:27" outlineLevel="1" x14ac:dyDescent="0.3">
      <c r="B98" s="3"/>
      <c r="C98" s="1084" t="s">
        <v>397</v>
      </c>
      <c r="D98" s="38"/>
      <c r="E98" s="38"/>
      <c r="F98" s="38"/>
      <c r="G98" s="38"/>
      <c r="H98" s="38"/>
      <c r="I98" s="38"/>
      <c r="J98" s="38"/>
      <c r="K98" s="38"/>
      <c r="L98" s="38"/>
      <c r="M98" s="38"/>
      <c r="N98" s="38"/>
      <c r="O98" s="38"/>
      <c r="P98" s="38"/>
      <c r="Q98" s="38"/>
      <c r="R98" s="38"/>
      <c r="S98" s="38"/>
      <c r="T98" s="38"/>
      <c r="U98" s="38"/>
      <c r="V98" s="38"/>
      <c r="W98" s="38"/>
      <c r="X98" s="38"/>
      <c r="Y98" s="38"/>
      <c r="Z98" s="38"/>
      <c r="AA98" s="38"/>
    </row>
    <row r="99" spans="2:27" outlineLevel="1" x14ac:dyDescent="0.3">
      <c r="B99" s="3"/>
      <c r="C99" s="42" t="s">
        <v>597</v>
      </c>
      <c r="D99" s="1451"/>
      <c r="E99" s="27"/>
      <c r="F99" s="27"/>
      <c r="G99" s="27"/>
      <c r="H99" s="27"/>
      <c r="I99" s="27"/>
      <c r="J99" s="27"/>
      <c r="K99" s="27"/>
      <c r="L99" s="27"/>
      <c r="M99" s="27"/>
      <c r="N99" s="27"/>
      <c r="O99" s="27"/>
      <c r="P99" s="27"/>
      <c r="Q99" s="27"/>
      <c r="R99" s="27"/>
      <c r="S99" s="27"/>
      <c r="T99" s="27"/>
      <c r="U99" s="27"/>
      <c r="V99" s="27"/>
      <c r="W99" s="27"/>
      <c r="X99" s="27"/>
      <c r="Y99" s="27"/>
      <c r="Z99" s="27"/>
      <c r="AA99" s="27"/>
    </row>
    <row r="100" spans="2:27" outlineLevel="1" x14ac:dyDescent="0.3">
      <c r="B100" s="3"/>
    </row>
    <row r="101" spans="2:27" outlineLevel="1" x14ac:dyDescent="0.3">
      <c r="B101" s="3"/>
      <c r="C101" s="1084" t="s">
        <v>397</v>
      </c>
      <c r="D101" s="1091" t="str">
        <f t="shared" ref="D101:AA101" si="14">D73</f>
        <v>RATE SCHEDULE</v>
      </c>
      <c r="E101" s="1132" t="str">
        <f t="shared" si="14"/>
        <v>01R</v>
      </c>
      <c r="F101" s="1132" t="str">
        <f t="shared" si="14"/>
        <v>01C</v>
      </c>
      <c r="G101" s="1132" t="str">
        <f t="shared" si="14"/>
        <v>02R</v>
      </c>
      <c r="H101" s="1132" t="str">
        <f t="shared" si="14"/>
        <v>03C</v>
      </c>
      <c r="I101" s="1132" t="str">
        <f t="shared" si="14"/>
        <v>03I</v>
      </c>
      <c r="J101" s="1132" t="str">
        <f t="shared" si="14"/>
        <v>27R</v>
      </c>
      <c r="K101" s="1132" t="str">
        <f t="shared" si="14"/>
        <v>41CFS</v>
      </c>
      <c r="L101" s="1132" t="str">
        <f t="shared" si="14"/>
        <v>41IFS</v>
      </c>
      <c r="M101" s="1132" t="str">
        <f t="shared" si="14"/>
        <v>41CIS</v>
      </c>
      <c r="N101" s="1132" t="str">
        <f t="shared" si="14"/>
        <v>41IIS</v>
      </c>
      <c r="O101" s="1132" t="str">
        <f t="shared" si="14"/>
        <v>41CTF</v>
      </c>
      <c r="P101" s="1132" t="str">
        <f t="shared" si="14"/>
        <v>41ITF</v>
      </c>
      <c r="Q101" s="1132" t="str">
        <f t="shared" si="14"/>
        <v>42CFS</v>
      </c>
      <c r="R101" s="1132" t="str">
        <f t="shared" si="14"/>
        <v>42IFS</v>
      </c>
      <c r="S101" s="1132" t="str">
        <f t="shared" si="14"/>
        <v>42CFT</v>
      </c>
      <c r="T101" s="1132" t="str">
        <f t="shared" si="14"/>
        <v>42IFT</v>
      </c>
      <c r="U101" s="1132" t="str">
        <f t="shared" si="14"/>
        <v>42CIS</v>
      </c>
      <c r="V101" s="1132" t="str">
        <f t="shared" si="14"/>
        <v>42IIS</v>
      </c>
      <c r="W101" s="1132" t="str">
        <f t="shared" si="14"/>
        <v>42CIT</v>
      </c>
      <c r="X101" s="1132" t="str">
        <f t="shared" si="14"/>
        <v>42IIT</v>
      </c>
      <c r="Y101" s="1132" t="str">
        <f t="shared" si="14"/>
        <v>43 FT</v>
      </c>
      <c r="Z101" s="1132" t="str">
        <f t="shared" si="14"/>
        <v>43 IT</v>
      </c>
      <c r="AA101" s="1132" t="str">
        <f t="shared" si="14"/>
        <v>Special</v>
      </c>
    </row>
    <row r="102" spans="2:27" outlineLevel="1" x14ac:dyDescent="0.3">
      <c r="B102" s="3">
        <v>18</v>
      </c>
      <c r="C102" s="10" t="s">
        <v>592</v>
      </c>
      <c r="D102" s="1079">
        <f t="shared" ref="D102:AA102" si="15">D74+D95</f>
        <v>86333454.662138224</v>
      </c>
      <c r="E102" s="1079">
        <f t="shared" si="15"/>
        <v>318834.98659775878</v>
      </c>
      <c r="F102" s="1079">
        <f t="shared" si="15"/>
        <v>60205.646423928811</v>
      </c>
      <c r="G102" s="1079">
        <f t="shared" si="15"/>
        <v>58701372.311638102</v>
      </c>
      <c r="H102" s="1079">
        <f t="shared" si="15"/>
        <v>17773929.433108881</v>
      </c>
      <c r="I102" s="1079">
        <f t="shared" si="15"/>
        <v>264944.44337989704</v>
      </c>
      <c r="J102" s="1079">
        <f t="shared" si="15"/>
        <v>397233.97203949146</v>
      </c>
      <c r="K102" s="1079">
        <f t="shared" si="15"/>
        <v>3113639.4378071758</v>
      </c>
      <c r="L102" s="1079">
        <f t="shared" si="15"/>
        <v>773478.11526468303</v>
      </c>
      <c r="M102" s="1079">
        <f t="shared" si="15"/>
        <v>0</v>
      </c>
      <c r="N102" s="1079">
        <f t="shared" si="15"/>
        <v>0</v>
      </c>
      <c r="O102" s="1079">
        <f t="shared" si="15"/>
        <v>202515.57010835948</v>
      </c>
      <c r="P102" s="1079">
        <f t="shared" si="15"/>
        <v>0</v>
      </c>
      <c r="Q102" s="1079">
        <f t="shared" si="15"/>
        <v>507175.26102397451</v>
      </c>
      <c r="R102" s="1079">
        <f t="shared" si="15"/>
        <v>1189118.8064600516</v>
      </c>
      <c r="S102" s="1079">
        <f t="shared" si="15"/>
        <v>393904.73633999994</v>
      </c>
      <c r="T102" s="1079">
        <f t="shared" si="15"/>
        <v>878602.33493338746</v>
      </c>
      <c r="U102" s="1079">
        <f t="shared" si="15"/>
        <v>457766.47951542871</v>
      </c>
      <c r="V102" s="1079">
        <f t="shared" si="15"/>
        <v>177147.46436432161</v>
      </c>
      <c r="W102" s="1079">
        <f t="shared" si="15"/>
        <v>0</v>
      </c>
      <c r="X102" s="1079">
        <f t="shared" si="15"/>
        <v>880591.06106097496</v>
      </c>
      <c r="Y102" s="1079">
        <f t="shared" si="15"/>
        <v>0</v>
      </c>
      <c r="Z102" s="1079">
        <f t="shared" si="15"/>
        <v>0</v>
      </c>
      <c r="AA102" s="1079">
        <f t="shared" si="15"/>
        <v>242994.60207180592</v>
      </c>
    </row>
    <row r="103" spans="2:27" outlineLevel="1" x14ac:dyDescent="0.3">
      <c r="B103" s="3">
        <v>19</v>
      </c>
      <c r="C103" s="8" t="s">
        <v>435</v>
      </c>
      <c r="D103" s="1080">
        <f t="shared" ref="D103:AA103" si="16">IFERROR((D102-D74)/D74,0)</f>
        <v>3.5999947586032602E-2</v>
      </c>
      <c r="E103" s="1080">
        <f t="shared" si="16"/>
        <v>4.3310932687693399E-2</v>
      </c>
      <c r="F103" s="1080">
        <f t="shared" si="16"/>
        <v>4.1258947977983858E-2</v>
      </c>
      <c r="G103" s="1080">
        <f t="shared" si="16"/>
        <v>3.7911135017617829E-2</v>
      </c>
      <c r="H103" s="1080">
        <f t="shared" si="16"/>
        <v>3.6500355423171101E-2</v>
      </c>
      <c r="I103" s="1080">
        <f t="shared" si="16"/>
        <v>3.5169648308815103E-2</v>
      </c>
      <c r="J103" s="1080">
        <f t="shared" si="16"/>
        <v>3.3325081649742586E-2</v>
      </c>
      <c r="K103" s="1080">
        <f t="shared" si="16"/>
        <v>3.2444674925772653E-2</v>
      </c>
      <c r="L103" s="1080">
        <f t="shared" si="16"/>
        <v>1.0731265918863968E-2</v>
      </c>
      <c r="M103" s="1080">
        <f t="shared" si="16"/>
        <v>0</v>
      </c>
      <c r="N103" s="1080">
        <f t="shared" si="16"/>
        <v>0</v>
      </c>
      <c r="O103" s="1080">
        <f t="shared" si="16"/>
        <v>1.9999965943182745E-2</v>
      </c>
      <c r="P103" s="1080">
        <f t="shared" si="16"/>
        <v>0</v>
      </c>
      <c r="Q103" s="1080">
        <f t="shared" si="16"/>
        <v>2.8241151077549174E-2</v>
      </c>
      <c r="R103" s="1080">
        <f t="shared" si="16"/>
        <v>9.082187193947858E-3</v>
      </c>
      <c r="S103" s="1080">
        <f t="shared" si="16"/>
        <v>3.0000025624962866E-2</v>
      </c>
      <c r="T103" s="1080">
        <f t="shared" si="16"/>
        <v>2.0000004827166757E-2</v>
      </c>
      <c r="U103" s="1080">
        <f t="shared" si="16"/>
        <v>2.2750905153740328E-2</v>
      </c>
      <c r="V103" s="1080">
        <f t="shared" si="16"/>
        <v>9.6721813589406846E-3</v>
      </c>
      <c r="W103" s="1080">
        <f t="shared" si="16"/>
        <v>0</v>
      </c>
      <c r="X103" s="1080">
        <f t="shared" si="16"/>
        <v>1.9999998304229907E-2</v>
      </c>
      <c r="Y103" s="1080">
        <f t="shared" si="16"/>
        <v>0</v>
      </c>
      <c r="Z103" s="1080">
        <f t="shared" si="16"/>
        <v>0</v>
      </c>
      <c r="AA103" s="1080">
        <f t="shared" si="16"/>
        <v>0</v>
      </c>
    </row>
    <row r="104" spans="2:27" outlineLevel="1" x14ac:dyDescent="0.3">
      <c r="B104" s="3">
        <v>20</v>
      </c>
      <c r="C104" s="8" t="s">
        <v>598</v>
      </c>
      <c r="D104" s="1679">
        <f>D92+D$95</f>
        <v>57361908.060066417</v>
      </c>
      <c r="E104" s="1081">
        <f t="shared" ref="E104:AA104" si="17">E92+E$95</f>
        <v>243778.98659775875</v>
      </c>
      <c r="F104" s="1081">
        <f t="shared" si="17"/>
        <v>43938.646423928811</v>
      </c>
      <c r="G104" s="1081">
        <f t="shared" si="17"/>
        <v>39491274.311638102</v>
      </c>
      <c r="H104" s="1081">
        <f t="shared" si="17"/>
        <v>11528090.433108881</v>
      </c>
      <c r="I104" s="1081">
        <f t="shared" si="17"/>
        <v>165789.44337989704</v>
      </c>
      <c r="J104" s="1081">
        <f t="shared" si="17"/>
        <v>235953.9720394914</v>
      </c>
      <c r="K104" s="1081">
        <f t="shared" si="17"/>
        <v>1802151.4378071753</v>
      </c>
      <c r="L104" s="1081">
        <f t="shared" si="17"/>
        <v>418826.11526468291</v>
      </c>
      <c r="M104" s="1081">
        <f t="shared" si="17"/>
        <v>0</v>
      </c>
      <c r="N104" s="1081">
        <f t="shared" si="17"/>
        <v>0</v>
      </c>
      <c r="O104" s="1081">
        <f t="shared" si="17"/>
        <v>202515.57010835948</v>
      </c>
      <c r="P104" s="1081">
        <f t="shared" si="17"/>
        <v>0</v>
      </c>
      <c r="Q104" s="1081">
        <f t="shared" si="17"/>
        <v>256561.26102397451</v>
      </c>
      <c r="R104" s="1081">
        <f t="shared" si="17"/>
        <v>545832.80646005145</v>
      </c>
      <c r="S104" s="1081">
        <f t="shared" si="17"/>
        <v>393904.73633999994</v>
      </c>
      <c r="T104" s="1081">
        <f t="shared" si="17"/>
        <v>878602.33493338746</v>
      </c>
      <c r="U104" s="1081">
        <f t="shared" si="17"/>
        <v>187550.4795154288</v>
      </c>
      <c r="V104" s="1081">
        <f t="shared" si="17"/>
        <v>86546.464364321611</v>
      </c>
      <c r="W104" s="1081">
        <f t="shared" si="17"/>
        <v>0</v>
      </c>
      <c r="X104" s="1081">
        <f t="shared" si="17"/>
        <v>880591.06106097496</v>
      </c>
      <c r="Y104" s="1081">
        <f t="shared" si="17"/>
        <v>0</v>
      </c>
      <c r="Z104" s="1081">
        <f t="shared" si="17"/>
        <v>0</v>
      </c>
      <c r="AA104" s="1081">
        <f t="shared" si="17"/>
        <v>0</v>
      </c>
    </row>
    <row r="105" spans="2:27" outlineLevel="1" x14ac:dyDescent="0.3">
      <c r="B105" s="3">
        <v>21</v>
      </c>
      <c r="C105" s="8" t="s">
        <v>436</v>
      </c>
      <c r="D105" s="1082">
        <f>IFERROR(D95/(D92-AA92),0)</f>
        <v>5.5185700926560409E-2</v>
      </c>
      <c r="E105" s="1082">
        <f t="shared" ref="E105:AA105" si="18">IFERROR(E95/(E92-AB92),0)</f>
        <v>5.7411306764537928E-2</v>
      </c>
      <c r="F105" s="1082">
        <f t="shared" si="18"/>
        <v>5.7410813506661253E-2</v>
      </c>
      <c r="G105" s="1082">
        <f t="shared" si="18"/>
        <v>5.7411340295992042E-2</v>
      </c>
      <c r="H105" s="1082">
        <f t="shared" si="18"/>
        <v>5.7411339302780834E-2</v>
      </c>
      <c r="I105" s="1082">
        <f t="shared" si="18"/>
        <v>5.741144034348139E-2</v>
      </c>
      <c r="J105" s="1082">
        <f t="shared" si="18"/>
        <v>5.7411287081878537E-2</v>
      </c>
      <c r="K105" s="1082">
        <f t="shared" si="18"/>
        <v>5.7411333759585674E-2</v>
      </c>
      <c r="L105" s="1082">
        <f t="shared" si="18"/>
        <v>1.9999986339091898E-2</v>
      </c>
      <c r="M105" s="1082">
        <f t="shared" si="18"/>
        <v>0</v>
      </c>
      <c r="N105" s="1082">
        <f t="shared" si="18"/>
        <v>0</v>
      </c>
      <c r="O105" s="1082">
        <f t="shared" si="18"/>
        <v>1.9999965943182707E-2</v>
      </c>
      <c r="P105" s="1082">
        <f t="shared" si="18"/>
        <v>0</v>
      </c>
      <c r="Q105" s="1082">
        <f t="shared" si="18"/>
        <v>5.7411434114357902E-2</v>
      </c>
      <c r="R105" s="1082">
        <f t="shared" si="18"/>
        <v>1.9999985822594789E-2</v>
      </c>
      <c r="S105" s="1082">
        <f t="shared" si="18"/>
        <v>3.0000025624962894E-2</v>
      </c>
      <c r="T105" s="1082">
        <f t="shared" si="18"/>
        <v>2.0000004827166799E-2</v>
      </c>
      <c r="U105" s="1082">
        <f t="shared" si="18"/>
        <v>5.7411465294288165E-2</v>
      </c>
      <c r="V105" s="1082">
        <f t="shared" si="18"/>
        <v>1.9999991845325721E-2</v>
      </c>
      <c r="W105" s="1082">
        <f t="shared" si="18"/>
        <v>0</v>
      </c>
      <c r="X105" s="1082">
        <f t="shared" si="18"/>
        <v>1.9999998304229896E-2</v>
      </c>
      <c r="Y105" s="1082">
        <f t="shared" si="18"/>
        <v>0</v>
      </c>
      <c r="Z105" s="1082">
        <f t="shared" si="18"/>
        <v>0</v>
      </c>
      <c r="AA105" s="1082">
        <f t="shared" si="18"/>
        <v>0</v>
      </c>
    </row>
    <row r="106" spans="2:27" outlineLevel="1" x14ac:dyDescent="0.3">
      <c r="B106" s="3">
        <v>22</v>
      </c>
      <c r="C106" s="8" t="s">
        <v>437</v>
      </c>
      <c r="D106" s="1083">
        <f t="shared" ref="D106:X106" si="19">IF(ISERROR(D95/(D18+D69)),$D$108,(D95/(D18+D69)))</f>
        <v>7.094319162446569E-2</v>
      </c>
      <c r="E106" s="1083">
        <f t="shared" si="19"/>
        <v>7.917936491695314E-2</v>
      </c>
      <c r="F106" s="1083">
        <f t="shared" si="19"/>
        <v>6.2792565989142152E-2</v>
      </c>
      <c r="G106" s="1083">
        <f>IF(ISERROR(G95/(G18+G69)),$D$108,(G95/(G18+G69)))</f>
        <v>7.464001422805755E-2</v>
      </c>
      <c r="H106" s="1083">
        <f t="shared" si="19"/>
        <v>6.9829887021955722E-2</v>
      </c>
      <c r="I106" s="1083">
        <f t="shared" si="19"/>
        <v>6.1617605458843733E-2</v>
      </c>
      <c r="J106" s="1083">
        <f t="shared" si="19"/>
        <v>9.6803271374461611E-2</v>
      </c>
      <c r="K106" s="1083">
        <f t="shared" si="19"/>
        <v>7.119086648180506E-2</v>
      </c>
      <c r="L106" s="1083">
        <f t="shared" si="19"/>
        <v>2.4031351350119416E-2</v>
      </c>
      <c r="M106" s="1083">
        <f>IF(ISERROR(M95/(M18+M69)),$D$109,(M95/(M18+M69)))</f>
        <v>5.7411339665260415E-2</v>
      </c>
      <c r="N106" s="1083">
        <f t="shared" si="19"/>
        <v>0.02</v>
      </c>
      <c r="O106" s="1083">
        <f t="shared" si="19"/>
        <v>2.6289543638791442E-2</v>
      </c>
      <c r="P106" s="1083">
        <f t="shared" si="19"/>
        <v>0.02</v>
      </c>
      <c r="Q106" s="1083">
        <f t="shared" si="19"/>
        <v>0.11195638095148422</v>
      </c>
      <c r="R106" s="1083">
        <f t="shared" si="19"/>
        <v>3.8242567174053027E-2</v>
      </c>
      <c r="S106" s="1083">
        <f t="shared" si="19"/>
        <v>3.9805012748539273E-2</v>
      </c>
      <c r="T106" s="1083">
        <f t="shared" si="19"/>
        <v>2.6715100514854869E-2</v>
      </c>
      <c r="U106" s="1083">
        <f t="shared" si="19"/>
        <v>7.9066813648512438E-2</v>
      </c>
      <c r="V106" s="1083">
        <f t="shared" si="19"/>
        <v>3.5782246511940327E-2</v>
      </c>
      <c r="W106" s="1083">
        <f t="shared" si="19"/>
        <v>0.02</v>
      </c>
      <c r="X106" s="1083">
        <f t="shared" si="19"/>
        <v>2.3551920591180182E-2</v>
      </c>
      <c r="Y106" s="1655">
        <v>0</v>
      </c>
      <c r="Z106" s="1655">
        <v>0</v>
      </c>
      <c r="AA106" s="1083">
        <v>0</v>
      </c>
    </row>
    <row r="107" spans="2:27" outlineLevel="1" x14ac:dyDescent="0.3">
      <c r="B107" s="3">
        <v>23</v>
      </c>
    </row>
    <row r="108" spans="2:27" outlineLevel="1" x14ac:dyDescent="0.3">
      <c r="B108" s="30">
        <v>24</v>
      </c>
      <c r="D108" s="1452">
        <v>0.02</v>
      </c>
      <c r="E108" s="1092" t="s">
        <v>627</v>
      </c>
    </row>
    <row r="109" spans="2:27" outlineLevel="1" x14ac:dyDescent="0.3">
      <c r="B109" s="30">
        <v>25</v>
      </c>
      <c r="D109" s="1452">
        <v>5.7411339665260415E-2</v>
      </c>
      <c r="E109" s="1092" t="s">
        <v>626</v>
      </c>
    </row>
    <row r="110" spans="2:27" outlineLevel="1" x14ac:dyDescent="0.3"/>
    <row r="111" spans="2:27" outlineLevel="1" x14ac:dyDescent="0.3">
      <c r="C111" s="30" t="s">
        <v>584</v>
      </c>
    </row>
    <row r="112" spans="2:27" outlineLevel="1" x14ac:dyDescent="0.3"/>
    <row r="113" outlineLevel="1" x14ac:dyDescent="0.3"/>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&amp;RUG-200994 et al. / NWN WUTC Advice 22-09
WP1 / &amp;A</oddHeader>
    <oddFooter xml:space="preserve">&amp;C&amp;F &amp;D &amp;T
&amp;A </oddFooter>
  </headerFooter>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sheetViews>
  <sheetFormatPr defaultColWidth="10.19921875" defaultRowHeight="13" x14ac:dyDescent="0.3"/>
  <cols>
    <col min="1" max="1" width="7.296875" style="523" customWidth="1"/>
    <col min="2" max="2" width="16" style="485" customWidth="1"/>
    <col min="3" max="3" width="10.19921875" style="496"/>
    <col min="4" max="4" width="17.19921875" style="497" customWidth="1"/>
    <col min="5" max="5" width="16.5" style="497" customWidth="1"/>
    <col min="6" max="6" width="17.19921875" style="497" customWidth="1"/>
    <col min="7" max="7" width="17.5" style="497" customWidth="1"/>
    <col min="8" max="8" width="28.69921875" style="497" bestFit="1" customWidth="1"/>
    <col min="9" max="9" width="15.19921875" style="508" customWidth="1"/>
    <col min="10" max="10" width="16.796875" style="500" customWidth="1"/>
    <col min="11" max="11" width="13.796875" style="500" customWidth="1"/>
    <col min="12" max="12" width="13.796875" style="508" customWidth="1"/>
    <col min="13" max="13" width="16.19921875" style="500" customWidth="1"/>
    <col min="14" max="16" width="13.796875" style="500" customWidth="1"/>
    <col min="17" max="17" width="13.796875" style="508" customWidth="1"/>
    <col min="18" max="18" width="16.19921875" style="500" customWidth="1"/>
    <col min="19" max="20" width="13.796875" style="500" customWidth="1"/>
    <col min="21" max="21" width="13.796875" style="508" customWidth="1"/>
    <col min="22" max="22" width="16.19921875" style="500" customWidth="1"/>
    <col min="23" max="24" width="13.796875" style="500" customWidth="1"/>
    <col min="25" max="16384" width="10.19921875" style="500"/>
  </cols>
  <sheetData>
    <row r="1" spans="1:24" x14ac:dyDescent="0.3">
      <c r="A1" s="138" t="str">
        <f>+'WA Volumes &amp; Revenues'!A1</f>
        <v>NW Natural</v>
      </c>
      <c r="H1" s="498"/>
      <c r="I1" s="1814"/>
      <c r="J1" s="1814"/>
      <c r="K1" s="489"/>
      <c r="L1" s="499"/>
      <c r="Q1" s="499"/>
      <c r="U1" s="499"/>
    </row>
    <row r="2" spans="1:24" x14ac:dyDescent="0.3">
      <c r="A2" s="138" t="str">
        <f>+'WA Volumes &amp; Revenues'!A2</f>
        <v>Rates &amp; Regulatory Affairs</v>
      </c>
      <c r="H2" s="498"/>
      <c r="I2" s="1816"/>
      <c r="J2" s="1816"/>
      <c r="K2" s="490"/>
      <c r="L2" s="499"/>
      <c r="Q2" s="499"/>
      <c r="U2" s="499"/>
    </row>
    <row r="3" spans="1:24" x14ac:dyDescent="0.3">
      <c r="A3" s="138" t="e">
        <f>+'WA Volumes &amp; Revenues'!#REF!</f>
        <v>#REF!</v>
      </c>
      <c r="H3" s="498"/>
      <c r="I3" s="501"/>
      <c r="J3" s="502"/>
      <c r="K3" s="503"/>
      <c r="L3" s="501"/>
      <c r="Q3" s="501"/>
      <c r="U3" s="501"/>
    </row>
    <row r="4" spans="1:24" x14ac:dyDescent="0.3">
      <c r="A4" s="138" t="str">
        <f>+'WA Volumes &amp; Revenues'!A3</f>
        <v>Test Year Ending September 30, 2020</v>
      </c>
      <c r="H4" s="498"/>
      <c r="I4" s="504"/>
      <c r="J4" s="502"/>
      <c r="K4" s="505"/>
      <c r="L4" s="504"/>
      <c r="M4" s="506"/>
      <c r="Q4" s="504"/>
      <c r="R4" s="506"/>
      <c r="U4" s="504"/>
      <c r="V4" s="506"/>
    </row>
    <row r="5" spans="1:24" x14ac:dyDescent="0.3">
      <c r="A5" s="429" t="s">
        <v>187</v>
      </c>
      <c r="D5" s="496"/>
      <c r="E5" s="496"/>
      <c r="F5" s="496"/>
      <c r="G5" s="496"/>
      <c r="H5" s="498"/>
      <c r="I5" s="501"/>
      <c r="K5" s="505"/>
      <c r="L5" s="501"/>
      <c r="M5" s="506"/>
      <c r="Q5" s="501"/>
      <c r="R5" s="506"/>
      <c r="U5" s="501"/>
      <c r="V5" s="506"/>
    </row>
    <row r="6" spans="1:24" x14ac:dyDescent="0.3">
      <c r="A6" s="54">
        <f>'WA Volumes &amp; Revenues'!A7</f>
        <v>0</v>
      </c>
      <c r="D6" s="496"/>
      <c r="E6" s="496"/>
      <c r="F6" s="496"/>
      <c r="G6" s="496"/>
      <c r="H6" s="498"/>
      <c r="I6" s="501"/>
      <c r="K6" s="333"/>
      <c r="L6" s="333"/>
      <c r="M6" s="333"/>
      <c r="N6" s="333"/>
      <c r="O6" s="333"/>
      <c r="P6" s="333"/>
      <c r="Q6" s="501"/>
      <c r="U6" s="501"/>
    </row>
    <row r="7" spans="1:24" x14ac:dyDescent="0.3">
      <c r="D7" s="496"/>
      <c r="E7" s="496"/>
      <c r="F7" s="496"/>
      <c r="G7" s="496"/>
      <c r="H7" s="498"/>
      <c r="I7" s="501"/>
      <c r="K7" s="507"/>
      <c r="L7" s="507"/>
      <c r="M7" s="507"/>
      <c r="N7" s="507"/>
      <c r="O7" s="507"/>
      <c r="P7" s="507"/>
      <c r="Q7" s="501"/>
      <c r="S7" s="505"/>
      <c r="U7" s="501"/>
      <c r="W7" s="505"/>
    </row>
    <row r="8" spans="1:24" x14ac:dyDescent="0.3">
      <c r="D8" s="496"/>
      <c r="E8" s="496"/>
      <c r="F8" s="496"/>
      <c r="G8" s="496"/>
      <c r="H8" s="498"/>
      <c r="K8" s="333"/>
      <c r="L8" s="333"/>
      <c r="M8" s="333"/>
      <c r="N8" s="333"/>
      <c r="O8" s="333"/>
      <c r="P8" s="333"/>
      <c r="Q8" s="1814"/>
      <c r="R8" s="1814"/>
      <c r="S8" s="1814"/>
      <c r="U8" s="1814"/>
      <c r="V8" s="1814"/>
      <c r="W8" s="1814"/>
    </row>
    <row r="9" spans="1:24" x14ac:dyDescent="0.3">
      <c r="A9" s="509"/>
      <c r="D9" s="496"/>
      <c r="E9" s="496"/>
      <c r="F9" s="496"/>
      <c r="G9" s="496"/>
      <c r="H9" s="498"/>
      <c r="L9" s="1815"/>
      <c r="M9" s="1815"/>
      <c r="N9" s="1815"/>
      <c r="O9" s="535"/>
      <c r="P9" s="535"/>
      <c r="Q9" s="1816"/>
      <c r="R9" s="1816"/>
      <c r="S9" s="1816"/>
      <c r="U9" s="1816"/>
      <c r="V9" s="1816"/>
      <c r="W9" s="1816"/>
    </row>
    <row r="10" spans="1:24" ht="15" customHeight="1" thickBot="1" x14ac:dyDescent="0.35">
      <c r="A10" s="114">
        <v>1</v>
      </c>
      <c r="D10" s="510"/>
      <c r="E10" s="510"/>
      <c r="F10" s="510"/>
      <c r="G10" s="510"/>
      <c r="H10" s="511"/>
      <c r="I10" s="1817" t="s">
        <v>360</v>
      </c>
      <c r="J10" s="1818"/>
      <c r="K10" s="1819"/>
      <c r="L10" s="1817" t="s">
        <v>360</v>
      </c>
      <c r="M10" s="1818"/>
      <c r="N10" s="1818"/>
      <c r="O10" s="1818"/>
      <c r="P10" s="1819"/>
      <c r="Q10" s="1817" t="s">
        <v>360</v>
      </c>
      <c r="R10" s="1818"/>
      <c r="S10" s="1818"/>
      <c r="T10" s="1818"/>
      <c r="U10" s="1817" t="s">
        <v>360</v>
      </c>
      <c r="V10" s="1818"/>
      <c r="W10" s="1818"/>
      <c r="X10" s="1819"/>
    </row>
    <row r="11" spans="1:24" ht="15" customHeight="1" thickBot="1" x14ac:dyDescent="0.35">
      <c r="A11" s="114">
        <f t="shared" ref="A11:A88" si="0">+A10+1</f>
        <v>2</v>
      </c>
      <c r="D11" s="436" t="s">
        <v>261</v>
      </c>
      <c r="E11" s="512" t="s">
        <v>18</v>
      </c>
      <c r="F11" s="60" t="str">
        <f>D11</f>
        <v>UG XXXXXX</v>
      </c>
      <c r="G11" s="60" t="str">
        <f>F11</f>
        <v>UG XXXXXX</v>
      </c>
      <c r="H11" s="513" t="s">
        <v>29</v>
      </c>
      <c r="I11" s="896"/>
      <c r="J11" s="515" t="s">
        <v>174</v>
      </c>
      <c r="K11" s="516"/>
      <c r="L11" s="517"/>
      <c r="M11" s="515" t="s">
        <v>174</v>
      </c>
      <c r="N11" s="515"/>
      <c r="O11" s="515"/>
      <c r="P11" s="515"/>
      <c r="Q11" s="514"/>
      <c r="R11" s="515" t="s">
        <v>174</v>
      </c>
      <c r="S11" s="515"/>
      <c r="T11" s="516"/>
      <c r="U11" s="514"/>
      <c r="V11" s="515" t="s">
        <v>174</v>
      </c>
      <c r="W11" s="515"/>
      <c r="X11" s="516"/>
    </row>
    <row r="12" spans="1:24" ht="15" customHeight="1" thickBot="1" x14ac:dyDescent="0.35">
      <c r="A12" s="114">
        <f t="shared" si="0"/>
        <v>3</v>
      </c>
      <c r="D12" s="60" t="s">
        <v>267</v>
      </c>
      <c r="E12" s="143" t="str">
        <f>'Allocation = % of Margin'!G9</f>
        <v>MARGIN</v>
      </c>
      <c r="F12" s="60" t="str">
        <f>D12</f>
        <v>WA GRC</v>
      </c>
      <c r="G12" s="60" t="str">
        <f>F12</f>
        <v>WA GRC</v>
      </c>
      <c r="H12" s="513" t="s">
        <v>24</v>
      </c>
      <c r="I12" s="441">
        <v>4.1579999999999999E-2</v>
      </c>
      <c r="J12" s="515" t="str">
        <f>IF(I12="&lt; n/a &gt;","rev sensitive factor is built in","add revenue sensitive factor")</f>
        <v>add revenue sensitive factor</v>
      </c>
      <c r="K12" s="516"/>
      <c r="L12" s="518">
        <f>I12</f>
        <v>4.1579999999999999E-2</v>
      </c>
      <c r="M12" s="515" t="str">
        <f>IF(L12="&lt; n/a &gt;","rev sensitive factor is built in","add revenue sensitive factor")</f>
        <v>add revenue sensitive factor</v>
      </c>
      <c r="N12" s="515"/>
      <c r="O12" s="515"/>
      <c r="P12" s="515"/>
      <c r="Q12" s="441">
        <f>I12</f>
        <v>4.1579999999999999E-2</v>
      </c>
      <c r="R12" s="515" t="str">
        <f>IF(Q12="&lt; n/a &gt;","rev sensitive factor is built in","add revenue sensitive factor")</f>
        <v>add revenue sensitive factor</v>
      </c>
      <c r="S12" s="515"/>
      <c r="T12" s="516"/>
      <c r="U12" s="441">
        <f>I12</f>
        <v>4.1579999999999999E-2</v>
      </c>
      <c r="V12" s="515" t="str">
        <f>IF(U12="&lt; n/a &gt;","rev sensitive factor is built in","add revenue sensitive factor")</f>
        <v>add revenue sensitive factor</v>
      </c>
      <c r="W12" s="515"/>
      <c r="X12" s="516"/>
    </row>
    <row r="13" spans="1:24" s="522" customFormat="1" ht="15" customHeight="1" thickBot="1" x14ac:dyDescent="0.35">
      <c r="A13" s="114">
        <f t="shared" si="0"/>
        <v>4</v>
      </c>
      <c r="B13" s="485"/>
      <c r="C13" s="496"/>
      <c r="D13" s="353" t="s">
        <v>168</v>
      </c>
      <c r="E13" s="445" t="str">
        <f>'Allocation = % of Margin'!G10</f>
        <v>Rate</v>
      </c>
      <c r="F13" s="353" t="s">
        <v>213</v>
      </c>
      <c r="G13" s="353" t="s">
        <v>211</v>
      </c>
      <c r="H13" s="513" t="s">
        <v>25</v>
      </c>
      <c r="I13" s="519">
        <f>IF(I12="&lt; n/a &gt;",I11,ROUND(+I11/(1-I12),0))</f>
        <v>0</v>
      </c>
      <c r="J13" s="517" t="s">
        <v>176</v>
      </c>
      <c r="K13" s="520"/>
      <c r="L13" s="521">
        <f>IF(L12="&lt; n/a &gt;",L11,ROUND(+L11/(1-L12),0))</f>
        <v>0</v>
      </c>
      <c r="M13" s="517" t="s">
        <v>176</v>
      </c>
      <c r="N13" s="517"/>
      <c r="O13" s="517"/>
      <c r="P13" s="517"/>
      <c r="Q13" s="519">
        <f>IF(Q12="&lt; n/a &gt;",Q11,ROUND(+Q11/(1-Q12),0))</f>
        <v>0</v>
      </c>
      <c r="R13" s="517" t="s">
        <v>176</v>
      </c>
      <c r="S13" s="517"/>
      <c r="T13" s="520"/>
      <c r="U13" s="519">
        <f>IF(U12="&lt; n/a &gt;",U11,ROUND(+U11/(1-U12),0))</f>
        <v>0</v>
      </c>
      <c r="V13" s="517" t="s">
        <v>176</v>
      </c>
      <c r="W13" s="517"/>
      <c r="X13" s="520"/>
    </row>
    <row r="14" spans="1:24" s="522" customFormat="1" x14ac:dyDescent="0.3">
      <c r="A14" s="114">
        <f t="shared" si="0"/>
        <v>5</v>
      </c>
      <c r="B14" s="523"/>
      <c r="C14" s="500"/>
      <c r="E14" s="536"/>
      <c r="H14" s="741"/>
      <c r="I14" s="524" t="s">
        <v>22</v>
      </c>
      <c r="J14" s="450" t="s">
        <v>168</v>
      </c>
      <c r="K14" s="451" t="s">
        <v>23</v>
      </c>
      <c r="L14" s="450" t="s">
        <v>22</v>
      </c>
      <c r="M14" s="450" t="s">
        <v>168</v>
      </c>
      <c r="N14" s="450" t="s">
        <v>210</v>
      </c>
      <c r="O14" s="450" t="s">
        <v>210</v>
      </c>
      <c r="P14" s="451" t="s">
        <v>212</v>
      </c>
      <c r="Q14" s="524" t="s">
        <v>22</v>
      </c>
      <c r="R14" s="450" t="s">
        <v>168</v>
      </c>
      <c r="S14" s="450" t="s">
        <v>210</v>
      </c>
      <c r="T14" s="451" t="s">
        <v>210</v>
      </c>
      <c r="U14" s="524" t="s">
        <v>22</v>
      </c>
      <c r="V14" s="739" t="s">
        <v>236</v>
      </c>
      <c r="W14" s="450" t="s">
        <v>210</v>
      </c>
      <c r="X14" s="451" t="s">
        <v>210</v>
      </c>
    </row>
    <row r="15" spans="1:24" s="522" customFormat="1" x14ac:dyDescent="0.3">
      <c r="A15" s="114">
        <f t="shared" si="0"/>
        <v>6</v>
      </c>
      <c r="B15" s="523"/>
      <c r="C15" s="500"/>
      <c r="E15" s="510"/>
      <c r="H15" s="742"/>
      <c r="I15" s="524"/>
      <c r="J15" s="450"/>
      <c r="K15" s="451"/>
      <c r="L15" s="450"/>
      <c r="M15" s="450"/>
      <c r="N15" s="450" t="s">
        <v>23</v>
      </c>
      <c r="O15" s="450" t="s">
        <v>28</v>
      </c>
      <c r="P15" s="451" t="s">
        <v>28</v>
      </c>
      <c r="Q15" s="524"/>
      <c r="R15" s="450"/>
      <c r="S15" s="450" t="s">
        <v>23</v>
      </c>
      <c r="T15" s="451" t="s">
        <v>28</v>
      </c>
      <c r="U15" s="524"/>
      <c r="V15" s="450"/>
      <c r="W15" s="450" t="s">
        <v>23</v>
      </c>
      <c r="X15" s="451" t="s">
        <v>28</v>
      </c>
    </row>
    <row r="16" spans="1:24" s="522" customFormat="1" x14ac:dyDescent="0.3">
      <c r="A16" s="114">
        <f t="shared" si="0"/>
        <v>7</v>
      </c>
      <c r="B16" s="690" t="s">
        <v>2</v>
      </c>
      <c r="C16" s="450" t="s">
        <v>3</v>
      </c>
      <c r="D16" s="454" t="s">
        <v>35</v>
      </c>
      <c r="E16" s="454" t="s">
        <v>36</v>
      </c>
      <c r="F16" s="454" t="s">
        <v>13</v>
      </c>
      <c r="G16" s="454" t="s">
        <v>37</v>
      </c>
      <c r="H16" s="743"/>
      <c r="I16" s="525" t="s">
        <v>38</v>
      </c>
      <c r="J16" s="454" t="s">
        <v>39</v>
      </c>
      <c r="K16" s="455" t="s">
        <v>40</v>
      </c>
      <c r="L16" s="454" t="s">
        <v>124</v>
      </c>
      <c r="M16" s="454" t="s">
        <v>125</v>
      </c>
      <c r="N16" s="454" t="s">
        <v>43</v>
      </c>
      <c r="O16" s="454" t="s">
        <v>126</v>
      </c>
      <c r="P16" s="455" t="s">
        <v>127</v>
      </c>
      <c r="Q16" s="525" t="s">
        <v>128</v>
      </c>
      <c r="R16" s="454" t="s">
        <v>129</v>
      </c>
      <c r="S16" s="454" t="s">
        <v>130</v>
      </c>
      <c r="T16" s="455" t="s">
        <v>86</v>
      </c>
      <c r="U16" s="525" t="s">
        <v>128</v>
      </c>
      <c r="V16" s="454" t="s">
        <v>129</v>
      </c>
      <c r="W16" s="454" t="s">
        <v>130</v>
      </c>
      <c r="X16" s="455" t="s">
        <v>86</v>
      </c>
    </row>
    <row r="17" spans="1:24" x14ac:dyDescent="0.3">
      <c r="A17" s="114">
        <f t="shared" si="0"/>
        <v>8</v>
      </c>
      <c r="B17" s="708" t="str">
        <f>'WA Volumes &amp; Revenues'!B15</f>
        <v>1R</v>
      </c>
      <c r="C17" s="708" t="str">
        <f>'WA Volumes &amp; Revenues'!C15</f>
        <v>n/a</v>
      </c>
      <c r="D17" s="460">
        <f>'WA Volumes &amp; Revenues'!E15</f>
        <v>214704.20066131229</v>
      </c>
      <c r="E17" s="457">
        <f>'Allocation = % of Margin'!E14</f>
        <v>0.67652999999999996</v>
      </c>
      <c r="F17" s="461">
        <f>'Allocation = % of Margin'!J14</f>
        <v>145254</v>
      </c>
      <c r="G17" s="461">
        <f>'Allocation = % of Margin'!O14</f>
        <v>208635.2992440185</v>
      </c>
      <c r="H17" s="744"/>
      <c r="I17" s="526">
        <v>1</v>
      </c>
      <c r="J17" s="527">
        <f>+$D17*I17</f>
        <v>214704.20066131229</v>
      </c>
      <c r="K17" s="464">
        <f>+I17*$K$87</f>
        <v>0</v>
      </c>
      <c r="L17" s="528">
        <v>1</v>
      </c>
      <c r="M17" s="527">
        <f>+$D17*L17</f>
        <v>214704.20066131229</v>
      </c>
      <c r="N17" s="462">
        <f>M17*O17</f>
        <v>0</v>
      </c>
      <c r="O17" s="463">
        <f>+$O$87*L17</f>
        <v>0</v>
      </c>
      <c r="P17" s="464">
        <f>O17</f>
        <v>0</v>
      </c>
      <c r="Q17" s="526">
        <v>1</v>
      </c>
      <c r="R17" s="527">
        <f>+$D17*Q17</f>
        <v>214704.20066131229</v>
      </c>
      <c r="S17" s="461">
        <f>R17*T17</f>
        <v>0</v>
      </c>
      <c r="T17" s="464">
        <f>+$T$87*Q17</f>
        <v>0</v>
      </c>
      <c r="U17" s="526">
        <v>1</v>
      </c>
      <c r="V17" s="527">
        <f>'WA Volumes &amp; Revenues'!F15*U17</f>
        <v>218577.4</v>
      </c>
      <c r="W17" s="461">
        <f>V17*X17</f>
        <v>0</v>
      </c>
      <c r="X17" s="464">
        <f>+$X$86*U17</f>
        <v>0</v>
      </c>
    </row>
    <row r="18" spans="1:24" x14ac:dyDescent="0.3">
      <c r="A18" s="114">
        <f t="shared" si="0"/>
        <v>9</v>
      </c>
      <c r="B18" s="708" t="str">
        <f>'WA Volumes &amp; Revenues'!B16</f>
        <v>1C</v>
      </c>
      <c r="C18" s="708" t="str">
        <f>'WA Volumes &amp; Revenues'!C16</f>
        <v>n/a</v>
      </c>
      <c r="D18" s="460">
        <f>'WA Volumes &amp; Revenues'!E16</f>
        <v>46539.057144390383</v>
      </c>
      <c r="E18" s="457">
        <f>'Allocation = % of Margin'!E15</f>
        <v>0.73148999999999997</v>
      </c>
      <c r="F18" s="461">
        <f>'Allocation = % of Margin'!J15</f>
        <v>34043</v>
      </c>
      <c r="G18" s="461">
        <f>'Allocation = % of Margin'!O15</f>
        <v>37604.525911352161</v>
      </c>
      <c r="H18" s="744"/>
      <c r="I18" s="526">
        <v>1</v>
      </c>
      <c r="J18" s="527">
        <f t="shared" ref="J18:J80" si="1">+$D18*I18</f>
        <v>46539.057144390383</v>
      </c>
      <c r="K18" s="464">
        <f t="shared" ref="K18:K81" si="2">+I18*$K$87</f>
        <v>0</v>
      </c>
      <c r="L18" s="528">
        <v>1</v>
      </c>
      <c r="M18" s="527">
        <f t="shared" ref="M18:M81" si="3">+$D18*L18</f>
        <v>46539.057144390383</v>
      </c>
      <c r="N18" s="461">
        <f t="shared" ref="N18:N81" si="4">M18*O18</f>
        <v>0</v>
      </c>
      <c r="O18" s="463">
        <f t="shared" ref="O18:O81" si="5">+$O$87*L18</f>
        <v>0</v>
      </c>
      <c r="P18" s="464">
        <f t="shared" ref="P18:P81" si="6">O18</f>
        <v>0</v>
      </c>
      <c r="Q18" s="526">
        <v>1</v>
      </c>
      <c r="R18" s="527">
        <f t="shared" ref="R18:R81" si="7">+$D18*Q18</f>
        <v>46539.057144390383</v>
      </c>
      <c r="S18" s="461">
        <f t="shared" ref="S18:S81" si="8">R18*T18</f>
        <v>0</v>
      </c>
      <c r="T18" s="464">
        <f t="shared" ref="T18:T81" si="9">+$T$87*Q18</f>
        <v>0</v>
      </c>
      <c r="U18" s="526">
        <v>1</v>
      </c>
      <c r="V18" s="527">
        <f>'WA Volumes &amp; Revenues'!F16*U18</f>
        <v>38726</v>
      </c>
      <c r="W18" s="461">
        <f t="shared" ref="W18:W81" si="10">V18*X18</f>
        <v>0</v>
      </c>
      <c r="X18" s="464">
        <f t="shared" ref="X18:X81" si="11">+$X$86*U18</f>
        <v>0</v>
      </c>
    </row>
    <row r="19" spans="1:24" x14ac:dyDescent="0.3">
      <c r="A19" s="114">
        <f t="shared" si="0"/>
        <v>10</v>
      </c>
      <c r="B19" s="708" t="str">
        <f>'WA Volumes &amp; Revenues'!B17</f>
        <v>2R</v>
      </c>
      <c r="C19" s="708" t="str">
        <f>'WA Volumes &amp; Revenues'!C17</f>
        <v>n/a</v>
      </c>
      <c r="D19" s="460">
        <f>'WA Volumes &amp; Revenues'!E17</f>
        <v>54953515.785084128</v>
      </c>
      <c r="E19" s="457">
        <f>'Allocation = % of Margin'!E16</f>
        <v>0.45815999999999979</v>
      </c>
      <c r="F19" s="461">
        <f>'Allocation = % of Margin'!J16</f>
        <v>25177503</v>
      </c>
      <c r="G19" s="461">
        <f>'Allocation = % of Margin'!O16</f>
        <v>33798099.797603399</v>
      </c>
      <c r="H19" s="744"/>
      <c r="I19" s="526">
        <v>1</v>
      </c>
      <c r="J19" s="527">
        <f t="shared" si="1"/>
        <v>54953515.785084128</v>
      </c>
      <c r="K19" s="464">
        <f t="shared" si="2"/>
        <v>0</v>
      </c>
      <c r="L19" s="528">
        <v>1</v>
      </c>
      <c r="M19" s="527">
        <f t="shared" si="3"/>
        <v>54953515.785084128</v>
      </c>
      <c r="N19" s="461">
        <f t="shared" si="4"/>
        <v>0</v>
      </c>
      <c r="O19" s="463">
        <f t="shared" si="5"/>
        <v>0</v>
      </c>
      <c r="P19" s="464">
        <f t="shared" si="6"/>
        <v>0</v>
      </c>
      <c r="Q19" s="526">
        <v>1</v>
      </c>
      <c r="R19" s="527">
        <f t="shared" si="7"/>
        <v>54953515.785084128</v>
      </c>
      <c r="S19" s="461">
        <f t="shared" si="8"/>
        <v>0</v>
      </c>
      <c r="T19" s="464">
        <f t="shared" si="9"/>
        <v>0</v>
      </c>
      <c r="U19" s="526">
        <v>1</v>
      </c>
      <c r="V19" s="527">
        <f>'WA Volumes &amp; Revenues'!F17*U19</f>
        <v>55009539.100000001</v>
      </c>
      <c r="W19" s="461">
        <f t="shared" si="10"/>
        <v>0</v>
      </c>
      <c r="X19" s="464">
        <f t="shared" si="11"/>
        <v>0</v>
      </c>
    </row>
    <row r="20" spans="1:24" x14ac:dyDescent="0.3">
      <c r="A20" s="114">
        <f t="shared" si="0"/>
        <v>11</v>
      </c>
      <c r="B20" s="708" t="str">
        <f>'WA Volumes &amp; Revenues'!B18</f>
        <v>3 CFS</v>
      </c>
      <c r="C20" s="708" t="str">
        <f>'WA Volumes &amp; Revenues'!C18</f>
        <v>n/a</v>
      </c>
      <c r="D20" s="460">
        <f>'WA Volumes &amp; Revenues'!E18</f>
        <v>17867210.60654201</v>
      </c>
      <c r="E20" s="457">
        <f>'Allocation = % of Margin'!E17</f>
        <v>0.44368000000000019</v>
      </c>
      <c r="F20" s="461">
        <f>'Allocation = % of Margin'!J17</f>
        <v>7927324</v>
      </c>
      <c r="G20" s="461">
        <f>'Allocation = % of Margin'!O17</f>
        <v>9866168.066922849</v>
      </c>
      <c r="H20" s="744"/>
      <c r="I20" s="529">
        <v>1</v>
      </c>
      <c r="J20" s="527">
        <f t="shared" si="1"/>
        <v>17867210.60654201</v>
      </c>
      <c r="K20" s="464">
        <f t="shared" si="2"/>
        <v>0</v>
      </c>
      <c r="L20" s="528">
        <v>1</v>
      </c>
      <c r="M20" s="527">
        <f t="shared" si="3"/>
        <v>17867210.60654201</v>
      </c>
      <c r="N20" s="461">
        <f t="shared" si="4"/>
        <v>0</v>
      </c>
      <c r="O20" s="463">
        <f t="shared" si="5"/>
        <v>0</v>
      </c>
      <c r="P20" s="464">
        <f t="shared" si="6"/>
        <v>0</v>
      </c>
      <c r="Q20" s="529">
        <v>1</v>
      </c>
      <c r="R20" s="527">
        <f t="shared" si="7"/>
        <v>17867210.60654201</v>
      </c>
      <c r="S20" s="461">
        <f t="shared" si="8"/>
        <v>0</v>
      </c>
      <c r="T20" s="464">
        <f t="shared" si="9"/>
        <v>0</v>
      </c>
      <c r="U20" s="529">
        <v>1</v>
      </c>
      <c r="V20" s="527">
        <f>'WA Volumes &amp; Revenues'!F18*U20</f>
        <v>18385904.899999999</v>
      </c>
      <c r="W20" s="461">
        <f t="shared" si="10"/>
        <v>0</v>
      </c>
      <c r="X20" s="464">
        <f t="shared" si="11"/>
        <v>0</v>
      </c>
    </row>
    <row r="21" spans="1:24" x14ac:dyDescent="0.3">
      <c r="A21" s="114">
        <f t="shared" si="0"/>
        <v>12</v>
      </c>
      <c r="B21" s="708" t="str">
        <f>'WA Volumes &amp; Revenues'!B19</f>
        <v>3 IFS</v>
      </c>
      <c r="C21" s="708" t="str">
        <f>'WA Volumes &amp; Revenues'!C19</f>
        <v>n/a</v>
      </c>
      <c r="D21" s="460">
        <f>'WA Volumes &amp; Revenues'!E19</f>
        <v>283651.99999999994</v>
      </c>
      <c r="E21" s="457">
        <f>'Allocation = % of Margin'!E18</f>
        <v>0.46249000000000001</v>
      </c>
      <c r="F21" s="461">
        <f>'Allocation = % of Margin'!J18</f>
        <v>131186</v>
      </c>
      <c r="G21" s="461">
        <f>'Allocation = % of Margin'!O18</f>
        <v>141888.51157190159</v>
      </c>
      <c r="H21" s="744"/>
      <c r="I21" s="529">
        <v>1</v>
      </c>
      <c r="J21" s="527">
        <f t="shared" si="1"/>
        <v>283651.99999999994</v>
      </c>
      <c r="K21" s="464">
        <f t="shared" si="2"/>
        <v>0</v>
      </c>
      <c r="L21" s="530">
        <v>1</v>
      </c>
      <c r="M21" s="527">
        <f t="shared" si="3"/>
        <v>283651.99999999994</v>
      </c>
      <c r="N21" s="461">
        <f t="shared" si="4"/>
        <v>0</v>
      </c>
      <c r="O21" s="463">
        <f t="shared" si="5"/>
        <v>0</v>
      </c>
      <c r="P21" s="464">
        <f t="shared" si="6"/>
        <v>0</v>
      </c>
      <c r="Q21" s="529">
        <v>1</v>
      </c>
      <c r="R21" s="527">
        <f t="shared" si="7"/>
        <v>283651.99999999994</v>
      </c>
      <c r="S21" s="461">
        <f t="shared" si="8"/>
        <v>0</v>
      </c>
      <c r="T21" s="464">
        <f t="shared" si="9"/>
        <v>0</v>
      </c>
      <c r="U21" s="529">
        <v>1</v>
      </c>
      <c r="V21" s="527">
        <f>'WA Volumes &amp; Revenues'!F19*U21</f>
        <v>263842</v>
      </c>
      <c r="W21" s="461">
        <f t="shared" si="10"/>
        <v>0</v>
      </c>
      <c r="X21" s="464">
        <f t="shared" si="11"/>
        <v>0</v>
      </c>
    </row>
    <row r="22" spans="1:24" x14ac:dyDescent="0.3">
      <c r="A22" s="114">
        <f t="shared" si="0"/>
        <v>13</v>
      </c>
      <c r="B22" s="708" t="str">
        <f>'WA Volumes &amp; Revenues'!B20</f>
        <v>27R</v>
      </c>
      <c r="C22" s="708" t="str">
        <f>'WA Volumes &amp; Revenues'!C20</f>
        <v>n/a</v>
      </c>
      <c r="D22" s="460">
        <f>'WA Volumes &amp; Revenues'!E20</f>
        <v>461371.76933137607</v>
      </c>
      <c r="E22" s="457">
        <f>'Allocation = % of Margin'!E19</f>
        <v>0.24087999999999973</v>
      </c>
      <c r="F22" s="461">
        <f>'Allocation = % of Margin'!J19</f>
        <v>111135</v>
      </c>
      <c r="G22" s="461">
        <f>'Allocation = % of Margin'!O19</f>
        <v>201937.97258147644</v>
      </c>
      <c r="H22" s="745"/>
      <c r="I22" s="529">
        <v>1</v>
      </c>
      <c r="J22" s="527">
        <f t="shared" si="1"/>
        <v>461371.76933137607</v>
      </c>
      <c r="K22" s="464">
        <f t="shared" si="2"/>
        <v>0</v>
      </c>
      <c r="L22" s="530">
        <v>1</v>
      </c>
      <c r="M22" s="527">
        <f t="shared" si="3"/>
        <v>461371.76933137607</v>
      </c>
      <c r="N22" s="461">
        <f t="shared" si="4"/>
        <v>0</v>
      </c>
      <c r="O22" s="463">
        <f t="shared" si="5"/>
        <v>0</v>
      </c>
      <c r="P22" s="464">
        <f t="shared" si="6"/>
        <v>0</v>
      </c>
      <c r="Q22" s="529">
        <v>1</v>
      </c>
      <c r="R22" s="527">
        <f t="shared" si="7"/>
        <v>461371.76933137607</v>
      </c>
      <c r="S22" s="461">
        <f t="shared" si="8"/>
        <v>0</v>
      </c>
      <c r="T22" s="464">
        <f t="shared" si="9"/>
        <v>0</v>
      </c>
      <c r="U22" s="529">
        <v>1</v>
      </c>
      <c r="V22" s="527">
        <f>'WA Volumes &amp; Revenues'!F20*U22</f>
        <v>591910</v>
      </c>
      <c r="W22" s="461">
        <f t="shared" si="10"/>
        <v>0</v>
      </c>
      <c r="X22" s="464">
        <f t="shared" si="11"/>
        <v>0</v>
      </c>
    </row>
    <row r="23" spans="1:24" x14ac:dyDescent="0.3">
      <c r="A23" s="114">
        <f t="shared" si="0"/>
        <v>14</v>
      </c>
      <c r="B23" s="709" t="str">
        <f>'WA Volumes &amp; Revenues'!B21</f>
        <v>41C Firm Sales</v>
      </c>
      <c r="C23" s="710" t="s">
        <v>4</v>
      </c>
      <c r="D23" s="466">
        <f>'WA Volumes &amp; Revenues'!E21</f>
        <v>1777065.1510316674</v>
      </c>
      <c r="E23" s="467">
        <f>'Allocation = % of Margin'!E20</f>
        <v>0.34474000000000016</v>
      </c>
      <c r="F23" s="276">
        <f>'Allocation = % of Margin'!J20</f>
        <v>612625</v>
      </c>
      <c r="G23" s="276">
        <f>'Allocation = % of Margin'!O20</f>
        <v>1542347.3405315941</v>
      </c>
      <c r="H23" s="744"/>
      <c r="I23" s="531">
        <v>1</v>
      </c>
      <c r="J23" s="523">
        <f t="shared" si="1"/>
        <v>1777065.1510316674</v>
      </c>
      <c r="K23" s="472">
        <f t="shared" si="2"/>
        <v>0</v>
      </c>
      <c r="L23" s="532">
        <v>1</v>
      </c>
      <c r="M23" s="523">
        <f t="shared" si="3"/>
        <v>1777065.1510316674</v>
      </c>
      <c r="N23" s="276">
        <f t="shared" si="4"/>
        <v>0</v>
      </c>
      <c r="O23" s="465">
        <f t="shared" si="5"/>
        <v>0</v>
      </c>
      <c r="P23" s="472">
        <f t="shared" si="6"/>
        <v>0</v>
      </c>
      <c r="Q23" s="531">
        <v>1</v>
      </c>
      <c r="R23" s="523">
        <f t="shared" si="7"/>
        <v>1777065.1510316674</v>
      </c>
      <c r="S23" s="276">
        <f t="shared" si="8"/>
        <v>0</v>
      </c>
      <c r="T23" s="472">
        <f t="shared" si="9"/>
        <v>0</v>
      </c>
      <c r="U23" s="531">
        <v>1</v>
      </c>
      <c r="V23" s="523">
        <f>'WA Volumes &amp; Revenues'!F21*U23</f>
        <v>1992236.2</v>
      </c>
      <c r="W23" s="276">
        <f t="shared" si="10"/>
        <v>0</v>
      </c>
      <c r="X23" s="472">
        <f t="shared" si="11"/>
        <v>0</v>
      </c>
    </row>
    <row r="24" spans="1:24" x14ac:dyDescent="0.3">
      <c r="A24" s="114">
        <f t="shared" si="0"/>
        <v>15</v>
      </c>
      <c r="B24" s="707"/>
      <c r="C24" s="711" t="s">
        <v>5</v>
      </c>
      <c r="D24" s="460">
        <f>'WA Volumes &amp; Revenues'!E22</f>
        <v>1974656.4658023661</v>
      </c>
      <c r="E24" s="457">
        <f>'Allocation = % of Margin'!E21</f>
        <v>0.30376999999999998</v>
      </c>
      <c r="F24" s="461">
        <f>'Allocation = % of Margin'!J21</f>
        <v>599841</v>
      </c>
      <c r="G24" s="461">
        <f>'Allocation = % of Margin'!O21</f>
        <v>0</v>
      </c>
      <c r="H24" s="744"/>
      <c r="I24" s="529">
        <v>1</v>
      </c>
      <c r="J24" s="527">
        <f t="shared" si="1"/>
        <v>1974656.4658023661</v>
      </c>
      <c r="K24" s="464">
        <f t="shared" si="2"/>
        <v>0</v>
      </c>
      <c r="L24" s="530">
        <v>1</v>
      </c>
      <c r="M24" s="527">
        <f t="shared" si="3"/>
        <v>1974656.4658023661</v>
      </c>
      <c r="N24" s="461">
        <f t="shared" si="4"/>
        <v>0</v>
      </c>
      <c r="O24" s="463">
        <f t="shared" si="5"/>
        <v>0</v>
      </c>
      <c r="P24" s="464">
        <f t="shared" si="6"/>
        <v>0</v>
      </c>
      <c r="Q24" s="529">
        <v>1</v>
      </c>
      <c r="R24" s="527">
        <f t="shared" si="7"/>
        <v>1974656.4658023661</v>
      </c>
      <c r="S24" s="461">
        <f t="shared" si="8"/>
        <v>0</v>
      </c>
      <c r="T24" s="464">
        <f t="shared" si="9"/>
        <v>0</v>
      </c>
      <c r="U24" s="529">
        <v>1</v>
      </c>
      <c r="V24" s="527">
        <f>'WA Volumes &amp; Revenues'!F22*U24</f>
        <v>2142067.7000000002</v>
      </c>
      <c r="W24" s="461">
        <f t="shared" si="10"/>
        <v>0</v>
      </c>
      <c r="X24" s="464">
        <f t="shared" si="11"/>
        <v>0</v>
      </c>
    </row>
    <row r="25" spans="1:24" x14ac:dyDescent="0.3">
      <c r="A25" s="114">
        <f t="shared" si="0"/>
        <v>16</v>
      </c>
      <c r="B25" s="709" t="str">
        <f>'WA Volumes &amp; Revenues'!B23</f>
        <v>41I Firm Sales</v>
      </c>
      <c r="C25" s="710" t="s">
        <v>4</v>
      </c>
      <c r="D25" s="473">
        <f>'WA Volumes &amp; Revenues'!E23</f>
        <v>392890.20000000007</v>
      </c>
      <c r="E25" s="467">
        <f>'Allocation = % of Margin'!E22</f>
        <v>0.34416000000000024</v>
      </c>
      <c r="F25" s="468">
        <f>'Allocation = % of Margin'!J22</f>
        <v>135217</v>
      </c>
      <c r="G25" s="468">
        <f>'Allocation = % of Margin'!O22</f>
        <v>392613.82673589932</v>
      </c>
      <c r="H25" s="744"/>
      <c r="I25" s="531">
        <v>1</v>
      </c>
      <c r="J25" s="523">
        <f t="shared" si="1"/>
        <v>392890.20000000007</v>
      </c>
      <c r="K25" s="472">
        <f t="shared" si="2"/>
        <v>0</v>
      </c>
      <c r="L25" s="532">
        <v>1</v>
      </c>
      <c r="M25" s="523">
        <f t="shared" si="3"/>
        <v>392890.20000000007</v>
      </c>
      <c r="N25" s="468">
        <f t="shared" si="4"/>
        <v>0</v>
      </c>
      <c r="O25" s="465">
        <f t="shared" si="5"/>
        <v>0</v>
      </c>
      <c r="P25" s="472">
        <f t="shared" si="6"/>
        <v>0</v>
      </c>
      <c r="Q25" s="531">
        <v>1</v>
      </c>
      <c r="R25" s="523">
        <f t="shared" si="7"/>
        <v>392890.20000000007</v>
      </c>
      <c r="S25" s="468">
        <f t="shared" si="8"/>
        <v>0</v>
      </c>
      <c r="T25" s="472">
        <f t="shared" si="9"/>
        <v>0</v>
      </c>
      <c r="U25" s="531">
        <v>1</v>
      </c>
      <c r="V25" s="523">
        <f>'WA Volumes &amp; Revenues'!F23*U25</f>
        <v>399967</v>
      </c>
      <c r="W25" s="468">
        <f t="shared" si="10"/>
        <v>0</v>
      </c>
      <c r="X25" s="472">
        <f t="shared" si="11"/>
        <v>0</v>
      </c>
    </row>
    <row r="26" spans="1:24" x14ac:dyDescent="0.3">
      <c r="A26" s="114">
        <f t="shared" si="0"/>
        <v>17</v>
      </c>
      <c r="B26" s="707"/>
      <c r="C26" s="711" t="s">
        <v>5</v>
      </c>
      <c r="D26" s="460">
        <f>'WA Volumes &amp; Revenues'!E24</f>
        <v>621650.00000000012</v>
      </c>
      <c r="E26" s="457">
        <f>'Allocation = % of Margin'!E23</f>
        <v>0.30325000000000002</v>
      </c>
      <c r="F26" s="461">
        <f>'Allocation = % of Margin'!J23</f>
        <v>188515</v>
      </c>
      <c r="G26" s="461">
        <f>'Allocation = % of Margin'!O23</f>
        <v>0</v>
      </c>
      <c r="H26" s="744"/>
      <c r="I26" s="529">
        <v>1</v>
      </c>
      <c r="J26" s="527">
        <f t="shared" si="1"/>
        <v>621650.00000000012</v>
      </c>
      <c r="K26" s="464">
        <f t="shared" si="2"/>
        <v>0</v>
      </c>
      <c r="L26" s="530">
        <v>1</v>
      </c>
      <c r="M26" s="527">
        <f t="shared" si="3"/>
        <v>621650.00000000012</v>
      </c>
      <c r="N26" s="461">
        <f t="shared" si="4"/>
        <v>0</v>
      </c>
      <c r="O26" s="463">
        <f t="shared" si="5"/>
        <v>0</v>
      </c>
      <c r="P26" s="464">
        <f t="shared" si="6"/>
        <v>0</v>
      </c>
      <c r="Q26" s="529">
        <v>1</v>
      </c>
      <c r="R26" s="527">
        <f t="shared" si="7"/>
        <v>621650.00000000012</v>
      </c>
      <c r="S26" s="461">
        <f t="shared" si="8"/>
        <v>0</v>
      </c>
      <c r="T26" s="464">
        <f t="shared" si="9"/>
        <v>0</v>
      </c>
      <c r="U26" s="529">
        <v>1</v>
      </c>
      <c r="V26" s="527">
        <f>'WA Volumes &amp; Revenues'!F24*U26</f>
        <v>630361</v>
      </c>
      <c r="W26" s="461">
        <f t="shared" si="10"/>
        <v>0</v>
      </c>
      <c r="X26" s="464">
        <f t="shared" si="11"/>
        <v>0</v>
      </c>
    </row>
    <row r="27" spans="1:24" x14ac:dyDescent="0.3">
      <c r="A27" s="114">
        <f t="shared" si="0"/>
        <v>18</v>
      </c>
      <c r="B27" s="709" t="str">
        <f>'WA Volumes &amp; Revenues'!B25</f>
        <v>41C Interr Sales</v>
      </c>
      <c r="C27" s="710" t="s">
        <v>4</v>
      </c>
      <c r="D27" s="473">
        <f>'WA Volumes &amp; Revenues'!E25</f>
        <v>0</v>
      </c>
      <c r="E27" s="467">
        <f>'Allocation = % of Margin'!E24</f>
        <v>0.34372999999999987</v>
      </c>
      <c r="F27" s="468">
        <f>'Allocation = % of Margin'!J24</f>
        <v>0</v>
      </c>
      <c r="G27" s="468">
        <f>'Allocation = % of Margin'!O24</f>
        <v>0</v>
      </c>
      <c r="H27" s="744"/>
      <c r="I27" s="531">
        <v>1</v>
      </c>
      <c r="J27" s="523">
        <f t="shared" si="1"/>
        <v>0</v>
      </c>
      <c r="K27" s="472">
        <f t="shared" si="2"/>
        <v>0</v>
      </c>
      <c r="L27" s="532">
        <v>0</v>
      </c>
      <c r="M27" s="523">
        <f t="shared" si="3"/>
        <v>0</v>
      </c>
      <c r="N27" s="468">
        <f t="shared" si="4"/>
        <v>0</v>
      </c>
      <c r="O27" s="465">
        <f t="shared" si="5"/>
        <v>0</v>
      </c>
      <c r="P27" s="472">
        <f t="shared" si="6"/>
        <v>0</v>
      </c>
      <c r="Q27" s="531">
        <v>0</v>
      </c>
      <c r="R27" s="523">
        <f t="shared" si="7"/>
        <v>0</v>
      </c>
      <c r="S27" s="468">
        <f t="shared" si="8"/>
        <v>0</v>
      </c>
      <c r="T27" s="472">
        <f t="shared" si="9"/>
        <v>0</v>
      </c>
      <c r="U27" s="531">
        <v>0</v>
      </c>
      <c r="V27" s="523">
        <f>'WA Volumes &amp; Revenues'!F25*U27</f>
        <v>0</v>
      </c>
      <c r="W27" s="468">
        <f t="shared" si="10"/>
        <v>0</v>
      </c>
      <c r="X27" s="472">
        <f t="shared" si="11"/>
        <v>0</v>
      </c>
    </row>
    <row r="28" spans="1:24" x14ac:dyDescent="0.3">
      <c r="A28" s="114">
        <f t="shared" si="0"/>
        <v>19</v>
      </c>
      <c r="B28" s="707"/>
      <c r="C28" s="711" t="s">
        <v>5</v>
      </c>
      <c r="D28" s="460">
        <f>'WA Volumes &amp; Revenues'!E26</f>
        <v>0</v>
      </c>
      <c r="E28" s="457">
        <f>'Allocation = % of Margin'!E25</f>
        <v>0.30284999999999984</v>
      </c>
      <c r="F28" s="461">
        <f>'Allocation = % of Margin'!J25</f>
        <v>0</v>
      </c>
      <c r="G28" s="461">
        <f>'Allocation = % of Margin'!O25</f>
        <v>0</v>
      </c>
      <c r="H28" s="744"/>
      <c r="I28" s="529">
        <v>1</v>
      </c>
      <c r="J28" s="527">
        <f t="shared" si="1"/>
        <v>0</v>
      </c>
      <c r="K28" s="464">
        <f t="shared" si="2"/>
        <v>0</v>
      </c>
      <c r="L28" s="530">
        <v>0</v>
      </c>
      <c r="M28" s="527">
        <f t="shared" si="3"/>
        <v>0</v>
      </c>
      <c r="N28" s="461">
        <f t="shared" si="4"/>
        <v>0</v>
      </c>
      <c r="O28" s="463">
        <f t="shared" si="5"/>
        <v>0</v>
      </c>
      <c r="P28" s="464">
        <f t="shared" si="6"/>
        <v>0</v>
      </c>
      <c r="Q28" s="529">
        <v>0</v>
      </c>
      <c r="R28" s="527">
        <f t="shared" si="7"/>
        <v>0</v>
      </c>
      <c r="S28" s="461">
        <f t="shared" si="8"/>
        <v>0</v>
      </c>
      <c r="T28" s="464">
        <f t="shared" si="9"/>
        <v>0</v>
      </c>
      <c r="U28" s="529">
        <v>0</v>
      </c>
      <c r="V28" s="527">
        <f>'WA Volumes &amp; Revenues'!F26*U28</f>
        <v>0</v>
      </c>
      <c r="W28" s="461">
        <f t="shared" si="10"/>
        <v>0</v>
      </c>
      <c r="X28" s="464">
        <f t="shared" si="11"/>
        <v>0</v>
      </c>
    </row>
    <row r="29" spans="1:24" x14ac:dyDescent="0.3">
      <c r="A29" s="114">
        <f t="shared" si="0"/>
        <v>20</v>
      </c>
      <c r="B29" s="709" t="str">
        <f>'WA Volumes &amp; Revenues'!B27</f>
        <v>41I Interr Sales</v>
      </c>
      <c r="C29" s="710" t="s">
        <v>4</v>
      </c>
      <c r="D29" s="473">
        <f>'WA Volumes &amp; Revenues'!E27</f>
        <v>0</v>
      </c>
      <c r="E29" s="467">
        <f>'Allocation = % of Margin'!E26</f>
        <v>0.34372999999999987</v>
      </c>
      <c r="F29" s="468">
        <f>'Allocation = % of Margin'!J26</f>
        <v>0</v>
      </c>
      <c r="G29" s="468">
        <f>'Allocation = % of Margin'!O26</f>
        <v>0</v>
      </c>
      <c r="H29" s="744"/>
      <c r="I29" s="531">
        <v>1</v>
      </c>
      <c r="J29" s="523">
        <f t="shared" si="1"/>
        <v>0</v>
      </c>
      <c r="K29" s="472">
        <f t="shared" si="2"/>
        <v>0</v>
      </c>
      <c r="L29" s="532">
        <v>1</v>
      </c>
      <c r="M29" s="523">
        <f t="shared" si="3"/>
        <v>0</v>
      </c>
      <c r="N29" s="468">
        <f t="shared" si="4"/>
        <v>0</v>
      </c>
      <c r="O29" s="465">
        <f t="shared" si="5"/>
        <v>0</v>
      </c>
      <c r="P29" s="472">
        <f t="shared" si="6"/>
        <v>0</v>
      </c>
      <c r="Q29" s="531">
        <v>1</v>
      </c>
      <c r="R29" s="523">
        <f t="shared" si="7"/>
        <v>0</v>
      </c>
      <c r="S29" s="468">
        <f t="shared" si="8"/>
        <v>0</v>
      </c>
      <c r="T29" s="472">
        <f t="shared" si="9"/>
        <v>0</v>
      </c>
      <c r="U29" s="531">
        <v>1</v>
      </c>
      <c r="V29" s="523">
        <f>'WA Volumes &amp; Revenues'!F27*U29</f>
        <v>0</v>
      </c>
      <c r="W29" s="468">
        <f t="shared" si="10"/>
        <v>0</v>
      </c>
      <c r="X29" s="472">
        <f t="shared" si="11"/>
        <v>0</v>
      </c>
    </row>
    <row r="30" spans="1:24" x14ac:dyDescent="0.3">
      <c r="A30" s="114">
        <f t="shared" si="0"/>
        <v>21</v>
      </c>
      <c r="B30" s="707"/>
      <c r="C30" s="711" t="s">
        <v>5</v>
      </c>
      <c r="D30" s="460">
        <f>'WA Volumes &amp; Revenues'!E28</f>
        <v>0</v>
      </c>
      <c r="E30" s="457">
        <f>'Allocation = % of Margin'!E27</f>
        <v>0.30284999999999984</v>
      </c>
      <c r="F30" s="461">
        <f>'Allocation = % of Margin'!J27</f>
        <v>0</v>
      </c>
      <c r="G30" s="461">
        <f>'Allocation = % of Margin'!O27</f>
        <v>0</v>
      </c>
      <c r="H30" s="744"/>
      <c r="I30" s="529">
        <v>1</v>
      </c>
      <c r="J30" s="527">
        <f t="shared" si="1"/>
        <v>0</v>
      </c>
      <c r="K30" s="464">
        <f t="shared" si="2"/>
        <v>0</v>
      </c>
      <c r="L30" s="530">
        <v>1</v>
      </c>
      <c r="M30" s="527">
        <f t="shared" si="3"/>
        <v>0</v>
      </c>
      <c r="N30" s="461">
        <f t="shared" si="4"/>
        <v>0</v>
      </c>
      <c r="O30" s="463">
        <f t="shared" si="5"/>
        <v>0</v>
      </c>
      <c r="P30" s="464">
        <f t="shared" si="6"/>
        <v>0</v>
      </c>
      <c r="Q30" s="529">
        <v>1</v>
      </c>
      <c r="R30" s="527">
        <f t="shared" si="7"/>
        <v>0</v>
      </c>
      <c r="S30" s="461">
        <f t="shared" si="8"/>
        <v>0</v>
      </c>
      <c r="T30" s="464">
        <f t="shared" si="9"/>
        <v>0</v>
      </c>
      <c r="U30" s="529">
        <v>1</v>
      </c>
      <c r="V30" s="527">
        <f>'WA Volumes &amp; Revenues'!F28*U30</f>
        <v>0</v>
      </c>
      <c r="W30" s="461">
        <f t="shared" si="10"/>
        <v>0</v>
      </c>
      <c r="X30" s="464">
        <f t="shared" si="11"/>
        <v>0</v>
      </c>
    </row>
    <row r="31" spans="1:24" x14ac:dyDescent="0.3">
      <c r="A31" s="114">
        <f t="shared" si="0"/>
        <v>22</v>
      </c>
      <c r="B31" s="709" t="str">
        <f>'WA Volumes &amp; Revenues'!B29</f>
        <v>41C Firm Transpt</v>
      </c>
      <c r="C31" s="710" t="s">
        <v>4</v>
      </c>
      <c r="D31" s="473">
        <f>'WA Volumes &amp; Revenues'!E29</f>
        <v>168721</v>
      </c>
      <c r="E31" s="467">
        <f>'Allocation = % of Margin'!E28</f>
        <v>0.34791</v>
      </c>
      <c r="F31" s="468">
        <f>'Allocation = % of Margin'!J28</f>
        <v>58700</v>
      </c>
      <c r="G31" s="468">
        <f>'Allocation = % of Margin'!O28</f>
        <v>189842</v>
      </c>
      <c r="H31" s="744"/>
      <c r="I31" s="531">
        <v>0</v>
      </c>
      <c r="J31" s="523">
        <f t="shared" si="1"/>
        <v>0</v>
      </c>
      <c r="K31" s="472">
        <f t="shared" si="2"/>
        <v>0</v>
      </c>
      <c r="L31" s="532">
        <v>1</v>
      </c>
      <c r="M31" s="523">
        <f t="shared" si="3"/>
        <v>168721</v>
      </c>
      <c r="N31" s="468">
        <f t="shared" si="4"/>
        <v>0</v>
      </c>
      <c r="O31" s="465">
        <f t="shared" si="5"/>
        <v>0</v>
      </c>
      <c r="P31" s="472">
        <f t="shared" si="6"/>
        <v>0</v>
      </c>
      <c r="Q31" s="531">
        <v>1</v>
      </c>
      <c r="R31" s="523">
        <f t="shared" si="7"/>
        <v>168721</v>
      </c>
      <c r="S31" s="468">
        <f t="shared" si="8"/>
        <v>0</v>
      </c>
      <c r="T31" s="472">
        <f t="shared" si="9"/>
        <v>0</v>
      </c>
      <c r="U31" s="531">
        <v>1</v>
      </c>
      <c r="V31" s="523">
        <f>'WA Volumes &amp; Revenues'!F29*U31</f>
        <v>169264</v>
      </c>
      <c r="W31" s="468">
        <f t="shared" si="10"/>
        <v>0</v>
      </c>
      <c r="X31" s="472">
        <f t="shared" si="11"/>
        <v>0</v>
      </c>
    </row>
    <row r="32" spans="1:24" x14ac:dyDescent="0.3">
      <c r="A32" s="114">
        <f t="shared" si="0"/>
        <v>23</v>
      </c>
      <c r="B32" s="707"/>
      <c r="C32" s="711" t="s">
        <v>5</v>
      </c>
      <c r="D32" s="460">
        <f>'WA Volumes &amp; Revenues'!E30</f>
        <v>272866</v>
      </c>
      <c r="E32" s="457">
        <f>'Allocation = % of Margin'!E29</f>
        <v>0.30653000000000008</v>
      </c>
      <c r="F32" s="461">
        <f>'Allocation = % of Margin'!J29</f>
        <v>83642</v>
      </c>
      <c r="G32" s="461">
        <f>'Allocation = % of Margin'!O29</f>
        <v>0</v>
      </c>
      <c r="H32" s="744"/>
      <c r="I32" s="529">
        <v>0</v>
      </c>
      <c r="J32" s="527">
        <f t="shared" si="1"/>
        <v>0</v>
      </c>
      <c r="K32" s="464">
        <f t="shared" si="2"/>
        <v>0</v>
      </c>
      <c r="L32" s="530">
        <v>1</v>
      </c>
      <c r="M32" s="527">
        <f t="shared" si="3"/>
        <v>272866</v>
      </c>
      <c r="N32" s="461">
        <f t="shared" si="4"/>
        <v>0</v>
      </c>
      <c r="O32" s="463">
        <f t="shared" si="5"/>
        <v>0</v>
      </c>
      <c r="P32" s="464">
        <f t="shared" si="6"/>
        <v>0</v>
      </c>
      <c r="Q32" s="529">
        <v>1</v>
      </c>
      <c r="R32" s="527">
        <f t="shared" si="7"/>
        <v>272866</v>
      </c>
      <c r="S32" s="461">
        <f t="shared" si="8"/>
        <v>0</v>
      </c>
      <c r="T32" s="464">
        <f t="shared" si="9"/>
        <v>0</v>
      </c>
      <c r="U32" s="529">
        <v>1</v>
      </c>
      <c r="V32" s="527">
        <f>'WA Volumes &amp; Revenues'!F30*U32</f>
        <v>260994</v>
      </c>
      <c r="W32" s="461">
        <f t="shared" si="10"/>
        <v>0</v>
      </c>
      <c r="X32" s="464">
        <f t="shared" si="11"/>
        <v>0</v>
      </c>
    </row>
    <row r="33" spans="1:24" x14ac:dyDescent="0.3">
      <c r="A33" s="114">
        <f t="shared" si="0"/>
        <v>24</v>
      </c>
      <c r="B33" s="709" t="str">
        <f>'WA Volumes &amp; Revenues'!B31</f>
        <v>41I Firm Transpt</v>
      </c>
      <c r="C33" s="710" t="s">
        <v>4</v>
      </c>
      <c r="D33" s="473">
        <f>'WA Volumes &amp; Revenues'!E31</f>
        <v>0</v>
      </c>
      <c r="E33" s="467">
        <f>'Allocation = % of Margin'!E30</f>
        <v>0.34791</v>
      </c>
      <c r="F33" s="468">
        <f>'Allocation = % of Margin'!J30</f>
        <v>0</v>
      </c>
      <c r="G33" s="468">
        <f>'Allocation = % of Margin'!O30</f>
        <v>0</v>
      </c>
      <c r="H33" s="744"/>
      <c r="I33" s="531">
        <v>0</v>
      </c>
      <c r="J33" s="523">
        <f t="shared" si="1"/>
        <v>0</v>
      </c>
      <c r="K33" s="472">
        <f t="shared" si="2"/>
        <v>0</v>
      </c>
      <c r="L33" s="532">
        <v>0</v>
      </c>
      <c r="M33" s="523">
        <f t="shared" si="3"/>
        <v>0</v>
      </c>
      <c r="N33" s="468">
        <f t="shared" si="4"/>
        <v>0</v>
      </c>
      <c r="O33" s="465">
        <f t="shared" si="5"/>
        <v>0</v>
      </c>
      <c r="P33" s="472">
        <f t="shared" si="6"/>
        <v>0</v>
      </c>
      <c r="Q33" s="531">
        <v>0</v>
      </c>
      <c r="R33" s="523">
        <f t="shared" si="7"/>
        <v>0</v>
      </c>
      <c r="S33" s="468">
        <f t="shared" si="8"/>
        <v>0</v>
      </c>
      <c r="T33" s="472">
        <f t="shared" si="9"/>
        <v>0</v>
      </c>
      <c r="U33" s="531">
        <v>0</v>
      </c>
      <c r="V33" s="523">
        <f>'WA Volumes &amp; Revenues'!F31*U33</f>
        <v>0</v>
      </c>
      <c r="W33" s="468">
        <f t="shared" si="10"/>
        <v>0</v>
      </c>
      <c r="X33" s="472">
        <f t="shared" si="11"/>
        <v>0</v>
      </c>
    </row>
    <row r="34" spans="1:24" x14ac:dyDescent="0.3">
      <c r="A34" s="114">
        <f t="shared" si="0"/>
        <v>25</v>
      </c>
      <c r="B34" s="707"/>
      <c r="C34" s="711" t="s">
        <v>5</v>
      </c>
      <c r="D34" s="460">
        <f>'WA Volumes &amp; Revenues'!E32</f>
        <v>0</v>
      </c>
      <c r="E34" s="457">
        <f>'Allocation = % of Margin'!E31</f>
        <v>0.30653000000000008</v>
      </c>
      <c r="F34" s="461">
        <f>'Allocation = % of Margin'!J31</f>
        <v>0</v>
      </c>
      <c r="G34" s="461">
        <f>'Allocation = % of Margin'!O31</f>
        <v>0</v>
      </c>
      <c r="H34" s="744"/>
      <c r="I34" s="529">
        <v>0</v>
      </c>
      <c r="J34" s="527">
        <f t="shared" si="1"/>
        <v>0</v>
      </c>
      <c r="K34" s="464">
        <f t="shared" si="2"/>
        <v>0</v>
      </c>
      <c r="L34" s="530">
        <v>0</v>
      </c>
      <c r="M34" s="527">
        <f t="shared" si="3"/>
        <v>0</v>
      </c>
      <c r="N34" s="461">
        <f t="shared" si="4"/>
        <v>0</v>
      </c>
      <c r="O34" s="463">
        <f t="shared" si="5"/>
        <v>0</v>
      </c>
      <c r="P34" s="464">
        <f t="shared" si="6"/>
        <v>0</v>
      </c>
      <c r="Q34" s="529">
        <v>0</v>
      </c>
      <c r="R34" s="527">
        <f t="shared" si="7"/>
        <v>0</v>
      </c>
      <c r="S34" s="461">
        <f t="shared" si="8"/>
        <v>0</v>
      </c>
      <c r="T34" s="464">
        <f t="shared" si="9"/>
        <v>0</v>
      </c>
      <c r="U34" s="529">
        <v>0</v>
      </c>
      <c r="V34" s="527">
        <f>'WA Volumes &amp; Revenues'!F32*U34</f>
        <v>0</v>
      </c>
      <c r="W34" s="461">
        <f t="shared" si="10"/>
        <v>0</v>
      </c>
      <c r="X34" s="464">
        <f t="shared" si="11"/>
        <v>0</v>
      </c>
    </row>
    <row r="35" spans="1:24" x14ac:dyDescent="0.3">
      <c r="A35" s="114">
        <f t="shared" si="0"/>
        <v>26</v>
      </c>
      <c r="B35" s="709" t="str">
        <f>'WA Volumes &amp; Revenues'!B33</f>
        <v>42C Firm Sales</v>
      </c>
      <c r="C35" s="710" t="s">
        <v>4</v>
      </c>
      <c r="D35" s="473">
        <f>'WA Volumes &amp; Revenues'!E33</f>
        <v>350769.66174469434</v>
      </c>
      <c r="E35" s="467">
        <f>'Allocation = % of Margin'!E32</f>
        <v>0.15245999999999996</v>
      </c>
      <c r="F35" s="468">
        <f>'Allocation = % of Margin'!J32</f>
        <v>53478</v>
      </c>
      <c r="G35" s="468">
        <f>'Allocation = % of Margin'!O32</f>
        <v>219575.29677293496</v>
      </c>
      <c r="H35" s="744"/>
      <c r="I35" s="531">
        <v>1</v>
      </c>
      <c r="J35" s="523">
        <f t="shared" si="1"/>
        <v>350769.66174469434</v>
      </c>
      <c r="K35" s="472">
        <f t="shared" si="2"/>
        <v>0</v>
      </c>
      <c r="L35" s="532">
        <v>1</v>
      </c>
      <c r="M35" s="523">
        <f t="shared" si="3"/>
        <v>350769.66174469434</v>
      </c>
      <c r="N35" s="468">
        <f t="shared" si="4"/>
        <v>0</v>
      </c>
      <c r="O35" s="465">
        <f t="shared" si="5"/>
        <v>0</v>
      </c>
      <c r="P35" s="472">
        <f t="shared" si="6"/>
        <v>0</v>
      </c>
      <c r="Q35" s="531">
        <v>1</v>
      </c>
      <c r="R35" s="523">
        <f t="shared" si="7"/>
        <v>350769.66174469434</v>
      </c>
      <c r="S35" s="468">
        <f t="shared" si="8"/>
        <v>0</v>
      </c>
      <c r="T35" s="472">
        <f t="shared" si="9"/>
        <v>0</v>
      </c>
      <c r="U35" s="531">
        <v>1</v>
      </c>
      <c r="V35" s="523">
        <f>'WA Volumes &amp; Revenues'!F33*U35</f>
        <v>542975.5</v>
      </c>
      <c r="W35" s="468">
        <f t="shared" si="10"/>
        <v>0</v>
      </c>
      <c r="X35" s="472">
        <f t="shared" si="11"/>
        <v>0</v>
      </c>
    </row>
    <row r="36" spans="1:24" x14ac:dyDescent="0.3">
      <c r="A36" s="114">
        <f t="shared" si="0"/>
        <v>27</v>
      </c>
      <c r="B36" s="709"/>
      <c r="C36" s="710" t="s">
        <v>5</v>
      </c>
      <c r="D36" s="473">
        <f>'WA Volumes &amp; Revenues'!E34</f>
        <v>303088.75426472601</v>
      </c>
      <c r="E36" s="467">
        <f>'Allocation = % of Margin'!E33</f>
        <v>0.1364699999999997</v>
      </c>
      <c r="F36" s="468">
        <f>'Allocation = % of Margin'!J33</f>
        <v>41363</v>
      </c>
      <c r="G36" s="468">
        <f>'Allocation = % of Margin'!O33</f>
        <v>0</v>
      </c>
      <c r="H36" s="744"/>
      <c r="I36" s="531">
        <v>1</v>
      </c>
      <c r="J36" s="523">
        <f t="shared" si="1"/>
        <v>303088.75426472601</v>
      </c>
      <c r="K36" s="472">
        <f t="shared" si="2"/>
        <v>0</v>
      </c>
      <c r="L36" s="532">
        <v>1</v>
      </c>
      <c r="M36" s="523">
        <f t="shared" si="3"/>
        <v>303088.75426472601</v>
      </c>
      <c r="N36" s="468">
        <f t="shared" si="4"/>
        <v>0</v>
      </c>
      <c r="O36" s="465">
        <f t="shared" si="5"/>
        <v>0</v>
      </c>
      <c r="P36" s="472">
        <f t="shared" si="6"/>
        <v>0</v>
      </c>
      <c r="Q36" s="531">
        <v>1</v>
      </c>
      <c r="R36" s="523">
        <f t="shared" si="7"/>
        <v>303088.75426472601</v>
      </c>
      <c r="S36" s="468">
        <f t="shared" si="8"/>
        <v>0</v>
      </c>
      <c r="T36" s="472">
        <f t="shared" si="9"/>
        <v>0</v>
      </c>
      <c r="U36" s="531">
        <v>1</v>
      </c>
      <c r="V36" s="523">
        <f>'WA Volumes &amp; Revenues'!F34*U36</f>
        <v>474167</v>
      </c>
      <c r="W36" s="468">
        <f t="shared" si="10"/>
        <v>0</v>
      </c>
      <c r="X36" s="472">
        <f t="shared" si="11"/>
        <v>0</v>
      </c>
    </row>
    <row r="37" spans="1:24" x14ac:dyDescent="0.3">
      <c r="A37" s="114">
        <f t="shared" si="0"/>
        <v>28</v>
      </c>
      <c r="B37" s="709"/>
      <c r="C37" s="710" t="s">
        <v>6</v>
      </c>
      <c r="D37" s="473">
        <f>'WA Volumes &amp; Revenues'!E35</f>
        <v>59441.942130257296</v>
      </c>
      <c r="E37" s="467">
        <f>'Allocation = % of Margin'!E34</f>
        <v>0.1046699999999999</v>
      </c>
      <c r="F37" s="468">
        <f>'Allocation = % of Margin'!J34</f>
        <v>6222</v>
      </c>
      <c r="G37" s="468">
        <f>'Allocation = % of Margin'!O34</f>
        <v>0</v>
      </c>
      <c r="H37" s="744"/>
      <c r="I37" s="531">
        <v>1</v>
      </c>
      <c r="J37" s="523">
        <f t="shared" si="1"/>
        <v>59441.942130257296</v>
      </c>
      <c r="K37" s="472">
        <f t="shared" si="2"/>
        <v>0</v>
      </c>
      <c r="L37" s="532">
        <v>1</v>
      </c>
      <c r="M37" s="523">
        <f t="shared" si="3"/>
        <v>59441.942130257296</v>
      </c>
      <c r="N37" s="468">
        <f t="shared" si="4"/>
        <v>0</v>
      </c>
      <c r="O37" s="465">
        <f t="shared" si="5"/>
        <v>0</v>
      </c>
      <c r="P37" s="472">
        <f t="shared" si="6"/>
        <v>0</v>
      </c>
      <c r="Q37" s="531">
        <v>1</v>
      </c>
      <c r="R37" s="523">
        <f t="shared" si="7"/>
        <v>59441.942130257296</v>
      </c>
      <c r="S37" s="468">
        <f t="shared" si="8"/>
        <v>0</v>
      </c>
      <c r="T37" s="472">
        <f t="shared" si="9"/>
        <v>0</v>
      </c>
      <c r="U37" s="531">
        <v>1</v>
      </c>
      <c r="V37" s="523">
        <f>'WA Volumes &amp; Revenues'!F35*U37</f>
        <v>97890.5</v>
      </c>
      <c r="W37" s="468">
        <f t="shared" si="10"/>
        <v>0</v>
      </c>
      <c r="X37" s="472">
        <f t="shared" si="11"/>
        <v>0</v>
      </c>
    </row>
    <row r="38" spans="1:24" x14ac:dyDescent="0.3">
      <c r="A38" s="114">
        <f t="shared" si="0"/>
        <v>29</v>
      </c>
      <c r="B38" s="709"/>
      <c r="C38" s="710" t="s">
        <v>7</v>
      </c>
      <c r="D38" s="473">
        <f>'WA Volumes &amp; Revenues'!E36</f>
        <v>3614.6071898605187</v>
      </c>
      <c r="E38" s="467">
        <f>'Allocation = % of Margin'!E35</f>
        <v>8.3729999999999999E-2</v>
      </c>
      <c r="F38" s="468">
        <f>'Allocation = % of Margin'!J35</f>
        <v>303</v>
      </c>
      <c r="G38" s="468">
        <f>'Allocation = % of Margin'!O35</f>
        <v>0</v>
      </c>
      <c r="H38" s="744"/>
      <c r="I38" s="531">
        <v>1</v>
      </c>
      <c r="J38" s="523">
        <f t="shared" si="1"/>
        <v>3614.6071898605187</v>
      </c>
      <c r="K38" s="472">
        <f t="shared" si="2"/>
        <v>0</v>
      </c>
      <c r="L38" s="532">
        <v>1</v>
      </c>
      <c r="M38" s="523">
        <f t="shared" si="3"/>
        <v>3614.6071898605187</v>
      </c>
      <c r="N38" s="468">
        <f t="shared" si="4"/>
        <v>0</v>
      </c>
      <c r="O38" s="465">
        <f t="shared" si="5"/>
        <v>0</v>
      </c>
      <c r="P38" s="472">
        <f t="shared" si="6"/>
        <v>0</v>
      </c>
      <c r="Q38" s="531">
        <v>1</v>
      </c>
      <c r="R38" s="523">
        <f t="shared" si="7"/>
        <v>3614.6071898605187</v>
      </c>
      <c r="S38" s="468">
        <f t="shared" si="8"/>
        <v>0</v>
      </c>
      <c r="T38" s="472">
        <f t="shared" si="9"/>
        <v>0</v>
      </c>
      <c r="U38" s="531">
        <v>1</v>
      </c>
      <c r="V38" s="523">
        <f>'WA Volumes &amp; Revenues'!F36*U38</f>
        <v>6094</v>
      </c>
      <c r="W38" s="468">
        <f t="shared" si="10"/>
        <v>0</v>
      </c>
      <c r="X38" s="472">
        <f t="shared" si="11"/>
        <v>0</v>
      </c>
    </row>
    <row r="39" spans="1:24" x14ac:dyDescent="0.3">
      <c r="A39" s="114">
        <f t="shared" si="0"/>
        <v>30</v>
      </c>
      <c r="B39" s="709"/>
      <c r="C39" s="710" t="s">
        <v>8</v>
      </c>
      <c r="D39" s="473">
        <f>'WA Volumes &amp; Revenues'!E37</f>
        <v>0</v>
      </c>
      <c r="E39" s="467">
        <f>'Allocation = % of Margin'!E36</f>
        <v>5.5809999999999992E-2</v>
      </c>
      <c r="F39" s="468">
        <f>'Allocation = % of Margin'!J36</f>
        <v>0</v>
      </c>
      <c r="G39" s="468">
        <f>'Allocation = % of Margin'!O36</f>
        <v>0</v>
      </c>
      <c r="H39" s="744"/>
      <c r="I39" s="531">
        <v>1</v>
      </c>
      <c r="J39" s="523">
        <f t="shared" si="1"/>
        <v>0</v>
      </c>
      <c r="K39" s="472">
        <f t="shared" si="2"/>
        <v>0</v>
      </c>
      <c r="L39" s="532">
        <v>1</v>
      </c>
      <c r="M39" s="523">
        <f t="shared" si="3"/>
        <v>0</v>
      </c>
      <c r="N39" s="468">
        <f t="shared" si="4"/>
        <v>0</v>
      </c>
      <c r="O39" s="465">
        <f t="shared" si="5"/>
        <v>0</v>
      </c>
      <c r="P39" s="472">
        <f t="shared" si="6"/>
        <v>0</v>
      </c>
      <c r="Q39" s="531">
        <v>1</v>
      </c>
      <c r="R39" s="523">
        <f t="shared" si="7"/>
        <v>0</v>
      </c>
      <c r="S39" s="468">
        <f t="shared" si="8"/>
        <v>0</v>
      </c>
      <c r="T39" s="472">
        <f t="shared" si="9"/>
        <v>0</v>
      </c>
      <c r="U39" s="531">
        <v>1</v>
      </c>
      <c r="V39" s="523">
        <f>'WA Volumes &amp; Revenues'!F37*U39</f>
        <v>0</v>
      </c>
      <c r="W39" s="468">
        <f t="shared" si="10"/>
        <v>0</v>
      </c>
      <c r="X39" s="472">
        <f t="shared" si="11"/>
        <v>0</v>
      </c>
    </row>
    <row r="40" spans="1:24" x14ac:dyDescent="0.3">
      <c r="A40" s="114">
        <f t="shared" si="0"/>
        <v>31</v>
      </c>
      <c r="B40" s="707"/>
      <c r="C40" s="711" t="s">
        <v>9</v>
      </c>
      <c r="D40" s="460">
        <f>'WA Volumes &amp; Revenues'!E38</f>
        <v>0</v>
      </c>
      <c r="E40" s="457">
        <f>'Allocation = % of Margin'!E37</f>
        <v>2.0920000000000029E-2</v>
      </c>
      <c r="F40" s="461">
        <f>'Allocation = % of Margin'!J37</f>
        <v>0</v>
      </c>
      <c r="G40" s="461">
        <f>'Allocation = % of Margin'!O37</f>
        <v>0</v>
      </c>
      <c r="H40" s="744"/>
      <c r="I40" s="529">
        <v>1</v>
      </c>
      <c r="J40" s="527">
        <f t="shared" si="1"/>
        <v>0</v>
      </c>
      <c r="K40" s="464">
        <f t="shared" si="2"/>
        <v>0</v>
      </c>
      <c r="L40" s="530">
        <v>1</v>
      </c>
      <c r="M40" s="527">
        <f t="shared" si="3"/>
        <v>0</v>
      </c>
      <c r="N40" s="461">
        <f t="shared" si="4"/>
        <v>0</v>
      </c>
      <c r="O40" s="463">
        <f t="shared" si="5"/>
        <v>0</v>
      </c>
      <c r="P40" s="464">
        <f t="shared" si="6"/>
        <v>0</v>
      </c>
      <c r="Q40" s="529">
        <v>1</v>
      </c>
      <c r="R40" s="527">
        <f t="shared" si="7"/>
        <v>0</v>
      </c>
      <c r="S40" s="461">
        <f t="shared" si="8"/>
        <v>0</v>
      </c>
      <c r="T40" s="464">
        <f t="shared" si="9"/>
        <v>0</v>
      </c>
      <c r="U40" s="529">
        <v>1</v>
      </c>
      <c r="V40" s="527">
        <f>'WA Volumes &amp; Revenues'!F38*U40</f>
        <v>0</v>
      </c>
      <c r="W40" s="461">
        <f t="shared" si="10"/>
        <v>0</v>
      </c>
      <c r="X40" s="464">
        <f t="shared" si="11"/>
        <v>0</v>
      </c>
    </row>
    <row r="41" spans="1:24" x14ac:dyDescent="0.3">
      <c r="A41" s="114">
        <f t="shared" si="0"/>
        <v>32</v>
      </c>
      <c r="B41" s="709" t="str">
        <f>'WA Volumes &amp; Revenues'!B39</f>
        <v>42I Firm Sales</v>
      </c>
      <c r="C41" s="710" t="s">
        <v>4</v>
      </c>
      <c r="D41" s="473">
        <f>'WA Volumes &amp; Revenues'!E39</f>
        <v>1093724.2000000002</v>
      </c>
      <c r="E41" s="467">
        <f>'Allocation = % of Margin'!E38</f>
        <v>0.14721000000000001</v>
      </c>
      <c r="F41" s="468">
        <f>'Allocation = % of Margin'!J38</f>
        <v>161007</v>
      </c>
      <c r="G41" s="468">
        <f>'Allocation = % of Margin'!O38</f>
        <v>511671.18216089124</v>
      </c>
      <c r="H41" s="744"/>
      <c r="I41" s="531">
        <v>1</v>
      </c>
      <c r="J41" s="523">
        <f t="shared" si="1"/>
        <v>1093724.2000000002</v>
      </c>
      <c r="K41" s="472">
        <f t="shared" si="2"/>
        <v>0</v>
      </c>
      <c r="L41" s="532">
        <v>1</v>
      </c>
      <c r="M41" s="523">
        <f t="shared" si="3"/>
        <v>1093724.2000000002</v>
      </c>
      <c r="N41" s="468">
        <f t="shared" si="4"/>
        <v>0</v>
      </c>
      <c r="O41" s="465">
        <f t="shared" si="5"/>
        <v>0</v>
      </c>
      <c r="P41" s="472">
        <f t="shared" si="6"/>
        <v>0</v>
      </c>
      <c r="Q41" s="531">
        <v>1</v>
      </c>
      <c r="R41" s="523">
        <f t="shared" si="7"/>
        <v>1093724.2000000002</v>
      </c>
      <c r="S41" s="468">
        <f t="shared" si="8"/>
        <v>0</v>
      </c>
      <c r="T41" s="472">
        <f t="shared" si="9"/>
        <v>0</v>
      </c>
      <c r="U41" s="531">
        <v>1</v>
      </c>
      <c r="V41" s="523">
        <f>'WA Volumes &amp; Revenues'!F39*U41</f>
        <v>1086353</v>
      </c>
      <c r="W41" s="468">
        <f t="shared" si="10"/>
        <v>0</v>
      </c>
      <c r="X41" s="472">
        <f t="shared" si="11"/>
        <v>0</v>
      </c>
    </row>
    <row r="42" spans="1:24" x14ac:dyDescent="0.3">
      <c r="A42" s="114">
        <f t="shared" si="0"/>
        <v>33</v>
      </c>
      <c r="B42" s="709"/>
      <c r="C42" s="710" t="s">
        <v>5</v>
      </c>
      <c r="D42" s="473">
        <f>'WA Volumes &amp; Revenues'!E40</f>
        <v>655939.80000000005</v>
      </c>
      <c r="E42" s="467">
        <f>'Allocation = % of Margin'!E39</f>
        <v>0.13177</v>
      </c>
      <c r="F42" s="468">
        <f>'Allocation = % of Margin'!J39</f>
        <v>86433</v>
      </c>
      <c r="G42" s="468">
        <f>'Allocation = % of Margin'!O39</f>
        <v>0</v>
      </c>
      <c r="H42" s="744"/>
      <c r="I42" s="531">
        <v>1</v>
      </c>
      <c r="J42" s="523">
        <f t="shared" si="1"/>
        <v>655939.80000000005</v>
      </c>
      <c r="K42" s="472">
        <f t="shared" si="2"/>
        <v>0</v>
      </c>
      <c r="L42" s="532">
        <v>1</v>
      </c>
      <c r="M42" s="523">
        <f t="shared" si="3"/>
        <v>655939.80000000005</v>
      </c>
      <c r="N42" s="468">
        <f t="shared" si="4"/>
        <v>0</v>
      </c>
      <c r="O42" s="465">
        <f t="shared" si="5"/>
        <v>0</v>
      </c>
      <c r="P42" s="472">
        <f t="shared" si="6"/>
        <v>0</v>
      </c>
      <c r="Q42" s="531">
        <v>1</v>
      </c>
      <c r="R42" s="523">
        <f t="shared" si="7"/>
        <v>655939.80000000005</v>
      </c>
      <c r="S42" s="468">
        <f t="shared" si="8"/>
        <v>0</v>
      </c>
      <c r="T42" s="472">
        <f t="shared" si="9"/>
        <v>0</v>
      </c>
      <c r="U42" s="531">
        <v>1</v>
      </c>
      <c r="V42" s="523">
        <f>'WA Volumes &amp; Revenues'!F40*U42</f>
        <v>638955</v>
      </c>
      <c r="W42" s="468">
        <f t="shared" si="10"/>
        <v>0</v>
      </c>
      <c r="X42" s="472">
        <f t="shared" si="11"/>
        <v>0</v>
      </c>
    </row>
    <row r="43" spans="1:24" x14ac:dyDescent="0.3">
      <c r="A43" s="114">
        <f t="shared" si="0"/>
        <v>34</v>
      </c>
      <c r="B43" s="709"/>
      <c r="C43" s="710" t="s">
        <v>6</v>
      </c>
      <c r="D43" s="473">
        <f>'WA Volumes &amp; Revenues'!E41</f>
        <v>81241.3</v>
      </c>
      <c r="E43" s="467">
        <f>'Allocation = % of Margin'!E40</f>
        <v>0.10104999999999985</v>
      </c>
      <c r="F43" s="468">
        <f>'Allocation = % of Margin'!J40</f>
        <v>8209</v>
      </c>
      <c r="G43" s="468">
        <f>'Allocation = % of Margin'!O40</f>
        <v>0</v>
      </c>
      <c r="H43" s="744"/>
      <c r="I43" s="531">
        <v>1</v>
      </c>
      <c r="J43" s="523">
        <f t="shared" si="1"/>
        <v>81241.3</v>
      </c>
      <c r="K43" s="472">
        <f t="shared" si="2"/>
        <v>0</v>
      </c>
      <c r="L43" s="532">
        <v>1</v>
      </c>
      <c r="M43" s="523">
        <f t="shared" si="3"/>
        <v>81241.3</v>
      </c>
      <c r="N43" s="468">
        <f t="shared" si="4"/>
        <v>0</v>
      </c>
      <c r="O43" s="465">
        <f t="shared" si="5"/>
        <v>0</v>
      </c>
      <c r="P43" s="472">
        <f t="shared" si="6"/>
        <v>0</v>
      </c>
      <c r="Q43" s="531">
        <v>1</v>
      </c>
      <c r="R43" s="523">
        <f t="shared" si="7"/>
        <v>81241.3</v>
      </c>
      <c r="S43" s="468">
        <f t="shared" si="8"/>
        <v>0</v>
      </c>
      <c r="T43" s="472">
        <f t="shared" si="9"/>
        <v>0</v>
      </c>
      <c r="U43" s="531">
        <v>1</v>
      </c>
      <c r="V43" s="523">
        <f>'WA Volumes &amp; Revenues'!F41*U43</f>
        <v>68923</v>
      </c>
      <c r="W43" s="468">
        <f t="shared" si="10"/>
        <v>0</v>
      </c>
      <c r="X43" s="472">
        <f t="shared" si="11"/>
        <v>0</v>
      </c>
    </row>
    <row r="44" spans="1:24" x14ac:dyDescent="0.3">
      <c r="A44" s="114">
        <f t="shared" si="0"/>
        <v>35</v>
      </c>
      <c r="B44" s="709"/>
      <c r="C44" s="710" t="s">
        <v>7</v>
      </c>
      <c r="D44" s="473">
        <f>'WA Volumes &amp; Revenues'!E42</f>
        <v>9320.1</v>
      </c>
      <c r="E44" s="467">
        <f>'Allocation = % of Margin'!E41</f>
        <v>8.0839999999999995E-2</v>
      </c>
      <c r="F44" s="468">
        <f>'Allocation = % of Margin'!J41</f>
        <v>753</v>
      </c>
      <c r="G44" s="468">
        <f>'Allocation = % of Margin'!O41</f>
        <v>0</v>
      </c>
      <c r="H44" s="744"/>
      <c r="I44" s="531">
        <v>1</v>
      </c>
      <c r="J44" s="523">
        <f t="shared" si="1"/>
        <v>9320.1</v>
      </c>
      <c r="K44" s="472">
        <f t="shared" si="2"/>
        <v>0</v>
      </c>
      <c r="L44" s="532">
        <v>1</v>
      </c>
      <c r="M44" s="523">
        <f t="shared" si="3"/>
        <v>9320.1</v>
      </c>
      <c r="N44" s="468">
        <f t="shared" si="4"/>
        <v>0</v>
      </c>
      <c r="O44" s="465">
        <f t="shared" si="5"/>
        <v>0</v>
      </c>
      <c r="P44" s="472">
        <f t="shared" si="6"/>
        <v>0</v>
      </c>
      <c r="Q44" s="531">
        <v>1</v>
      </c>
      <c r="R44" s="523">
        <f t="shared" si="7"/>
        <v>9320.1</v>
      </c>
      <c r="S44" s="468">
        <f t="shared" si="8"/>
        <v>0</v>
      </c>
      <c r="T44" s="472">
        <f t="shared" si="9"/>
        <v>0</v>
      </c>
      <c r="U44" s="531">
        <v>1</v>
      </c>
      <c r="V44" s="523">
        <f>'WA Volumes &amp; Revenues'!F42*U44</f>
        <v>0</v>
      </c>
      <c r="W44" s="468">
        <f t="shared" si="10"/>
        <v>0</v>
      </c>
      <c r="X44" s="472">
        <f t="shared" si="11"/>
        <v>0</v>
      </c>
    </row>
    <row r="45" spans="1:24" x14ac:dyDescent="0.3">
      <c r="A45" s="114">
        <f t="shared" si="0"/>
        <v>36</v>
      </c>
      <c r="B45" s="709"/>
      <c r="C45" s="710" t="s">
        <v>8</v>
      </c>
      <c r="D45" s="473">
        <f>'WA Volumes &amp; Revenues'!E43</f>
        <v>0</v>
      </c>
      <c r="E45" s="467">
        <f>'Allocation = % of Margin'!E42</f>
        <v>5.391E-2</v>
      </c>
      <c r="F45" s="468">
        <f>'Allocation = % of Margin'!J42</f>
        <v>0</v>
      </c>
      <c r="G45" s="468">
        <f>'Allocation = % of Margin'!O42</f>
        <v>0</v>
      </c>
      <c r="H45" s="744"/>
      <c r="I45" s="531">
        <v>1</v>
      </c>
      <c r="J45" s="523">
        <f t="shared" si="1"/>
        <v>0</v>
      </c>
      <c r="K45" s="472">
        <f t="shared" si="2"/>
        <v>0</v>
      </c>
      <c r="L45" s="532">
        <v>1</v>
      </c>
      <c r="M45" s="523">
        <f t="shared" si="3"/>
        <v>0</v>
      </c>
      <c r="N45" s="468">
        <f t="shared" si="4"/>
        <v>0</v>
      </c>
      <c r="O45" s="465">
        <f t="shared" si="5"/>
        <v>0</v>
      </c>
      <c r="P45" s="472">
        <f t="shared" si="6"/>
        <v>0</v>
      </c>
      <c r="Q45" s="531">
        <v>1</v>
      </c>
      <c r="R45" s="523">
        <f t="shared" si="7"/>
        <v>0</v>
      </c>
      <c r="S45" s="468">
        <f t="shared" si="8"/>
        <v>0</v>
      </c>
      <c r="T45" s="472">
        <f t="shared" si="9"/>
        <v>0</v>
      </c>
      <c r="U45" s="531">
        <v>1</v>
      </c>
      <c r="V45" s="523">
        <f>'WA Volumes &amp; Revenues'!F43*U45</f>
        <v>0</v>
      </c>
      <c r="W45" s="468">
        <f t="shared" si="10"/>
        <v>0</v>
      </c>
      <c r="X45" s="472">
        <f t="shared" si="11"/>
        <v>0</v>
      </c>
    </row>
    <row r="46" spans="1:24" x14ac:dyDescent="0.3">
      <c r="A46" s="114">
        <f t="shared" si="0"/>
        <v>37</v>
      </c>
      <c r="B46" s="707"/>
      <c r="C46" s="711" t="s">
        <v>9</v>
      </c>
      <c r="D46" s="460">
        <f>'WA Volumes &amp; Revenues'!E44</f>
        <v>0</v>
      </c>
      <c r="E46" s="457">
        <f>'Allocation = % of Margin'!E43</f>
        <v>2.0199999999999999E-2</v>
      </c>
      <c r="F46" s="461">
        <f>'Allocation = % of Margin'!J43</f>
        <v>0</v>
      </c>
      <c r="G46" s="461">
        <f>'Allocation = % of Margin'!O43</f>
        <v>0</v>
      </c>
      <c r="H46" s="744"/>
      <c r="I46" s="529">
        <v>1</v>
      </c>
      <c r="J46" s="527">
        <f t="shared" si="1"/>
        <v>0</v>
      </c>
      <c r="K46" s="464">
        <f t="shared" si="2"/>
        <v>0</v>
      </c>
      <c r="L46" s="530">
        <v>1</v>
      </c>
      <c r="M46" s="527">
        <f t="shared" si="3"/>
        <v>0</v>
      </c>
      <c r="N46" s="461">
        <f t="shared" si="4"/>
        <v>0</v>
      </c>
      <c r="O46" s="463">
        <f t="shared" si="5"/>
        <v>0</v>
      </c>
      <c r="P46" s="464">
        <f t="shared" si="6"/>
        <v>0</v>
      </c>
      <c r="Q46" s="529">
        <v>1</v>
      </c>
      <c r="R46" s="527">
        <f t="shared" si="7"/>
        <v>0</v>
      </c>
      <c r="S46" s="461">
        <f t="shared" si="8"/>
        <v>0</v>
      </c>
      <c r="T46" s="464">
        <f t="shared" si="9"/>
        <v>0</v>
      </c>
      <c r="U46" s="529">
        <v>1</v>
      </c>
      <c r="V46" s="527">
        <f>'WA Volumes &amp; Revenues'!F44*U46</f>
        <v>0</v>
      </c>
      <c r="W46" s="461">
        <f t="shared" si="10"/>
        <v>0</v>
      </c>
      <c r="X46" s="464">
        <f t="shared" si="11"/>
        <v>0</v>
      </c>
    </row>
    <row r="47" spans="1:24" x14ac:dyDescent="0.3">
      <c r="A47" s="114">
        <f t="shared" si="0"/>
        <v>38</v>
      </c>
      <c r="B47" s="709" t="str">
        <f>'WA Volumes &amp; Revenues'!B45</f>
        <v>42C Firm Transpt</v>
      </c>
      <c r="C47" s="710" t="s">
        <v>4</v>
      </c>
      <c r="D47" s="473">
        <f>'WA Volumes &amp; Revenues'!E45</f>
        <v>480000</v>
      </c>
      <c r="E47" s="467">
        <f>'Allocation = % of Margin'!E44</f>
        <v>0.13791999999999999</v>
      </c>
      <c r="F47" s="468">
        <f>'Allocation = % of Margin'!J44</f>
        <v>66202</v>
      </c>
      <c r="G47" s="468">
        <f>'Allocation = % of Margin'!O44</f>
        <v>360784.79504</v>
      </c>
      <c r="H47" s="744"/>
      <c r="I47" s="531">
        <v>0</v>
      </c>
      <c r="J47" s="523">
        <f t="shared" si="1"/>
        <v>0</v>
      </c>
      <c r="K47" s="472">
        <f t="shared" si="2"/>
        <v>0</v>
      </c>
      <c r="L47" s="532">
        <v>0</v>
      </c>
      <c r="M47" s="523">
        <f t="shared" si="3"/>
        <v>0</v>
      </c>
      <c r="N47" s="468">
        <f t="shared" si="4"/>
        <v>0</v>
      </c>
      <c r="O47" s="465">
        <f t="shared" si="5"/>
        <v>0</v>
      </c>
      <c r="P47" s="472">
        <f t="shared" si="6"/>
        <v>0</v>
      </c>
      <c r="Q47" s="531">
        <v>0</v>
      </c>
      <c r="R47" s="523">
        <f t="shared" si="7"/>
        <v>0</v>
      </c>
      <c r="S47" s="468">
        <f t="shared" si="8"/>
        <v>0</v>
      </c>
      <c r="T47" s="472">
        <f t="shared" si="9"/>
        <v>0</v>
      </c>
      <c r="U47" s="531">
        <v>0</v>
      </c>
      <c r="V47" s="523">
        <f>'WA Volumes &amp; Revenues'!F45*U47</f>
        <v>0</v>
      </c>
      <c r="W47" s="468">
        <f t="shared" si="10"/>
        <v>0</v>
      </c>
      <c r="X47" s="472">
        <f t="shared" si="11"/>
        <v>0</v>
      </c>
    </row>
    <row r="48" spans="1:24" x14ac:dyDescent="0.3">
      <c r="A48" s="114">
        <f t="shared" si="0"/>
        <v>39</v>
      </c>
      <c r="B48" s="709"/>
      <c r="C48" s="710" t="s">
        <v>5</v>
      </c>
      <c r="D48" s="473">
        <f>'WA Volumes &amp; Revenues'!E46</f>
        <v>807846</v>
      </c>
      <c r="E48" s="467">
        <f>'Allocation = % of Margin'!E45</f>
        <v>0.12346999999999998</v>
      </c>
      <c r="F48" s="468">
        <f>'Allocation = % of Margin'!J45</f>
        <v>99745</v>
      </c>
      <c r="G48" s="468">
        <f>'Allocation = % of Margin'!O45</f>
        <v>0</v>
      </c>
      <c r="H48" s="744"/>
      <c r="I48" s="531">
        <v>0</v>
      </c>
      <c r="J48" s="523">
        <f t="shared" si="1"/>
        <v>0</v>
      </c>
      <c r="K48" s="472">
        <f t="shared" si="2"/>
        <v>0</v>
      </c>
      <c r="L48" s="532">
        <v>0</v>
      </c>
      <c r="M48" s="523">
        <f t="shared" si="3"/>
        <v>0</v>
      </c>
      <c r="N48" s="468">
        <f t="shared" si="4"/>
        <v>0</v>
      </c>
      <c r="O48" s="465">
        <f t="shared" si="5"/>
        <v>0</v>
      </c>
      <c r="P48" s="472">
        <f t="shared" si="6"/>
        <v>0</v>
      </c>
      <c r="Q48" s="531">
        <v>0</v>
      </c>
      <c r="R48" s="523">
        <f t="shared" si="7"/>
        <v>0</v>
      </c>
      <c r="S48" s="468">
        <f t="shared" si="8"/>
        <v>0</v>
      </c>
      <c r="T48" s="472">
        <f t="shared" si="9"/>
        <v>0</v>
      </c>
      <c r="U48" s="531">
        <v>0</v>
      </c>
      <c r="V48" s="523">
        <f>'WA Volumes &amp; Revenues'!F46*U48</f>
        <v>0</v>
      </c>
      <c r="W48" s="468">
        <f t="shared" si="10"/>
        <v>0</v>
      </c>
      <c r="X48" s="472">
        <f t="shared" si="11"/>
        <v>0</v>
      </c>
    </row>
    <row r="49" spans="1:24" x14ac:dyDescent="0.3">
      <c r="A49" s="114">
        <f t="shared" si="0"/>
        <v>40</v>
      </c>
      <c r="B49" s="709"/>
      <c r="C49" s="710" t="s">
        <v>6</v>
      </c>
      <c r="D49" s="473">
        <f>'WA Volumes &amp; Revenues'!E47</f>
        <v>583779</v>
      </c>
      <c r="E49" s="467">
        <f>'Allocation = % of Margin'!E46</f>
        <v>9.4670000000000004E-2</v>
      </c>
      <c r="F49" s="468">
        <f>'Allocation = % of Margin'!J46</f>
        <v>55266</v>
      </c>
      <c r="G49" s="468">
        <f>'Allocation = % of Margin'!O46</f>
        <v>0</v>
      </c>
      <c r="H49" s="744"/>
      <c r="I49" s="531">
        <v>0</v>
      </c>
      <c r="J49" s="523">
        <f t="shared" si="1"/>
        <v>0</v>
      </c>
      <c r="K49" s="472">
        <f t="shared" si="2"/>
        <v>0</v>
      </c>
      <c r="L49" s="532">
        <v>0</v>
      </c>
      <c r="M49" s="523">
        <f t="shared" si="3"/>
        <v>0</v>
      </c>
      <c r="N49" s="468">
        <f t="shared" si="4"/>
        <v>0</v>
      </c>
      <c r="O49" s="465">
        <f t="shared" si="5"/>
        <v>0</v>
      </c>
      <c r="P49" s="472">
        <f t="shared" si="6"/>
        <v>0</v>
      </c>
      <c r="Q49" s="531">
        <v>0</v>
      </c>
      <c r="R49" s="523">
        <f t="shared" si="7"/>
        <v>0</v>
      </c>
      <c r="S49" s="468">
        <f t="shared" si="8"/>
        <v>0</v>
      </c>
      <c r="T49" s="472">
        <f t="shared" si="9"/>
        <v>0</v>
      </c>
      <c r="U49" s="531">
        <v>0</v>
      </c>
      <c r="V49" s="523">
        <f>'WA Volumes &amp; Revenues'!F47*U49</f>
        <v>0</v>
      </c>
      <c r="W49" s="468">
        <f t="shared" si="10"/>
        <v>0</v>
      </c>
      <c r="X49" s="472">
        <f t="shared" si="11"/>
        <v>0</v>
      </c>
    </row>
    <row r="50" spans="1:24" x14ac:dyDescent="0.3">
      <c r="A50" s="114">
        <f t="shared" si="0"/>
        <v>41</v>
      </c>
      <c r="B50" s="709"/>
      <c r="C50" s="710" t="s">
        <v>7</v>
      </c>
      <c r="D50" s="473">
        <f>'WA Volumes &amp; Revenues'!E48</f>
        <v>598933</v>
      </c>
      <c r="E50" s="467">
        <f>'Allocation = % of Margin'!E47</f>
        <v>7.5750000000000012E-2</v>
      </c>
      <c r="F50" s="468">
        <f>'Allocation = % of Margin'!J47</f>
        <v>45369</v>
      </c>
      <c r="G50" s="468">
        <f>'Allocation = % of Margin'!O47</f>
        <v>0</v>
      </c>
      <c r="H50" s="744"/>
      <c r="I50" s="531">
        <v>0</v>
      </c>
      <c r="J50" s="523">
        <f t="shared" si="1"/>
        <v>0</v>
      </c>
      <c r="K50" s="472">
        <f t="shared" si="2"/>
        <v>0</v>
      </c>
      <c r="L50" s="532">
        <v>0</v>
      </c>
      <c r="M50" s="523">
        <f t="shared" si="3"/>
        <v>0</v>
      </c>
      <c r="N50" s="468">
        <f t="shared" si="4"/>
        <v>0</v>
      </c>
      <c r="O50" s="465">
        <f t="shared" si="5"/>
        <v>0</v>
      </c>
      <c r="P50" s="472">
        <f t="shared" si="6"/>
        <v>0</v>
      </c>
      <c r="Q50" s="531">
        <v>0</v>
      </c>
      <c r="R50" s="523">
        <f t="shared" si="7"/>
        <v>0</v>
      </c>
      <c r="S50" s="468">
        <f t="shared" si="8"/>
        <v>0</v>
      </c>
      <c r="T50" s="472">
        <f t="shared" si="9"/>
        <v>0</v>
      </c>
      <c r="U50" s="531">
        <v>0</v>
      </c>
      <c r="V50" s="523">
        <f>'WA Volumes &amp; Revenues'!F48*U50</f>
        <v>0</v>
      </c>
      <c r="W50" s="468">
        <f t="shared" si="10"/>
        <v>0</v>
      </c>
      <c r="X50" s="472">
        <f t="shared" si="11"/>
        <v>0</v>
      </c>
    </row>
    <row r="51" spans="1:24" x14ac:dyDescent="0.3">
      <c r="A51" s="114">
        <f t="shared" si="0"/>
        <v>42</v>
      </c>
      <c r="B51" s="709"/>
      <c r="C51" s="710" t="s">
        <v>8</v>
      </c>
      <c r="D51" s="473">
        <f>'WA Volumes &amp; Revenues'!E49</f>
        <v>0</v>
      </c>
      <c r="E51" s="467">
        <f>'Allocation = % of Margin'!E48</f>
        <v>5.0500000000000003E-2</v>
      </c>
      <c r="F51" s="468">
        <f>'Allocation = % of Margin'!J48</f>
        <v>0</v>
      </c>
      <c r="G51" s="468">
        <f>'Allocation = % of Margin'!O48</f>
        <v>0</v>
      </c>
      <c r="H51" s="744"/>
      <c r="I51" s="531">
        <v>0</v>
      </c>
      <c r="J51" s="523">
        <f t="shared" si="1"/>
        <v>0</v>
      </c>
      <c r="K51" s="472">
        <f t="shared" si="2"/>
        <v>0</v>
      </c>
      <c r="L51" s="532">
        <v>0</v>
      </c>
      <c r="M51" s="523">
        <f t="shared" si="3"/>
        <v>0</v>
      </c>
      <c r="N51" s="468">
        <f t="shared" si="4"/>
        <v>0</v>
      </c>
      <c r="O51" s="465">
        <f t="shared" si="5"/>
        <v>0</v>
      </c>
      <c r="P51" s="472">
        <f t="shared" si="6"/>
        <v>0</v>
      </c>
      <c r="Q51" s="531">
        <v>0</v>
      </c>
      <c r="R51" s="523">
        <f t="shared" si="7"/>
        <v>0</v>
      </c>
      <c r="S51" s="468">
        <f t="shared" si="8"/>
        <v>0</v>
      </c>
      <c r="T51" s="472">
        <f t="shared" si="9"/>
        <v>0</v>
      </c>
      <c r="U51" s="531">
        <v>0</v>
      </c>
      <c r="V51" s="523">
        <f>'WA Volumes &amp; Revenues'!F49*U51</f>
        <v>0</v>
      </c>
      <c r="W51" s="468">
        <f t="shared" si="10"/>
        <v>0</v>
      </c>
      <c r="X51" s="472">
        <f t="shared" si="11"/>
        <v>0</v>
      </c>
    </row>
    <row r="52" spans="1:24" x14ac:dyDescent="0.3">
      <c r="A52" s="114">
        <f t="shared" si="0"/>
        <v>43</v>
      </c>
      <c r="B52" s="707"/>
      <c r="C52" s="711" t="s">
        <v>9</v>
      </c>
      <c r="D52" s="460">
        <f>'WA Volumes &amp; Revenues'!E50</f>
        <v>0</v>
      </c>
      <c r="E52" s="457">
        <f>'Allocation = % of Margin'!E49</f>
        <v>1.8929999999999999E-2</v>
      </c>
      <c r="F52" s="461">
        <f>'Allocation = % of Margin'!J49</f>
        <v>0</v>
      </c>
      <c r="G52" s="461">
        <f>'Allocation = % of Margin'!O49</f>
        <v>0</v>
      </c>
      <c r="H52" s="744"/>
      <c r="I52" s="529">
        <v>0</v>
      </c>
      <c r="J52" s="527">
        <f t="shared" si="1"/>
        <v>0</v>
      </c>
      <c r="K52" s="464">
        <f t="shared" si="2"/>
        <v>0</v>
      </c>
      <c r="L52" s="530">
        <v>0</v>
      </c>
      <c r="M52" s="527">
        <f t="shared" si="3"/>
        <v>0</v>
      </c>
      <c r="N52" s="461">
        <f t="shared" si="4"/>
        <v>0</v>
      </c>
      <c r="O52" s="463">
        <f t="shared" si="5"/>
        <v>0</v>
      </c>
      <c r="P52" s="464">
        <f t="shared" si="6"/>
        <v>0</v>
      </c>
      <c r="Q52" s="529">
        <v>0</v>
      </c>
      <c r="R52" s="527">
        <f t="shared" si="7"/>
        <v>0</v>
      </c>
      <c r="S52" s="461">
        <f t="shared" si="8"/>
        <v>0</v>
      </c>
      <c r="T52" s="464">
        <f t="shared" si="9"/>
        <v>0</v>
      </c>
      <c r="U52" s="529">
        <v>0</v>
      </c>
      <c r="V52" s="527">
        <f>'WA Volumes &amp; Revenues'!F50*U52</f>
        <v>0</v>
      </c>
      <c r="W52" s="461">
        <f t="shared" si="10"/>
        <v>0</v>
      </c>
      <c r="X52" s="464">
        <f t="shared" si="11"/>
        <v>0</v>
      </c>
    </row>
    <row r="53" spans="1:24" x14ac:dyDescent="0.3">
      <c r="A53" s="114">
        <f t="shared" si="0"/>
        <v>44</v>
      </c>
      <c r="B53" s="709" t="str">
        <f>'WA Volumes &amp; Revenues'!B51</f>
        <v>42I Firm Transpt</v>
      </c>
      <c r="C53" s="710" t="s">
        <v>4</v>
      </c>
      <c r="D53" s="473">
        <f>'WA Volumes &amp; Revenues'!E51</f>
        <v>924395</v>
      </c>
      <c r="E53" s="467">
        <f>'Allocation = % of Margin'!E50</f>
        <v>0.13941000000000001</v>
      </c>
      <c r="F53" s="468">
        <f>'Allocation = % of Margin'!J50</f>
        <v>128870</v>
      </c>
      <c r="G53" s="468">
        <f>'Allocation = % of Margin'!O50</f>
        <v>823616.4656</v>
      </c>
      <c r="H53" s="744"/>
      <c r="I53" s="531">
        <v>0</v>
      </c>
      <c r="J53" s="523">
        <f t="shared" si="1"/>
        <v>0</v>
      </c>
      <c r="K53" s="472">
        <f t="shared" si="2"/>
        <v>0</v>
      </c>
      <c r="L53" s="532">
        <v>0</v>
      </c>
      <c r="M53" s="523">
        <f t="shared" si="3"/>
        <v>0</v>
      </c>
      <c r="N53" s="468">
        <f t="shared" si="4"/>
        <v>0</v>
      </c>
      <c r="O53" s="465">
        <f t="shared" si="5"/>
        <v>0</v>
      </c>
      <c r="P53" s="472">
        <f t="shared" si="6"/>
        <v>0</v>
      </c>
      <c r="Q53" s="531">
        <v>0</v>
      </c>
      <c r="R53" s="523">
        <f t="shared" si="7"/>
        <v>0</v>
      </c>
      <c r="S53" s="468">
        <f t="shared" si="8"/>
        <v>0</v>
      </c>
      <c r="T53" s="472">
        <f t="shared" si="9"/>
        <v>0</v>
      </c>
      <c r="U53" s="531">
        <v>0</v>
      </c>
      <c r="V53" s="523">
        <f>'WA Volumes &amp; Revenues'!F51*U53</f>
        <v>0</v>
      </c>
      <c r="W53" s="468">
        <f t="shared" si="10"/>
        <v>0</v>
      </c>
      <c r="X53" s="472">
        <f t="shared" si="11"/>
        <v>0</v>
      </c>
    </row>
    <row r="54" spans="1:24" x14ac:dyDescent="0.3">
      <c r="A54" s="114">
        <f t="shared" si="0"/>
        <v>45</v>
      </c>
      <c r="B54" s="709"/>
      <c r="C54" s="710" t="s">
        <v>5</v>
      </c>
      <c r="D54" s="473">
        <f>'WA Volumes &amp; Revenues'!E52</f>
        <v>1036796</v>
      </c>
      <c r="E54" s="467">
        <f>'Allocation = % of Margin'!E51</f>
        <v>0.12478999999999997</v>
      </c>
      <c r="F54" s="468">
        <f>'Allocation = % of Margin'!J51</f>
        <v>129382</v>
      </c>
      <c r="G54" s="468">
        <f>'Allocation = % of Margin'!O51</f>
        <v>0</v>
      </c>
      <c r="H54" s="744"/>
      <c r="I54" s="531">
        <v>0</v>
      </c>
      <c r="J54" s="523">
        <f t="shared" si="1"/>
        <v>0</v>
      </c>
      <c r="K54" s="472">
        <f t="shared" si="2"/>
        <v>0</v>
      </c>
      <c r="L54" s="532">
        <v>0</v>
      </c>
      <c r="M54" s="523">
        <f t="shared" si="3"/>
        <v>0</v>
      </c>
      <c r="N54" s="468">
        <f t="shared" si="4"/>
        <v>0</v>
      </c>
      <c r="O54" s="465">
        <f t="shared" si="5"/>
        <v>0</v>
      </c>
      <c r="P54" s="472">
        <f t="shared" si="6"/>
        <v>0</v>
      </c>
      <c r="Q54" s="531">
        <v>0</v>
      </c>
      <c r="R54" s="523">
        <f t="shared" si="7"/>
        <v>0</v>
      </c>
      <c r="S54" s="468">
        <f t="shared" si="8"/>
        <v>0</v>
      </c>
      <c r="T54" s="472">
        <f t="shared" si="9"/>
        <v>0</v>
      </c>
      <c r="U54" s="531">
        <v>0</v>
      </c>
      <c r="V54" s="523">
        <f>'WA Volumes &amp; Revenues'!F52*U54</f>
        <v>0</v>
      </c>
      <c r="W54" s="468">
        <f t="shared" si="10"/>
        <v>0</v>
      </c>
      <c r="X54" s="472">
        <f t="shared" si="11"/>
        <v>0</v>
      </c>
    </row>
    <row r="55" spans="1:24" x14ac:dyDescent="0.3">
      <c r="A55" s="114">
        <f t="shared" si="0"/>
        <v>46</v>
      </c>
      <c r="B55" s="709"/>
      <c r="C55" s="710" t="s">
        <v>6</v>
      </c>
      <c r="D55" s="473">
        <f>'WA Volumes &amp; Revenues'!E53</f>
        <v>937215</v>
      </c>
      <c r="E55" s="467">
        <f>'Allocation = % of Margin'!E52</f>
        <v>9.5690000000000011E-2</v>
      </c>
      <c r="F55" s="468">
        <f>'Allocation = % of Margin'!J52</f>
        <v>89682</v>
      </c>
      <c r="G55" s="468">
        <f>'Allocation = % of Margin'!O52</f>
        <v>0</v>
      </c>
      <c r="H55" s="744"/>
      <c r="I55" s="531">
        <v>0</v>
      </c>
      <c r="J55" s="523">
        <f t="shared" si="1"/>
        <v>0</v>
      </c>
      <c r="K55" s="472">
        <f t="shared" si="2"/>
        <v>0</v>
      </c>
      <c r="L55" s="532">
        <v>0</v>
      </c>
      <c r="M55" s="523">
        <f t="shared" si="3"/>
        <v>0</v>
      </c>
      <c r="N55" s="468">
        <f t="shared" si="4"/>
        <v>0</v>
      </c>
      <c r="O55" s="465">
        <f t="shared" si="5"/>
        <v>0</v>
      </c>
      <c r="P55" s="472">
        <f t="shared" si="6"/>
        <v>0</v>
      </c>
      <c r="Q55" s="531">
        <v>0</v>
      </c>
      <c r="R55" s="523">
        <f t="shared" si="7"/>
        <v>0</v>
      </c>
      <c r="S55" s="468">
        <f t="shared" si="8"/>
        <v>0</v>
      </c>
      <c r="T55" s="472">
        <f t="shared" si="9"/>
        <v>0</v>
      </c>
      <c r="U55" s="531">
        <v>0</v>
      </c>
      <c r="V55" s="523">
        <f>'WA Volumes &amp; Revenues'!F53*U55</f>
        <v>0</v>
      </c>
      <c r="W55" s="468">
        <f t="shared" si="10"/>
        <v>0</v>
      </c>
      <c r="X55" s="472">
        <f t="shared" si="11"/>
        <v>0</v>
      </c>
    </row>
    <row r="56" spans="1:24" x14ac:dyDescent="0.3">
      <c r="A56" s="114">
        <f t="shared" si="0"/>
        <v>47</v>
      </c>
      <c r="B56" s="709"/>
      <c r="C56" s="710" t="s">
        <v>7</v>
      </c>
      <c r="D56" s="473">
        <f>'WA Volumes &amp; Revenues'!E54</f>
        <v>2390318</v>
      </c>
      <c r="E56" s="467">
        <f>'Allocation = % of Margin'!E53</f>
        <v>7.6560000000000017E-2</v>
      </c>
      <c r="F56" s="468">
        <f>'Allocation = % of Margin'!J53</f>
        <v>183003</v>
      </c>
      <c r="G56" s="468">
        <f>'Allocation = % of Margin'!O53</f>
        <v>0</v>
      </c>
      <c r="H56" s="744"/>
      <c r="I56" s="531">
        <v>0</v>
      </c>
      <c r="J56" s="523">
        <f t="shared" si="1"/>
        <v>0</v>
      </c>
      <c r="K56" s="472">
        <f t="shared" si="2"/>
        <v>0</v>
      </c>
      <c r="L56" s="532">
        <v>0</v>
      </c>
      <c r="M56" s="523">
        <f t="shared" si="3"/>
        <v>0</v>
      </c>
      <c r="N56" s="468">
        <f t="shared" si="4"/>
        <v>0</v>
      </c>
      <c r="O56" s="465">
        <f t="shared" si="5"/>
        <v>0</v>
      </c>
      <c r="P56" s="472">
        <f t="shared" si="6"/>
        <v>0</v>
      </c>
      <c r="Q56" s="531">
        <v>0</v>
      </c>
      <c r="R56" s="523">
        <f t="shared" si="7"/>
        <v>0</v>
      </c>
      <c r="S56" s="468">
        <f t="shared" si="8"/>
        <v>0</v>
      </c>
      <c r="T56" s="472">
        <f t="shared" si="9"/>
        <v>0</v>
      </c>
      <c r="U56" s="531">
        <v>0</v>
      </c>
      <c r="V56" s="523">
        <f>'WA Volumes &amp; Revenues'!F54*U56</f>
        <v>0</v>
      </c>
      <c r="W56" s="468">
        <f t="shared" si="10"/>
        <v>0</v>
      </c>
      <c r="X56" s="472">
        <f t="shared" si="11"/>
        <v>0</v>
      </c>
    </row>
    <row r="57" spans="1:24" x14ac:dyDescent="0.3">
      <c r="A57" s="114">
        <f t="shared" si="0"/>
        <v>48</v>
      </c>
      <c r="B57" s="709"/>
      <c r="C57" s="710" t="s">
        <v>8</v>
      </c>
      <c r="D57" s="473">
        <f>'WA Volumes &amp; Revenues'!E55</f>
        <v>1492257</v>
      </c>
      <c r="E57" s="467">
        <f>'Allocation = % of Margin'!E54</f>
        <v>5.1040000000000002E-2</v>
      </c>
      <c r="F57" s="468">
        <f>'Allocation = % of Margin'!J54</f>
        <v>76165</v>
      </c>
      <c r="G57" s="468">
        <f>'Allocation = % of Margin'!O54</f>
        <v>0</v>
      </c>
      <c r="H57" s="744"/>
      <c r="I57" s="531">
        <v>0</v>
      </c>
      <c r="J57" s="523">
        <f t="shared" si="1"/>
        <v>0</v>
      </c>
      <c r="K57" s="472">
        <f t="shared" si="2"/>
        <v>0</v>
      </c>
      <c r="L57" s="532">
        <v>0</v>
      </c>
      <c r="M57" s="523">
        <f t="shared" si="3"/>
        <v>0</v>
      </c>
      <c r="N57" s="468">
        <f t="shared" si="4"/>
        <v>0</v>
      </c>
      <c r="O57" s="465">
        <f t="shared" si="5"/>
        <v>0</v>
      </c>
      <c r="P57" s="472">
        <f t="shared" si="6"/>
        <v>0</v>
      </c>
      <c r="Q57" s="531">
        <v>0</v>
      </c>
      <c r="R57" s="523">
        <f t="shared" si="7"/>
        <v>0</v>
      </c>
      <c r="S57" s="468">
        <f t="shared" si="8"/>
        <v>0</v>
      </c>
      <c r="T57" s="472">
        <f t="shared" si="9"/>
        <v>0</v>
      </c>
      <c r="U57" s="531">
        <v>0</v>
      </c>
      <c r="V57" s="523">
        <f>'WA Volumes &amp; Revenues'!F55*U57</f>
        <v>0</v>
      </c>
      <c r="W57" s="468">
        <f t="shared" si="10"/>
        <v>0</v>
      </c>
      <c r="X57" s="472">
        <f t="shared" si="11"/>
        <v>0</v>
      </c>
    </row>
    <row r="58" spans="1:24" x14ac:dyDescent="0.3">
      <c r="A58" s="114">
        <f t="shared" si="0"/>
        <v>49</v>
      </c>
      <c r="B58" s="707"/>
      <c r="C58" s="711" t="s">
        <v>9</v>
      </c>
      <c r="D58" s="460">
        <f>'WA Volumes &amp; Revenues'!E56</f>
        <v>0</v>
      </c>
      <c r="E58" s="457">
        <f>'Allocation = % of Margin'!E55</f>
        <v>1.9140000000000001E-2</v>
      </c>
      <c r="F58" s="461">
        <f>'Allocation = % of Margin'!J55</f>
        <v>0</v>
      </c>
      <c r="G58" s="461">
        <f>'Allocation = % of Margin'!O55</f>
        <v>0</v>
      </c>
      <c r="H58" s="744"/>
      <c r="I58" s="529">
        <v>0</v>
      </c>
      <c r="J58" s="527">
        <f t="shared" si="1"/>
        <v>0</v>
      </c>
      <c r="K58" s="464">
        <f t="shared" si="2"/>
        <v>0</v>
      </c>
      <c r="L58" s="530">
        <v>0</v>
      </c>
      <c r="M58" s="527">
        <f t="shared" si="3"/>
        <v>0</v>
      </c>
      <c r="N58" s="461">
        <f t="shared" si="4"/>
        <v>0</v>
      </c>
      <c r="O58" s="463">
        <f t="shared" si="5"/>
        <v>0</v>
      </c>
      <c r="P58" s="464">
        <f t="shared" si="6"/>
        <v>0</v>
      </c>
      <c r="Q58" s="529">
        <v>0</v>
      </c>
      <c r="R58" s="527">
        <f t="shared" si="7"/>
        <v>0</v>
      </c>
      <c r="S58" s="461">
        <f t="shared" si="8"/>
        <v>0</v>
      </c>
      <c r="T58" s="464">
        <f t="shared" si="9"/>
        <v>0</v>
      </c>
      <c r="U58" s="529">
        <v>0</v>
      </c>
      <c r="V58" s="527">
        <f>'WA Volumes &amp; Revenues'!F56*U58</f>
        <v>0</v>
      </c>
      <c r="W58" s="461">
        <f t="shared" si="10"/>
        <v>0</v>
      </c>
      <c r="X58" s="464">
        <f t="shared" si="11"/>
        <v>0</v>
      </c>
    </row>
    <row r="59" spans="1:24" x14ac:dyDescent="0.3">
      <c r="A59" s="114">
        <f t="shared" si="0"/>
        <v>50</v>
      </c>
      <c r="B59" s="709" t="str">
        <f>'WA Volumes &amp; Revenues'!B57</f>
        <v>42C Interr Sales</v>
      </c>
      <c r="C59" s="710" t="s">
        <v>4</v>
      </c>
      <c r="D59" s="473">
        <f>'WA Volumes &amp; Revenues'!E57</f>
        <v>240000</v>
      </c>
      <c r="E59" s="467">
        <f>'Allocation = % of Margin'!E56</f>
        <v>0.13682000000000002</v>
      </c>
      <c r="F59" s="468">
        <f>'Allocation = % of Margin'!J56</f>
        <v>32837</v>
      </c>
      <c r="G59" s="468">
        <f>'Allocation = % of Margin'!O56</f>
        <v>160513.01702958997</v>
      </c>
      <c r="H59" s="744"/>
      <c r="I59" s="531">
        <v>1</v>
      </c>
      <c r="J59" s="523">
        <f t="shared" si="1"/>
        <v>240000</v>
      </c>
      <c r="K59" s="472">
        <f t="shared" si="2"/>
        <v>0</v>
      </c>
      <c r="L59" s="532">
        <v>1</v>
      </c>
      <c r="M59" s="523">
        <f t="shared" si="3"/>
        <v>240000</v>
      </c>
      <c r="N59" s="468">
        <f t="shared" si="4"/>
        <v>0</v>
      </c>
      <c r="O59" s="465">
        <f t="shared" si="5"/>
        <v>0</v>
      </c>
      <c r="P59" s="472">
        <f t="shared" si="6"/>
        <v>0</v>
      </c>
      <c r="Q59" s="531">
        <v>1</v>
      </c>
      <c r="R59" s="523">
        <f t="shared" si="7"/>
        <v>240000</v>
      </c>
      <c r="S59" s="468">
        <f t="shared" si="8"/>
        <v>0</v>
      </c>
      <c r="T59" s="472">
        <f t="shared" si="9"/>
        <v>0</v>
      </c>
      <c r="U59" s="531">
        <v>1</v>
      </c>
      <c r="V59" s="523">
        <f>'WA Volumes &amp; Revenues'!F57*U59</f>
        <v>239999</v>
      </c>
      <c r="W59" s="468">
        <f t="shared" si="10"/>
        <v>0</v>
      </c>
      <c r="X59" s="472">
        <f t="shared" si="11"/>
        <v>0</v>
      </c>
    </row>
    <row r="60" spans="1:24" x14ac:dyDescent="0.3">
      <c r="A60" s="114">
        <f t="shared" si="0"/>
        <v>51</v>
      </c>
      <c r="B60" s="709"/>
      <c r="C60" s="710" t="s">
        <v>5</v>
      </c>
      <c r="D60" s="473">
        <f>'WA Volumes &amp; Revenues'!E58</f>
        <v>467511</v>
      </c>
      <c r="E60" s="467">
        <f>'Allocation = % of Margin'!E57</f>
        <v>0.12246999999999988</v>
      </c>
      <c r="F60" s="468">
        <f>'Allocation = % of Margin'!J57</f>
        <v>57256</v>
      </c>
      <c r="G60" s="468">
        <f>'Allocation = % of Margin'!O57</f>
        <v>0</v>
      </c>
      <c r="H60" s="744"/>
      <c r="I60" s="531">
        <v>1</v>
      </c>
      <c r="J60" s="523">
        <f t="shared" si="1"/>
        <v>467511</v>
      </c>
      <c r="K60" s="472">
        <f t="shared" si="2"/>
        <v>0</v>
      </c>
      <c r="L60" s="532">
        <v>1</v>
      </c>
      <c r="M60" s="523">
        <f t="shared" si="3"/>
        <v>467511</v>
      </c>
      <c r="N60" s="468">
        <f t="shared" si="4"/>
        <v>0</v>
      </c>
      <c r="O60" s="465">
        <f t="shared" si="5"/>
        <v>0</v>
      </c>
      <c r="P60" s="472">
        <f t="shared" si="6"/>
        <v>0</v>
      </c>
      <c r="Q60" s="531">
        <v>1</v>
      </c>
      <c r="R60" s="523">
        <f t="shared" si="7"/>
        <v>467511</v>
      </c>
      <c r="S60" s="468">
        <f t="shared" si="8"/>
        <v>0</v>
      </c>
      <c r="T60" s="472">
        <f t="shared" si="9"/>
        <v>0</v>
      </c>
      <c r="U60" s="531">
        <v>1</v>
      </c>
      <c r="V60" s="523">
        <f>'WA Volumes &amp; Revenues'!F58*U60</f>
        <v>454151</v>
      </c>
      <c r="W60" s="468">
        <f t="shared" si="10"/>
        <v>0</v>
      </c>
      <c r="X60" s="472">
        <f t="shared" si="11"/>
        <v>0</v>
      </c>
    </row>
    <row r="61" spans="1:24" x14ac:dyDescent="0.3">
      <c r="A61" s="114">
        <f t="shared" si="0"/>
        <v>52</v>
      </c>
      <c r="B61" s="709"/>
      <c r="C61" s="710" t="s">
        <v>6</v>
      </c>
      <c r="D61" s="473">
        <f>'WA Volumes &amp; Revenues'!E59</f>
        <v>218004</v>
      </c>
      <c r="E61" s="467">
        <f>'Allocation = % of Margin'!E58</f>
        <v>9.3909999999999993E-2</v>
      </c>
      <c r="F61" s="468">
        <f>'Allocation = % of Margin'!J58</f>
        <v>20473</v>
      </c>
      <c r="G61" s="468">
        <f>'Allocation = % of Margin'!O58</f>
        <v>0</v>
      </c>
      <c r="H61" s="744"/>
      <c r="I61" s="531">
        <v>1</v>
      </c>
      <c r="J61" s="523">
        <f t="shared" si="1"/>
        <v>218004</v>
      </c>
      <c r="K61" s="472">
        <f t="shared" si="2"/>
        <v>0</v>
      </c>
      <c r="L61" s="532">
        <v>1</v>
      </c>
      <c r="M61" s="523">
        <f t="shared" si="3"/>
        <v>218004</v>
      </c>
      <c r="N61" s="468">
        <f t="shared" si="4"/>
        <v>0</v>
      </c>
      <c r="O61" s="465">
        <f t="shared" si="5"/>
        <v>0</v>
      </c>
      <c r="P61" s="472">
        <f t="shared" si="6"/>
        <v>0</v>
      </c>
      <c r="Q61" s="531">
        <v>1</v>
      </c>
      <c r="R61" s="523">
        <f t="shared" si="7"/>
        <v>218004</v>
      </c>
      <c r="S61" s="468">
        <f t="shared" si="8"/>
        <v>0</v>
      </c>
      <c r="T61" s="472">
        <f t="shared" si="9"/>
        <v>0</v>
      </c>
      <c r="U61" s="531">
        <v>1</v>
      </c>
      <c r="V61" s="523">
        <f>'WA Volumes &amp; Revenues'!F59*U61</f>
        <v>230285</v>
      </c>
      <c r="W61" s="468">
        <f t="shared" si="10"/>
        <v>0</v>
      </c>
      <c r="X61" s="472">
        <f t="shared" si="11"/>
        <v>0</v>
      </c>
    </row>
    <row r="62" spans="1:24" x14ac:dyDescent="0.3">
      <c r="A62" s="114">
        <f t="shared" si="0"/>
        <v>53</v>
      </c>
      <c r="B62" s="709"/>
      <c r="C62" s="710" t="s">
        <v>7</v>
      </c>
      <c r="D62" s="473">
        <f>'WA Volumes &amp; Revenues'!E60</f>
        <v>18208</v>
      </c>
      <c r="E62" s="467">
        <f>'Allocation = % of Margin'!E59</f>
        <v>7.5130000000000044E-2</v>
      </c>
      <c r="F62" s="468">
        <f>'Allocation = % of Margin'!J59</f>
        <v>1368</v>
      </c>
      <c r="G62" s="468">
        <f>'Allocation = % of Margin'!O59</f>
        <v>0</v>
      </c>
      <c r="H62" s="744"/>
      <c r="I62" s="531">
        <v>1</v>
      </c>
      <c r="J62" s="523">
        <f t="shared" si="1"/>
        <v>18208</v>
      </c>
      <c r="K62" s="472">
        <f t="shared" si="2"/>
        <v>0</v>
      </c>
      <c r="L62" s="532">
        <v>1</v>
      </c>
      <c r="M62" s="523">
        <f t="shared" si="3"/>
        <v>18208</v>
      </c>
      <c r="N62" s="468">
        <f t="shared" si="4"/>
        <v>0</v>
      </c>
      <c r="O62" s="465">
        <f t="shared" si="5"/>
        <v>0</v>
      </c>
      <c r="P62" s="472">
        <f t="shared" si="6"/>
        <v>0</v>
      </c>
      <c r="Q62" s="531">
        <v>1</v>
      </c>
      <c r="R62" s="523">
        <f t="shared" si="7"/>
        <v>18208</v>
      </c>
      <c r="S62" s="468">
        <f t="shared" si="8"/>
        <v>0</v>
      </c>
      <c r="T62" s="472">
        <f t="shared" si="9"/>
        <v>0</v>
      </c>
      <c r="U62" s="531">
        <v>1</v>
      </c>
      <c r="V62" s="523">
        <f>'WA Volumes &amp; Revenues'!F60*U62</f>
        <v>26942</v>
      </c>
      <c r="W62" s="468">
        <f t="shared" si="10"/>
        <v>0</v>
      </c>
      <c r="X62" s="472">
        <f t="shared" si="11"/>
        <v>0</v>
      </c>
    </row>
    <row r="63" spans="1:24" x14ac:dyDescent="0.3">
      <c r="A63" s="114">
        <f t="shared" si="0"/>
        <v>54</v>
      </c>
      <c r="B63" s="709"/>
      <c r="C63" s="710" t="s">
        <v>8</v>
      </c>
      <c r="D63" s="473">
        <f>'WA Volumes &amp; Revenues'!E61</f>
        <v>0</v>
      </c>
      <c r="E63" s="467">
        <f>'Allocation = % of Margin'!E60</f>
        <v>5.0089999999999968E-2</v>
      </c>
      <c r="F63" s="468">
        <f>'Allocation = % of Margin'!J60</f>
        <v>0</v>
      </c>
      <c r="G63" s="468">
        <f>'Allocation = % of Margin'!O60</f>
        <v>0</v>
      </c>
      <c r="H63" s="744"/>
      <c r="I63" s="531">
        <v>1</v>
      </c>
      <c r="J63" s="523">
        <f t="shared" si="1"/>
        <v>0</v>
      </c>
      <c r="K63" s="472">
        <f t="shared" si="2"/>
        <v>0</v>
      </c>
      <c r="L63" s="532">
        <v>1</v>
      </c>
      <c r="M63" s="523">
        <f t="shared" si="3"/>
        <v>0</v>
      </c>
      <c r="N63" s="468">
        <f t="shared" si="4"/>
        <v>0</v>
      </c>
      <c r="O63" s="465">
        <f t="shared" si="5"/>
        <v>0</v>
      </c>
      <c r="P63" s="472">
        <f t="shared" si="6"/>
        <v>0</v>
      </c>
      <c r="Q63" s="531">
        <v>1</v>
      </c>
      <c r="R63" s="523">
        <f t="shared" si="7"/>
        <v>0</v>
      </c>
      <c r="S63" s="468">
        <f t="shared" si="8"/>
        <v>0</v>
      </c>
      <c r="T63" s="472">
        <f t="shared" si="9"/>
        <v>0</v>
      </c>
      <c r="U63" s="531">
        <v>1</v>
      </c>
      <c r="V63" s="523">
        <f>'WA Volumes &amp; Revenues'!F61*U63</f>
        <v>0</v>
      </c>
      <c r="W63" s="468">
        <f t="shared" si="10"/>
        <v>0</v>
      </c>
      <c r="X63" s="472">
        <f t="shared" si="11"/>
        <v>0</v>
      </c>
    </row>
    <row r="64" spans="1:24" x14ac:dyDescent="0.3">
      <c r="A64" s="114">
        <f t="shared" si="0"/>
        <v>55</v>
      </c>
      <c r="B64" s="707"/>
      <c r="C64" s="711" t="s">
        <v>9</v>
      </c>
      <c r="D64" s="460">
        <f>'WA Volumes &amp; Revenues'!E62</f>
        <v>0</v>
      </c>
      <c r="E64" s="457">
        <f>'Allocation = % of Margin'!E61</f>
        <v>1.8790000000000001E-2</v>
      </c>
      <c r="F64" s="461">
        <f>'Allocation = % of Margin'!J61</f>
        <v>0</v>
      </c>
      <c r="G64" s="461">
        <f>'Allocation = % of Margin'!O61</f>
        <v>0</v>
      </c>
      <c r="H64" s="744"/>
      <c r="I64" s="529">
        <v>1</v>
      </c>
      <c r="J64" s="527">
        <f t="shared" si="1"/>
        <v>0</v>
      </c>
      <c r="K64" s="464">
        <f t="shared" si="2"/>
        <v>0</v>
      </c>
      <c r="L64" s="530">
        <v>1</v>
      </c>
      <c r="M64" s="527">
        <f t="shared" si="3"/>
        <v>0</v>
      </c>
      <c r="N64" s="461">
        <f t="shared" si="4"/>
        <v>0</v>
      </c>
      <c r="O64" s="463">
        <f t="shared" si="5"/>
        <v>0</v>
      </c>
      <c r="P64" s="464">
        <f t="shared" si="6"/>
        <v>0</v>
      </c>
      <c r="Q64" s="529">
        <v>1</v>
      </c>
      <c r="R64" s="527">
        <f t="shared" si="7"/>
        <v>0</v>
      </c>
      <c r="S64" s="461">
        <f t="shared" si="8"/>
        <v>0</v>
      </c>
      <c r="T64" s="464">
        <f t="shared" si="9"/>
        <v>0</v>
      </c>
      <c r="U64" s="529">
        <v>1</v>
      </c>
      <c r="V64" s="527">
        <f>'WA Volumes &amp; Revenues'!F62*U64</f>
        <v>0</v>
      </c>
      <c r="W64" s="461">
        <f t="shared" si="10"/>
        <v>0</v>
      </c>
      <c r="X64" s="464">
        <f t="shared" si="11"/>
        <v>0</v>
      </c>
    </row>
    <row r="65" spans="1:24" x14ac:dyDescent="0.3">
      <c r="A65" s="114">
        <f t="shared" si="0"/>
        <v>56</v>
      </c>
      <c r="B65" s="709" t="str">
        <f>'WA Volumes &amp; Revenues'!B63</f>
        <v>42I Interr Sales</v>
      </c>
      <c r="C65" s="710" t="s">
        <v>4</v>
      </c>
      <c r="D65" s="473">
        <f>'WA Volumes &amp; Revenues'!E63</f>
        <v>156740</v>
      </c>
      <c r="E65" s="467">
        <f>'Allocation = % of Margin'!E62</f>
        <v>0.14583999999999989</v>
      </c>
      <c r="F65" s="468">
        <f>'Allocation = % of Margin'!J62</f>
        <v>22859</v>
      </c>
      <c r="G65" s="468">
        <f>'Allocation = % of Margin'!O62</f>
        <v>81130.543495991747</v>
      </c>
      <c r="H65" s="744"/>
      <c r="I65" s="531">
        <v>1</v>
      </c>
      <c r="J65" s="523">
        <f t="shared" si="1"/>
        <v>156740</v>
      </c>
      <c r="K65" s="472">
        <f t="shared" si="2"/>
        <v>0</v>
      </c>
      <c r="L65" s="532">
        <v>1</v>
      </c>
      <c r="M65" s="523">
        <f t="shared" si="3"/>
        <v>156740</v>
      </c>
      <c r="N65" s="468">
        <f t="shared" si="4"/>
        <v>0</v>
      </c>
      <c r="O65" s="465">
        <f t="shared" si="5"/>
        <v>0</v>
      </c>
      <c r="P65" s="472">
        <f t="shared" si="6"/>
        <v>0</v>
      </c>
      <c r="Q65" s="531">
        <v>1</v>
      </c>
      <c r="R65" s="523">
        <f t="shared" si="7"/>
        <v>156740</v>
      </c>
      <c r="S65" s="468">
        <f t="shared" si="8"/>
        <v>0</v>
      </c>
      <c r="T65" s="472">
        <f t="shared" si="9"/>
        <v>0</v>
      </c>
      <c r="U65" s="531">
        <v>1</v>
      </c>
      <c r="V65" s="523">
        <f>'WA Volumes &amp; Revenues'!F63*U65</f>
        <v>160966</v>
      </c>
      <c r="W65" s="468">
        <f t="shared" si="10"/>
        <v>0</v>
      </c>
      <c r="X65" s="472">
        <f t="shared" si="11"/>
        <v>0</v>
      </c>
    </row>
    <row r="66" spans="1:24" x14ac:dyDescent="0.3">
      <c r="A66" s="114">
        <f t="shared" si="0"/>
        <v>57</v>
      </c>
      <c r="B66" s="709"/>
      <c r="C66" s="710" t="s">
        <v>5</v>
      </c>
      <c r="D66" s="473">
        <f>'WA Volumes &amp; Revenues'!E64</f>
        <v>159690</v>
      </c>
      <c r="E66" s="467">
        <f>'Allocation = % of Margin'!E63</f>
        <v>0.13054999999999992</v>
      </c>
      <c r="F66" s="468">
        <f>'Allocation = % of Margin'!J63</f>
        <v>20848</v>
      </c>
      <c r="G66" s="468">
        <f>'Allocation = % of Margin'!O63</f>
        <v>0</v>
      </c>
      <c r="H66" s="744"/>
      <c r="I66" s="531">
        <v>1</v>
      </c>
      <c r="J66" s="523">
        <f t="shared" si="1"/>
        <v>159690</v>
      </c>
      <c r="K66" s="472">
        <f t="shared" si="2"/>
        <v>0</v>
      </c>
      <c r="L66" s="532">
        <v>1</v>
      </c>
      <c r="M66" s="523">
        <f t="shared" si="3"/>
        <v>159690</v>
      </c>
      <c r="N66" s="468">
        <f t="shared" si="4"/>
        <v>0</v>
      </c>
      <c r="O66" s="465">
        <f t="shared" si="5"/>
        <v>0</v>
      </c>
      <c r="P66" s="472">
        <f t="shared" si="6"/>
        <v>0</v>
      </c>
      <c r="Q66" s="531">
        <v>1</v>
      </c>
      <c r="R66" s="523">
        <f t="shared" si="7"/>
        <v>159690</v>
      </c>
      <c r="S66" s="468">
        <f t="shared" si="8"/>
        <v>0</v>
      </c>
      <c r="T66" s="472">
        <f t="shared" si="9"/>
        <v>0</v>
      </c>
      <c r="U66" s="531">
        <v>1</v>
      </c>
      <c r="V66" s="523">
        <f>'WA Volumes &amp; Revenues'!F64*U66</f>
        <v>145741</v>
      </c>
      <c r="W66" s="468">
        <f t="shared" si="10"/>
        <v>0</v>
      </c>
      <c r="X66" s="472">
        <f t="shared" si="11"/>
        <v>0</v>
      </c>
    </row>
    <row r="67" spans="1:24" x14ac:dyDescent="0.3">
      <c r="A67" s="114">
        <f t="shared" si="0"/>
        <v>58</v>
      </c>
      <c r="B67" s="709"/>
      <c r="C67" s="710" t="s">
        <v>6</v>
      </c>
      <c r="D67" s="473">
        <f>'WA Volumes &amp; Revenues'!E65</f>
        <v>0</v>
      </c>
      <c r="E67" s="467">
        <f>'Allocation = % of Margin'!E64</f>
        <v>0.10011</v>
      </c>
      <c r="F67" s="468">
        <f>'Allocation = % of Margin'!J64</f>
        <v>0</v>
      </c>
      <c r="G67" s="468">
        <f>'Allocation = % of Margin'!O64</f>
        <v>0</v>
      </c>
      <c r="H67" s="744"/>
      <c r="I67" s="531">
        <v>1</v>
      </c>
      <c r="J67" s="523">
        <f t="shared" si="1"/>
        <v>0</v>
      </c>
      <c r="K67" s="472">
        <f t="shared" si="2"/>
        <v>0</v>
      </c>
      <c r="L67" s="532">
        <v>1</v>
      </c>
      <c r="M67" s="523">
        <f t="shared" si="3"/>
        <v>0</v>
      </c>
      <c r="N67" s="468">
        <f t="shared" si="4"/>
        <v>0</v>
      </c>
      <c r="O67" s="465">
        <f t="shared" si="5"/>
        <v>0</v>
      </c>
      <c r="P67" s="472">
        <f t="shared" si="6"/>
        <v>0</v>
      </c>
      <c r="Q67" s="531">
        <v>1</v>
      </c>
      <c r="R67" s="523">
        <f t="shared" si="7"/>
        <v>0</v>
      </c>
      <c r="S67" s="468">
        <f t="shared" si="8"/>
        <v>0</v>
      </c>
      <c r="T67" s="472">
        <f t="shared" si="9"/>
        <v>0</v>
      </c>
      <c r="U67" s="531">
        <v>1</v>
      </c>
      <c r="V67" s="523">
        <f>'WA Volumes &amp; Revenues'!F65*U67</f>
        <v>0</v>
      </c>
      <c r="W67" s="468">
        <f t="shared" si="10"/>
        <v>0</v>
      </c>
      <c r="X67" s="472">
        <f t="shared" si="11"/>
        <v>0</v>
      </c>
    </row>
    <row r="68" spans="1:24" x14ac:dyDescent="0.3">
      <c r="A68" s="114">
        <f t="shared" si="0"/>
        <v>59</v>
      </c>
      <c r="B68" s="709"/>
      <c r="C68" s="710" t="s">
        <v>7</v>
      </c>
      <c r="D68" s="473">
        <f>'WA Volumes &amp; Revenues'!E66</f>
        <v>0</v>
      </c>
      <c r="E68" s="467">
        <f>'Allocation = % of Margin'!E65</f>
        <v>8.0089999999999995E-2</v>
      </c>
      <c r="F68" s="468">
        <f>'Allocation = % of Margin'!J65</f>
        <v>0</v>
      </c>
      <c r="G68" s="468">
        <f>'Allocation = % of Margin'!O65</f>
        <v>0</v>
      </c>
      <c r="H68" s="744"/>
      <c r="I68" s="531">
        <v>1</v>
      </c>
      <c r="J68" s="523">
        <f t="shared" si="1"/>
        <v>0</v>
      </c>
      <c r="K68" s="472">
        <f t="shared" si="2"/>
        <v>0</v>
      </c>
      <c r="L68" s="532">
        <v>1</v>
      </c>
      <c r="M68" s="523">
        <f t="shared" si="3"/>
        <v>0</v>
      </c>
      <c r="N68" s="468">
        <f t="shared" si="4"/>
        <v>0</v>
      </c>
      <c r="O68" s="465">
        <f t="shared" si="5"/>
        <v>0</v>
      </c>
      <c r="P68" s="472">
        <f t="shared" si="6"/>
        <v>0</v>
      </c>
      <c r="Q68" s="531">
        <v>1</v>
      </c>
      <c r="R68" s="523">
        <f t="shared" si="7"/>
        <v>0</v>
      </c>
      <c r="S68" s="468">
        <f t="shared" si="8"/>
        <v>0</v>
      </c>
      <c r="T68" s="472">
        <f t="shared" si="9"/>
        <v>0</v>
      </c>
      <c r="U68" s="531">
        <v>1</v>
      </c>
      <c r="V68" s="523">
        <f>'WA Volumes &amp; Revenues'!F66*U68</f>
        <v>0</v>
      </c>
      <c r="W68" s="468">
        <f t="shared" si="10"/>
        <v>0</v>
      </c>
      <c r="X68" s="472">
        <f t="shared" si="11"/>
        <v>0</v>
      </c>
    </row>
    <row r="69" spans="1:24" x14ac:dyDescent="0.3">
      <c r="A69" s="114">
        <f t="shared" si="0"/>
        <v>60</v>
      </c>
      <c r="B69" s="709"/>
      <c r="C69" s="710" t="s">
        <v>8</v>
      </c>
      <c r="D69" s="473">
        <f>'WA Volumes &amp; Revenues'!E67</f>
        <v>0</v>
      </c>
      <c r="E69" s="467">
        <f>'Allocation = % of Margin'!E66</f>
        <v>5.339E-2</v>
      </c>
      <c r="F69" s="468">
        <f>'Allocation = % of Margin'!J66</f>
        <v>0</v>
      </c>
      <c r="G69" s="468">
        <f>'Allocation = % of Margin'!O66</f>
        <v>0</v>
      </c>
      <c r="H69" s="744"/>
      <c r="I69" s="531">
        <v>1</v>
      </c>
      <c r="J69" s="523">
        <f t="shared" si="1"/>
        <v>0</v>
      </c>
      <c r="K69" s="472">
        <f t="shared" si="2"/>
        <v>0</v>
      </c>
      <c r="L69" s="532">
        <v>1</v>
      </c>
      <c r="M69" s="523">
        <f t="shared" si="3"/>
        <v>0</v>
      </c>
      <c r="N69" s="468">
        <f t="shared" si="4"/>
        <v>0</v>
      </c>
      <c r="O69" s="465">
        <f t="shared" si="5"/>
        <v>0</v>
      </c>
      <c r="P69" s="472">
        <f t="shared" si="6"/>
        <v>0</v>
      </c>
      <c r="Q69" s="531">
        <v>1</v>
      </c>
      <c r="R69" s="523">
        <f t="shared" si="7"/>
        <v>0</v>
      </c>
      <c r="S69" s="468">
        <f t="shared" si="8"/>
        <v>0</v>
      </c>
      <c r="T69" s="472">
        <f t="shared" si="9"/>
        <v>0</v>
      </c>
      <c r="U69" s="531">
        <v>1</v>
      </c>
      <c r="V69" s="523">
        <f>'WA Volumes &amp; Revenues'!F67*U69</f>
        <v>0</v>
      </c>
      <c r="W69" s="468">
        <f t="shared" si="10"/>
        <v>0</v>
      </c>
      <c r="X69" s="472">
        <f t="shared" si="11"/>
        <v>0</v>
      </c>
    </row>
    <row r="70" spans="1:24" x14ac:dyDescent="0.3">
      <c r="A70" s="114">
        <f t="shared" si="0"/>
        <v>61</v>
      </c>
      <c r="B70" s="707"/>
      <c r="C70" s="711" t="s">
        <v>9</v>
      </c>
      <c r="D70" s="460">
        <f>'WA Volumes &amp; Revenues'!E68</f>
        <v>0</v>
      </c>
      <c r="E70" s="457">
        <f>'Allocation = % of Margin'!E67</f>
        <v>2.002E-2</v>
      </c>
      <c r="F70" s="461">
        <f>'Allocation = % of Margin'!J67</f>
        <v>0</v>
      </c>
      <c r="G70" s="461">
        <f>'Allocation = % of Margin'!O67</f>
        <v>0</v>
      </c>
      <c r="H70" s="744"/>
      <c r="I70" s="529">
        <v>1</v>
      </c>
      <c r="J70" s="527">
        <f t="shared" si="1"/>
        <v>0</v>
      </c>
      <c r="K70" s="464">
        <f t="shared" si="2"/>
        <v>0</v>
      </c>
      <c r="L70" s="530">
        <v>1</v>
      </c>
      <c r="M70" s="527">
        <f t="shared" si="3"/>
        <v>0</v>
      </c>
      <c r="N70" s="461">
        <f t="shared" si="4"/>
        <v>0</v>
      </c>
      <c r="O70" s="463">
        <f t="shared" si="5"/>
        <v>0</v>
      </c>
      <c r="P70" s="464">
        <f t="shared" si="6"/>
        <v>0</v>
      </c>
      <c r="Q70" s="529">
        <v>1</v>
      </c>
      <c r="R70" s="527">
        <f t="shared" si="7"/>
        <v>0</v>
      </c>
      <c r="S70" s="461">
        <f t="shared" si="8"/>
        <v>0</v>
      </c>
      <c r="T70" s="464">
        <f t="shared" si="9"/>
        <v>0</v>
      </c>
      <c r="U70" s="529">
        <v>1</v>
      </c>
      <c r="V70" s="527">
        <f>'WA Volumes &amp; Revenues'!F68*U70</f>
        <v>0</v>
      </c>
      <c r="W70" s="461">
        <f t="shared" si="10"/>
        <v>0</v>
      </c>
      <c r="X70" s="464">
        <f t="shared" si="11"/>
        <v>0</v>
      </c>
    </row>
    <row r="71" spans="1:24" x14ac:dyDescent="0.3">
      <c r="A71" s="114">
        <f t="shared" si="0"/>
        <v>62</v>
      </c>
      <c r="B71" s="709" t="str">
        <f>'WA Volumes &amp; Revenues'!B69</f>
        <v>42C Inter Transpt</v>
      </c>
      <c r="C71" s="710" t="s">
        <v>4</v>
      </c>
      <c r="D71" s="473">
        <f>'WA Volumes &amp; Revenues'!E69</f>
        <v>0</v>
      </c>
      <c r="E71" s="475">
        <f>'Allocation = % of Margin'!E68</f>
        <v>0.13402999999999998</v>
      </c>
      <c r="F71" s="468">
        <f>'Allocation = % of Margin'!J68</f>
        <v>0</v>
      </c>
      <c r="G71" s="468">
        <f>'Allocation = % of Margin'!O68</f>
        <v>0</v>
      </c>
      <c r="H71" s="744"/>
      <c r="I71" s="531">
        <v>0</v>
      </c>
      <c r="J71" s="523">
        <f t="shared" si="1"/>
        <v>0</v>
      </c>
      <c r="K71" s="472">
        <f t="shared" si="2"/>
        <v>0</v>
      </c>
      <c r="L71" s="532">
        <v>0</v>
      </c>
      <c r="M71" s="523">
        <f t="shared" si="3"/>
        <v>0</v>
      </c>
      <c r="N71" s="468">
        <f t="shared" si="4"/>
        <v>0</v>
      </c>
      <c r="O71" s="465">
        <f t="shared" si="5"/>
        <v>0</v>
      </c>
      <c r="P71" s="472">
        <f t="shared" si="6"/>
        <v>0</v>
      </c>
      <c r="Q71" s="531">
        <v>0</v>
      </c>
      <c r="R71" s="523">
        <f t="shared" si="7"/>
        <v>0</v>
      </c>
      <c r="S71" s="468">
        <f t="shared" si="8"/>
        <v>0</v>
      </c>
      <c r="T71" s="472">
        <f t="shared" si="9"/>
        <v>0</v>
      </c>
      <c r="U71" s="531">
        <v>0</v>
      </c>
      <c r="V71" s="523">
        <f>'WA Volumes &amp; Revenues'!F69*U71</f>
        <v>0</v>
      </c>
      <c r="W71" s="468">
        <f t="shared" si="10"/>
        <v>0</v>
      </c>
      <c r="X71" s="472">
        <f t="shared" si="11"/>
        <v>0</v>
      </c>
    </row>
    <row r="72" spans="1:24" x14ac:dyDescent="0.3">
      <c r="A72" s="114">
        <f t="shared" si="0"/>
        <v>63</v>
      </c>
      <c r="B72" s="709"/>
      <c r="C72" s="710" t="s">
        <v>5</v>
      </c>
      <c r="D72" s="473">
        <f>'WA Volumes &amp; Revenues'!E70</f>
        <v>0</v>
      </c>
      <c r="E72" s="475">
        <f>'Allocation = % of Margin'!E69</f>
        <v>0.11997999999999999</v>
      </c>
      <c r="F72" s="468">
        <f>'Allocation = % of Margin'!J69</f>
        <v>0</v>
      </c>
      <c r="G72" s="468">
        <f>'Allocation = % of Margin'!O69</f>
        <v>0</v>
      </c>
      <c r="H72" s="744"/>
      <c r="I72" s="531">
        <v>0</v>
      </c>
      <c r="J72" s="523">
        <f t="shared" si="1"/>
        <v>0</v>
      </c>
      <c r="K72" s="472">
        <f t="shared" si="2"/>
        <v>0</v>
      </c>
      <c r="L72" s="532">
        <v>0</v>
      </c>
      <c r="M72" s="523">
        <f t="shared" si="3"/>
        <v>0</v>
      </c>
      <c r="N72" s="468">
        <f t="shared" si="4"/>
        <v>0</v>
      </c>
      <c r="O72" s="465">
        <f t="shared" si="5"/>
        <v>0</v>
      </c>
      <c r="P72" s="472">
        <f t="shared" si="6"/>
        <v>0</v>
      </c>
      <c r="Q72" s="531">
        <v>0</v>
      </c>
      <c r="R72" s="523">
        <f t="shared" si="7"/>
        <v>0</v>
      </c>
      <c r="S72" s="468">
        <f t="shared" si="8"/>
        <v>0</v>
      </c>
      <c r="T72" s="472">
        <f t="shared" si="9"/>
        <v>0</v>
      </c>
      <c r="U72" s="531">
        <v>0</v>
      </c>
      <c r="V72" s="523">
        <f>'WA Volumes &amp; Revenues'!F70*U72</f>
        <v>0</v>
      </c>
      <c r="W72" s="468">
        <f t="shared" si="10"/>
        <v>0</v>
      </c>
      <c r="X72" s="472">
        <f t="shared" si="11"/>
        <v>0</v>
      </c>
    </row>
    <row r="73" spans="1:24" x14ac:dyDescent="0.3">
      <c r="A73" s="114">
        <f t="shared" si="0"/>
        <v>64</v>
      </c>
      <c r="B73" s="709"/>
      <c r="C73" s="710" t="s">
        <v>6</v>
      </c>
      <c r="D73" s="473">
        <f>'WA Volumes &amp; Revenues'!E71</f>
        <v>0</v>
      </c>
      <c r="E73" s="475">
        <f>'Allocation = % of Margin'!E70</f>
        <v>9.1999999999999998E-2</v>
      </c>
      <c r="F73" s="468">
        <f>'Allocation = % of Margin'!J70</f>
        <v>0</v>
      </c>
      <c r="G73" s="468">
        <f>'Allocation = % of Margin'!O70</f>
        <v>0</v>
      </c>
      <c r="H73" s="744"/>
      <c r="I73" s="531">
        <v>0</v>
      </c>
      <c r="J73" s="523">
        <f t="shared" si="1"/>
        <v>0</v>
      </c>
      <c r="K73" s="472">
        <f t="shared" si="2"/>
        <v>0</v>
      </c>
      <c r="L73" s="532">
        <v>0</v>
      </c>
      <c r="M73" s="523">
        <f t="shared" si="3"/>
        <v>0</v>
      </c>
      <c r="N73" s="468">
        <f t="shared" si="4"/>
        <v>0</v>
      </c>
      <c r="O73" s="465">
        <f t="shared" si="5"/>
        <v>0</v>
      </c>
      <c r="P73" s="472">
        <f t="shared" si="6"/>
        <v>0</v>
      </c>
      <c r="Q73" s="531">
        <v>0</v>
      </c>
      <c r="R73" s="523">
        <f t="shared" si="7"/>
        <v>0</v>
      </c>
      <c r="S73" s="468">
        <f t="shared" si="8"/>
        <v>0</v>
      </c>
      <c r="T73" s="472">
        <f t="shared" si="9"/>
        <v>0</v>
      </c>
      <c r="U73" s="531">
        <v>0</v>
      </c>
      <c r="V73" s="523">
        <f>'WA Volumes &amp; Revenues'!F71*U73</f>
        <v>0</v>
      </c>
      <c r="W73" s="468">
        <f t="shared" si="10"/>
        <v>0</v>
      </c>
      <c r="X73" s="472">
        <f t="shared" si="11"/>
        <v>0</v>
      </c>
    </row>
    <row r="74" spans="1:24" x14ac:dyDescent="0.3">
      <c r="A74" s="114">
        <f t="shared" si="0"/>
        <v>65</v>
      </c>
      <c r="B74" s="709"/>
      <c r="C74" s="710" t="s">
        <v>7</v>
      </c>
      <c r="D74" s="473">
        <f>'WA Volumes &amp; Revenues'!E72</f>
        <v>0</v>
      </c>
      <c r="E74" s="475">
        <f>'Allocation = % of Margin'!E71</f>
        <v>7.3609999999999995E-2</v>
      </c>
      <c r="F74" s="468">
        <f>'Allocation = % of Margin'!J71</f>
        <v>0</v>
      </c>
      <c r="G74" s="468">
        <f>'Allocation = % of Margin'!O71</f>
        <v>0</v>
      </c>
      <c r="H74" s="744"/>
      <c r="I74" s="531">
        <v>0</v>
      </c>
      <c r="J74" s="523">
        <f t="shared" si="1"/>
        <v>0</v>
      </c>
      <c r="K74" s="472">
        <f t="shared" si="2"/>
        <v>0</v>
      </c>
      <c r="L74" s="532">
        <v>0</v>
      </c>
      <c r="M74" s="523">
        <f t="shared" si="3"/>
        <v>0</v>
      </c>
      <c r="N74" s="468">
        <f t="shared" si="4"/>
        <v>0</v>
      </c>
      <c r="O74" s="465">
        <f t="shared" si="5"/>
        <v>0</v>
      </c>
      <c r="P74" s="472">
        <f t="shared" si="6"/>
        <v>0</v>
      </c>
      <c r="Q74" s="531">
        <v>0</v>
      </c>
      <c r="R74" s="523">
        <f t="shared" si="7"/>
        <v>0</v>
      </c>
      <c r="S74" s="468">
        <f t="shared" si="8"/>
        <v>0</v>
      </c>
      <c r="T74" s="472">
        <f t="shared" si="9"/>
        <v>0</v>
      </c>
      <c r="U74" s="531">
        <v>0</v>
      </c>
      <c r="V74" s="523">
        <f>'WA Volumes &amp; Revenues'!F72*U74</f>
        <v>0</v>
      </c>
      <c r="W74" s="468">
        <f t="shared" si="10"/>
        <v>0</v>
      </c>
      <c r="X74" s="472">
        <f t="shared" si="11"/>
        <v>0</v>
      </c>
    </row>
    <row r="75" spans="1:24" x14ac:dyDescent="0.3">
      <c r="A75" s="114">
        <f t="shared" si="0"/>
        <v>66</v>
      </c>
      <c r="B75" s="709"/>
      <c r="C75" s="710" t="s">
        <v>8</v>
      </c>
      <c r="D75" s="473">
        <f>'WA Volumes &amp; Revenues'!E73</f>
        <v>0</v>
      </c>
      <c r="E75" s="475">
        <f>'Allocation = % of Margin'!E72</f>
        <v>4.9079999999999999E-2</v>
      </c>
      <c r="F75" s="468">
        <f>'Allocation = % of Margin'!J72</f>
        <v>0</v>
      </c>
      <c r="G75" s="468">
        <f>'Allocation = % of Margin'!O72</f>
        <v>0</v>
      </c>
      <c r="H75" s="744"/>
      <c r="I75" s="531">
        <v>0</v>
      </c>
      <c r="J75" s="523">
        <f t="shared" si="1"/>
        <v>0</v>
      </c>
      <c r="K75" s="472">
        <f t="shared" si="2"/>
        <v>0</v>
      </c>
      <c r="L75" s="532">
        <v>0</v>
      </c>
      <c r="M75" s="523">
        <f t="shared" si="3"/>
        <v>0</v>
      </c>
      <c r="N75" s="468">
        <f t="shared" si="4"/>
        <v>0</v>
      </c>
      <c r="O75" s="465">
        <f t="shared" si="5"/>
        <v>0</v>
      </c>
      <c r="P75" s="472">
        <f t="shared" si="6"/>
        <v>0</v>
      </c>
      <c r="Q75" s="531">
        <v>0</v>
      </c>
      <c r="R75" s="523">
        <f t="shared" si="7"/>
        <v>0</v>
      </c>
      <c r="S75" s="468">
        <f t="shared" si="8"/>
        <v>0</v>
      </c>
      <c r="T75" s="472">
        <f t="shared" si="9"/>
        <v>0</v>
      </c>
      <c r="U75" s="531">
        <v>0</v>
      </c>
      <c r="V75" s="523">
        <f>'WA Volumes &amp; Revenues'!F73*U75</f>
        <v>0</v>
      </c>
      <c r="W75" s="468">
        <f t="shared" si="10"/>
        <v>0</v>
      </c>
      <c r="X75" s="472">
        <f t="shared" si="11"/>
        <v>0</v>
      </c>
    </row>
    <row r="76" spans="1:24" x14ac:dyDescent="0.3">
      <c r="A76" s="114">
        <f t="shared" si="0"/>
        <v>67</v>
      </c>
      <c r="B76" s="707"/>
      <c r="C76" s="711" t="s">
        <v>9</v>
      </c>
      <c r="D76" s="460">
        <f>'WA Volumes &amp; Revenues'!E74</f>
        <v>0</v>
      </c>
      <c r="E76" s="477">
        <f>'Allocation = % of Margin'!E73</f>
        <v>1.839E-2</v>
      </c>
      <c r="F76" s="461">
        <f>'Allocation = % of Margin'!J73</f>
        <v>0</v>
      </c>
      <c r="G76" s="461">
        <f>'Allocation = % of Margin'!O73</f>
        <v>0</v>
      </c>
      <c r="H76" s="744"/>
      <c r="I76" s="529">
        <v>0</v>
      </c>
      <c r="J76" s="527">
        <f t="shared" si="1"/>
        <v>0</v>
      </c>
      <c r="K76" s="464">
        <f t="shared" si="2"/>
        <v>0</v>
      </c>
      <c r="L76" s="530">
        <v>0</v>
      </c>
      <c r="M76" s="527">
        <f t="shared" si="3"/>
        <v>0</v>
      </c>
      <c r="N76" s="461">
        <f t="shared" si="4"/>
        <v>0</v>
      </c>
      <c r="O76" s="463">
        <f t="shared" si="5"/>
        <v>0</v>
      </c>
      <c r="P76" s="464">
        <f t="shared" si="6"/>
        <v>0</v>
      </c>
      <c r="Q76" s="529">
        <v>0</v>
      </c>
      <c r="R76" s="527">
        <f t="shared" si="7"/>
        <v>0</v>
      </c>
      <c r="S76" s="461">
        <f t="shared" si="8"/>
        <v>0</v>
      </c>
      <c r="T76" s="464">
        <f t="shared" si="9"/>
        <v>0</v>
      </c>
      <c r="U76" s="529">
        <v>0</v>
      </c>
      <c r="V76" s="527">
        <f>'WA Volumes &amp; Revenues'!F74*U76</f>
        <v>0</v>
      </c>
      <c r="W76" s="461">
        <f t="shared" si="10"/>
        <v>0</v>
      </c>
      <c r="X76" s="464">
        <f t="shared" si="11"/>
        <v>0</v>
      </c>
    </row>
    <row r="77" spans="1:24" x14ac:dyDescent="0.3">
      <c r="A77" s="114">
        <f t="shared" si="0"/>
        <v>68</v>
      </c>
      <c r="B77" s="709" t="str">
        <f>'WA Volumes &amp; Revenues'!B75</f>
        <v>42I Inter Transpt</v>
      </c>
      <c r="C77" s="710" t="s">
        <v>4</v>
      </c>
      <c r="D77" s="473">
        <f>'WA Volumes &amp; Revenues'!E75</f>
        <v>844078</v>
      </c>
      <c r="E77" s="475">
        <f>'Allocation = % of Margin'!E74</f>
        <v>0.13402999999999998</v>
      </c>
      <c r="F77" s="468">
        <f>'Allocation = % of Margin'!J74</f>
        <v>113132</v>
      </c>
      <c r="G77" s="468">
        <f>'Allocation = % of Margin'!O74</f>
        <v>825480</v>
      </c>
      <c r="H77" s="744"/>
      <c r="I77" s="531">
        <v>0</v>
      </c>
      <c r="J77" s="523">
        <f t="shared" si="1"/>
        <v>0</v>
      </c>
      <c r="K77" s="472">
        <f t="shared" si="2"/>
        <v>0</v>
      </c>
      <c r="L77" s="532">
        <v>0</v>
      </c>
      <c r="M77" s="523">
        <f t="shared" si="3"/>
        <v>0</v>
      </c>
      <c r="N77" s="468">
        <f t="shared" si="4"/>
        <v>0</v>
      </c>
      <c r="O77" s="465">
        <f t="shared" si="5"/>
        <v>0</v>
      </c>
      <c r="P77" s="472">
        <f t="shared" si="6"/>
        <v>0</v>
      </c>
      <c r="Q77" s="531">
        <v>0</v>
      </c>
      <c r="R77" s="523">
        <f t="shared" si="7"/>
        <v>0</v>
      </c>
      <c r="S77" s="468">
        <f t="shared" si="8"/>
        <v>0</v>
      </c>
      <c r="T77" s="472">
        <f t="shared" si="9"/>
        <v>0</v>
      </c>
      <c r="U77" s="531">
        <v>0</v>
      </c>
      <c r="V77" s="523">
        <f>'WA Volumes &amp; Revenues'!F75*U77</f>
        <v>0</v>
      </c>
      <c r="W77" s="468">
        <f t="shared" si="10"/>
        <v>0</v>
      </c>
      <c r="X77" s="472">
        <f t="shared" si="11"/>
        <v>0</v>
      </c>
    </row>
    <row r="78" spans="1:24" x14ac:dyDescent="0.3">
      <c r="A78" s="114">
        <f t="shared" si="0"/>
        <v>69</v>
      </c>
      <c r="B78" s="709"/>
      <c r="C78" s="710" t="s">
        <v>5</v>
      </c>
      <c r="D78" s="473">
        <f>'WA Volumes &amp; Revenues'!E76</f>
        <v>1445175</v>
      </c>
      <c r="E78" s="475">
        <f>'Allocation = % of Margin'!E75</f>
        <v>0.11997999999999999</v>
      </c>
      <c r="F78" s="468">
        <f>'Allocation = % of Margin'!J75</f>
        <v>173392</v>
      </c>
      <c r="G78" s="468">
        <f>'Allocation = % of Margin'!O75</f>
        <v>0</v>
      </c>
      <c r="H78" s="744"/>
      <c r="I78" s="531">
        <v>0</v>
      </c>
      <c r="J78" s="523">
        <f t="shared" si="1"/>
        <v>0</v>
      </c>
      <c r="K78" s="472">
        <f t="shared" si="2"/>
        <v>0</v>
      </c>
      <c r="L78" s="532">
        <v>0</v>
      </c>
      <c r="M78" s="523">
        <f t="shared" si="3"/>
        <v>0</v>
      </c>
      <c r="N78" s="468">
        <f t="shared" si="4"/>
        <v>0</v>
      </c>
      <c r="O78" s="465">
        <f t="shared" si="5"/>
        <v>0</v>
      </c>
      <c r="P78" s="472">
        <f t="shared" si="6"/>
        <v>0</v>
      </c>
      <c r="Q78" s="531">
        <v>0</v>
      </c>
      <c r="R78" s="523">
        <f t="shared" si="7"/>
        <v>0</v>
      </c>
      <c r="S78" s="468">
        <f t="shared" si="8"/>
        <v>0</v>
      </c>
      <c r="T78" s="472">
        <f t="shared" si="9"/>
        <v>0</v>
      </c>
      <c r="U78" s="531">
        <v>0</v>
      </c>
      <c r="V78" s="523">
        <f>'WA Volumes &amp; Revenues'!F76*U78</f>
        <v>0</v>
      </c>
      <c r="W78" s="468">
        <f t="shared" si="10"/>
        <v>0</v>
      </c>
      <c r="X78" s="472">
        <f t="shared" si="11"/>
        <v>0</v>
      </c>
    </row>
    <row r="79" spans="1:24" x14ac:dyDescent="0.3">
      <c r="A79" s="114">
        <f t="shared" si="0"/>
        <v>70</v>
      </c>
      <c r="B79" s="709"/>
      <c r="C79" s="710" t="s">
        <v>6</v>
      </c>
      <c r="D79" s="473">
        <f>'WA Volumes &amp; Revenues'!E77</f>
        <v>1034978</v>
      </c>
      <c r="E79" s="475">
        <f>'Allocation = % of Margin'!E76</f>
        <v>9.1999999999999998E-2</v>
      </c>
      <c r="F79" s="468">
        <f>'Allocation = % of Margin'!J76</f>
        <v>95218</v>
      </c>
      <c r="G79" s="468">
        <f>'Allocation = % of Margin'!O76</f>
        <v>0</v>
      </c>
      <c r="H79" s="744"/>
      <c r="I79" s="531">
        <v>0</v>
      </c>
      <c r="J79" s="523">
        <f t="shared" si="1"/>
        <v>0</v>
      </c>
      <c r="K79" s="472">
        <f t="shared" si="2"/>
        <v>0</v>
      </c>
      <c r="L79" s="532">
        <v>0</v>
      </c>
      <c r="M79" s="523">
        <f t="shared" si="3"/>
        <v>0</v>
      </c>
      <c r="N79" s="468">
        <f t="shared" si="4"/>
        <v>0</v>
      </c>
      <c r="O79" s="465">
        <f t="shared" si="5"/>
        <v>0</v>
      </c>
      <c r="P79" s="472">
        <f t="shared" si="6"/>
        <v>0</v>
      </c>
      <c r="Q79" s="531">
        <v>0</v>
      </c>
      <c r="R79" s="523">
        <f t="shared" si="7"/>
        <v>0</v>
      </c>
      <c r="S79" s="468">
        <f t="shared" si="8"/>
        <v>0</v>
      </c>
      <c r="T79" s="472">
        <f t="shared" si="9"/>
        <v>0</v>
      </c>
      <c r="U79" s="531">
        <v>0</v>
      </c>
      <c r="V79" s="523">
        <f>'WA Volumes &amp; Revenues'!F77*U79</f>
        <v>0</v>
      </c>
      <c r="W79" s="468">
        <f t="shared" si="10"/>
        <v>0</v>
      </c>
      <c r="X79" s="472">
        <f t="shared" si="11"/>
        <v>0</v>
      </c>
    </row>
    <row r="80" spans="1:24" x14ac:dyDescent="0.3">
      <c r="A80" s="114">
        <f t="shared" si="0"/>
        <v>71</v>
      </c>
      <c r="B80" s="709"/>
      <c r="C80" s="710" t="s">
        <v>7</v>
      </c>
      <c r="D80" s="473">
        <f>'WA Volumes &amp; Revenues'!E78</f>
        <v>3359916</v>
      </c>
      <c r="E80" s="475">
        <f>'Allocation = % of Margin'!E77</f>
        <v>7.3609999999999995E-2</v>
      </c>
      <c r="F80" s="468">
        <f>'Allocation = % of Margin'!J77</f>
        <v>247323</v>
      </c>
      <c r="G80" s="468">
        <f>'Allocation = % of Margin'!O77</f>
        <v>0</v>
      </c>
      <c r="H80" s="744"/>
      <c r="I80" s="531">
        <v>0</v>
      </c>
      <c r="J80" s="523">
        <f t="shared" si="1"/>
        <v>0</v>
      </c>
      <c r="K80" s="472">
        <f t="shared" si="2"/>
        <v>0</v>
      </c>
      <c r="L80" s="532">
        <v>0</v>
      </c>
      <c r="M80" s="523">
        <f t="shared" si="3"/>
        <v>0</v>
      </c>
      <c r="N80" s="468">
        <f t="shared" si="4"/>
        <v>0</v>
      </c>
      <c r="O80" s="465">
        <f t="shared" si="5"/>
        <v>0</v>
      </c>
      <c r="P80" s="472">
        <f t="shared" si="6"/>
        <v>0</v>
      </c>
      <c r="Q80" s="531">
        <v>0</v>
      </c>
      <c r="R80" s="523">
        <f t="shared" si="7"/>
        <v>0</v>
      </c>
      <c r="S80" s="468">
        <f t="shared" si="8"/>
        <v>0</v>
      </c>
      <c r="T80" s="472">
        <f t="shared" si="9"/>
        <v>0</v>
      </c>
      <c r="U80" s="531">
        <v>0</v>
      </c>
      <c r="V80" s="523">
        <f>'WA Volumes &amp; Revenues'!F78*U80</f>
        <v>0</v>
      </c>
      <c r="W80" s="468">
        <f t="shared" si="10"/>
        <v>0</v>
      </c>
      <c r="X80" s="472">
        <f t="shared" si="11"/>
        <v>0</v>
      </c>
    </row>
    <row r="81" spans="1:24" x14ac:dyDescent="0.3">
      <c r="A81" s="114">
        <f t="shared" si="0"/>
        <v>72</v>
      </c>
      <c r="B81" s="709"/>
      <c r="C81" s="710" t="s">
        <v>8</v>
      </c>
      <c r="D81" s="473">
        <f>'WA Volumes &amp; Revenues'!E79</f>
        <v>1349120</v>
      </c>
      <c r="E81" s="475">
        <f>'Allocation = % of Margin'!E78</f>
        <v>4.9079999999999999E-2</v>
      </c>
      <c r="F81" s="468">
        <f>'Allocation = % of Margin'!J78</f>
        <v>66215</v>
      </c>
      <c r="G81" s="468">
        <f>'Allocation = % of Margin'!O78</f>
        <v>0</v>
      </c>
      <c r="H81" s="744"/>
      <c r="I81" s="531">
        <v>0</v>
      </c>
      <c r="J81" s="523">
        <f>+$D81*I81</f>
        <v>0</v>
      </c>
      <c r="K81" s="472">
        <f t="shared" si="2"/>
        <v>0</v>
      </c>
      <c r="L81" s="532">
        <v>0</v>
      </c>
      <c r="M81" s="523">
        <f t="shared" si="3"/>
        <v>0</v>
      </c>
      <c r="N81" s="468">
        <f t="shared" si="4"/>
        <v>0</v>
      </c>
      <c r="O81" s="465">
        <f t="shared" si="5"/>
        <v>0</v>
      </c>
      <c r="P81" s="472">
        <f t="shared" si="6"/>
        <v>0</v>
      </c>
      <c r="Q81" s="531">
        <v>0</v>
      </c>
      <c r="R81" s="523">
        <f t="shared" si="7"/>
        <v>0</v>
      </c>
      <c r="S81" s="468">
        <f t="shared" si="8"/>
        <v>0</v>
      </c>
      <c r="T81" s="472">
        <f t="shared" si="9"/>
        <v>0</v>
      </c>
      <c r="U81" s="531">
        <v>0</v>
      </c>
      <c r="V81" s="523">
        <f>'WA Volumes &amp; Revenues'!F79*U81</f>
        <v>0</v>
      </c>
      <c r="W81" s="468">
        <f t="shared" si="10"/>
        <v>0</v>
      </c>
      <c r="X81" s="472">
        <f t="shared" si="11"/>
        <v>0</v>
      </c>
    </row>
    <row r="82" spans="1:24" x14ac:dyDescent="0.3">
      <c r="A82" s="114">
        <f t="shared" si="0"/>
        <v>73</v>
      </c>
      <c r="B82" s="707"/>
      <c r="C82" s="711" t="s">
        <v>9</v>
      </c>
      <c r="D82" s="460">
        <f>'WA Volumes &amp; Revenues'!E80</f>
        <v>0</v>
      </c>
      <c r="E82" s="477">
        <f>'Allocation = % of Margin'!E79</f>
        <v>1.839E-2</v>
      </c>
      <c r="F82" s="461">
        <f>'Allocation = % of Margin'!J79</f>
        <v>0</v>
      </c>
      <c r="G82" s="461">
        <f>'Allocation = % of Margin'!O79</f>
        <v>0</v>
      </c>
      <c r="H82" s="744"/>
      <c r="I82" s="529">
        <v>0</v>
      </c>
      <c r="J82" s="527">
        <f t="shared" ref="J82:J85" si="12">+$D82*I82</f>
        <v>0</v>
      </c>
      <c r="K82" s="464">
        <f t="shared" ref="K82:K85" si="13">+I82*$K$87</f>
        <v>0</v>
      </c>
      <c r="L82" s="530">
        <v>0</v>
      </c>
      <c r="M82" s="527">
        <f t="shared" ref="M82:M85" si="14">+$D82*L82</f>
        <v>0</v>
      </c>
      <c r="N82" s="461">
        <f t="shared" ref="N82:N85" si="15">M82*O82</f>
        <v>0</v>
      </c>
      <c r="O82" s="463">
        <f t="shared" ref="O82:O85" si="16">+$O$87*L82</f>
        <v>0</v>
      </c>
      <c r="P82" s="464">
        <f t="shared" ref="P82:P85" si="17">O82</f>
        <v>0</v>
      </c>
      <c r="Q82" s="529">
        <v>0</v>
      </c>
      <c r="R82" s="527">
        <f t="shared" ref="R82:R85" si="18">+$D82*Q82</f>
        <v>0</v>
      </c>
      <c r="S82" s="461">
        <f t="shared" ref="S82:S85" si="19">R82*T82</f>
        <v>0</v>
      </c>
      <c r="T82" s="464">
        <f t="shared" ref="T82:T85" si="20">+$T$87*Q82</f>
        <v>0</v>
      </c>
      <c r="U82" s="529">
        <v>0</v>
      </c>
      <c r="V82" s="527">
        <f>'WA Volumes &amp; Revenues'!F80*U82</f>
        <v>0</v>
      </c>
      <c r="W82" s="461">
        <f t="shared" ref="W82:W85" si="21">V82*X82</f>
        <v>0</v>
      </c>
      <c r="X82" s="464">
        <f t="shared" ref="X82:X85" si="22">+$X$86*U82</f>
        <v>0</v>
      </c>
    </row>
    <row r="83" spans="1:24" x14ac:dyDescent="0.3">
      <c r="A83" s="114">
        <f t="shared" si="0"/>
        <v>74</v>
      </c>
      <c r="B83" s="707" t="str">
        <f>'WA Volumes &amp; Revenues'!B81</f>
        <v>43 Firm Transpt</v>
      </c>
      <c r="C83" s="711" t="s">
        <v>270</v>
      </c>
      <c r="D83" s="460">
        <f>'WA Volumes &amp; Revenues'!E81</f>
        <v>0</v>
      </c>
      <c r="E83" s="479">
        <f>'Allocation = % of Margin'!E80</f>
        <v>4.9099999999999994E-3</v>
      </c>
      <c r="F83" s="461">
        <f>'Allocation = % of Margin'!J80</f>
        <v>0</v>
      </c>
      <c r="G83" s="461">
        <f>'Allocation = % of Margin'!O80</f>
        <v>0</v>
      </c>
      <c r="H83" s="744"/>
      <c r="I83" s="529">
        <v>0</v>
      </c>
      <c r="J83" s="527">
        <f t="shared" si="12"/>
        <v>0</v>
      </c>
      <c r="K83" s="464">
        <f t="shared" si="13"/>
        <v>0</v>
      </c>
      <c r="L83" s="530">
        <v>0</v>
      </c>
      <c r="M83" s="527">
        <f t="shared" si="14"/>
        <v>0</v>
      </c>
      <c r="N83" s="461">
        <f t="shared" si="15"/>
        <v>0</v>
      </c>
      <c r="O83" s="463">
        <f t="shared" si="16"/>
        <v>0</v>
      </c>
      <c r="P83" s="464">
        <f t="shared" si="17"/>
        <v>0</v>
      </c>
      <c r="Q83" s="529">
        <v>0</v>
      </c>
      <c r="R83" s="527">
        <f t="shared" si="18"/>
        <v>0</v>
      </c>
      <c r="S83" s="461">
        <f t="shared" si="19"/>
        <v>0</v>
      </c>
      <c r="T83" s="464">
        <f t="shared" si="20"/>
        <v>0</v>
      </c>
      <c r="U83" s="529">
        <v>0</v>
      </c>
      <c r="V83" s="527">
        <f>'WA Volumes &amp; Revenues'!F81*U83</f>
        <v>0</v>
      </c>
      <c r="W83" s="461">
        <f t="shared" si="21"/>
        <v>0</v>
      </c>
      <c r="X83" s="464">
        <f t="shared" si="22"/>
        <v>0</v>
      </c>
    </row>
    <row r="84" spans="1:24" x14ac:dyDescent="0.3">
      <c r="A84" s="114">
        <f t="shared" si="0"/>
        <v>75</v>
      </c>
      <c r="B84" s="708" t="str">
        <f>'WA Volumes &amp; Revenues'!B82</f>
        <v>43 Interr Transpt</v>
      </c>
      <c r="C84" s="711" t="s">
        <v>270</v>
      </c>
      <c r="D84" s="460">
        <f>'WA Volumes &amp; Revenues'!E82</f>
        <v>0</v>
      </c>
      <c r="E84" s="479">
        <f>'Allocation = % of Margin'!E81</f>
        <v>4.9099999999999994E-3</v>
      </c>
      <c r="F84" s="461">
        <f>'Allocation = % of Margin'!J81</f>
        <v>0</v>
      </c>
      <c r="G84" s="740">
        <f>'Allocation = % of Margin'!O81</f>
        <v>0</v>
      </c>
      <c r="H84" s="746"/>
      <c r="I84" s="526">
        <v>0</v>
      </c>
      <c r="J84" s="359">
        <f t="shared" si="12"/>
        <v>0</v>
      </c>
      <c r="K84" s="464">
        <f t="shared" si="13"/>
        <v>0</v>
      </c>
      <c r="L84" s="530">
        <v>0</v>
      </c>
      <c r="M84" s="359">
        <f t="shared" si="14"/>
        <v>0</v>
      </c>
      <c r="N84" s="461">
        <f t="shared" si="15"/>
        <v>0</v>
      </c>
      <c r="O84" s="463">
        <f t="shared" si="16"/>
        <v>0</v>
      </c>
      <c r="P84" s="464">
        <f t="shared" si="17"/>
        <v>0</v>
      </c>
      <c r="Q84" s="529">
        <v>0</v>
      </c>
      <c r="R84" s="527">
        <f t="shared" si="18"/>
        <v>0</v>
      </c>
      <c r="S84" s="461">
        <f t="shared" si="19"/>
        <v>0</v>
      </c>
      <c r="T84" s="464">
        <f t="shared" si="20"/>
        <v>0</v>
      </c>
      <c r="U84" s="529">
        <v>0</v>
      </c>
      <c r="V84" s="533">
        <f>'WA Volumes &amp; Revenues'!F82*U84</f>
        <v>0</v>
      </c>
      <c r="W84" s="461">
        <f t="shared" si="21"/>
        <v>0</v>
      </c>
      <c r="X84" s="464">
        <f t="shared" si="22"/>
        <v>0</v>
      </c>
    </row>
    <row r="85" spans="1:24" x14ac:dyDescent="0.3">
      <c r="A85" s="114">
        <f t="shared" si="0"/>
        <v>76</v>
      </c>
      <c r="B85" s="708" t="str">
        <f>'WA Volumes &amp; Revenues'!B83</f>
        <v>Special Contract</v>
      </c>
      <c r="C85" s="711" t="s">
        <v>270</v>
      </c>
      <c r="D85" s="460">
        <f>'WA Volumes &amp; Revenues'!E83</f>
        <v>2895114</v>
      </c>
      <c r="E85" s="479">
        <f>'Allocation = % of Margin'!E82</f>
        <v>0</v>
      </c>
      <c r="F85" s="461">
        <f>'Allocation = % of Margin'!J82</f>
        <v>0</v>
      </c>
      <c r="G85" s="461">
        <f>'Allocation = % of Margin'!O82</f>
        <v>242994.60207180592</v>
      </c>
      <c r="H85" s="747"/>
      <c r="I85" s="529">
        <v>0</v>
      </c>
      <c r="J85" s="359">
        <f t="shared" si="12"/>
        <v>0</v>
      </c>
      <c r="K85" s="464">
        <f t="shared" si="13"/>
        <v>0</v>
      </c>
      <c r="L85" s="530">
        <v>0</v>
      </c>
      <c r="M85" s="359">
        <f t="shared" si="14"/>
        <v>0</v>
      </c>
      <c r="N85" s="461">
        <f t="shared" si="15"/>
        <v>0</v>
      </c>
      <c r="O85" s="463">
        <f t="shared" si="16"/>
        <v>0</v>
      </c>
      <c r="P85" s="464">
        <f t="shared" si="17"/>
        <v>0</v>
      </c>
      <c r="Q85" s="529">
        <v>0</v>
      </c>
      <c r="R85" s="527">
        <f t="shared" si="18"/>
        <v>0</v>
      </c>
      <c r="S85" s="461">
        <f t="shared" si="19"/>
        <v>0</v>
      </c>
      <c r="T85" s="464">
        <f t="shared" si="20"/>
        <v>0</v>
      </c>
      <c r="U85" s="529">
        <v>0</v>
      </c>
      <c r="V85" s="359">
        <f>'WA Volumes &amp; Revenues'!F83*U85</f>
        <v>0</v>
      </c>
      <c r="W85" s="461">
        <f t="shared" si="21"/>
        <v>0</v>
      </c>
      <c r="X85" s="464">
        <f t="shared" si="22"/>
        <v>0</v>
      </c>
    </row>
    <row r="86" spans="1:24" s="697" customFormat="1" x14ac:dyDescent="0.3">
      <c r="A86" s="114">
        <f t="shared" si="0"/>
        <v>77</v>
      </c>
      <c r="B86" s="691"/>
      <c r="C86" s="692"/>
      <c r="D86" s="691"/>
      <c r="E86" s="693"/>
      <c r="F86" s="693"/>
      <c r="G86" s="693"/>
      <c r="H86" s="694"/>
      <c r="I86" s="695"/>
      <c r="J86" s="696"/>
      <c r="L86" s="695"/>
      <c r="M86" s="696"/>
      <c r="O86" s="698"/>
      <c r="Q86" s="695"/>
      <c r="R86" s="696"/>
      <c r="T86" s="698"/>
      <c r="U86" s="695"/>
      <c r="V86" s="696"/>
      <c r="X86" s="698"/>
    </row>
    <row r="87" spans="1:24" x14ac:dyDescent="0.3">
      <c r="A87" s="114">
        <f t="shared" si="0"/>
        <v>78</v>
      </c>
      <c r="B87" s="691" t="s">
        <v>175</v>
      </c>
      <c r="D87" s="737">
        <f>SUM(D17:D85)</f>
        <v>103032055.6009268</v>
      </c>
      <c r="E87" s="267"/>
      <c r="F87" s="603">
        <f t="shared" ref="F87:G87" si="23">SUM(F17:F85)</f>
        <v>37287358</v>
      </c>
      <c r="G87" s="603">
        <f t="shared" si="23"/>
        <v>49604903.243273698</v>
      </c>
      <c r="H87" s="498"/>
      <c r="I87" s="532"/>
      <c r="J87" s="737">
        <f>SUM(J17:J85)</f>
        <v>82410548.600926802</v>
      </c>
      <c r="K87" s="971">
        <f>ROUND(I13/J87,5)</f>
        <v>0</v>
      </c>
      <c r="L87" s="532"/>
      <c r="M87" s="737">
        <f t="shared" ref="M87" si="24">SUM(M17:M85)</f>
        <v>82852135.600926802</v>
      </c>
      <c r="N87" s="656">
        <f>L13-(N17+N20+N22)</f>
        <v>0</v>
      </c>
      <c r="O87" s="698">
        <f>ROUND(L13/M87,5)</f>
        <v>0</v>
      </c>
      <c r="P87" s="738">
        <f>N87/G87</f>
        <v>0</v>
      </c>
      <c r="Q87" s="532"/>
      <c r="R87" s="737">
        <f t="shared" ref="R87" si="25">SUM(R17:R85)</f>
        <v>82852135.600926802</v>
      </c>
      <c r="S87" s="468">
        <f>Q13-(S17+S20+S22)</f>
        <v>0</v>
      </c>
      <c r="T87" s="698">
        <f>ROUND(Q13/R87,5)</f>
        <v>0</v>
      </c>
      <c r="U87" s="532"/>
      <c r="V87" s="737">
        <f t="shared" ref="V87" si="26">SUM(V17:V85)</f>
        <v>84276831.300000012</v>
      </c>
      <c r="W87" s="656">
        <f>U13-(W17+W20+W22)</f>
        <v>0</v>
      </c>
      <c r="X87" s="698">
        <f>ROUND(U13/V87,5)</f>
        <v>0</v>
      </c>
    </row>
    <row r="88" spans="1:24" x14ac:dyDescent="0.3">
      <c r="A88" s="114">
        <f t="shared" si="0"/>
        <v>79</v>
      </c>
      <c r="D88" s="534"/>
      <c r="E88" s="534"/>
      <c r="F88" s="534"/>
      <c r="G88" s="534"/>
      <c r="I88" s="532"/>
      <c r="L88" s="532"/>
      <c r="Q88" s="532"/>
      <c r="U88" s="532"/>
    </row>
    <row r="89" spans="1:24" x14ac:dyDescent="0.3">
      <c r="A89" s="114">
        <f t="shared" ref="A89:A92" si="27">+A88+1</f>
        <v>80</v>
      </c>
      <c r="B89" s="167" t="s">
        <v>77</v>
      </c>
      <c r="C89" s="55"/>
      <c r="D89" s="423"/>
      <c r="E89" s="55"/>
      <c r="F89" s="55"/>
      <c r="G89" s="55"/>
      <c r="H89" s="423"/>
      <c r="I89" s="55"/>
      <c r="J89" s="423"/>
      <c r="K89" s="55"/>
      <c r="L89" s="55"/>
      <c r="M89" s="139"/>
      <c r="Q89" s="500"/>
      <c r="U89" s="500"/>
    </row>
    <row r="90" spans="1:24" x14ac:dyDescent="0.3">
      <c r="A90" s="114">
        <f t="shared" si="27"/>
        <v>81</v>
      </c>
      <c r="B90" s="748" t="s">
        <v>78</v>
      </c>
      <c r="C90" s="749"/>
      <c r="D90" s="749"/>
      <c r="E90" s="749"/>
      <c r="F90" s="749"/>
      <c r="G90" s="749"/>
      <c r="H90" s="749"/>
      <c r="I90" s="749"/>
      <c r="J90" s="749"/>
      <c r="K90" s="749"/>
      <c r="L90" s="749"/>
      <c r="M90" s="750"/>
      <c r="N90" s="750"/>
      <c r="O90" s="750"/>
      <c r="P90" s="750"/>
      <c r="Q90" s="750"/>
      <c r="R90" s="750"/>
      <c r="S90" s="750"/>
      <c r="T90" s="750"/>
      <c r="U90" s="750"/>
      <c r="V90" s="750"/>
      <c r="W90" s="750"/>
      <c r="X90" s="751"/>
    </row>
    <row r="91" spans="1:24" x14ac:dyDescent="0.3">
      <c r="A91" s="114">
        <f t="shared" si="27"/>
        <v>82</v>
      </c>
      <c r="B91" s="167" t="s">
        <v>92</v>
      </c>
      <c r="C91" s="55"/>
      <c r="D91" s="423"/>
      <c r="E91" s="55"/>
      <c r="F91" s="55"/>
      <c r="G91" s="55"/>
      <c r="H91" s="423"/>
      <c r="I91" s="55"/>
      <c r="J91" s="423"/>
      <c r="K91" s="55"/>
      <c r="L91" s="55"/>
      <c r="M91" s="139"/>
      <c r="Q91" s="500"/>
      <c r="U91" s="500"/>
    </row>
    <row r="92" spans="1:24" x14ac:dyDescent="0.3">
      <c r="A92" s="114">
        <f t="shared" si="27"/>
        <v>83</v>
      </c>
      <c r="B92" s="748" t="s">
        <v>93</v>
      </c>
      <c r="C92" s="749"/>
      <c r="D92" s="749"/>
      <c r="E92" s="749"/>
      <c r="F92" s="749"/>
      <c r="G92" s="749"/>
      <c r="H92" s="749"/>
      <c r="I92" s="749"/>
      <c r="J92" s="749"/>
      <c r="K92" s="749"/>
      <c r="L92" s="749"/>
      <c r="M92" s="750"/>
      <c r="N92" s="750"/>
      <c r="O92" s="750"/>
      <c r="P92" s="750"/>
      <c r="Q92" s="750"/>
      <c r="R92" s="750"/>
      <c r="S92" s="750"/>
      <c r="T92" s="750"/>
      <c r="U92" s="750"/>
      <c r="V92" s="750"/>
      <c r="W92" s="750"/>
      <c r="X92" s="751"/>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theme="9" tint="0.79998168889431442"/>
  </sheetPr>
  <dimension ref="A1:BQ105"/>
  <sheetViews>
    <sheetView view="pageLayout" zoomScaleNormal="130" workbookViewId="0">
      <selection activeCell="AN74" sqref="AN74:AN79"/>
    </sheetView>
  </sheetViews>
  <sheetFormatPr defaultColWidth="9.296875" defaultRowHeight="13" x14ac:dyDescent="0.3"/>
  <cols>
    <col min="1" max="1" width="5.69921875" style="54" customWidth="1"/>
    <col min="2" max="2" width="17.796875" style="55" customWidth="1"/>
    <col min="3" max="3" width="8.296875" style="55" customWidth="1"/>
    <col min="4" max="4" width="17.796875" style="423" hidden="1" customWidth="1"/>
    <col min="5" max="6" width="12.69921875" style="423" hidden="1" customWidth="1"/>
    <col min="7" max="9" width="12.5" style="423" hidden="1" customWidth="1"/>
    <col min="10" max="12" width="17.796875" style="423" hidden="1" customWidth="1"/>
    <col min="13" max="13" width="15" style="423" hidden="1" customWidth="1"/>
    <col min="14" max="14" width="11.296875" style="423" hidden="1" customWidth="1"/>
    <col min="15" max="17" width="19.796875" style="423" hidden="1" customWidth="1"/>
    <col min="18" max="18" width="27.19921875" style="423" hidden="1" customWidth="1"/>
    <col min="19" max="19" width="16.296875" style="424" hidden="1" customWidth="1"/>
    <col min="20" max="20" width="15.69921875" style="55" hidden="1" customWidth="1"/>
    <col min="21" max="21" width="15.69921875" style="139" hidden="1" customWidth="1"/>
    <col min="22" max="22" width="16.296875" style="424" hidden="1" customWidth="1"/>
    <col min="23" max="23" width="15.69921875" style="55" hidden="1" customWidth="1"/>
    <col min="24" max="24" width="15.69921875" style="139" hidden="1" customWidth="1"/>
    <col min="25" max="25" width="16.296875" style="424" hidden="1" customWidth="1"/>
    <col min="26" max="26" width="15.69921875" style="55" hidden="1" customWidth="1"/>
    <col min="27" max="27" width="15.69921875" style="139" hidden="1" customWidth="1"/>
    <col min="28" max="28" width="16.296875" style="424" hidden="1" customWidth="1"/>
    <col min="29" max="29" width="15.69921875" style="55" hidden="1" customWidth="1"/>
    <col min="30" max="30" width="15.69921875" style="139" hidden="1" customWidth="1"/>
    <col min="31" max="31" width="16.296875" style="424" hidden="1" customWidth="1"/>
    <col min="32" max="32" width="15.69921875" style="55" hidden="1" customWidth="1"/>
    <col min="33" max="33" width="15.69921875" style="139" hidden="1" customWidth="1"/>
    <col min="34" max="34" width="16.296875" style="424" hidden="1" customWidth="1"/>
    <col min="35" max="35" width="15.69921875" style="55" hidden="1" customWidth="1"/>
    <col min="36" max="36" width="15.69921875" style="139" hidden="1" customWidth="1"/>
    <col min="37" max="37" width="16.296875" style="424" hidden="1" customWidth="1"/>
    <col min="38" max="38" width="15.69921875" style="55" hidden="1" customWidth="1"/>
    <col min="39" max="39" width="15.69921875" style="139" hidden="1" customWidth="1"/>
    <col min="40" max="40" width="16.5" style="153" customWidth="1"/>
    <col min="41" max="41" width="15.69921875" style="54" customWidth="1"/>
    <col min="42" max="65" width="9.296875" style="54" customWidth="1"/>
    <col min="66" max="16384" width="9.296875" style="54"/>
  </cols>
  <sheetData>
    <row r="1" spans="1:69" ht="14.15" customHeight="1" x14ac:dyDescent="0.3">
      <c r="A1" s="138" t="str">
        <f>+'WA Volumes &amp; Revenues'!A1</f>
        <v>NW Natural</v>
      </c>
      <c r="F1" s="1814"/>
      <c r="G1" s="1814"/>
      <c r="H1" s="1814"/>
      <c r="I1" s="1814"/>
      <c r="J1" s="1814"/>
      <c r="K1" s="1444"/>
      <c r="L1" s="1487"/>
    </row>
    <row r="2" spans="1:69" ht="14.15" customHeight="1" x14ac:dyDescent="0.3">
      <c r="A2" s="138" t="str">
        <f>+'WA Volumes &amp; Revenues'!A2</f>
        <v>Rates &amp; Regulatory Affairs</v>
      </c>
      <c r="F2" s="1816"/>
      <c r="G2" s="1816"/>
      <c r="H2" s="1816"/>
      <c r="I2" s="1816"/>
      <c r="J2" s="1816"/>
      <c r="K2" s="1445"/>
      <c r="L2" s="1488"/>
      <c r="O2" s="425"/>
      <c r="P2" s="425"/>
      <c r="Q2" s="425"/>
      <c r="S2" s="424" t="s">
        <v>735</v>
      </c>
    </row>
    <row r="3" spans="1:69" ht="14.15" customHeight="1" thickBot="1" x14ac:dyDescent="0.35">
      <c r="A3" s="138" t="str">
        <f>+'WA Volumes &amp; Revenues'!A3</f>
        <v>Test Year Ending September 30, 2020</v>
      </c>
      <c r="S3" s="437">
        <v>-1477338.8772829899</v>
      </c>
      <c r="T3" s="1441" t="s">
        <v>578</v>
      </c>
      <c r="V3" s="584">
        <v>-839327</v>
      </c>
      <c r="W3" s="1441" t="s">
        <v>578</v>
      </c>
      <c r="Y3" s="423"/>
      <c r="Z3" s="129"/>
      <c r="AB3" s="423"/>
      <c r="AC3" s="129"/>
      <c r="AE3" s="306"/>
      <c r="AF3" s="1482"/>
      <c r="AG3" s="156"/>
      <c r="AH3" s="1483"/>
      <c r="AI3" s="1441"/>
      <c r="AK3" s="423"/>
    </row>
    <row r="4" spans="1:69" ht="14.15" customHeight="1" thickBot="1" x14ac:dyDescent="0.35">
      <c r="A4" s="429" t="s">
        <v>188</v>
      </c>
      <c r="D4" s="55"/>
      <c r="E4" s="55"/>
      <c r="F4" s="55"/>
      <c r="G4" s="55"/>
      <c r="H4" s="55"/>
      <c r="I4" s="55"/>
      <c r="J4" s="55"/>
      <c r="K4" s="55"/>
      <c r="L4" s="55"/>
      <c r="M4" s="1814"/>
      <c r="N4" s="1814"/>
      <c r="O4" s="1814"/>
      <c r="P4" s="1444"/>
      <c r="Q4" s="1487"/>
      <c r="R4" s="55"/>
      <c r="S4" s="55"/>
      <c r="T4" s="129"/>
      <c r="V4" s="55"/>
      <c r="Y4" s="55"/>
      <c r="AB4" s="55"/>
      <c r="AE4" s="55"/>
      <c r="AF4" s="129"/>
      <c r="AH4" s="55"/>
      <c r="AK4" s="55"/>
    </row>
    <row r="5" spans="1:69" ht="14.15" customHeight="1" thickBot="1" x14ac:dyDescent="0.35">
      <c r="D5" s="55"/>
      <c r="E5" s="55"/>
      <c r="F5" s="140"/>
      <c r="G5" s="278"/>
      <c r="H5" s="140"/>
      <c r="I5" s="278"/>
      <c r="J5" s="55"/>
      <c r="K5" s="55"/>
      <c r="L5" s="55"/>
      <c r="M5" s="1816"/>
      <c r="N5" s="1816"/>
      <c r="O5" s="1816"/>
      <c r="P5" s="1445"/>
      <c r="Q5" s="1488"/>
      <c r="R5" s="55"/>
      <c r="S5" s="55"/>
      <c r="V5" s="55"/>
      <c r="Y5" s="1841"/>
      <c r="Z5" s="1841"/>
      <c r="AA5" s="1841"/>
      <c r="AB5" s="1841" t="s">
        <v>655</v>
      </c>
      <c r="AC5" s="1841"/>
      <c r="AD5" s="1841"/>
      <c r="AE5" s="55"/>
      <c r="AH5" s="55"/>
      <c r="AK5" s="55"/>
    </row>
    <row r="6" spans="1:69" ht="14.15" customHeight="1" thickBot="1" x14ac:dyDescent="0.35">
      <c r="D6" s="55"/>
      <c r="E6" s="55"/>
      <c r="F6" s="1455" t="s">
        <v>402</v>
      </c>
      <c r="G6" s="1456" t="s">
        <v>402</v>
      </c>
      <c r="H6" s="1455" t="s">
        <v>397</v>
      </c>
      <c r="I6" s="1456" t="s">
        <v>397</v>
      </c>
      <c r="J6" s="424"/>
      <c r="K6" s="424" t="s">
        <v>402</v>
      </c>
      <c r="L6" s="424" t="s">
        <v>397</v>
      </c>
      <c r="M6" s="55"/>
      <c r="N6" s="55"/>
      <c r="P6" s="424" t="s">
        <v>402</v>
      </c>
      <c r="Q6" s="424" t="s">
        <v>397</v>
      </c>
      <c r="R6" s="55"/>
      <c r="S6" s="1820" t="s">
        <v>402</v>
      </c>
      <c r="T6" s="1821"/>
      <c r="U6" s="1821"/>
      <c r="V6" s="1821"/>
      <c r="W6" s="1821"/>
      <c r="X6" s="1821"/>
      <c r="Y6" s="1821"/>
      <c r="Z6" s="1821"/>
      <c r="AA6" s="1821"/>
      <c r="AB6" s="1821"/>
      <c r="AC6" s="1821"/>
      <c r="AD6" s="1822"/>
      <c r="AE6" s="1838" t="s">
        <v>397</v>
      </c>
      <c r="AF6" s="1839"/>
      <c r="AG6" s="1839"/>
      <c r="AH6" s="1839"/>
      <c r="AI6" s="1839"/>
      <c r="AJ6" s="1839"/>
      <c r="AK6" s="1839"/>
      <c r="AL6" s="1839"/>
      <c r="AM6" s="1840"/>
    </row>
    <row r="7" spans="1:69" s="55" customFormat="1" ht="15" customHeight="1" thickBot="1" x14ac:dyDescent="0.35">
      <c r="A7" s="85">
        <v>1</v>
      </c>
      <c r="D7" s="423"/>
      <c r="E7" s="348"/>
      <c r="F7" s="1457" t="str">
        <f>'Rates in Detail'!R2</f>
        <v>11/01/2021</v>
      </c>
      <c r="G7" s="1458" t="str">
        <f>$F$7</f>
        <v>11/01/2021</v>
      </c>
      <c r="H7" s="1457" t="str">
        <f>'Rates in Detail'!AI2</f>
        <v>11/01/2022</v>
      </c>
      <c r="I7" s="1458" t="str">
        <f>$H$7</f>
        <v>11/01/2022</v>
      </c>
      <c r="K7" s="435" t="str">
        <f>$F$7</f>
        <v>11/01/2021</v>
      </c>
      <c r="L7" s="435" t="str">
        <f>$H$7</f>
        <v>11/01/2022</v>
      </c>
      <c r="M7" s="423"/>
      <c r="N7" s="60"/>
      <c r="P7" s="435" t="str">
        <f>$F$7</f>
        <v>11/01/2021</v>
      </c>
      <c r="Q7" s="435" t="str">
        <f>$H$7</f>
        <v>11/01/2022</v>
      </c>
      <c r="S7" s="1832" t="s">
        <v>381</v>
      </c>
      <c r="T7" s="1833"/>
      <c r="U7" s="1834"/>
      <c r="V7" s="1832" t="s">
        <v>387</v>
      </c>
      <c r="W7" s="1833"/>
      <c r="X7" s="1834"/>
      <c r="Y7" s="1832" t="s">
        <v>658</v>
      </c>
      <c r="Z7" s="1833"/>
      <c r="AA7" s="1834"/>
      <c r="AB7" s="1832" t="s">
        <v>443</v>
      </c>
      <c r="AC7" s="1833"/>
      <c r="AD7" s="1834"/>
      <c r="AE7" s="1832" t="s">
        <v>381</v>
      </c>
      <c r="AF7" s="1833"/>
      <c r="AG7" s="1834"/>
      <c r="AH7" s="1832" t="s">
        <v>387</v>
      </c>
      <c r="AI7" s="1833"/>
      <c r="AJ7" s="1834"/>
      <c r="AK7" s="1835" t="s">
        <v>446</v>
      </c>
      <c r="AL7" s="1836"/>
      <c r="AM7" s="1837"/>
      <c r="AN7" s="877"/>
      <c r="AO7" s="54"/>
    </row>
    <row r="8" spans="1:69" s="55" customFormat="1" ht="15" customHeight="1" thickBot="1" x14ac:dyDescent="0.35">
      <c r="A8" s="85">
        <f t="shared" ref="A8:A82" si="0">+A7+1</f>
        <v>2</v>
      </c>
      <c r="D8" s="436" t="s">
        <v>599</v>
      </c>
      <c r="E8" s="60" t="s">
        <v>18</v>
      </c>
      <c r="F8" s="1459" t="str">
        <f>D8</f>
        <v>UG-200994</v>
      </c>
      <c r="G8" s="972" t="str">
        <f>F8</f>
        <v>UG-200994</v>
      </c>
      <c r="H8" s="1459" t="str">
        <f>F8</f>
        <v>UG-200994</v>
      </c>
      <c r="I8" s="972" t="str">
        <f>H8</f>
        <v>UG-200994</v>
      </c>
      <c r="J8" s="435" t="s">
        <v>18</v>
      </c>
      <c r="K8" s="512" t="str">
        <f>H8</f>
        <v>UG-200994</v>
      </c>
      <c r="L8" s="512" t="str">
        <f>I8</f>
        <v>UG-200994</v>
      </c>
      <c r="M8" s="512"/>
      <c r="N8" s="512"/>
      <c r="O8" s="348" t="str">
        <f>J8</f>
        <v>Current</v>
      </c>
      <c r="P8" s="512" t="str">
        <f>H8</f>
        <v>UG-200994</v>
      </c>
      <c r="Q8" s="512" t="str">
        <f>I8</f>
        <v>UG-200994</v>
      </c>
      <c r="R8" s="599" t="s">
        <v>29</v>
      </c>
      <c r="S8" s="437">
        <f>S3/2</f>
        <v>-738669.43864149495</v>
      </c>
      <c r="T8" s="904" t="s">
        <v>174</v>
      </c>
      <c r="U8" s="439"/>
      <c r="V8" s="584">
        <f>V3/2</f>
        <v>-419663.5</v>
      </c>
      <c r="W8" s="904" t="s">
        <v>174</v>
      </c>
      <c r="X8" s="439"/>
      <c r="Y8" s="437">
        <v>148000</v>
      </c>
      <c r="Z8" s="515" t="s">
        <v>87</v>
      </c>
      <c r="AA8" s="439"/>
      <c r="AB8" s="437">
        <v>-462252</v>
      </c>
      <c r="AC8" s="515" t="s">
        <v>87</v>
      </c>
      <c r="AD8" s="439"/>
      <c r="AE8" s="437">
        <f>S3/2</f>
        <v>-738669.43864149495</v>
      </c>
      <c r="AF8" s="904" t="s">
        <v>174</v>
      </c>
      <c r="AG8" s="439"/>
      <c r="AH8" s="584">
        <f>V3/2</f>
        <v>-419663.5</v>
      </c>
      <c r="AI8" s="904" t="s">
        <v>174</v>
      </c>
      <c r="AJ8" s="439"/>
      <c r="AK8" s="437">
        <v>-42692</v>
      </c>
      <c r="AL8" s="904" t="s">
        <v>174</v>
      </c>
      <c r="AM8" s="439"/>
      <c r="AN8" s="877"/>
      <c r="AO8" s="1828"/>
    </row>
    <row r="9" spans="1:69" s="55" customFormat="1" ht="15" customHeight="1" thickBot="1" x14ac:dyDescent="0.35">
      <c r="A9" s="85">
        <f t="shared" si="0"/>
        <v>3</v>
      </c>
      <c r="D9" s="60" t="str">
        <f>'Allocation = ¢ per Therm'!D12</f>
        <v>WA GRC</v>
      </c>
      <c r="E9" s="58" t="s">
        <v>27</v>
      </c>
      <c r="F9" s="1460" t="s">
        <v>27</v>
      </c>
      <c r="G9" s="1461" t="s">
        <v>27</v>
      </c>
      <c r="H9" s="1460" t="s">
        <v>27</v>
      </c>
      <c r="I9" s="1461" t="s">
        <v>27</v>
      </c>
      <c r="J9" s="60" t="s">
        <v>83</v>
      </c>
      <c r="K9" s="60" t="s">
        <v>83</v>
      </c>
      <c r="L9" s="60" t="s">
        <v>83</v>
      </c>
      <c r="M9" s="85" t="s">
        <v>80</v>
      </c>
      <c r="N9" s="60" t="s">
        <v>80</v>
      </c>
      <c r="O9" s="58" t="s">
        <v>32</v>
      </c>
      <c r="P9" s="58" t="s">
        <v>32</v>
      </c>
      <c r="Q9" s="58" t="s">
        <v>32</v>
      </c>
      <c r="R9" s="599" t="s">
        <v>24</v>
      </c>
      <c r="S9" s="441">
        <v>4.1579999999999999E-2</v>
      </c>
      <c r="T9" s="442" t="str">
        <f>IF(S9="&lt; n/a &gt;","rev sensitive factor is built in","add revenue sensitive factor")</f>
        <v>add revenue sensitive factor</v>
      </c>
      <c r="U9" s="443"/>
      <c r="V9" s="441">
        <v>4.1579999999999999E-2</v>
      </c>
      <c r="W9" s="442" t="str">
        <f>IF(V9="&lt; n/a &gt;","rev sensitive factor is built in","add revenue sensitive factor")</f>
        <v>add revenue sensitive factor</v>
      </c>
      <c r="X9" s="443"/>
      <c r="Y9" s="441">
        <v>4.1579999999999999E-2</v>
      </c>
      <c r="Z9" s="442" t="str">
        <f>IF(Y9="&lt; n/a &gt;","rev sensitive factor is built in","add revenue sensitive factor")</f>
        <v>add revenue sensitive factor</v>
      </c>
      <c r="AA9" s="443"/>
      <c r="AB9" s="1484" t="s">
        <v>388</v>
      </c>
      <c r="AC9" s="442" t="str">
        <f>IF(AB9="&lt; n/a &gt;","rev sensitive factor is built in","add revenue sensitive factor")</f>
        <v>rev sensitive factor is built in</v>
      </c>
      <c r="AD9" s="443"/>
      <c r="AE9" s="441">
        <v>4.1579999999999999E-2</v>
      </c>
      <c r="AF9" s="442" t="str">
        <f>IF(AE9="&lt; n/a &gt;","rev sensitive factor is built in","add revenue sensitive factor")</f>
        <v>add revenue sensitive factor</v>
      </c>
      <c r="AG9" s="443"/>
      <c r="AH9" s="441">
        <v>4.1579999999999999E-2</v>
      </c>
      <c r="AI9" s="442" t="str">
        <f>IF(AH9="&lt; n/a &gt;","rev sensitive factor is built in","add revenue sensitive factor")</f>
        <v>add revenue sensitive factor</v>
      </c>
      <c r="AJ9" s="443"/>
      <c r="AK9" s="441">
        <f>V9</f>
        <v>4.1579999999999999E-2</v>
      </c>
      <c r="AL9" s="442" t="str">
        <f>IF(AK9="&lt; n/a &gt;","rev sensitive factor is built in","add revenue sensitive factor")</f>
        <v>add revenue sensitive factor</v>
      </c>
      <c r="AM9" s="443"/>
      <c r="AN9" s="877"/>
      <c r="AO9" s="1828"/>
    </row>
    <row r="10" spans="1:69" s="56" customFormat="1" ht="15" customHeight="1" thickBot="1" x14ac:dyDescent="0.35">
      <c r="A10" s="85">
        <f t="shared" si="0"/>
        <v>4</v>
      </c>
      <c r="B10" s="55"/>
      <c r="C10" s="55"/>
      <c r="D10" s="353" t="s">
        <v>168</v>
      </c>
      <c r="E10" s="171" t="s">
        <v>28</v>
      </c>
      <c r="F10" s="1462" t="s">
        <v>95</v>
      </c>
      <c r="G10" s="1463" t="s">
        <v>28</v>
      </c>
      <c r="H10" s="1462" t="s">
        <v>95</v>
      </c>
      <c r="I10" s="1463" t="s">
        <v>28</v>
      </c>
      <c r="J10" s="353" t="s">
        <v>31</v>
      </c>
      <c r="K10" s="353" t="s">
        <v>31</v>
      </c>
      <c r="L10" s="353" t="s">
        <v>31</v>
      </c>
      <c r="M10" s="353" t="s">
        <v>69</v>
      </c>
      <c r="N10" s="353" t="s">
        <v>359</v>
      </c>
      <c r="O10" s="171" t="s">
        <v>31</v>
      </c>
      <c r="P10" s="171" t="s">
        <v>31</v>
      </c>
      <c r="Q10" s="171" t="s">
        <v>31</v>
      </c>
      <c r="R10" s="600" t="s">
        <v>25</v>
      </c>
      <c r="S10" s="446">
        <f>IF(S9&lt;&gt;"&lt; n/a &gt;",ROUND(+S8/(1-S9),0),S8)</f>
        <v>-770716</v>
      </c>
      <c r="T10" s="905" t="s">
        <v>384</v>
      </c>
      <c r="U10" s="447"/>
      <c r="V10" s="446">
        <f>IF(V9&lt;&gt;"&lt; n/a &gt;",ROUND(+V8/(1-V9),0),V8)</f>
        <v>-437870</v>
      </c>
      <c r="W10" s="906" t="s">
        <v>386</v>
      </c>
      <c r="X10" s="447"/>
      <c r="Y10" s="446">
        <f>IF(Y9&lt;&gt;"&lt; n/a &gt;",ROUND(+Y8/(1-Y9),0),Y8)</f>
        <v>154421</v>
      </c>
      <c r="Z10" s="906" t="s">
        <v>418</v>
      </c>
      <c r="AA10" s="447"/>
      <c r="AB10" s="446">
        <f>IF(AB9&lt;&gt;"&lt; n/a &gt;",ROUND(+AB8/(1-AB9),0),AB8)</f>
        <v>-462252</v>
      </c>
      <c r="AC10" s="906" t="s">
        <v>418</v>
      </c>
      <c r="AD10" s="447"/>
      <c r="AE10" s="446">
        <f>IF(AE9&lt;&gt;"&lt; n/a &gt;",ROUND(+AE8/(1-AE9),0),AE8)</f>
        <v>-770716</v>
      </c>
      <c r="AF10" s="905" t="s">
        <v>384</v>
      </c>
      <c r="AG10" s="447"/>
      <c r="AH10" s="446">
        <f>IF(AH9&lt;&gt;"&lt; n/a &gt;",ROUND(+AH8/(1-AH9),0),AH8)</f>
        <v>-437870</v>
      </c>
      <c r="AI10" s="906" t="s">
        <v>386</v>
      </c>
      <c r="AJ10" s="447"/>
      <c r="AK10" s="446">
        <f>IF(AK9&lt;&gt;"&lt; n/a &gt;",ROUND(+AK8/(1-AK9),0),AK8)</f>
        <v>-44544</v>
      </c>
      <c r="AL10" s="906" t="s">
        <v>386</v>
      </c>
      <c r="AM10" s="447"/>
      <c r="AN10" s="1193"/>
      <c r="AO10" s="1828"/>
      <c r="AQ10" s="1823" t="s">
        <v>402</v>
      </c>
      <c r="AR10" s="1823"/>
      <c r="AU10" s="1823" t="s">
        <v>402</v>
      </c>
      <c r="AV10" s="1823"/>
      <c r="AY10" s="1823" t="s">
        <v>402</v>
      </c>
      <c r="AZ10" s="1823"/>
      <c r="BC10" s="1823" t="s">
        <v>402</v>
      </c>
      <c r="BD10" s="1823"/>
      <c r="BG10" s="1823" t="s">
        <v>397</v>
      </c>
      <c r="BH10" s="1823"/>
      <c r="BK10" s="1823" t="s">
        <v>397</v>
      </c>
      <c r="BL10" s="1823"/>
      <c r="BO10" s="1823" t="s">
        <v>397</v>
      </c>
      <c r="BP10" s="1823"/>
    </row>
    <row r="11" spans="1:69" s="56" customFormat="1" ht="13.5" thickBot="1" x14ac:dyDescent="0.35">
      <c r="A11" s="85">
        <f t="shared" si="0"/>
        <v>5</v>
      </c>
      <c r="B11" s="55"/>
      <c r="C11" s="55"/>
      <c r="D11" s="149"/>
      <c r="E11" s="58"/>
      <c r="F11" s="147"/>
      <c r="G11" s="292" t="s">
        <v>169</v>
      </c>
      <c r="H11" s="147"/>
      <c r="I11" s="292" t="s">
        <v>602</v>
      </c>
      <c r="J11" s="1089" t="s">
        <v>649</v>
      </c>
      <c r="K11" s="1446" t="s">
        <v>650</v>
      </c>
      <c r="L11" s="1489" t="s">
        <v>651</v>
      </c>
      <c r="M11" s="58"/>
      <c r="N11" s="149"/>
      <c r="O11" s="1495" t="s">
        <v>654</v>
      </c>
      <c r="P11" s="1495" t="s">
        <v>653</v>
      </c>
      <c r="Q11" s="1094" t="s">
        <v>652</v>
      </c>
      <c r="R11" s="449"/>
      <c r="S11" s="492" t="s">
        <v>22</v>
      </c>
      <c r="T11" s="85" t="s">
        <v>84</v>
      </c>
      <c r="U11" s="493" t="s">
        <v>23</v>
      </c>
      <c r="V11" s="492" t="s">
        <v>22</v>
      </c>
      <c r="W11" s="85" t="s">
        <v>84</v>
      </c>
      <c r="X11" s="493" t="s">
        <v>23</v>
      </c>
      <c r="Y11" s="492" t="s">
        <v>22</v>
      </c>
      <c r="Z11" s="85" t="s">
        <v>84</v>
      </c>
      <c r="AA11" s="493" t="s">
        <v>23</v>
      </c>
      <c r="AB11" s="492" t="s">
        <v>22</v>
      </c>
      <c r="AC11" s="85" t="s">
        <v>84</v>
      </c>
      <c r="AD11" s="493" t="s">
        <v>23</v>
      </c>
      <c r="AE11" s="492" t="s">
        <v>22</v>
      </c>
      <c r="AF11" s="85" t="s">
        <v>84</v>
      </c>
      <c r="AG11" s="493" t="s">
        <v>23</v>
      </c>
      <c r="AH11" s="492" t="s">
        <v>22</v>
      </c>
      <c r="AI11" s="85" t="s">
        <v>84</v>
      </c>
      <c r="AJ11" s="493" t="s">
        <v>23</v>
      </c>
      <c r="AK11" s="492" t="s">
        <v>22</v>
      </c>
      <c r="AL11" s="85" t="s">
        <v>84</v>
      </c>
      <c r="AM11" s="493" t="s">
        <v>23</v>
      </c>
      <c r="AN11" s="1193"/>
      <c r="AO11" s="1828"/>
      <c r="AP11" s="1824" t="s">
        <v>381</v>
      </c>
      <c r="AQ11" s="1825"/>
      <c r="AR11" s="1825"/>
      <c r="AS11" s="1826"/>
      <c r="AT11" s="1824" t="s">
        <v>387</v>
      </c>
      <c r="AU11" s="1825"/>
      <c r="AV11" s="1825"/>
      <c r="AW11" s="1826"/>
      <c r="AX11" s="1824" t="s">
        <v>658</v>
      </c>
      <c r="AY11" s="1825"/>
      <c r="AZ11" s="1825"/>
      <c r="BA11" s="1826"/>
      <c r="BB11" s="1824" t="s">
        <v>385</v>
      </c>
      <c r="BC11" s="1825"/>
      <c r="BD11" s="1825"/>
      <c r="BE11" s="1826"/>
      <c r="BF11" s="1824" t="s">
        <v>381</v>
      </c>
      <c r="BG11" s="1825"/>
      <c r="BH11" s="1825"/>
      <c r="BI11" s="1826"/>
      <c r="BJ11" s="1824" t="s">
        <v>387</v>
      </c>
      <c r="BK11" s="1825"/>
      <c r="BL11" s="1825"/>
      <c r="BM11" s="1826"/>
      <c r="BN11" s="1824" t="s">
        <v>398</v>
      </c>
      <c r="BO11" s="1825"/>
      <c r="BP11" s="1825"/>
      <c r="BQ11" s="1826"/>
    </row>
    <row r="12" spans="1:69" s="56" customFormat="1" ht="12.65" customHeight="1" x14ac:dyDescent="0.3">
      <c r="A12" s="85">
        <f t="shared" si="0"/>
        <v>6</v>
      </c>
      <c r="B12" s="725" t="s">
        <v>2</v>
      </c>
      <c r="C12" s="725" t="s">
        <v>3</v>
      </c>
      <c r="D12" s="123" t="s">
        <v>35</v>
      </c>
      <c r="E12" s="123" t="s">
        <v>36</v>
      </c>
      <c r="F12" s="151" t="s">
        <v>13</v>
      </c>
      <c r="G12" s="1464" t="s">
        <v>37</v>
      </c>
      <c r="H12" s="151" t="s">
        <v>38</v>
      </c>
      <c r="I12" s="1464" t="s">
        <v>39</v>
      </c>
      <c r="J12" s="57" t="s">
        <v>40</v>
      </c>
      <c r="K12" s="706" t="s">
        <v>41</v>
      </c>
      <c r="L12" s="706" t="s">
        <v>42</v>
      </c>
      <c r="M12" s="123" t="s">
        <v>124</v>
      </c>
      <c r="N12" s="123" t="s">
        <v>125</v>
      </c>
      <c r="O12" s="123" t="s">
        <v>43</v>
      </c>
      <c r="P12" s="706" t="s">
        <v>126</v>
      </c>
      <c r="Q12" s="706" t="s">
        <v>127</v>
      </c>
      <c r="R12" s="452"/>
      <c r="S12" s="453" t="s">
        <v>128</v>
      </c>
      <c r="T12" s="706" t="s">
        <v>129</v>
      </c>
      <c r="U12" s="494" t="s">
        <v>130</v>
      </c>
      <c r="V12" s="453" t="s">
        <v>86</v>
      </c>
      <c r="W12" s="123" t="s">
        <v>89</v>
      </c>
      <c r="X12" s="494" t="s">
        <v>90</v>
      </c>
      <c r="Y12" s="453" t="s">
        <v>91</v>
      </c>
      <c r="Z12" s="706" t="s">
        <v>180</v>
      </c>
      <c r="AA12" s="494" t="s">
        <v>224</v>
      </c>
      <c r="AB12" s="453" t="s">
        <v>219</v>
      </c>
      <c r="AC12" s="706" t="s">
        <v>225</v>
      </c>
      <c r="AD12" s="494" t="s">
        <v>226</v>
      </c>
      <c r="AE12" s="453" t="s">
        <v>227</v>
      </c>
      <c r="AF12" s="706" t="s">
        <v>243</v>
      </c>
      <c r="AG12" s="494" t="s">
        <v>410</v>
      </c>
      <c r="AH12" s="453" t="s">
        <v>244</v>
      </c>
      <c r="AI12" s="706" t="s">
        <v>245</v>
      </c>
      <c r="AJ12" s="494" t="s">
        <v>545</v>
      </c>
      <c r="AK12" s="453" t="s">
        <v>249</v>
      </c>
      <c r="AL12" s="706" t="s">
        <v>458</v>
      </c>
      <c r="AM12" s="494" t="s">
        <v>546</v>
      </c>
      <c r="AN12" s="1193"/>
      <c r="AO12" s="1158"/>
      <c r="AP12" s="1827" t="s">
        <v>431</v>
      </c>
      <c r="AQ12" s="1827"/>
      <c r="AR12" s="1827"/>
      <c r="AS12" s="1827"/>
      <c r="AT12" s="1827" t="s">
        <v>431</v>
      </c>
      <c r="AU12" s="1827"/>
      <c r="AV12" s="1827"/>
      <c r="AW12" s="1827"/>
      <c r="AX12" s="1827" t="s">
        <v>431</v>
      </c>
      <c r="AY12" s="1827"/>
      <c r="AZ12" s="1827"/>
      <c r="BA12" s="1827"/>
      <c r="BB12" s="1827" t="s">
        <v>431</v>
      </c>
      <c r="BC12" s="1827"/>
      <c r="BD12" s="1827"/>
      <c r="BE12" s="1827"/>
      <c r="BF12" s="1827" t="s">
        <v>431</v>
      </c>
      <c r="BG12" s="1827"/>
      <c r="BH12" s="1827"/>
      <c r="BI12" s="1827"/>
      <c r="BJ12" s="1827" t="s">
        <v>431</v>
      </c>
      <c r="BK12" s="1827"/>
      <c r="BL12" s="1827"/>
      <c r="BM12" s="1827"/>
      <c r="BN12" s="1827" t="s">
        <v>431</v>
      </c>
      <c r="BO12" s="1827"/>
      <c r="BP12" s="1827"/>
      <c r="BQ12" s="1827"/>
    </row>
    <row r="13" spans="1:69" s="56" customFormat="1" ht="12.65" customHeight="1" x14ac:dyDescent="0.3">
      <c r="A13" s="85">
        <f t="shared" si="0"/>
        <v>7</v>
      </c>
      <c r="B13" s="718"/>
      <c r="C13" s="718"/>
      <c r="D13" s="123"/>
      <c r="E13" s="123"/>
      <c r="F13" s="1465"/>
      <c r="G13" s="1466"/>
      <c r="H13" s="1465"/>
      <c r="I13" s="1466"/>
      <c r="J13" s="495"/>
      <c r="K13" s="706"/>
      <c r="L13" s="706"/>
      <c r="M13" s="123"/>
      <c r="N13" s="160"/>
      <c r="O13" s="123"/>
      <c r="P13" s="706"/>
      <c r="Q13" s="706"/>
      <c r="R13" s="452"/>
      <c r="S13" s="453"/>
      <c r="T13" s="706"/>
      <c r="U13" s="494"/>
      <c r="V13" s="453"/>
      <c r="W13" s="123"/>
      <c r="X13" s="494"/>
      <c r="Y13" s="453"/>
      <c r="Z13" s="706"/>
      <c r="AA13" s="494"/>
      <c r="AB13" s="453"/>
      <c r="AC13" s="706"/>
      <c r="AD13" s="494"/>
      <c r="AE13" s="453"/>
      <c r="AF13" s="706"/>
      <c r="AG13" s="494"/>
      <c r="AH13" s="453"/>
      <c r="AI13" s="706"/>
      <c r="AJ13" s="494"/>
      <c r="AK13" s="453"/>
      <c r="AL13" s="706"/>
      <c r="AM13" s="494"/>
      <c r="AN13" s="1193"/>
      <c r="AQ13" s="57" t="s">
        <v>254</v>
      </c>
      <c r="AR13" s="57" t="s">
        <v>83</v>
      </c>
      <c r="AU13" s="57" t="s">
        <v>254</v>
      </c>
      <c r="AV13" s="57" t="s">
        <v>83</v>
      </c>
      <c r="AY13" s="57" t="s">
        <v>254</v>
      </c>
      <c r="AZ13" s="57" t="s">
        <v>83</v>
      </c>
      <c r="BC13" s="57" t="s">
        <v>254</v>
      </c>
      <c r="BD13" s="57" t="s">
        <v>83</v>
      </c>
      <c r="BG13" s="57" t="s">
        <v>254</v>
      </c>
      <c r="BH13" s="57" t="s">
        <v>83</v>
      </c>
      <c r="BK13" s="57" t="s">
        <v>254</v>
      </c>
      <c r="BL13" s="57" t="s">
        <v>83</v>
      </c>
      <c r="BO13" s="57" t="s">
        <v>254</v>
      </c>
      <c r="BP13" s="57" t="s">
        <v>83</v>
      </c>
    </row>
    <row r="14" spans="1:69" s="55" customFormat="1" x14ac:dyDescent="0.3">
      <c r="A14" s="85">
        <f t="shared" si="0"/>
        <v>8</v>
      </c>
      <c r="B14" s="717" t="str">
        <f>'WA Volumes &amp; Revenues'!B15</f>
        <v>1R</v>
      </c>
      <c r="C14" s="717" t="s">
        <v>270</v>
      </c>
      <c r="D14" s="359">
        <f>'WA Volumes &amp; Revenues'!E15</f>
        <v>214704.20066131229</v>
      </c>
      <c r="E14" s="457">
        <f>'Rates in Detail'!E13</f>
        <v>0.67652999999999996</v>
      </c>
      <c r="F14" s="1467">
        <f>'Rates in Detail'!L13+SUM('Rates in Detail'!P13:Q13)</f>
        <v>0.10204000000000001</v>
      </c>
      <c r="G14" s="1468">
        <f>E14+F14</f>
        <v>0.77856999999999998</v>
      </c>
      <c r="H14" s="1467">
        <f>'Rates in Detail'!AG13</f>
        <v>6.1650000000000003E-2</v>
      </c>
      <c r="I14" s="1468">
        <f>G14+H14</f>
        <v>0.84021999999999997</v>
      </c>
      <c r="J14" s="48">
        <f>ROUND(E14*D14,0)</f>
        <v>145254</v>
      </c>
      <c r="K14" s="48">
        <f>ROUND(G14*D14,0)</f>
        <v>167162</v>
      </c>
      <c r="L14" s="48">
        <f>ROUND(I14*D14,0)</f>
        <v>180399</v>
      </c>
      <c r="M14" s="613">
        <f>'WA Volumes &amp; Revenues'!N15</f>
        <v>5.5</v>
      </c>
      <c r="N14" s="724">
        <f>'WA Volumes &amp; Revenues'!H15</f>
        <v>911</v>
      </c>
      <c r="O14" s="48">
        <f>ROUND((M14*N14*12)+J14,0)+'Rev Req Proof Yr1'!Z14</f>
        <v>208635.2992440185</v>
      </c>
      <c r="P14" s="461">
        <f>ROUND((M14*N14*12)+K14,0)+'Rev Req Proof Yr1'!Z14</f>
        <v>230543.2992440185</v>
      </c>
      <c r="Q14" s="48">
        <f>ROUND((M14*N14*12)+L14,0)+'Rev Req Proof Yr1'!Z14</f>
        <v>243780.2992440185</v>
      </c>
      <c r="R14" s="456"/>
      <c r="S14" s="901">
        <v>1</v>
      </c>
      <c r="T14" s="459">
        <f>ROUND(+$S$10*(($P14*S14)/S$84),0)</f>
        <v>-3493</v>
      </c>
      <c r="U14" s="464">
        <f>ROUND(G14*AR14,5)</f>
        <v>-1.627E-2</v>
      </c>
      <c r="V14" s="901">
        <v>1</v>
      </c>
      <c r="W14" s="459">
        <f>ROUND(+$V$10*(($P14*V14)/V$84),0)</f>
        <v>-1857</v>
      </c>
      <c r="X14" s="464">
        <f>ROUND(G14*AV14,5)</f>
        <v>-8.6499999999999997E-3</v>
      </c>
      <c r="Y14" s="901">
        <v>1</v>
      </c>
      <c r="Z14" s="459">
        <f>ROUND(+$Y$10*(($P14*Y14)/Y$84),0)</f>
        <v>655</v>
      </c>
      <c r="AA14" s="464">
        <f>ROUND(G14*AZ14,5)</f>
        <v>3.0500000000000002E-3</v>
      </c>
      <c r="AB14" s="901">
        <v>1</v>
      </c>
      <c r="AC14" s="459">
        <f t="shared" ref="AC14:AC20" si="1">ROUND(+$AB$10*(($O14*AB14)/AB$84),0)</f>
        <v>-1954</v>
      </c>
      <c r="AD14" s="464">
        <f t="shared" ref="AD14:AD19" si="2">ROUND(E14*BD14,5)</f>
        <v>-9.1000000000000004E-3</v>
      </c>
      <c r="AE14" s="901">
        <v>1</v>
      </c>
      <c r="AF14" s="459">
        <f>ROUND(+$AE$10*(($Q14*AE14)/AE$84),0)</f>
        <v>-3493</v>
      </c>
      <c r="AG14" s="464">
        <f>ROUND(I14*BH14,5)</f>
        <v>-1.627E-2</v>
      </c>
      <c r="AH14" s="901">
        <v>1</v>
      </c>
      <c r="AI14" s="459">
        <f>ROUND(+$AH$10*(($Q14*AH14)/AH$84),0)</f>
        <v>-1861</v>
      </c>
      <c r="AJ14" s="464">
        <f>ROUND(I14*BL14,5)</f>
        <v>-8.6700000000000006E-3</v>
      </c>
      <c r="AK14" s="901">
        <v>1</v>
      </c>
      <c r="AL14" s="459">
        <f>ROUND(+$AK$10*(($Q14*AK14)/AK$84),0)</f>
        <v>-189</v>
      </c>
      <c r="AM14" s="464">
        <f>ROUND(I14*BP14,5)</f>
        <v>-8.8000000000000003E-4</v>
      </c>
      <c r="AN14" s="1796"/>
      <c r="AO14" s="877"/>
      <c r="AQ14" s="427">
        <f>T14/P14</f>
        <v>-1.5151166880382131E-2</v>
      </c>
      <c r="AR14" s="427">
        <f>T14/K14</f>
        <v>-2.0895897392948157E-2</v>
      </c>
      <c r="AU14" s="427">
        <f>W14/P14</f>
        <v>-8.0548860283050725E-3</v>
      </c>
      <c r="AV14" s="427">
        <f>W14/K14</f>
        <v>-1.1108984099257008E-2</v>
      </c>
      <c r="AY14" s="427">
        <f>Z14/P14</f>
        <v>2.8411148888205827E-3</v>
      </c>
      <c r="AZ14" s="427">
        <f>Z14/K14</f>
        <v>3.9183546499802586E-3</v>
      </c>
      <c r="BC14" s="427">
        <f t="shared" ref="BC14:BC20" si="3">AC14/O14</f>
        <v>-9.3656251223078711E-3</v>
      </c>
      <c r="BD14" s="427">
        <f t="shared" ref="BD14:BD19" si="4">AC14/J14</f>
        <v>-1.3452297354978176E-2</v>
      </c>
      <c r="BG14" s="427">
        <f>AF14/Q14</f>
        <v>-1.4328475314994945E-2</v>
      </c>
      <c r="BH14" s="427">
        <f>AF14/L14</f>
        <v>-1.936263504786612E-2</v>
      </c>
      <c r="BK14" s="427">
        <f>AI14/Q14</f>
        <v>-7.6339228632137397E-3</v>
      </c>
      <c r="BL14" s="427">
        <f>AI14/L14</f>
        <v>-1.0316021707437402E-2</v>
      </c>
      <c r="BO14" s="427">
        <f>AL14/Q14</f>
        <v>-7.7528824349672046E-4</v>
      </c>
      <c r="BP14" s="427">
        <f>AL14/L14</f>
        <v>-1.0476776478805315E-3</v>
      </c>
    </row>
    <row r="15" spans="1:69" s="55" customFormat="1" x14ac:dyDescent="0.3">
      <c r="A15" s="85">
        <f t="shared" si="0"/>
        <v>9</v>
      </c>
      <c r="B15" s="717" t="str">
        <f>'WA Volumes &amp; Revenues'!B16</f>
        <v>1C</v>
      </c>
      <c r="C15" s="717" t="s">
        <v>270</v>
      </c>
      <c r="D15" s="359">
        <f>'WA Volumes &amp; Revenues'!E16</f>
        <v>46539.057144390383</v>
      </c>
      <c r="E15" s="457">
        <f>'Rates in Detail'!E14</f>
        <v>0.73148999999999997</v>
      </c>
      <c r="F15" s="1469">
        <f>'Rates in Detail'!L14+SUM('Rates in Detail'!P14:Q14)</f>
        <v>8.4850000000000009E-2</v>
      </c>
      <c r="G15" s="1468">
        <f t="shared" ref="G15" si="5">E15+F15</f>
        <v>0.81633999999999995</v>
      </c>
      <c r="H15" s="1469">
        <f>'Rates in Detail'!AG14</f>
        <v>5.126E-2</v>
      </c>
      <c r="I15" s="1468">
        <f t="shared" ref="I15:I78" si="6">G15+H15</f>
        <v>0.86759999999999993</v>
      </c>
      <c r="J15" s="48">
        <f t="shared" ref="J15:J78" si="7">ROUND(E15*D15,0)</f>
        <v>34043</v>
      </c>
      <c r="K15" s="48">
        <f t="shared" ref="K15:K78" si="8">ROUND(G15*D15,0)</f>
        <v>37992</v>
      </c>
      <c r="L15" s="48">
        <f t="shared" ref="L15:L78" si="9">ROUND(I15*D15,0)</f>
        <v>40377</v>
      </c>
      <c r="M15" s="613">
        <f>'WA Volumes &amp; Revenues'!N16</f>
        <v>7</v>
      </c>
      <c r="N15" s="724">
        <f>'WA Volumes &amp; Revenues'!H16</f>
        <v>34</v>
      </c>
      <c r="O15" s="48">
        <f>ROUND((M15*N15*12)+J15,0)+'Rev Req Proof Yr1'!Z15</f>
        <v>37604.525911352161</v>
      </c>
      <c r="P15" s="461">
        <f>ROUND((M15*N15*12)+K15,0)+'Rev Req Proof Yr1'!Z15</f>
        <v>41553.525911352161</v>
      </c>
      <c r="Q15" s="48">
        <f>ROUND((M15*N15*12)+L15,0)+'Rev Req Proof Yr1'!Z15</f>
        <v>43938.525911352161</v>
      </c>
      <c r="R15" s="456"/>
      <c r="S15" s="901">
        <v>1</v>
      </c>
      <c r="T15" s="459">
        <f t="shared" ref="T15:T20" si="10">ROUND(+$S$10*(($P15*S15)/S$84),0)</f>
        <v>-630</v>
      </c>
      <c r="U15" s="464">
        <f t="shared" ref="U15:U30" si="11">ROUND(G15*AR15,5)</f>
        <v>-1.354E-2</v>
      </c>
      <c r="V15" s="901">
        <v>1</v>
      </c>
      <c r="W15" s="459">
        <f t="shared" ref="W15:W20" si="12">ROUND(+$V$10*(($P15*V15)/V$84),0)</f>
        <v>-335</v>
      </c>
      <c r="X15" s="464">
        <f t="shared" ref="X15:X30" si="13">ROUND(G15*AV15,5)</f>
        <v>-7.1999999999999998E-3</v>
      </c>
      <c r="Y15" s="901">
        <v>1</v>
      </c>
      <c r="Z15" s="459">
        <f t="shared" ref="Z15:Z32" si="14">ROUND(+$Y$10*(($P15*Y15)/Y$84),0)</f>
        <v>118</v>
      </c>
      <c r="AA15" s="464">
        <f t="shared" ref="AA15:AA20" si="15">ROUND(G15*AZ15,5)</f>
        <v>2.5400000000000002E-3</v>
      </c>
      <c r="AB15" s="901">
        <v>1</v>
      </c>
      <c r="AC15" s="459">
        <f t="shared" si="1"/>
        <v>-352</v>
      </c>
      <c r="AD15" s="464">
        <f t="shared" si="2"/>
        <v>-7.5599999999999999E-3</v>
      </c>
      <c r="AE15" s="901">
        <v>1</v>
      </c>
      <c r="AF15" s="459">
        <f t="shared" ref="AF15:AF32" si="16">ROUND(+$AE$10*(($Q15*AE15)/AE$84),0)</f>
        <v>-630</v>
      </c>
      <c r="AG15" s="464">
        <f t="shared" ref="AG15:AG30" si="17">ROUND(I15*BH15,5)</f>
        <v>-1.354E-2</v>
      </c>
      <c r="AH15" s="901">
        <v>1</v>
      </c>
      <c r="AI15" s="459">
        <f t="shared" ref="AI15:AI32" si="18">ROUND(+$AH$10*(($Q15*AH15)/AH$84),0)</f>
        <v>-335</v>
      </c>
      <c r="AJ15" s="464">
        <f t="shared" ref="AJ15:AJ30" si="19">ROUND(I15*BL15,5)</f>
        <v>-7.1999999999999998E-3</v>
      </c>
      <c r="AK15" s="901">
        <v>1</v>
      </c>
      <c r="AL15" s="459">
        <f t="shared" ref="AL15:AL32" si="20">ROUND(+$AK$10*(($Q15*AK15)/AK$84),0)</f>
        <v>-34</v>
      </c>
      <c r="AM15" s="464">
        <f t="shared" ref="AM15:AM30" si="21">ROUND(I15*BP15,5)</f>
        <v>-7.2999999999999996E-4</v>
      </c>
      <c r="AN15" s="1796"/>
      <c r="AO15" s="877"/>
      <c r="AQ15" s="427">
        <f t="shared" ref="AQ15:AQ22" si="22">T15/P15</f>
        <v>-1.5161168304802937E-2</v>
      </c>
      <c r="AR15" s="427">
        <f t="shared" ref="AR15:AR19" si="23">T15/K15</f>
        <v>-1.6582438408085914E-2</v>
      </c>
      <c r="AU15" s="427">
        <f t="shared" ref="AU15:AU22" si="24">W15/P15</f>
        <v>-8.0618910827126734E-3</v>
      </c>
      <c r="AV15" s="427">
        <f t="shared" ref="AV15:AV19" si="25">W15/K15</f>
        <v>-8.8176458201726683E-3</v>
      </c>
      <c r="AY15" s="427">
        <f t="shared" ref="AY15:AY22" si="26">Z15/P15</f>
        <v>2.8397108888361059E-3</v>
      </c>
      <c r="AZ15" s="427">
        <f t="shared" ref="AZ15:AZ19" si="27">Z15/K15</f>
        <v>3.1059170351652979E-3</v>
      </c>
      <c r="BC15" s="427">
        <f t="shared" si="3"/>
        <v>-9.3605753953605163E-3</v>
      </c>
      <c r="BD15" s="427">
        <f t="shared" si="4"/>
        <v>-1.0339864289281204E-2</v>
      </c>
      <c r="BG15" s="427">
        <f t="shared" ref="BG15:BG22" si="28">AF15/Q15</f>
        <v>-1.433821428764023E-2</v>
      </c>
      <c r="BH15" s="427">
        <f t="shared" ref="BH15:BH19" si="29">AF15/L15</f>
        <v>-1.5602942269113605E-2</v>
      </c>
      <c r="BK15" s="427">
        <f t="shared" ref="BK15:BK22" si="30">AI15/Q15</f>
        <v>-7.6242885497769478E-3</v>
      </c>
      <c r="BL15" s="427">
        <f t="shared" ref="BL15:BL19" si="31">AI15/L15</f>
        <v>-8.2968026351635839E-3</v>
      </c>
      <c r="BO15" s="427">
        <f t="shared" ref="BO15:BO22" si="32">AL15/Q15</f>
        <v>-7.7380839012661554E-4</v>
      </c>
      <c r="BP15" s="427">
        <f t="shared" ref="BP15:BP19" si="33">AL15/L15</f>
        <v>-8.420635510315278E-4</v>
      </c>
    </row>
    <row r="16" spans="1:69" s="55" customFormat="1" x14ac:dyDescent="0.3">
      <c r="A16" s="85">
        <f t="shared" si="0"/>
        <v>10</v>
      </c>
      <c r="B16" s="717" t="str">
        <f>'WA Volumes &amp; Revenues'!B17</f>
        <v>2R</v>
      </c>
      <c r="C16" s="717" t="s">
        <v>270</v>
      </c>
      <c r="D16" s="460">
        <f>'WA Volumes &amp; Revenues'!E17</f>
        <v>54953515.785084128</v>
      </c>
      <c r="E16" s="457">
        <f>'Rates in Detail'!E15</f>
        <v>0.45815999999999979</v>
      </c>
      <c r="F16" s="1469">
        <f>'Rates in Detail'!L15+SUM('Rates in Detail'!P15:Q15)</f>
        <v>6.4579999999999999E-2</v>
      </c>
      <c r="G16" s="1468">
        <f>E16+F16</f>
        <v>0.52273999999999976</v>
      </c>
      <c r="H16" s="1469">
        <f>'Rates in Detail'!AG15</f>
        <v>3.9019999999999999E-2</v>
      </c>
      <c r="I16" s="1468">
        <f t="shared" si="6"/>
        <v>0.56175999999999982</v>
      </c>
      <c r="J16" s="48">
        <f t="shared" si="7"/>
        <v>25177503</v>
      </c>
      <c r="K16" s="48">
        <f t="shared" si="8"/>
        <v>28726401</v>
      </c>
      <c r="L16" s="48">
        <f t="shared" si="9"/>
        <v>30870687</v>
      </c>
      <c r="M16" s="613">
        <f>'WA Volumes &amp; Revenues'!N17</f>
        <v>8</v>
      </c>
      <c r="N16" s="724">
        <f>'WA Volumes &amp; Revenues'!H17</f>
        <v>81119</v>
      </c>
      <c r="O16" s="48">
        <f>ROUND((M16*N16*12)+J16,0)+'Rev Req Proof Yr1'!Z16</f>
        <v>33798099.797603399</v>
      </c>
      <c r="P16" s="461">
        <f>ROUND((M16*N16*12)+K16,0)+'Rev Req Proof Yr1'!Z16</f>
        <v>37346997.797603399</v>
      </c>
      <c r="Q16" s="48">
        <f>ROUND((M16*N16*12)+L16,0)+'Rev Req Proof Yr1'!Z16</f>
        <v>39491283.797603399</v>
      </c>
      <c r="R16" s="456"/>
      <c r="S16" s="901">
        <v>1</v>
      </c>
      <c r="T16" s="459">
        <f t="shared" si="10"/>
        <v>-565846</v>
      </c>
      <c r="U16" s="464">
        <f t="shared" si="11"/>
        <v>-1.03E-2</v>
      </c>
      <c r="V16" s="901">
        <v>1</v>
      </c>
      <c r="W16" s="459">
        <f>ROUND(+$V$10*(($P16*V16)/V$84),0)</f>
        <v>-300820</v>
      </c>
      <c r="X16" s="464">
        <f>ROUND(G16*AV16,5)</f>
        <v>-5.47E-3</v>
      </c>
      <c r="Y16" s="901">
        <v>1</v>
      </c>
      <c r="Z16" s="459">
        <f t="shared" si="14"/>
        <v>106088</v>
      </c>
      <c r="AA16" s="464">
        <f t="shared" si="15"/>
        <v>1.9300000000000001E-3</v>
      </c>
      <c r="AB16" s="901">
        <v>1</v>
      </c>
      <c r="AC16" s="459">
        <f t="shared" si="1"/>
        <v>-316504</v>
      </c>
      <c r="AD16" s="464">
        <f t="shared" si="2"/>
        <v>-5.7600000000000004E-3</v>
      </c>
      <c r="AE16" s="901">
        <v>1</v>
      </c>
      <c r="AF16" s="459">
        <f t="shared" si="16"/>
        <v>-565847</v>
      </c>
      <c r="AG16" s="464">
        <f t="shared" si="17"/>
        <v>-1.03E-2</v>
      </c>
      <c r="AH16" s="901">
        <v>1</v>
      </c>
      <c r="AI16" s="459">
        <f>ROUND(+$AH$10*(($Q16*AH16)/AH$84),0)</f>
        <v>-301455</v>
      </c>
      <c r="AJ16" s="464">
        <f>ROUND(I16*BL16,5)</f>
        <v>-5.4900000000000001E-3</v>
      </c>
      <c r="AK16" s="901">
        <v>1</v>
      </c>
      <c r="AL16" s="459">
        <f t="shared" si="20"/>
        <v>-30667</v>
      </c>
      <c r="AM16" s="464">
        <f t="shared" si="21"/>
        <v>-5.5999999999999995E-4</v>
      </c>
      <c r="AN16" s="1796"/>
      <c r="AO16" s="877"/>
      <c r="AQ16" s="427">
        <f t="shared" si="22"/>
        <v>-1.5151043815262468E-2</v>
      </c>
      <c r="AR16" s="427">
        <f t="shared" si="23"/>
        <v>-1.9697768613617835E-2</v>
      </c>
      <c r="AU16" s="427">
        <f>W16/P16</f>
        <v>-8.0547304399205006E-3</v>
      </c>
      <c r="AV16" s="427">
        <f>W16/K16</f>
        <v>-1.0471900047625179E-2</v>
      </c>
      <c r="AY16" s="427">
        <f t="shared" si="26"/>
        <v>2.8406031610607209E-3</v>
      </c>
      <c r="AZ16" s="427">
        <f t="shared" si="27"/>
        <v>3.693048774192075E-3</v>
      </c>
      <c r="BC16" s="427">
        <f t="shared" si="3"/>
        <v>-9.3645501343375247E-3</v>
      </c>
      <c r="BD16" s="427">
        <f t="shared" si="4"/>
        <v>-1.2570905065526156E-2</v>
      </c>
      <c r="BG16" s="427">
        <f t="shared" si="28"/>
        <v>-1.4328402259597837E-2</v>
      </c>
      <c r="BH16" s="427">
        <f t="shared" si="29"/>
        <v>-1.8329588842645451E-2</v>
      </c>
      <c r="BK16" s="427">
        <f>AI16/Q16</f>
        <v>-7.6334565760127135E-3</v>
      </c>
      <c r="BL16" s="427">
        <f>AI16/L16</f>
        <v>-9.7650888041461471E-3</v>
      </c>
      <c r="BO16" s="427">
        <f t="shared" si="32"/>
        <v>-7.7655110320473003E-4</v>
      </c>
      <c r="BP16" s="427">
        <f t="shared" si="33"/>
        <v>-9.9340192850259543E-4</v>
      </c>
    </row>
    <row r="17" spans="1:68" s="55" customFormat="1" x14ac:dyDescent="0.3">
      <c r="A17" s="85">
        <f t="shared" si="0"/>
        <v>11</v>
      </c>
      <c r="B17" s="717" t="str">
        <f>'WA Volumes &amp; Revenues'!B18</f>
        <v>3 CFS</v>
      </c>
      <c r="C17" s="717" t="s">
        <v>270</v>
      </c>
      <c r="D17" s="460">
        <f>'WA Volumes &amp; Revenues'!E18</f>
        <v>17867210.60654201</v>
      </c>
      <c r="E17" s="457">
        <f>'Rates in Detail'!E16</f>
        <v>0.44368000000000019</v>
      </c>
      <c r="F17" s="1469">
        <f>'Rates in Detail'!L16+SUM('Rates in Detail'!P16:Q16)</f>
        <v>5.7989999999999993E-2</v>
      </c>
      <c r="G17" s="1468">
        <f t="shared" ref="G17:G80" si="34">E17+F17</f>
        <v>0.50167000000000017</v>
      </c>
      <c r="H17" s="1469">
        <f>'Rates in Detail'!AG16</f>
        <v>3.5029999999999999E-2</v>
      </c>
      <c r="I17" s="1468">
        <f t="shared" si="6"/>
        <v>0.53670000000000018</v>
      </c>
      <c r="J17" s="48">
        <f t="shared" si="7"/>
        <v>7927324</v>
      </c>
      <c r="K17" s="48">
        <f t="shared" si="8"/>
        <v>8963444</v>
      </c>
      <c r="L17" s="48">
        <f t="shared" si="9"/>
        <v>9589332</v>
      </c>
      <c r="M17" s="613">
        <f>'WA Volumes &amp; Revenues'!N18</f>
        <v>22</v>
      </c>
      <c r="N17" s="724">
        <f>'WA Volumes &amp; Revenues'!H18</f>
        <v>6318</v>
      </c>
      <c r="O17" s="48">
        <f>ROUND((M17*N17*12)+J17,0)+'Rev Req Proof Yr1'!Z17</f>
        <v>9866168.066922849</v>
      </c>
      <c r="P17" s="461">
        <f>ROUND((M17*N17*12)+K17,0)+'Rev Req Proof Yr1'!Z17</f>
        <v>10902288.066922849</v>
      </c>
      <c r="Q17" s="48">
        <f>ROUND((M17*N17*12)+L17,0)+'Rev Req Proof Yr1'!Z17</f>
        <v>11528176.066922849</v>
      </c>
      <c r="R17" s="456"/>
      <c r="S17" s="901">
        <v>1</v>
      </c>
      <c r="T17" s="459">
        <f t="shared" si="10"/>
        <v>-165181</v>
      </c>
      <c r="U17" s="464">
        <f t="shared" si="11"/>
        <v>-9.2399999999999999E-3</v>
      </c>
      <c r="V17" s="901">
        <v>1</v>
      </c>
      <c r="W17" s="459">
        <f t="shared" si="12"/>
        <v>-87815</v>
      </c>
      <c r="X17" s="464">
        <f t="shared" si="13"/>
        <v>-4.9100000000000003E-3</v>
      </c>
      <c r="Y17" s="901">
        <v>1</v>
      </c>
      <c r="Z17" s="459">
        <f t="shared" si="14"/>
        <v>30969</v>
      </c>
      <c r="AA17" s="464">
        <f t="shared" si="15"/>
        <v>1.73E-3</v>
      </c>
      <c r="AB17" s="901">
        <v>1</v>
      </c>
      <c r="AC17" s="459">
        <f t="shared" si="1"/>
        <v>-92392</v>
      </c>
      <c r="AD17" s="464">
        <f t="shared" si="2"/>
        <v>-5.1700000000000001E-3</v>
      </c>
      <c r="AE17" s="901">
        <v>1</v>
      </c>
      <c r="AF17" s="459">
        <f t="shared" si="16"/>
        <v>-165180</v>
      </c>
      <c r="AG17" s="464">
        <f t="shared" si="17"/>
        <v>-9.2399999999999999E-3</v>
      </c>
      <c r="AH17" s="901">
        <v>1</v>
      </c>
      <c r="AI17" s="459">
        <f t="shared" si="18"/>
        <v>-88000</v>
      </c>
      <c r="AJ17" s="464">
        <f t="shared" si="19"/>
        <v>-4.9300000000000004E-3</v>
      </c>
      <c r="AK17" s="901">
        <v>1</v>
      </c>
      <c r="AL17" s="459">
        <f t="shared" si="20"/>
        <v>-8952</v>
      </c>
      <c r="AM17" s="464">
        <f t="shared" si="21"/>
        <v>-5.0000000000000001E-4</v>
      </c>
      <c r="AN17" s="1796"/>
      <c r="AO17" s="877"/>
      <c r="AQ17" s="427">
        <f t="shared" si="22"/>
        <v>-1.5151039762116838E-2</v>
      </c>
      <c r="AR17" s="427">
        <f t="shared" si="23"/>
        <v>-1.8428296087976897E-2</v>
      </c>
      <c r="AU17" s="427">
        <f t="shared" si="24"/>
        <v>-8.054731214306065E-3</v>
      </c>
      <c r="AV17" s="427">
        <f t="shared" si="25"/>
        <v>-9.7970155221586697E-3</v>
      </c>
      <c r="AY17" s="427">
        <f t="shared" si="26"/>
        <v>2.8405963784757108E-3</v>
      </c>
      <c r="AZ17" s="427">
        <f t="shared" si="27"/>
        <v>3.4550335786110785E-3</v>
      </c>
      <c r="BC17" s="427">
        <f t="shared" si="3"/>
        <v>-9.3645272788076533E-3</v>
      </c>
      <c r="BD17" s="427">
        <f t="shared" si="4"/>
        <v>-1.1654878745967745E-2</v>
      </c>
      <c r="BG17" s="427">
        <f t="shared" si="28"/>
        <v>-1.4328372419115087E-2</v>
      </c>
      <c r="BH17" s="427">
        <f t="shared" si="29"/>
        <v>-1.722539171654501E-2</v>
      </c>
      <c r="BK17" s="427">
        <f t="shared" si="30"/>
        <v>-7.6334712004003371E-3</v>
      </c>
      <c r="BL17" s="427">
        <f t="shared" si="31"/>
        <v>-9.1768644572948355E-3</v>
      </c>
      <c r="BO17" s="427">
        <f t="shared" si="32"/>
        <v>-7.7653220665890703E-4</v>
      </c>
      <c r="BP17" s="427">
        <f t="shared" si="33"/>
        <v>-9.3353739342844739E-4</v>
      </c>
    </row>
    <row r="18" spans="1:68" s="55" customFormat="1" x14ac:dyDescent="0.3">
      <c r="A18" s="85">
        <f t="shared" si="0"/>
        <v>12</v>
      </c>
      <c r="B18" s="717" t="str">
        <f>'WA Volumes &amp; Revenues'!B19</f>
        <v>3 IFS</v>
      </c>
      <c r="C18" s="717" t="s">
        <v>270</v>
      </c>
      <c r="D18" s="460">
        <f>'WA Volumes &amp; Revenues'!E19</f>
        <v>283651.99999999994</v>
      </c>
      <c r="E18" s="457">
        <f>'Rates in Detail'!E17</f>
        <v>0.46249000000000001</v>
      </c>
      <c r="F18" s="1469">
        <f>'Rates in Detail'!L17+SUM('Rates in Detail'!P17:Q17)</f>
        <v>5.2519999999999997E-2</v>
      </c>
      <c r="G18" s="1468">
        <f t="shared" si="34"/>
        <v>0.51500999999999997</v>
      </c>
      <c r="H18" s="1469">
        <f>'Rates in Detail'!AG17</f>
        <v>3.1730000000000001E-2</v>
      </c>
      <c r="I18" s="1468">
        <f t="shared" si="6"/>
        <v>0.54674</v>
      </c>
      <c r="J18" s="48">
        <f t="shared" si="7"/>
        <v>131186</v>
      </c>
      <c r="K18" s="48">
        <f t="shared" si="8"/>
        <v>146084</v>
      </c>
      <c r="L18" s="48">
        <f t="shared" si="9"/>
        <v>155084</v>
      </c>
      <c r="M18" s="613">
        <f>'WA Volumes &amp; Revenues'!N19</f>
        <v>22</v>
      </c>
      <c r="N18" s="724">
        <f>'WA Volumes &amp; Revenues'!H19</f>
        <v>24.25</v>
      </c>
      <c r="O18" s="48">
        <f>ROUND((M18*N18*12)+J18,0)+'Rev Req Proof Yr1'!Z18</f>
        <v>141888.51157190159</v>
      </c>
      <c r="P18" s="461">
        <f>ROUND((M18*N18*12)+K18,0)+'Rev Req Proof Yr1'!Z18</f>
        <v>156786.51157190159</v>
      </c>
      <c r="Q18" s="48">
        <f>ROUND((M18*N18*12)+L18,0)+'Rev Req Proof Yr1'!Z18</f>
        <v>165786.51157190159</v>
      </c>
      <c r="R18" s="456"/>
      <c r="S18" s="901">
        <v>0</v>
      </c>
      <c r="T18" s="459">
        <f t="shared" si="10"/>
        <v>0</v>
      </c>
      <c r="U18" s="464">
        <f t="shared" si="11"/>
        <v>0</v>
      </c>
      <c r="V18" s="901">
        <v>1</v>
      </c>
      <c r="W18" s="459">
        <f t="shared" si="12"/>
        <v>-1263</v>
      </c>
      <c r="X18" s="464">
        <f t="shared" si="13"/>
        <v>-4.45E-3</v>
      </c>
      <c r="Y18" s="901">
        <v>1</v>
      </c>
      <c r="Z18" s="459">
        <f t="shared" si="14"/>
        <v>445</v>
      </c>
      <c r="AA18" s="464">
        <f t="shared" si="15"/>
        <v>1.57E-3</v>
      </c>
      <c r="AB18" s="901">
        <v>1</v>
      </c>
      <c r="AC18" s="459">
        <f t="shared" si="1"/>
        <v>-1329</v>
      </c>
      <c r="AD18" s="464">
        <f t="shared" si="2"/>
        <v>-4.6899999999999997E-3</v>
      </c>
      <c r="AE18" s="901">
        <v>0</v>
      </c>
      <c r="AF18" s="459">
        <f t="shared" si="16"/>
        <v>0</v>
      </c>
      <c r="AG18" s="464">
        <f t="shared" si="17"/>
        <v>0</v>
      </c>
      <c r="AH18" s="901">
        <v>1</v>
      </c>
      <c r="AI18" s="459">
        <f t="shared" si="18"/>
        <v>-1266</v>
      </c>
      <c r="AJ18" s="464">
        <f t="shared" si="19"/>
        <v>-4.4600000000000004E-3</v>
      </c>
      <c r="AK18" s="901">
        <v>1</v>
      </c>
      <c r="AL18" s="459">
        <f t="shared" si="20"/>
        <v>-129</v>
      </c>
      <c r="AM18" s="464">
        <f t="shared" si="21"/>
        <v>-4.4999999999999999E-4</v>
      </c>
      <c r="AN18" s="1796"/>
      <c r="AO18" s="877"/>
      <c r="AQ18" s="427">
        <f t="shared" si="22"/>
        <v>0</v>
      </c>
      <c r="AR18" s="427">
        <f t="shared" si="23"/>
        <v>0</v>
      </c>
      <c r="AU18" s="427">
        <f t="shared" si="24"/>
        <v>-8.0555399015992124E-3</v>
      </c>
      <c r="AV18" s="427">
        <f t="shared" si="25"/>
        <v>-8.6457106870019996E-3</v>
      </c>
      <c r="AY18" s="427">
        <f t="shared" si="26"/>
        <v>2.8382543596291764E-3</v>
      </c>
      <c r="AZ18" s="427">
        <f t="shared" si="27"/>
        <v>3.0461926015169353E-3</v>
      </c>
      <c r="BC18" s="427">
        <f t="shared" si="3"/>
        <v>-9.3665088545701828E-3</v>
      </c>
      <c r="BD18" s="427">
        <f t="shared" si="4"/>
        <v>-1.0130654185660054E-2</v>
      </c>
      <c r="BG18" s="427">
        <f t="shared" si="28"/>
        <v>0</v>
      </c>
      <c r="BH18" s="427">
        <f t="shared" si="29"/>
        <v>0</v>
      </c>
      <c r="BK18" s="427">
        <f t="shared" si="30"/>
        <v>-7.6363269122225056E-3</v>
      </c>
      <c r="BL18" s="427">
        <f t="shared" si="31"/>
        <v>-8.1633179438239927E-3</v>
      </c>
      <c r="BO18" s="427">
        <f t="shared" si="32"/>
        <v>-7.7810914034494728E-4</v>
      </c>
      <c r="BP18" s="427">
        <f t="shared" si="33"/>
        <v>-8.3180727863609396E-4</v>
      </c>
    </row>
    <row r="19" spans="1:68" s="55" customFormat="1" x14ac:dyDescent="0.3">
      <c r="A19" s="85">
        <f t="shared" si="0"/>
        <v>13</v>
      </c>
      <c r="B19" s="708" t="str">
        <f>'WA Volumes &amp; Revenues'!B20</f>
        <v>27R</v>
      </c>
      <c r="C19" s="708" t="s">
        <v>270</v>
      </c>
      <c r="D19" s="460">
        <f>'WA Volumes &amp; Revenues'!E20</f>
        <v>461371.76933137607</v>
      </c>
      <c r="E19" s="457">
        <f>'Rates in Detail'!E18</f>
        <v>0.24087999999999973</v>
      </c>
      <c r="F19" s="1467">
        <f>'Rates in Detail'!L18+SUM('Rates in Detail'!P18:Q18)</f>
        <v>4.5960000000000001E-2</v>
      </c>
      <c r="G19" s="1470">
        <f t="shared" si="34"/>
        <v>0.28683999999999976</v>
      </c>
      <c r="H19" s="1467">
        <f>'Rates in Detail'!AG18</f>
        <v>2.777E-2</v>
      </c>
      <c r="I19" s="1470">
        <f t="shared" si="6"/>
        <v>0.31460999999999978</v>
      </c>
      <c r="J19" s="461">
        <f t="shared" si="7"/>
        <v>111135</v>
      </c>
      <c r="K19" s="461">
        <f t="shared" si="8"/>
        <v>132340</v>
      </c>
      <c r="L19" s="461">
        <f t="shared" si="9"/>
        <v>145152</v>
      </c>
      <c r="M19" s="613">
        <f>'WA Volumes &amp; Revenues'!N20</f>
        <v>9</v>
      </c>
      <c r="N19" s="724">
        <f>'WA Volumes &amp; Revenues'!H20</f>
        <v>776</v>
      </c>
      <c r="O19" s="461">
        <f>ROUND((M19*N19*12)+J19,0)+'Rev Req Proof Yr1'!Z19</f>
        <v>201937.97258147644</v>
      </c>
      <c r="P19" s="461">
        <f>ROUND((M19*N19*12)+K19,0)+'Rev Req Proof Yr1'!Z19</f>
        <v>223142.97258147644</v>
      </c>
      <c r="Q19" s="461">
        <f>ROUND((M19*N19*12)+L19,0)+'Rev Req Proof Yr1'!Z19</f>
        <v>235954.97258147644</v>
      </c>
      <c r="R19" s="456"/>
      <c r="S19" s="901">
        <v>1</v>
      </c>
      <c r="T19" s="459">
        <f t="shared" si="10"/>
        <v>-3381</v>
      </c>
      <c r="U19" s="464">
        <f t="shared" si="11"/>
        <v>-7.3299999999999997E-3</v>
      </c>
      <c r="V19" s="901">
        <v>1</v>
      </c>
      <c r="W19" s="459">
        <f t="shared" si="12"/>
        <v>-1797</v>
      </c>
      <c r="X19" s="464">
        <f t="shared" si="13"/>
        <v>-3.8899999999999998E-3</v>
      </c>
      <c r="Y19" s="901">
        <v>1</v>
      </c>
      <c r="Z19" s="459">
        <f t="shared" si="14"/>
        <v>634</v>
      </c>
      <c r="AA19" s="464">
        <f t="shared" si="15"/>
        <v>1.3699999999999999E-3</v>
      </c>
      <c r="AB19" s="901">
        <v>1</v>
      </c>
      <c r="AC19" s="459">
        <f t="shared" si="1"/>
        <v>-1891</v>
      </c>
      <c r="AD19" s="464">
        <f t="shared" si="2"/>
        <v>-4.1000000000000003E-3</v>
      </c>
      <c r="AE19" s="901">
        <v>1</v>
      </c>
      <c r="AF19" s="459">
        <f t="shared" si="16"/>
        <v>-3381</v>
      </c>
      <c r="AG19" s="464">
        <f t="shared" si="17"/>
        <v>-7.3299999999999997E-3</v>
      </c>
      <c r="AH19" s="901">
        <v>1</v>
      </c>
      <c r="AI19" s="459">
        <f t="shared" si="18"/>
        <v>-1801</v>
      </c>
      <c r="AJ19" s="464">
        <f t="shared" si="19"/>
        <v>-3.8999999999999998E-3</v>
      </c>
      <c r="AK19" s="901">
        <v>1</v>
      </c>
      <c r="AL19" s="459">
        <f t="shared" si="20"/>
        <v>-183</v>
      </c>
      <c r="AM19" s="464">
        <f t="shared" si="21"/>
        <v>-4.0000000000000002E-4</v>
      </c>
      <c r="AN19" s="1796"/>
      <c r="AO19" s="877"/>
      <c r="AQ19" s="427">
        <f t="shared" si="22"/>
        <v>-1.5151720714688838E-2</v>
      </c>
      <c r="AR19" s="427">
        <f t="shared" si="23"/>
        <v>-2.5547831343509145E-2</v>
      </c>
      <c r="AU19" s="427">
        <f t="shared" si="24"/>
        <v>-8.053132837709507E-3</v>
      </c>
      <c r="AV19" s="427">
        <f t="shared" si="25"/>
        <v>-1.357866102463352E-2</v>
      </c>
      <c r="AY19" s="427">
        <f t="shared" si="26"/>
        <v>2.8412277234879397E-3</v>
      </c>
      <c r="AZ19" s="427">
        <f t="shared" si="27"/>
        <v>4.7906906453075411E-3</v>
      </c>
      <c r="BC19" s="427">
        <f t="shared" si="3"/>
        <v>-9.3642615889739777E-3</v>
      </c>
      <c r="BD19" s="427">
        <f t="shared" si="4"/>
        <v>-1.7015341701534171E-2</v>
      </c>
      <c r="BG19" s="427">
        <f t="shared" si="28"/>
        <v>-1.4329005076731424E-2</v>
      </c>
      <c r="BH19" s="427">
        <f t="shared" si="29"/>
        <v>-2.3292824074074073E-2</v>
      </c>
      <c r="BK19" s="427">
        <f t="shared" si="30"/>
        <v>-7.632812228096213E-3</v>
      </c>
      <c r="BL19" s="427">
        <f t="shared" si="31"/>
        <v>-1.2407682980599648E-2</v>
      </c>
      <c r="BO19" s="427">
        <f t="shared" si="32"/>
        <v>-7.7557170335458461E-4</v>
      </c>
      <c r="BP19" s="427">
        <f t="shared" si="33"/>
        <v>-1.2607473544973544E-3</v>
      </c>
    </row>
    <row r="20" spans="1:68" s="55" customFormat="1" x14ac:dyDescent="0.3">
      <c r="A20" s="85">
        <f t="shared" si="0"/>
        <v>14</v>
      </c>
      <c r="B20" s="709" t="str">
        <f>'WA Volumes &amp; Revenues'!B21</f>
        <v>41C Firm Sales</v>
      </c>
      <c r="C20" s="710" t="s">
        <v>4</v>
      </c>
      <c r="D20" s="466">
        <f>'WA Volumes &amp; Revenues'!E21</f>
        <v>1777065.1510316674</v>
      </c>
      <c r="E20" s="467">
        <f>'Rates in Detail'!E19</f>
        <v>0.34474000000000016</v>
      </c>
      <c r="F20" s="1471">
        <f>'Rates in Detail'!L19+SUM('Rates in Detail'!P19:Q19)</f>
        <v>4.6050000000000001E-2</v>
      </c>
      <c r="G20" s="1472">
        <f t="shared" si="34"/>
        <v>0.39079000000000014</v>
      </c>
      <c r="H20" s="1471">
        <f>'Rates in Detail'!AG19</f>
        <v>2.7820000000000001E-2</v>
      </c>
      <c r="I20" s="1472">
        <f t="shared" si="6"/>
        <v>0.41861000000000015</v>
      </c>
      <c r="J20" s="276">
        <f>ROUND(E20*D20,0)</f>
        <v>612625</v>
      </c>
      <c r="K20" s="276">
        <f t="shared" si="8"/>
        <v>694459</v>
      </c>
      <c r="L20" s="276">
        <f t="shared" si="9"/>
        <v>743897</v>
      </c>
      <c r="M20" s="153">
        <f>'WA Volumes &amp; Revenues'!N21</f>
        <v>250</v>
      </c>
      <c r="N20" s="366">
        <f>'WA Volumes &amp; Revenues'!H21</f>
        <v>91</v>
      </c>
      <c r="O20" s="468">
        <f>ROUND((M20*N20*12)+J20+J21,0)+'Rev Req Proof Yr1'!Z22</f>
        <v>1542347.3405315941</v>
      </c>
      <c r="P20" s="468">
        <f>ROUND((M20*N20*12)+K20+K21,0)+'Rev Req Proof Yr1'!Z22</f>
        <v>1704313.3405315941</v>
      </c>
      <c r="Q20" s="468">
        <f>ROUND((M20*N20*12)+L20+L21,0)+'Rev Req Proof Yr1'!Z22</f>
        <v>1802150.3405315941</v>
      </c>
      <c r="R20" s="469"/>
      <c r="S20" s="902">
        <v>1</v>
      </c>
      <c r="T20" s="471">
        <f t="shared" si="10"/>
        <v>-25822</v>
      </c>
      <c r="U20" s="472">
        <f t="shared" si="11"/>
        <v>-7.3400000000000002E-3</v>
      </c>
      <c r="V20" s="902">
        <v>1</v>
      </c>
      <c r="W20" s="471">
        <f t="shared" si="12"/>
        <v>-13728</v>
      </c>
      <c r="X20" s="472">
        <f t="shared" si="13"/>
        <v>-3.8999999999999998E-3</v>
      </c>
      <c r="Y20" s="902">
        <v>1</v>
      </c>
      <c r="Z20" s="471">
        <f t="shared" si="14"/>
        <v>4841</v>
      </c>
      <c r="AA20" s="472">
        <f t="shared" si="15"/>
        <v>1.3799999999999999E-3</v>
      </c>
      <c r="AB20" s="902">
        <v>1</v>
      </c>
      <c r="AC20" s="471">
        <f t="shared" si="1"/>
        <v>-14443</v>
      </c>
      <c r="AD20" s="472">
        <f>ROUND(E20*$BD$20,5)</f>
        <v>-4.1099999999999999E-3</v>
      </c>
      <c r="AE20" s="902">
        <v>1</v>
      </c>
      <c r="AF20" s="471">
        <f t="shared" si="16"/>
        <v>-25822</v>
      </c>
      <c r="AG20" s="472">
        <f t="shared" si="17"/>
        <v>-7.3400000000000002E-3</v>
      </c>
      <c r="AH20" s="902">
        <v>1</v>
      </c>
      <c r="AI20" s="471">
        <f t="shared" si="18"/>
        <v>-13757</v>
      </c>
      <c r="AJ20" s="472">
        <f>ROUND(I20*BL20,5)</f>
        <v>-3.9100000000000003E-3</v>
      </c>
      <c r="AK20" s="902">
        <v>1</v>
      </c>
      <c r="AL20" s="471">
        <f t="shared" si="20"/>
        <v>-1399</v>
      </c>
      <c r="AM20" s="472">
        <f t="shared" si="21"/>
        <v>-4.0000000000000002E-4</v>
      </c>
      <c r="AN20" s="1796"/>
      <c r="AO20" s="877"/>
      <c r="AQ20" s="427">
        <f t="shared" si="22"/>
        <v>-1.5150969828086796E-2</v>
      </c>
      <c r="AR20" s="427">
        <f>T20/SUM($K$20:$K$21)</f>
        <v>-1.8787397266652697E-2</v>
      </c>
      <c r="AU20" s="427">
        <f t="shared" si="24"/>
        <v>-8.0548568584918115E-3</v>
      </c>
      <c r="AV20" s="427">
        <f>W20/SUM($K$20:$K$21)</f>
        <v>-9.9881260040511274E-3</v>
      </c>
      <c r="AW20" s="427"/>
      <c r="AY20" s="427">
        <f t="shared" si="26"/>
        <v>2.8404401261625041E-3</v>
      </c>
      <c r="AZ20" s="427">
        <f>Z20/SUM($K$20:$K$21)</f>
        <v>3.5221822541966425E-3</v>
      </c>
      <c r="BC20" s="427">
        <f t="shared" si="3"/>
        <v>-9.3642979246309037E-3</v>
      </c>
      <c r="BD20" s="427">
        <f>AC20/SUM($J$20:$J$21)</f>
        <v>-1.1912086606964649E-2</v>
      </c>
      <c r="BG20" s="427">
        <f t="shared" si="28"/>
        <v>-1.4328438321290712E-2</v>
      </c>
      <c r="BH20" s="427">
        <f>AF20/SUM(L20:L21)</f>
        <v>-1.7538914423926605E-2</v>
      </c>
      <c r="BK20" s="427">
        <f t="shared" si="30"/>
        <v>-7.6336583527997961E-3</v>
      </c>
      <c r="BL20" s="427">
        <f>AI20/SUM($L$20:$L$21)</f>
        <v>-9.3440804635565918E-3</v>
      </c>
      <c r="BM20" s="427"/>
      <c r="BO20" s="427">
        <f t="shared" si="32"/>
        <v>-7.7629483430740091E-4</v>
      </c>
      <c r="BP20" s="427">
        <f>AL20/SUM($L$20:$L$21)</f>
        <v>-9.5023395860403229E-4</v>
      </c>
    </row>
    <row r="21" spans="1:68" s="55" customFormat="1" ht="17.25" customHeight="1" x14ac:dyDescent="0.3">
      <c r="A21" s="85">
        <f t="shared" si="0"/>
        <v>15</v>
      </c>
      <c r="B21" s="707"/>
      <c r="C21" s="711" t="s">
        <v>5</v>
      </c>
      <c r="D21" s="460">
        <f>'WA Volumes &amp; Revenues'!E22</f>
        <v>1974656.4658023661</v>
      </c>
      <c r="E21" s="457">
        <f>'Rates in Detail'!E20</f>
        <v>0.30376999999999998</v>
      </c>
      <c r="F21" s="1469">
        <f>'Rates in Detail'!L20+SUM('Rates in Detail'!P20:Q20)</f>
        <v>4.0580000000000005E-2</v>
      </c>
      <c r="G21" s="1468">
        <f t="shared" si="34"/>
        <v>0.34434999999999999</v>
      </c>
      <c r="H21" s="1469">
        <f>'Rates in Detail'!AG20</f>
        <v>2.4510000000000001E-2</v>
      </c>
      <c r="I21" s="1468">
        <f t="shared" si="6"/>
        <v>0.36885999999999997</v>
      </c>
      <c r="J21" s="461">
        <f t="shared" si="7"/>
        <v>599841</v>
      </c>
      <c r="K21" s="461">
        <f t="shared" si="8"/>
        <v>679973</v>
      </c>
      <c r="L21" s="461">
        <f t="shared" si="9"/>
        <v>728372</v>
      </c>
      <c r="M21" s="462"/>
      <c r="N21" s="724"/>
      <c r="O21" s="461"/>
      <c r="P21" s="461"/>
      <c r="Q21" s="461"/>
      <c r="R21" s="456"/>
      <c r="S21" s="901">
        <v>1</v>
      </c>
      <c r="T21" s="459"/>
      <c r="U21" s="464">
        <f>ROUND(G21*AR20,5)</f>
        <v>-6.4700000000000001E-3</v>
      </c>
      <c r="V21" s="901">
        <v>1</v>
      </c>
      <c r="W21" s="459"/>
      <c r="X21" s="464">
        <f>ROUND(G21*AV20,5)</f>
        <v>-3.4399999999999999E-3</v>
      </c>
      <c r="Y21" s="901">
        <v>1</v>
      </c>
      <c r="Z21" s="459"/>
      <c r="AA21" s="464">
        <f>ROUND(G21*AZ20,5)</f>
        <v>1.2099999999999999E-3</v>
      </c>
      <c r="AB21" s="901">
        <v>1</v>
      </c>
      <c r="AC21" s="459"/>
      <c r="AD21" s="464">
        <f>ROUND(E21*$BD$20,5)</f>
        <v>-3.62E-3</v>
      </c>
      <c r="AE21" s="901">
        <v>1</v>
      </c>
      <c r="AF21" s="459"/>
      <c r="AG21" s="464">
        <f>ROUND(I21*BH20,5)</f>
        <v>-6.4700000000000001E-3</v>
      </c>
      <c r="AH21" s="901">
        <v>1</v>
      </c>
      <c r="AI21" s="459"/>
      <c r="AJ21" s="464">
        <f>ROUND(I21*BL20,5)</f>
        <v>-3.4499999999999999E-3</v>
      </c>
      <c r="AK21" s="901">
        <v>1</v>
      </c>
      <c r="AL21" s="459"/>
      <c r="AM21" s="464">
        <f>ROUND(I21*BP20,5)</f>
        <v>-3.5E-4</v>
      </c>
      <c r="AN21" s="1796"/>
      <c r="AO21" s="877"/>
      <c r="AU21" s="427"/>
      <c r="AV21" s="427"/>
      <c r="AW21" s="427"/>
      <c r="BK21" s="427"/>
      <c r="BL21" s="427"/>
      <c r="BM21" s="427"/>
    </row>
    <row r="22" spans="1:68" s="55" customFormat="1" x14ac:dyDescent="0.3">
      <c r="A22" s="85">
        <f t="shared" si="0"/>
        <v>16</v>
      </c>
      <c r="B22" s="709" t="str">
        <f>'WA Volumes &amp; Revenues'!B23</f>
        <v>41I Firm Sales</v>
      </c>
      <c r="C22" s="710" t="s">
        <v>4</v>
      </c>
      <c r="D22" s="466">
        <f>'WA Volumes &amp; Revenues'!E23</f>
        <v>392890.20000000007</v>
      </c>
      <c r="E22" s="467">
        <f>'Rates in Detail'!E21</f>
        <v>0.34416000000000024</v>
      </c>
      <c r="F22" s="1471">
        <f>'Rates in Detail'!L21+SUM('Rates in Detail'!P21:Q21)</f>
        <v>1.9130000000000001E-2</v>
      </c>
      <c r="G22" s="1472">
        <f t="shared" si="34"/>
        <v>0.36329000000000022</v>
      </c>
      <c r="H22" s="1471">
        <f>'Rates in Detail'!AG21</f>
        <v>8.7299999999999999E-3</v>
      </c>
      <c r="I22" s="1472">
        <f t="shared" si="6"/>
        <v>0.37202000000000024</v>
      </c>
      <c r="J22" s="276">
        <f t="shared" si="7"/>
        <v>135217</v>
      </c>
      <c r="K22" s="276">
        <f t="shared" si="8"/>
        <v>142733</v>
      </c>
      <c r="L22" s="276">
        <f t="shared" si="9"/>
        <v>146163</v>
      </c>
      <c r="M22" s="153">
        <f>'WA Volumes &amp; Revenues'!N23</f>
        <v>250</v>
      </c>
      <c r="N22" s="366">
        <f>'WA Volumes &amp; Revenues'!H23</f>
        <v>17.833333333333332</v>
      </c>
      <c r="O22" s="468">
        <f>ROUND((M22*N22*12)+J22+J23,0)+'Rev Req Proof Yr1'!Z25</f>
        <v>392613.82673589932</v>
      </c>
      <c r="P22" s="468">
        <f>ROUND((M22*N22*12)+K22+K23,0)+'Rev Req Proof Yr1'!Z25</f>
        <v>410610.82673589932</v>
      </c>
      <c r="Q22" s="468">
        <f>ROUND((M22*N22*12)+L22+L23,0)+'Rev Req Proof Yr1'!Z25</f>
        <v>418821.82673589932</v>
      </c>
      <c r="R22" s="469"/>
      <c r="S22" s="902">
        <v>0</v>
      </c>
      <c r="T22" s="471">
        <f>ROUND(+$S$10*(($P22*S22)/S$84),0)</f>
        <v>0</v>
      </c>
      <c r="U22" s="472">
        <f t="shared" si="11"/>
        <v>0</v>
      </c>
      <c r="V22" s="902">
        <v>1</v>
      </c>
      <c r="W22" s="471">
        <f>ROUND(+$V$10*(($P22*V22)/V$84),0)</f>
        <v>-3307</v>
      </c>
      <c r="X22" s="472">
        <f t="shared" si="13"/>
        <v>-3.5200000000000001E-3</v>
      </c>
      <c r="Y22" s="902">
        <v>1</v>
      </c>
      <c r="Z22" s="471">
        <f t="shared" si="14"/>
        <v>1166</v>
      </c>
      <c r="AA22" s="472">
        <f>ROUND(G22*AZ22,5)</f>
        <v>1.24E-3</v>
      </c>
      <c r="AB22" s="902">
        <v>1</v>
      </c>
      <c r="AC22" s="471">
        <f>ROUND(+$AB$10*(($O22*AB22)/AB$84),0)</f>
        <v>-3677</v>
      </c>
      <c r="AD22" s="472">
        <f>ROUND(E22*$BD$22,5)</f>
        <v>-3.9100000000000003E-3</v>
      </c>
      <c r="AE22" s="902">
        <v>0</v>
      </c>
      <c r="AF22" s="471">
        <f t="shared" si="16"/>
        <v>0</v>
      </c>
      <c r="AG22" s="472">
        <f>ROUND(I22*BH22,5)</f>
        <v>0</v>
      </c>
      <c r="AH22" s="902">
        <v>1</v>
      </c>
      <c r="AI22" s="471">
        <f t="shared" si="18"/>
        <v>-3197</v>
      </c>
      <c r="AJ22" s="472">
        <f t="shared" si="19"/>
        <v>-3.3999999999999998E-3</v>
      </c>
      <c r="AK22" s="902">
        <v>1</v>
      </c>
      <c r="AL22" s="471">
        <f t="shared" si="20"/>
        <v>-325</v>
      </c>
      <c r="AM22" s="472">
        <f t="shared" si="21"/>
        <v>-3.5E-4</v>
      </c>
      <c r="AN22" s="1796"/>
      <c r="AO22" s="877"/>
      <c r="AQ22" s="427">
        <f t="shared" si="22"/>
        <v>0</v>
      </c>
      <c r="AR22" s="427">
        <f>T22/SUM($K$22:$K$23)</f>
        <v>0</v>
      </c>
      <c r="AU22" s="427">
        <f t="shared" si="24"/>
        <v>-8.0538548539710788E-3</v>
      </c>
      <c r="AV22" s="427">
        <f>W22/SUM($K$22:$K$23)</f>
        <v>-9.6772588805749578E-3</v>
      </c>
      <c r="AW22" s="1088"/>
      <c r="AY22" s="427">
        <f t="shared" si="26"/>
        <v>2.8396718354188923E-3</v>
      </c>
      <c r="AZ22" s="427">
        <f>Z22/SUM($K$22:$K$23)</f>
        <v>3.4120604338525556E-3</v>
      </c>
      <c r="BC22" s="427">
        <f>AC22/O22</f>
        <v>-9.3654368481358094E-3</v>
      </c>
      <c r="BD22" s="427">
        <f>AC22/SUM($J$22:$J$23)</f>
        <v>-1.1358160453708624E-2</v>
      </c>
      <c r="BG22" s="427">
        <f t="shared" si="28"/>
        <v>0</v>
      </c>
      <c r="BH22" s="427">
        <f>AF22/SUM($L$22:$L$23)</f>
        <v>0</v>
      </c>
      <c r="BK22" s="427">
        <f t="shared" si="30"/>
        <v>-7.6333175491733966E-3</v>
      </c>
      <c r="BL22" s="427">
        <f>AI22/SUM($L$22:$L$23)</f>
        <v>-9.135851860318912E-3</v>
      </c>
      <c r="BM22" s="1088"/>
      <c r="BO22" s="427">
        <f t="shared" si="32"/>
        <v>-7.7598630074487138E-4</v>
      </c>
      <c r="BP22" s="427">
        <f>AL22/SUM($L$22:$L$23)</f>
        <v>-9.2873063953820658E-4</v>
      </c>
    </row>
    <row r="23" spans="1:68" s="55" customFormat="1" x14ac:dyDescent="0.3">
      <c r="A23" s="85">
        <f t="shared" si="0"/>
        <v>17</v>
      </c>
      <c r="B23" s="707"/>
      <c r="C23" s="711" t="s">
        <v>5</v>
      </c>
      <c r="D23" s="460">
        <f>'WA Volumes &amp; Revenues'!E24</f>
        <v>621650.00000000012</v>
      </c>
      <c r="E23" s="457">
        <f>'Rates in Detail'!E22</f>
        <v>0.30325000000000002</v>
      </c>
      <c r="F23" s="1469">
        <f>'Rates in Detail'!L22+SUM('Rates in Detail'!P22:Q22)</f>
        <v>1.686E-2</v>
      </c>
      <c r="G23" s="1468">
        <f t="shared" si="34"/>
        <v>0.32011000000000001</v>
      </c>
      <c r="H23" s="1469">
        <f>'Rates in Detail'!AG22</f>
        <v>7.6899999999999998E-3</v>
      </c>
      <c r="I23" s="1468">
        <f t="shared" si="6"/>
        <v>0.32779999999999998</v>
      </c>
      <c r="J23" s="461">
        <f t="shared" si="7"/>
        <v>188515</v>
      </c>
      <c r="K23" s="461">
        <f t="shared" si="8"/>
        <v>198996</v>
      </c>
      <c r="L23" s="461">
        <f t="shared" si="9"/>
        <v>203777</v>
      </c>
      <c r="M23" s="462"/>
      <c r="N23" s="724"/>
      <c r="O23" s="461"/>
      <c r="P23" s="461"/>
      <c r="Q23" s="461"/>
      <c r="R23" s="456"/>
      <c r="S23" s="901">
        <v>0</v>
      </c>
      <c r="T23" s="459"/>
      <c r="U23" s="464">
        <f>ROUND(G23*AR22,5)</f>
        <v>0</v>
      </c>
      <c r="V23" s="901">
        <v>1</v>
      </c>
      <c r="W23" s="459"/>
      <c r="X23" s="464">
        <f>ROUND(G23*AV22,5)</f>
        <v>-3.0999999999999999E-3</v>
      </c>
      <c r="Y23" s="901">
        <v>1</v>
      </c>
      <c r="Z23" s="459"/>
      <c r="AA23" s="464">
        <f>ROUND(G23*AZ22,5)</f>
        <v>1.09E-3</v>
      </c>
      <c r="AB23" s="901">
        <v>1</v>
      </c>
      <c r="AC23" s="459"/>
      <c r="AD23" s="464">
        <f>ROUND(E23*$BD$22,5)</f>
        <v>-3.4399999999999999E-3</v>
      </c>
      <c r="AE23" s="901">
        <v>0</v>
      </c>
      <c r="AF23" s="459"/>
      <c r="AG23" s="464">
        <f>ROUND(I23*BH22,5)</f>
        <v>0</v>
      </c>
      <c r="AH23" s="901">
        <v>1</v>
      </c>
      <c r="AI23" s="459"/>
      <c r="AJ23" s="464">
        <f>ROUND(I23*BL22,5)</f>
        <v>-2.99E-3</v>
      </c>
      <c r="AK23" s="901">
        <v>1</v>
      </c>
      <c r="AL23" s="459"/>
      <c r="AM23" s="464">
        <f>ROUND(I23*BP22,5)</f>
        <v>-2.9999999999999997E-4</v>
      </c>
      <c r="AN23" s="1796"/>
      <c r="AO23" s="877"/>
    </row>
    <row r="24" spans="1:68" s="55" customFormat="1" x14ac:dyDescent="0.3">
      <c r="A24" s="85">
        <f t="shared" si="0"/>
        <v>18</v>
      </c>
      <c r="B24" s="709" t="str">
        <f>'WA Volumes &amp; Revenues'!B25</f>
        <v>41C Interr Sales</v>
      </c>
      <c r="C24" s="710" t="s">
        <v>4</v>
      </c>
      <c r="D24" s="473">
        <f>'WA Volumes &amp; Revenues'!E25</f>
        <v>0</v>
      </c>
      <c r="E24" s="467">
        <f>'Rates in Detail'!E23</f>
        <v>0.34372999999999987</v>
      </c>
      <c r="F24" s="1471">
        <f>'Rates in Detail'!L23+SUM('Rates in Detail'!P23:Q23)</f>
        <v>3.2869999999999996E-2</v>
      </c>
      <c r="G24" s="1472">
        <f t="shared" si="34"/>
        <v>0.37659999999999988</v>
      </c>
      <c r="H24" s="1471">
        <f>'Rates in Detail'!AG23</f>
        <v>2.162E-2</v>
      </c>
      <c r="I24" s="1472">
        <f t="shared" si="6"/>
        <v>0.39821999999999991</v>
      </c>
      <c r="J24" s="468">
        <f t="shared" si="7"/>
        <v>0</v>
      </c>
      <c r="K24" s="468">
        <f t="shared" si="8"/>
        <v>0</v>
      </c>
      <c r="L24" s="468">
        <f t="shared" si="9"/>
        <v>0</v>
      </c>
      <c r="M24" s="153">
        <f>'WA Volumes &amp; Revenues'!N25</f>
        <v>250</v>
      </c>
      <c r="N24" s="366">
        <f>'WA Volumes &amp; Revenues'!H25</f>
        <v>0</v>
      </c>
      <c r="O24" s="468">
        <f>ROUND((M24*N24*12)+J24+J25,0)+'Rev Req Proof Yr1'!Z28</f>
        <v>0</v>
      </c>
      <c r="P24" s="468">
        <f>ROUND((M24*N24*12)+K24+K25,0)+'Rev Req Proof Yr1'!Z28</f>
        <v>0</v>
      </c>
      <c r="Q24" s="468">
        <f>ROUND((M24*N24*12)+L24+L25,0)+'Rev Req Proof Yr1'!Z28</f>
        <v>0</v>
      </c>
      <c r="R24" s="469"/>
      <c r="S24" s="902">
        <v>1</v>
      </c>
      <c r="T24" s="471">
        <f>ROUND(+$S$10*(($P24*S24)/S$84),0)</f>
        <v>0</v>
      </c>
      <c r="U24" s="1615">
        <f>IF(T24&lt;&gt;0,ROUND((T24/$K24)*$G24,5),ROUND(($S$10/$K$84)*$G24*S24,5))</f>
        <v>-6.8599999999999998E-3</v>
      </c>
      <c r="V24" s="902">
        <v>1</v>
      </c>
      <c r="W24" s="471">
        <f>ROUND(+$V$10*(($P24*V24)/V$84),0)</f>
        <v>0</v>
      </c>
      <c r="X24" s="1630">
        <f t="shared" si="13"/>
        <v>-3.0300000000000001E-3</v>
      </c>
      <c r="Y24" s="902">
        <v>1</v>
      </c>
      <c r="Z24" s="471">
        <f t="shared" si="14"/>
        <v>0</v>
      </c>
      <c r="AA24" s="1615">
        <f>IF(Z24&lt;&gt;0,ROUND((Z24/$K24)*$G24,5),ROUND(($Y$10/$K$84)*$G24*Y24,5))</f>
        <v>1.3799999999999999E-3</v>
      </c>
      <c r="AB24" s="902">
        <v>1</v>
      </c>
      <c r="AC24" s="471">
        <f>ROUND(+$AB$10*(($O24*AB24)/AB$84),0)</f>
        <v>0</v>
      </c>
      <c r="AD24" s="1630">
        <f>ROUND(E24*$BD$24,5)</f>
        <v>-3.2200000000000002E-3</v>
      </c>
      <c r="AE24" s="902">
        <v>1</v>
      </c>
      <c r="AF24" s="471">
        <f t="shared" si="16"/>
        <v>0</v>
      </c>
      <c r="AG24" s="1630">
        <f>IF(AF24&lt;&gt;0,ROUND((AF24/$L24)*$I24,5),ROUND(($AE$10/$L$84)*$I24*AE24,5))</f>
        <v>-6.7799999999999996E-3</v>
      </c>
      <c r="AH24" s="902">
        <v>1</v>
      </c>
      <c r="AI24" s="471">
        <f t="shared" si="18"/>
        <v>0</v>
      </c>
      <c r="AJ24" s="1630">
        <f>ROUND(I24*BL24,5)</f>
        <v>-3.0400000000000002E-3</v>
      </c>
      <c r="AK24" s="902">
        <v>1</v>
      </c>
      <c r="AL24" s="471">
        <f t="shared" si="20"/>
        <v>0</v>
      </c>
      <c r="AM24" s="1630">
        <f t="shared" si="21"/>
        <v>-3.1E-4</v>
      </c>
      <c r="AN24" s="1796"/>
      <c r="AO24" s="877"/>
      <c r="AQ24" s="427">
        <v>0</v>
      </c>
      <c r="AR24" s="427">
        <v>0</v>
      </c>
      <c r="AU24" s="1632">
        <v>-8.0548568584918115E-3</v>
      </c>
      <c r="AV24" s="1632">
        <v>-8.0548568584918115E-3</v>
      </c>
      <c r="AY24" s="427">
        <v>0</v>
      </c>
      <c r="AZ24" s="427">
        <v>0</v>
      </c>
      <c r="BC24" s="1632">
        <v>-9.3642979246309037E-3</v>
      </c>
      <c r="BD24" s="1632">
        <v>-9.3642979246309037E-3</v>
      </c>
      <c r="BG24" s="427">
        <v>0</v>
      </c>
      <c r="BH24" s="427">
        <v>0</v>
      </c>
      <c r="BK24" s="1632">
        <v>-7.6336583527997961E-3</v>
      </c>
      <c r="BL24" s="1632">
        <v>-7.6336583527997961E-3</v>
      </c>
      <c r="BO24" s="1632">
        <v>-7.7629483430740091E-4</v>
      </c>
      <c r="BP24" s="1632">
        <v>-7.7629483430740091E-4</v>
      </c>
    </row>
    <row r="25" spans="1:68" s="55" customFormat="1" x14ac:dyDescent="0.3">
      <c r="A25" s="85">
        <f t="shared" si="0"/>
        <v>19</v>
      </c>
      <c r="B25" s="707"/>
      <c r="C25" s="711" t="s">
        <v>5</v>
      </c>
      <c r="D25" s="460">
        <f>'WA Volumes &amp; Revenues'!E26</f>
        <v>0</v>
      </c>
      <c r="E25" s="457">
        <f>'Rates in Detail'!E24</f>
        <v>0.30284999999999984</v>
      </c>
      <c r="F25" s="1469">
        <f>'Rates in Detail'!L24+SUM('Rates in Detail'!P24:Q24)</f>
        <v>2.8960000000000003E-2</v>
      </c>
      <c r="G25" s="1468">
        <f t="shared" si="34"/>
        <v>0.33180999999999983</v>
      </c>
      <c r="H25" s="1469">
        <f>'Rates in Detail'!AG24</f>
        <v>1.9050000000000001E-2</v>
      </c>
      <c r="I25" s="1468">
        <f t="shared" si="6"/>
        <v>0.35085999999999984</v>
      </c>
      <c r="J25" s="461">
        <f t="shared" si="7"/>
        <v>0</v>
      </c>
      <c r="K25" s="461">
        <f t="shared" si="8"/>
        <v>0</v>
      </c>
      <c r="L25" s="461">
        <f t="shared" si="9"/>
        <v>0</v>
      </c>
      <c r="M25" s="462"/>
      <c r="N25" s="724"/>
      <c r="O25" s="461"/>
      <c r="P25" s="461"/>
      <c r="Q25" s="461"/>
      <c r="R25" s="456"/>
      <c r="S25" s="901">
        <v>1</v>
      </c>
      <c r="T25" s="459"/>
      <c r="U25" s="1616">
        <f>IF(T25&lt;&gt;0,ROUND((T25/$K25)*$G25,5),ROUND(($S$10/$K$84)*$G25*S25,5))</f>
        <v>-6.0499999999999998E-3</v>
      </c>
      <c r="V25" s="901">
        <v>1</v>
      </c>
      <c r="W25" s="459"/>
      <c r="X25" s="1631">
        <f>ROUND(G25*AV24,5)</f>
        <v>-2.6700000000000001E-3</v>
      </c>
      <c r="Y25" s="901">
        <v>1</v>
      </c>
      <c r="Z25" s="459"/>
      <c r="AA25" s="1616">
        <f>IF(Z25&lt;&gt;0,ROUND((Z25/$K25)*$G25,5),ROUND(($Y$10/$K$84)*$G25*Y25,5))</f>
        <v>1.2099999999999999E-3</v>
      </c>
      <c r="AB25" s="901">
        <v>1</v>
      </c>
      <c r="AC25" s="459"/>
      <c r="AD25" s="1631">
        <f>ROUND(E25*$BD$24,5)</f>
        <v>-2.8400000000000001E-3</v>
      </c>
      <c r="AE25" s="901">
        <v>1</v>
      </c>
      <c r="AF25" s="459"/>
      <c r="AG25" s="1630">
        <f>IF(AF25&lt;&gt;0,ROUND((AF25/$L25)*$I25,5),ROUND(($AE$10/$L$84)*$I25*AE25,5))</f>
        <v>-5.9699999999999996E-3</v>
      </c>
      <c r="AH25" s="901">
        <v>1</v>
      </c>
      <c r="AI25" s="459"/>
      <c r="AJ25" s="1631">
        <f>ROUND(I25*BL24,5)</f>
        <v>-2.6800000000000001E-3</v>
      </c>
      <c r="AK25" s="901">
        <v>1</v>
      </c>
      <c r="AL25" s="459"/>
      <c r="AM25" s="1631">
        <f>ROUND(I25*BP24,5)</f>
        <v>-2.7E-4</v>
      </c>
      <c r="AN25" s="1796"/>
      <c r="AO25" s="877"/>
    </row>
    <row r="26" spans="1:68" s="55" customFormat="1" x14ac:dyDescent="0.3">
      <c r="A26" s="85">
        <f t="shared" si="0"/>
        <v>20</v>
      </c>
      <c r="B26" s="709" t="str">
        <f>'WA Volumes &amp; Revenues'!B27</f>
        <v>41I Interr Sales</v>
      </c>
      <c r="C26" s="710" t="s">
        <v>4</v>
      </c>
      <c r="D26" s="473">
        <f>'WA Volumes &amp; Revenues'!E27</f>
        <v>0</v>
      </c>
      <c r="E26" s="467">
        <f>'Rates in Detail'!E25</f>
        <v>0.34372999999999987</v>
      </c>
      <c r="F26" s="1471">
        <f>'Rates in Detail'!L25+SUM('Rates in Detail'!P25:Q25)</f>
        <v>1.2539999999999999E-2</v>
      </c>
      <c r="G26" s="1472">
        <f t="shared" si="34"/>
        <v>0.35626999999999986</v>
      </c>
      <c r="H26" s="1471">
        <f>'Rates in Detail'!AG25</f>
        <v>7.1300000000000001E-3</v>
      </c>
      <c r="I26" s="1472">
        <f t="shared" si="6"/>
        <v>0.36339999999999989</v>
      </c>
      <c r="J26" s="468">
        <f t="shared" si="7"/>
        <v>0</v>
      </c>
      <c r="K26" s="468">
        <f t="shared" si="8"/>
        <v>0</v>
      </c>
      <c r="L26" s="468">
        <f t="shared" si="9"/>
        <v>0</v>
      </c>
      <c r="M26" s="153">
        <f>'WA Volumes &amp; Revenues'!N27</f>
        <v>250</v>
      </c>
      <c r="N26" s="366">
        <f>'WA Volumes &amp; Revenues'!H27</f>
        <v>0</v>
      </c>
      <c r="O26" s="468">
        <f>ROUND((M26*N26*12)+J26+J27,0)+'Rev Req Proof Yr1'!Z31</f>
        <v>0</v>
      </c>
      <c r="P26" s="468">
        <f>ROUND((M26*N26*12)+K26+K27,0)+'Rev Req Proof Yr1'!Z31</f>
        <v>0</v>
      </c>
      <c r="Q26" s="468">
        <f>ROUND((M26*N26*12)+L26+L27,0)+'Rev Req Proof Yr1'!Z31</f>
        <v>0</v>
      </c>
      <c r="R26" s="469"/>
      <c r="S26" s="902">
        <v>0</v>
      </c>
      <c r="T26" s="471">
        <f>ROUND(+$S$10*(($P26*S26)/S$84),0)</f>
        <v>0</v>
      </c>
      <c r="U26" s="472">
        <f>ROUND(G26*AR26,5)</f>
        <v>0</v>
      </c>
      <c r="V26" s="902">
        <v>1</v>
      </c>
      <c r="W26" s="471">
        <f>ROUND(+$V$10*(($P26*V26)/V$84),0)</f>
        <v>0</v>
      </c>
      <c r="X26" s="1630">
        <f t="shared" si="13"/>
        <v>-2.8700000000000002E-3</v>
      </c>
      <c r="Y26" s="902">
        <v>1</v>
      </c>
      <c r="Z26" s="471">
        <f t="shared" si="14"/>
        <v>0</v>
      </c>
      <c r="AA26" s="1615">
        <f t="shared" ref="AA26:AA27" si="35">IF(Z26&lt;&gt;0,ROUND((Z26/$K26)*$G26,5),ROUND(($Y$10/$K$84)*$G26*Y26,5))</f>
        <v>1.2999999999999999E-3</v>
      </c>
      <c r="AB26" s="902">
        <v>1</v>
      </c>
      <c r="AC26" s="471">
        <f>ROUND(+$AB$10*(($O26*AB26)/AB$84),0)</f>
        <v>0</v>
      </c>
      <c r="AD26" s="1630">
        <f>ROUND(E26*$BD$26,5)</f>
        <v>-3.2200000000000002E-3</v>
      </c>
      <c r="AE26" s="902">
        <v>0</v>
      </c>
      <c r="AF26" s="471">
        <f t="shared" si="16"/>
        <v>0</v>
      </c>
      <c r="AG26" s="472">
        <f t="shared" si="17"/>
        <v>0</v>
      </c>
      <c r="AH26" s="902">
        <v>1</v>
      </c>
      <c r="AI26" s="471">
        <f t="shared" si="18"/>
        <v>0</v>
      </c>
      <c r="AJ26" s="1630">
        <f t="shared" si="19"/>
        <v>-2.7699999999999999E-3</v>
      </c>
      <c r="AK26" s="902">
        <v>1</v>
      </c>
      <c r="AL26" s="471">
        <f t="shared" si="20"/>
        <v>0</v>
      </c>
      <c r="AM26" s="1630">
        <f t="shared" si="21"/>
        <v>-2.7999999999999998E-4</v>
      </c>
      <c r="AN26" s="1796"/>
      <c r="AO26" s="877"/>
      <c r="AQ26" s="427">
        <v>0</v>
      </c>
      <c r="AR26" s="427">
        <v>0</v>
      </c>
      <c r="AU26" s="1632">
        <v>-8.0548568584918115E-3</v>
      </c>
      <c r="AV26" s="1632">
        <v>-8.0548568584918115E-3</v>
      </c>
      <c r="AY26" s="427">
        <v>0</v>
      </c>
      <c r="AZ26" s="427">
        <v>0</v>
      </c>
      <c r="BC26" s="1632">
        <v>-9.3642979246309037E-3</v>
      </c>
      <c r="BD26" s="1632">
        <v>-9.3642979246309037E-3</v>
      </c>
      <c r="BG26" s="427">
        <v>0</v>
      </c>
      <c r="BH26" s="427">
        <v>0</v>
      </c>
      <c r="BK26" s="1632">
        <v>-7.6336583527997961E-3</v>
      </c>
      <c r="BL26" s="1632">
        <v>-7.6336583527997961E-3</v>
      </c>
      <c r="BO26" s="1632">
        <v>-7.7629483430740091E-4</v>
      </c>
      <c r="BP26" s="1632">
        <v>-7.7629483430740091E-4</v>
      </c>
    </row>
    <row r="27" spans="1:68" s="55" customFormat="1" x14ac:dyDescent="0.3">
      <c r="A27" s="85">
        <f t="shared" si="0"/>
        <v>21</v>
      </c>
      <c r="B27" s="707"/>
      <c r="C27" s="711" t="s">
        <v>5</v>
      </c>
      <c r="D27" s="460">
        <f>'WA Volumes &amp; Revenues'!E28</f>
        <v>0</v>
      </c>
      <c r="E27" s="457">
        <f>'Rates in Detail'!E26</f>
        <v>0.30284999999999984</v>
      </c>
      <c r="F27" s="1469">
        <f>'Rates in Detail'!L26+SUM('Rates in Detail'!P26:Q26)</f>
        <v>1.1039999999999999E-2</v>
      </c>
      <c r="G27" s="1468">
        <f t="shared" si="34"/>
        <v>0.31388999999999984</v>
      </c>
      <c r="H27" s="1469">
        <f>'Rates in Detail'!AG26</f>
        <v>6.28E-3</v>
      </c>
      <c r="I27" s="1468">
        <f t="shared" si="6"/>
        <v>0.32016999999999984</v>
      </c>
      <c r="J27" s="461">
        <f t="shared" si="7"/>
        <v>0</v>
      </c>
      <c r="K27" s="461">
        <f t="shared" si="8"/>
        <v>0</v>
      </c>
      <c r="L27" s="461">
        <f t="shared" si="9"/>
        <v>0</v>
      </c>
      <c r="M27" s="462"/>
      <c r="N27" s="724"/>
      <c r="O27" s="461"/>
      <c r="P27" s="461"/>
      <c r="Q27" s="461"/>
      <c r="R27" s="456"/>
      <c r="S27" s="901">
        <v>0</v>
      </c>
      <c r="T27" s="459"/>
      <c r="U27" s="464">
        <f>ROUND(G27*AR26,5)</f>
        <v>0</v>
      </c>
      <c r="V27" s="901">
        <v>1</v>
      </c>
      <c r="W27" s="459"/>
      <c r="X27" s="1631">
        <f>ROUND(G27*AV26,5)</f>
        <v>-2.5300000000000001E-3</v>
      </c>
      <c r="Y27" s="901">
        <v>1</v>
      </c>
      <c r="Z27" s="459"/>
      <c r="AA27" s="1616">
        <f t="shared" si="35"/>
        <v>1.15E-3</v>
      </c>
      <c r="AB27" s="901">
        <v>1</v>
      </c>
      <c r="AC27" s="459"/>
      <c r="AD27" s="1631">
        <f>ROUND(E27*$BD$26,5)</f>
        <v>-2.8400000000000001E-3</v>
      </c>
      <c r="AE27" s="901">
        <v>0</v>
      </c>
      <c r="AF27" s="459"/>
      <c r="AG27" s="464">
        <f>ROUND(I27*BH26,5)</f>
        <v>0</v>
      </c>
      <c r="AH27" s="901">
        <v>1</v>
      </c>
      <c r="AI27" s="459"/>
      <c r="AJ27" s="1631">
        <f>ROUND(I27*BL26,5)</f>
        <v>-2.4399999999999999E-3</v>
      </c>
      <c r="AK27" s="901">
        <v>1</v>
      </c>
      <c r="AL27" s="459"/>
      <c r="AM27" s="1631">
        <f>ROUND(I27*BP26,5)</f>
        <v>-2.5000000000000001E-4</v>
      </c>
      <c r="AN27" s="1796"/>
      <c r="AO27" s="877"/>
    </row>
    <row r="28" spans="1:68" s="55" customFormat="1" x14ac:dyDescent="0.3">
      <c r="A28" s="85">
        <f t="shared" si="0"/>
        <v>22</v>
      </c>
      <c r="B28" s="709" t="str">
        <f>'WA Volumes &amp; Revenues'!B29</f>
        <v>41C Firm Transpt</v>
      </c>
      <c r="C28" s="710" t="s">
        <v>4</v>
      </c>
      <c r="D28" s="473">
        <f>'WA Volumes &amp; Revenues'!E29</f>
        <v>168721</v>
      </c>
      <c r="E28" s="467">
        <f>'Rates in Detail'!E27</f>
        <v>0.34791</v>
      </c>
      <c r="F28" s="1471">
        <f>'Rates in Detail'!L27+SUM('Rates in Detail'!P27:Q27)</f>
        <v>2.1270000000000001E-2</v>
      </c>
      <c r="G28" s="1472">
        <f t="shared" si="34"/>
        <v>0.36918000000000001</v>
      </c>
      <c r="H28" s="1471">
        <f>'Rates in Detail'!AG27</f>
        <v>9.7099999999999999E-3</v>
      </c>
      <c r="I28" s="1472">
        <f t="shared" si="6"/>
        <v>0.37889</v>
      </c>
      <c r="J28" s="468">
        <f t="shared" si="7"/>
        <v>58700</v>
      </c>
      <c r="K28" s="468">
        <f t="shared" si="8"/>
        <v>62288</v>
      </c>
      <c r="L28" s="468">
        <f t="shared" si="9"/>
        <v>63927</v>
      </c>
      <c r="M28" s="153">
        <f>'WA Volumes &amp; Revenues'!N29</f>
        <v>500</v>
      </c>
      <c r="N28" s="366">
        <f>'WA Volumes &amp; Revenues'!H29</f>
        <v>7.916666666666667</v>
      </c>
      <c r="O28" s="468">
        <f>ROUND((M28*N28*12)+J28+J29,0)+'Rev Req Proof Yr1'!Z34</f>
        <v>189842</v>
      </c>
      <c r="P28" s="468">
        <f>ROUND((M28*N28*12)+K28+K29,0)+'Rev Req Proof Yr1'!Z34</f>
        <v>198543</v>
      </c>
      <c r="Q28" s="468">
        <f>ROUND((M28*N28*12)+L28+L29,0)+'Rev Req Proof Yr1'!Z34</f>
        <v>202515</v>
      </c>
      <c r="R28" s="469"/>
      <c r="S28" s="902">
        <v>0</v>
      </c>
      <c r="T28" s="471">
        <f>ROUND(+$S$10*(($P28*S28)/S$84),0)</f>
        <v>0</v>
      </c>
      <c r="U28" s="472">
        <f t="shared" si="11"/>
        <v>0</v>
      </c>
      <c r="V28" s="902">
        <v>1</v>
      </c>
      <c r="W28" s="471">
        <f>ROUND(+$V$10*(($P28*V28)/V$84),0)</f>
        <v>-1599</v>
      </c>
      <c r="X28" s="472">
        <f t="shared" si="13"/>
        <v>-3.9100000000000003E-3</v>
      </c>
      <c r="Y28" s="902">
        <v>1</v>
      </c>
      <c r="Z28" s="471">
        <f t="shared" si="14"/>
        <v>564</v>
      </c>
      <c r="AA28" s="472">
        <f>ROUND(G28*AZ28,5)</f>
        <v>1.3799999999999999E-3</v>
      </c>
      <c r="AB28" s="902">
        <v>1</v>
      </c>
      <c r="AC28" s="471">
        <f>ROUND(+$AB$10*(($O28*AB28)/AB$84),0)</f>
        <v>-1778</v>
      </c>
      <c r="AD28" s="472">
        <f>ROUND(E28*$BD$28,5)</f>
        <v>-4.3499999999999997E-3</v>
      </c>
      <c r="AE28" s="902">
        <v>0</v>
      </c>
      <c r="AF28" s="471">
        <f t="shared" si="16"/>
        <v>0</v>
      </c>
      <c r="AG28" s="472">
        <f>ROUND(I28*BH28,5)</f>
        <v>0</v>
      </c>
      <c r="AH28" s="902">
        <v>1</v>
      </c>
      <c r="AI28" s="471">
        <f t="shared" si="18"/>
        <v>-1546</v>
      </c>
      <c r="AJ28" s="472">
        <f t="shared" si="19"/>
        <v>-3.7799999999999999E-3</v>
      </c>
      <c r="AK28" s="902">
        <v>1</v>
      </c>
      <c r="AL28" s="471">
        <f t="shared" si="20"/>
        <v>-157</v>
      </c>
      <c r="AM28" s="472">
        <f t="shared" si="21"/>
        <v>-3.8000000000000002E-4</v>
      </c>
      <c r="AN28" s="1796"/>
      <c r="AO28" s="877"/>
      <c r="AQ28" s="427">
        <f>T28/P28</f>
        <v>0</v>
      </c>
      <c r="AR28" s="427">
        <f>T28/SUM($K$28:$K$29)</f>
        <v>0</v>
      </c>
      <c r="AU28" s="427">
        <f t="shared" ref="AU28" si="36">W28/P28</f>
        <v>-8.0536709931853558E-3</v>
      </c>
      <c r="AV28" s="427">
        <f>W28/SUM($K$28:$K$29)</f>
        <v>-1.0586389306356468E-2</v>
      </c>
      <c r="AY28" s="427">
        <f t="shared" ref="AY28" si="37">Z28/P28</f>
        <v>2.840694459134797E-3</v>
      </c>
      <c r="AZ28" s="427">
        <f>Z28/SUM($K$28:$K$29)</f>
        <v>3.7340360029925251E-3</v>
      </c>
      <c r="BC28" s="427">
        <f>AC28/O28</f>
        <v>-9.3656830416872974E-3</v>
      </c>
      <c r="BD28" s="427">
        <f>AC28/SUM($J$28:$J$29)</f>
        <v>-1.2491042699976114E-2</v>
      </c>
      <c r="BG28" s="427">
        <f t="shared" ref="BG28" si="38">AF28/Q28</f>
        <v>0</v>
      </c>
      <c r="BH28" s="427">
        <f>AF28/SUM($L$28:$L$29)</f>
        <v>0</v>
      </c>
      <c r="BK28" s="427">
        <f t="shared" ref="BK28" si="39">AI28/Q28</f>
        <v>-7.6340024195738591E-3</v>
      </c>
      <c r="BL28" s="427">
        <f>AI28/SUM($L$28:$L$29)</f>
        <v>-9.9732283972518796E-3</v>
      </c>
      <c r="BO28" s="427">
        <f t="shared" ref="BO28" si="40">AL28/Q28</f>
        <v>-7.7525121595931165E-4</v>
      </c>
      <c r="BP28" s="427">
        <f>AL28/SUM($L$28:$L$29)</f>
        <v>-1.0128052123988E-3</v>
      </c>
    </row>
    <row r="29" spans="1:68" s="55" customFormat="1" x14ac:dyDescent="0.3">
      <c r="A29" s="85">
        <f t="shared" si="0"/>
        <v>23</v>
      </c>
      <c r="B29" s="707"/>
      <c r="C29" s="711" t="s">
        <v>5</v>
      </c>
      <c r="D29" s="460">
        <f>'WA Volumes &amp; Revenues'!E30</f>
        <v>272866</v>
      </c>
      <c r="E29" s="457">
        <f>'Rates in Detail'!E28</f>
        <v>0.30653000000000008</v>
      </c>
      <c r="F29" s="1469">
        <f>'Rates in Detail'!L28+SUM('Rates in Detail'!P28:Q28)</f>
        <v>1.874E-2</v>
      </c>
      <c r="G29" s="1468">
        <f t="shared" si="34"/>
        <v>0.32527000000000006</v>
      </c>
      <c r="H29" s="1469">
        <f>'Rates in Detail'!AG28</f>
        <v>8.5500000000000003E-3</v>
      </c>
      <c r="I29" s="1468">
        <f t="shared" si="6"/>
        <v>0.33382000000000006</v>
      </c>
      <c r="J29" s="461">
        <f t="shared" si="7"/>
        <v>83642</v>
      </c>
      <c r="K29" s="461">
        <f t="shared" si="8"/>
        <v>88755</v>
      </c>
      <c r="L29" s="461">
        <f t="shared" si="9"/>
        <v>91088</v>
      </c>
      <c r="M29" s="462"/>
      <c r="N29" s="724"/>
      <c r="O29" s="461"/>
      <c r="P29" s="461"/>
      <c r="Q29" s="461"/>
      <c r="R29" s="456"/>
      <c r="S29" s="901">
        <v>0</v>
      </c>
      <c r="T29" s="459"/>
      <c r="U29" s="464">
        <f>ROUND(G29*AR28,5)</f>
        <v>0</v>
      </c>
      <c r="V29" s="901">
        <v>1</v>
      </c>
      <c r="W29" s="459"/>
      <c r="X29" s="464">
        <f>ROUND(G29*AV28,5)</f>
        <v>-3.4399999999999999E-3</v>
      </c>
      <c r="Y29" s="901">
        <v>1</v>
      </c>
      <c r="Z29" s="459"/>
      <c r="AA29" s="464">
        <f>ROUND(G29*AZ28,5)</f>
        <v>1.2099999999999999E-3</v>
      </c>
      <c r="AB29" s="901">
        <v>1</v>
      </c>
      <c r="AC29" s="459"/>
      <c r="AD29" s="464">
        <f>ROUND(E29*$BD$28,5)</f>
        <v>-3.8300000000000001E-3</v>
      </c>
      <c r="AE29" s="901">
        <v>0</v>
      </c>
      <c r="AF29" s="459"/>
      <c r="AG29" s="464">
        <f>ROUND(I29*BH28,5)</f>
        <v>0</v>
      </c>
      <c r="AH29" s="901">
        <v>1</v>
      </c>
      <c r="AI29" s="459"/>
      <c r="AJ29" s="464">
        <f>ROUND(I29*BL28,5)</f>
        <v>-3.3300000000000001E-3</v>
      </c>
      <c r="AK29" s="901">
        <v>1</v>
      </c>
      <c r="AL29" s="459"/>
      <c r="AM29" s="464">
        <f>ROUND(I29*BP28,5)</f>
        <v>-3.4000000000000002E-4</v>
      </c>
      <c r="AN29" s="1796"/>
      <c r="AO29" s="877"/>
    </row>
    <row r="30" spans="1:68" s="55" customFormat="1" x14ac:dyDescent="0.3">
      <c r="A30" s="85">
        <f t="shared" si="0"/>
        <v>24</v>
      </c>
      <c r="B30" s="709" t="str">
        <f>'WA Volumes &amp; Revenues'!B31</f>
        <v>41I Firm Transpt</v>
      </c>
      <c r="C30" s="710" t="s">
        <v>4</v>
      </c>
      <c r="D30" s="473">
        <f>'WA Volumes &amp; Revenues'!E31</f>
        <v>0</v>
      </c>
      <c r="E30" s="467">
        <f>'Rates in Detail'!E29</f>
        <v>0.34791</v>
      </c>
      <c r="F30" s="1471">
        <f>'Rates in Detail'!L29+SUM('Rates in Detail'!P29:Q29)</f>
        <v>1.269E-2</v>
      </c>
      <c r="G30" s="1472">
        <f t="shared" si="34"/>
        <v>0.36059999999999998</v>
      </c>
      <c r="H30" s="1471">
        <f>'Rates in Detail'!AG29</f>
        <v>7.2100000000000003E-3</v>
      </c>
      <c r="I30" s="1472">
        <f t="shared" si="6"/>
        <v>0.36780999999999997</v>
      </c>
      <c r="J30" s="468">
        <f t="shared" si="7"/>
        <v>0</v>
      </c>
      <c r="K30" s="468">
        <f t="shared" si="8"/>
        <v>0</v>
      </c>
      <c r="L30" s="468">
        <f t="shared" si="9"/>
        <v>0</v>
      </c>
      <c r="M30" s="153">
        <f>'WA Volumes &amp; Revenues'!N31</f>
        <v>500</v>
      </c>
      <c r="N30" s="366">
        <f>'WA Volumes &amp; Revenues'!H31</f>
        <v>0</v>
      </c>
      <c r="O30" s="468">
        <f>ROUND((M30*N30*12)+J30+J31,0)+'Rev Req Proof Yr1'!Z37</f>
        <v>0</v>
      </c>
      <c r="P30" s="468">
        <f>ROUND((M30*N30*12)+K30+K31,0)+'Rev Req Proof Yr1'!Z37</f>
        <v>0</v>
      </c>
      <c r="Q30" s="468">
        <f>ROUND((M30*N30*12)+L30+L31,0)+'Rev Req Proof Yr1'!Z37</f>
        <v>0</v>
      </c>
      <c r="R30" s="469"/>
      <c r="S30" s="902">
        <v>0</v>
      </c>
      <c r="T30" s="471">
        <f>ROUND(+$S$10*(($P30*S30)/S$84),0)</f>
        <v>0</v>
      </c>
      <c r="U30" s="472">
        <f t="shared" si="11"/>
        <v>0</v>
      </c>
      <c r="V30" s="902">
        <v>1</v>
      </c>
      <c r="W30" s="471">
        <f>ROUND(+$V$10*(($P30*V30)/V$84),0)</f>
        <v>0</v>
      </c>
      <c r="X30" s="1630">
        <f t="shared" si="13"/>
        <v>-2.8999999999999998E-3</v>
      </c>
      <c r="Y30" s="902">
        <v>1</v>
      </c>
      <c r="Z30" s="471">
        <f t="shared" si="14"/>
        <v>0</v>
      </c>
      <c r="AA30" s="1615">
        <f t="shared" ref="AA30" si="41">IF(Z30&lt;&gt;0,ROUND((Z30/$K30)*$G30,5),ROUND(($Y$10/$K$84)*$G30*Y30,5))</f>
        <v>1.32E-3</v>
      </c>
      <c r="AB30" s="902">
        <v>1</v>
      </c>
      <c r="AC30" s="471">
        <f>ROUND(+$AB$10*(($O30*AB30)/AB$84),0)</f>
        <v>0</v>
      </c>
      <c r="AD30" s="1630">
        <f>ROUND(E30*$BD$30,5)</f>
        <v>-3.2599999999999999E-3</v>
      </c>
      <c r="AE30" s="902">
        <v>0</v>
      </c>
      <c r="AF30" s="471">
        <f t="shared" si="16"/>
        <v>0</v>
      </c>
      <c r="AG30" s="472">
        <f t="shared" si="17"/>
        <v>0</v>
      </c>
      <c r="AH30" s="902">
        <v>1</v>
      </c>
      <c r="AI30" s="471">
        <f t="shared" si="18"/>
        <v>0</v>
      </c>
      <c r="AJ30" s="1630">
        <f t="shared" si="19"/>
        <v>-2.81E-3</v>
      </c>
      <c r="AK30" s="902">
        <v>1</v>
      </c>
      <c r="AL30" s="471">
        <f t="shared" si="20"/>
        <v>0</v>
      </c>
      <c r="AM30" s="1630">
        <f t="shared" si="21"/>
        <v>-2.9E-4</v>
      </c>
      <c r="AN30" s="1796"/>
      <c r="AO30" s="877"/>
      <c r="AQ30" s="427">
        <v>0</v>
      </c>
      <c r="AR30" s="427">
        <v>0</v>
      </c>
      <c r="AU30" s="1632">
        <v>-8.0548568584918115E-3</v>
      </c>
      <c r="AV30" s="1632">
        <v>-8.0548568584918115E-3</v>
      </c>
      <c r="AY30" s="427">
        <v>0</v>
      </c>
      <c r="AZ30" s="427">
        <v>0</v>
      </c>
      <c r="BC30" s="1632">
        <v>-9.3642979246309037E-3</v>
      </c>
      <c r="BD30" s="1632">
        <v>-9.3642979246309037E-3</v>
      </c>
      <c r="BG30" s="427">
        <v>0</v>
      </c>
      <c r="BH30" s="427">
        <v>0</v>
      </c>
      <c r="BK30" s="1632">
        <v>-7.6336583527997961E-3</v>
      </c>
      <c r="BL30" s="1632">
        <v>-7.6336583527997961E-3</v>
      </c>
      <c r="BO30" s="1632">
        <v>-7.7629483430740091E-4</v>
      </c>
      <c r="BP30" s="1632">
        <v>-7.7629483430740091E-4</v>
      </c>
    </row>
    <row r="31" spans="1:68" s="55" customFormat="1" x14ac:dyDescent="0.3">
      <c r="A31" s="85">
        <f t="shared" si="0"/>
        <v>25</v>
      </c>
      <c r="B31" s="707"/>
      <c r="C31" s="711" t="s">
        <v>5</v>
      </c>
      <c r="D31" s="460">
        <f>'WA Volumes &amp; Revenues'!E32</f>
        <v>0</v>
      </c>
      <c r="E31" s="457">
        <f>'Rates in Detail'!E30</f>
        <v>0.30653000000000008</v>
      </c>
      <c r="F31" s="1469">
        <f>'Rates in Detail'!L30+SUM('Rates in Detail'!P30:Q30)</f>
        <v>1.1179999999999999E-2</v>
      </c>
      <c r="G31" s="1468">
        <f t="shared" si="34"/>
        <v>0.3177100000000001</v>
      </c>
      <c r="H31" s="1469">
        <f>'Rates in Detail'!AG30</f>
        <v>6.3499999999999997E-3</v>
      </c>
      <c r="I31" s="1468">
        <f t="shared" si="6"/>
        <v>0.32406000000000013</v>
      </c>
      <c r="J31" s="461">
        <f t="shared" si="7"/>
        <v>0</v>
      </c>
      <c r="K31" s="461">
        <f t="shared" si="8"/>
        <v>0</v>
      </c>
      <c r="L31" s="461">
        <f t="shared" si="9"/>
        <v>0</v>
      </c>
      <c r="M31" s="462"/>
      <c r="N31" s="724"/>
      <c r="O31" s="461"/>
      <c r="P31" s="461"/>
      <c r="Q31" s="461"/>
      <c r="R31" s="456"/>
      <c r="S31" s="901">
        <v>0</v>
      </c>
      <c r="T31" s="459"/>
      <c r="U31" s="464">
        <f>ROUND(G31*AR30,5)</f>
        <v>0</v>
      </c>
      <c r="V31" s="901">
        <v>1</v>
      </c>
      <c r="W31" s="459"/>
      <c r="X31" s="1631">
        <f>ROUND(G31*AV30,5)</f>
        <v>-2.5600000000000002E-3</v>
      </c>
      <c r="Y31" s="901">
        <v>1</v>
      </c>
      <c r="Z31" s="459"/>
      <c r="AA31" s="1616">
        <f>IF(Z31&lt;&gt;0,ROUND((Z31/$K31)*$G31,5),ROUND(($Y$10/$K$84)*$G31*Y31,5))</f>
        <v>1.16E-3</v>
      </c>
      <c r="AB31" s="901">
        <v>1</v>
      </c>
      <c r="AC31" s="459"/>
      <c r="AD31" s="1631">
        <f>ROUND(E31*$BD$30,5)</f>
        <v>-2.8700000000000002E-3</v>
      </c>
      <c r="AE31" s="901">
        <v>0</v>
      </c>
      <c r="AF31" s="459"/>
      <c r="AG31" s="464">
        <f>ROUND(I31*BH30,5)</f>
        <v>0</v>
      </c>
      <c r="AH31" s="901">
        <v>1</v>
      </c>
      <c r="AI31" s="459"/>
      <c r="AJ31" s="1631">
        <f>ROUND(I31*BL30,5)</f>
        <v>-2.47E-3</v>
      </c>
      <c r="AK31" s="901">
        <v>1</v>
      </c>
      <c r="AL31" s="459"/>
      <c r="AM31" s="1631">
        <f>ROUND(I31*BP30,5)</f>
        <v>-2.5000000000000001E-4</v>
      </c>
      <c r="AN31" s="1796"/>
      <c r="AO31" s="877"/>
    </row>
    <row r="32" spans="1:68" s="55" customFormat="1" x14ac:dyDescent="0.3">
      <c r="A32" s="85">
        <f t="shared" si="0"/>
        <v>26</v>
      </c>
      <c r="B32" s="709" t="str">
        <f>'WA Volumes &amp; Revenues'!B33</f>
        <v>42C Firm Sales</v>
      </c>
      <c r="C32" s="710" t="s">
        <v>4</v>
      </c>
      <c r="D32" s="473">
        <f>'WA Volumes &amp; Revenues'!E33</f>
        <v>350769.66174469434</v>
      </c>
      <c r="E32" s="467">
        <f>'Rates in Detail'!E31</f>
        <v>0.15245999999999996</v>
      </c>
      <c r="F32" s="1471">
        <f>'Rates in Detail'!L31+SUM('Rates in Detail'!P31:Q31)</f>
        <v>3.4679999999999996E-2</v>
      </c>
      <c r="G32" s="1472">
        <f t="shared" si="34"/>
        <v>0.18713999999999995</v>
      </c>
      <c r="H32" s="1471">
        <f>'Rates in Detail'!AG31</f>
        <v>2.095E-2</v>
      </c>
      <c r="I32" s="1472">
        <f t="shared" si="6"/>
        <v>0.20808999999999994</v>
      </c>
      <c r="J32" s="468">
        <f t="shared" si="7"/>
        <v>53478</v>
      </c>
      <c r="K32" s="468">
        <f t="shared" si="8"/>
        <v>65643</v>
      </c>
      <c r="L32" s="468">
        <f t="shared" si="9"/>
        <v>72992</v>
      </c>
      <c r="M32" s="153">
        <f>'WA Volumes &amp; Revenues'!N33</f>
        <v>1300</v>
      </c>
      <c r="N32" s="366">
        <f>'WA Volumes &amp; Revenues'!H33</f>
        <v>5</v>
      </c>
      <c r="O32" s="468">
        <f>ROUND((M32*N32*12)+J32+J33+J34+J35+J36+J37,0)+'Rev Req Proof Yr1'!Y44+'Rev Req Proof Yr1'!Z44</f>
        <v>219575.29677293496</v>
      </c>
      <c r="P32" s="468">
        <f>ROUND((M32*N32*12)+K32+K33+K34+K35+K36+K37,0)+'Rev Req Proof Yr1'!Y44+'Rev Req Proof Yr1'!Z44</f>
        <v>242630.29677293496</v>
      </c>
      <c r="Q32" s="468">
        <f>ROUND((M32*N32*12)+L32+L33+L34+L35+L36+L37,0)+'Rev Req Proof Yr1'!Y44+'Rev Req Proof Yr1'!Z44</f>
        <v>256559.29677293496</v>
      </c>
      <c r="R32" s="469"/>
      <c r="S32" s="902">
        <v>1</v>
      </c>
      <c r="T32" s="474">
        <f>ROUND(+$S$10*(($P32*S32)/S$84),0)</f>
        <v>-3676</v>
      </c>
      <c r="U32" s="472">
        <f>ROUND(G32*$AR$32,5)</f>
        <v>-5.5300000000000002E-3</v>
      </c>
      <c r="V32" s="902">
        <v>1</v>
      </c>
      <c r="W32" s="474">
        <f>ROUND(+$V$10*(($P32*V32)/V$84),0)</f>
        <v>-1954</v>
      </c>
      <c r="X32" s="472">
        <f>ROUND(G32*$AV$32,5)</f>
        <v>-2.9399999999999999E-3</v>
      </c>
      <c r="Y32" s="902">
        <v>1</v>
      </c>
      <c r="Z32" s="474">
        <f t="shared" si="14"/>
        <v>689</v>
      </c>
      <c r="AA32" s="472">
        <f>ROUND(G32*$AZ$32,5)</f>
        <v>1.0399999999999999E-3</v>
      </c>
      <c r="AB32" s="902">
        <v>1</v>
      </c>
      <c r="AC32" s="474">
        <f>ROUND(+$AB$10*(($O32*AB32)/AB$84),0)</f>
        <v>-2056</v>
      </c>
      <c r="AD32" s="472">
        <f t="shared" ref="AD32:AD37" si="42">ROUND(E32*$BD$32,5)</f>
        <v>-3.0899999999999999E-3</v>
      </c>
      <c r="AE32" s="902">
        <v>1</v>
      </c>
      <c r="AF32" s="474">
        <f t="shared" si="16"/>
        <v>-3676</v>
      </c>
      <c r="AG32" s="472">
        <f>ROUND(I32*$BH$32,5)</f>
        <v>-5.5300000000000002E-3</v>
      </c>
      <c r="AH32" s="902">
        <v>1</v>
      </c>
      <c r="AI32" s="474">
        <f t="shared" si="18"/>
        <v>-1958</v>
      </c>
      <c r="AJ32" s="472">
        <f>ROUND(I32*$BL$32,5)</f>
        <v>-2.9399999999999999E-3</v>
      </c>
      <c r="AK32" s="902">
        <v>1</v>
      </c>
      <c r="AL32" s="474">
        <f t="shared" si="20"/>
        <v>-199</v>
      </c>
      <c r="AM32" s="472">
        <f>ROUND(I32*$BP$32,5)</f>
        <v>-2.9999999999999997E-4</v>
      </c>
      <c r="AN32" s="1796"/>
      <c r="AO32" s="877"/>
      <c r="AQ32" s="427">
        <f>T32/P32</f>
        <v>-1.5150622362054713E-2</v>
      </c>
      <c r="AR32" s="427">
        <f>T32/SUM($K$32:$K$37)</f>
        <v>-2.9544851753321385E-2</v>
      </c>
      <c r="AU32" s="427">
        <f t="shared" ref="AU32" si="43">W32/P32</f>
        <v>-8.0534048137798995E-3</v>
      </c>
      <c r="AV32" s="427">
        <f>W32/SUM($K$32:$K$37)</f>
        <v>-1.5704744375949396E-2</v>
      </c>
      <c r="AY32" s="427">
        <f t="shared" ref="AY32" si="44">Z32/P32</f>
        <v>2.8397113186767403E-3</v>
      </c>
      <c r="AZ32" s="427">
        <f>Z32/SUM($K$32:$K$37)</f>
        <v>5.5376503966372238E-3</v>
      </c>
      <c r="BC32" s="427">
        <f>AC32/O32</f>
        <v>-9.3635305529206712E-3</v>
      </c>
      <c r="BD32" s="427">
        <f>AC32/SUM($J$32:$J$37)</f>
        <v>-2.0282935106445948E-2</v>
      </c>
      <c r="BG32" s="427">
        <f t="shared" ref="BG32" si="45">AF32/Q32</f>
        <v>-1.4328071702088442E-2</v>
      </c>
      <c r="BH32" s="427">
        <f>AF32/SUM($L$32:$L$37)</f>
        <v>-2.6570292735814963E-2</v>
      </c>
      <c r="BK32" s="427">
        <f t="shared" ref="BK32" si="46">AI32/Q32</f>
        <v>-7.6317639806009708E-3</v>
      </c>
      <c r="BL32" s="427">
        <f>AI32/SUM($L$32:$L$37)</f>
        <v>-1.4152511745572822E-2</v>
      </c>
      <c r="BO32" s="427">
        <f t="shared" ref="BO32" si="47">AL32/Q32</f>
        <v>-7.7564914818161043E-4</v>
      </c>
      <c r="BP32" s="427">
        <f>AL32/SUM($L$32:$L$37)</f>
        <v>-1.4383809179616914E-3</v>
      </c>
    </row>
    <row r="33" spans="1:68" s="55" customFormat="1" x14ac:dyDescent="0.3">
      <c r="A33" s="85">
        <f t="shared" si="0"/>
        <v>27</v>
      </c>
      <c r="B33" s="709"/>
      <c r="C33" s="710" t="s">
        <v>5</v>
      </c>
      <c r="D33" s="473">
        <f>'WA Volumes &amp; Revenues'!E34</f>
        <v>303088.75426472601</v>
      </c>
      <c r="E33" s="467">
        <f>'Rates in Detail'!E32</f>
        <v>0.1364699999999997</v>
      </c>
      <c r="F33" s="1471">
        <f>'Rates in Detail'!L32+SUM('Rates in Detail'!P32:Q32)</f>
        <v>3.1039999999999998E-2</v>
      </c>
      <c r="G33" s="1472">
        <f t="shared" si="34"/>
        <v>0.16750999999999971</v>
      </c>
      <c r="H33" s="1471">
        <f>'Rates in Detail'!AG32</f>
        <v>1.8749999999999999E-2</v>
      </c>
      <c r="I33" s="1472">
        <f t="shared" si="6"/>
        <v>0.1862599999999997</v>
      </c>
      <c r="J33" s="468">
        <f t="shared" si="7"/>
        <v>41363</v>
      </c>
      <c r="K33" s="468">
        <f t="shared" si="8"/>
        <v>50770</v>
      </c>
      <c r="L33" s="468">
        <f t="shared" si="9"/>
        <v>56453</v>
      </c>
      <c r="M33" s="153"/>
      <c r="N33" s="366"/>
      <c r="O33" s="468"/>
      <c r="P33" s="468"/>
      <c r="Q33" s="468"/>
      <c r="R33" s="469"/>
      <c r="S33" s="902">
        <v>1</v>
      </c>
      <c r="T33" s="265"/>
      <c r="U33" s="472">
        <f t="shared" ref="U33:U37" si="48">ROUND(G33*$AR$32,5)</f>
        <v>-4.9500000000000004E-3</v>
      </c>
      <c r="V33" s="902">
        <v>1</v>
      </c>
      <c r="W33" s="265"/>
      <c r="X33" s="472">
        <f t="shared" ref="X33:X37" si="49">ROUND(G33*$AV$32,5)</f>
        <v>-2.63E-3</v>
      </c>
      <c r="Y33" s="902">
        <v>1</v>
      </c>
      <c r="Z33" s="265"/>
      <c r="AA33" s="472">
        <f t="shared" ref="AA33:AA37" si="50">ROUND(G33*$AZ$32,5)</f>
        <v>9.3000000000000005E-4</v>
      </c>
      <c r="AB33" s="902">
        <v>1</v>
      </c>
      <c r="AC33" s="265"/>
      <c r="AD33" s="472">
        <f t="shared" si="42"/>
        <v>-2.7699999999999999E-3</v>
      </c>
      <c r="AE33" s="902">
        <v>1</v>
      </c>
      <c r="AF33" s="265"/>
      <c r="AG33" s="472">
        <f t="shared" ref="AG33:AG37" si="51">ROUND(I33*$BH$32,5)</f>
        <v>-4.9500000000000004E-3</v>
      </c>
      <c r="AH33" s="902">
        <v>1</v>
      </c>
      <c r="AI33" s="265"/>
      <c r="AJ33" s="472">
        <f t="shared" ref="AJ33:AJ37" si="52">ROUND(I33*$BL$32,5)</f>
        <v>-2.64E-3</v>
      </c>
      <c r="AK33" s="902">
        <v>1</v>
      </c>
      <c r="AL33" s="265"/>
      <c r="AM33" s="472">
        <f t="shared" ref="AM33:AM37" si="53">ROUND(I33*$BP$32,5)</f>
        <v>-2.7E-4</v>
      </c>
      <c r="AN33" s="1796"/>
      <c r="AO33" s="877"/>
      <c r="AQ33" s="427"/>
      <c r="AR33" s="427"/>
      <c r="BG33" s="427"/>
      <c r="BH33" s="427"/>
    </row>
    <row r="34" spans="1:68" s="55" customFormat="1" x14ac:dyDescent="0.3">
      <c r="A34" s="85">
        <f t="shared" si="0"/>
        <v>28</v>
      </c>
      <c r="B34" s="709"/>
      <c r="C34" s="710" t="s">
        <v>6</v>
      </c>
      <c r="D34" s="473">
        <f>'WA Volumes &amp; Revenues'!E35</f>
        <v>59441.942130257296</v>
      </c>
      <c r="E34" s="467">
        <f>'Rates in Detail'!E33</f>
        <v>0.1046699999999999</v>
      </c>
      <c r="F34" s="1471">
        <f>'Rates in Detail'!L33+SUM('Rates in Detail'!P33:Q33)</f>
        <v>2.3810000000000001E-2</v>
      </c>
      <c r="G34" s="1472">
        <f t="shared" si="34"/>
        <v>0.1284799999999999</v>
      </c>
      <c r="H34" s="1471">
        <f>'Rates in Detail'!AG33</f>
        <v>1.438E-2</v>
      </c>
      <c r="I34" s="1472">
        <f t="shared" si="6"/>
        <v>0.1428599999999999</v>
      </c>
      <c r="J34" s="468">
        <f t="shared" si="7"/>
        <v>6222</v>
      </c>
      <c r="K34" s="468">
        <f t="shared" si="8"/>
        <v>7637</v>
      </c>
      <c r="L34" s="468">
        <f t="shared" si="9"/>
        <v>8492</v>
      </c>
      <c r="M34" s="153"/>
      <c r="N34" s="366"/>
      <c r="O34" s="468"/>
      <c r="P34" s="468"/>
      <c r="Q34" s="468"/>
      <c r="R34" s="469"/>
      <c r="S34" s="902">
        <v>1</v>
      </c>
      <c r="T34" s="265"/>
      <c r="U34" s="472">
        <f t="shared" si="48"/>
        <v>-3.8E-3</v>
      </c>
      <c r="V34" s="902">
        <v>1</v>
      </c>
      <c r="W34" s="265"/>
      <c r="X34" s="472">
        <f t="shared" si="49"/>
        <v>-2.0200000000000001E-3</v>
      </c>
      <c r="Y34" s="902">
        <v>1</v>
      </c>
      <c r="Z34" s="265"/>
      <c r="AA34" s="472">
        <f t="shared" si="50"/>
        <v>7.1000000000000002E-4</v>
      </c>
      <c r="AB34" s="902">
        <v>1</v>
      </c>
      <c r="AC34" s="265"/>
      <c r="AD34" s="472">
        <f t="shared" si="42"/>
        <v>-2.1199999999999999E-3</v>
      </c>
      <c r="AE34" s="902">
        <v>1</v>
      </c>
      <c r="AF34" s="265"/>
      <c r="AG34" s="472">
        <f t="shared" si="51"/>
        <v>-3.8E-3</v>
      </c>
      <c r="AH34" s="902">
        <v>1</v>
      </c>
      <c r="AI34" s="265"/>
      <c r="AJ34" s="472">
        <f t="shared" si="52"/>
        <v>-2.0200000000000001E-3</v>
      </c>
      <c r="AK34" s="902">
        <v>1</v>
      </c>
      <c r="AL34" s="265"/>
      <c r="AM34" s="472">
        <f t="shared" si="53"/>
        <v>-2.1000000000000001E-4</v>
      </c>
      <c r="AN34" s="1796"/>
      <c r="AO34" s="877"/>
    </row>
    <row r="35" spans="1:68" s="55" customFormat="1" x14ac:dyDescent="0.3">
      <c r="A35" s="85">
        <f t="shared" si="0"/>
        <v>29</v>
      </c>
      <c r="B35" s="709"/>
      <c r="C35" s="710" t="s">
        <v>7</v>
      </c>
      <c r="D35" s="473">
        <f>'WA Volumes &amp; Revenues'!E36</f>
        <v>3614.6071898605187</v>
      </c>
      <c r="E35" s="467">
        <f>'Rates in Detail'!E34</f>
        <v>8.3729999999999999E-2</v>
      </c>
      <c r="F35" s="1473">
        <f>'Rates in Detail'!L34+SUM('Rates in Detail'!P34:Q34)</f>
        <v>1.9040000000000001E-2</v>
      </c>
      <c r="G35" s="1472">
        <f t="shared" si="34"/>
        <v>0.10277</v>
      </c>
      <c r="H35" s="1473">
        <f>'Rates in Detail'!AG34</f>
        <v>1.1509999999999999E-2</v>
      </c>
      <c r="I35" s="1472">
        <f t="shared" si="6"/>
        <v>0.11427999999999999</v>
      </c>
      <c r="J35" s="468">
        <f t="shared" si="7"/>
        <v>303</v>
      </c>
      <c r="K35" s="468">
        <f t="shared" si="8"/>
        <v>371</v>
      </c>
      <c r="L35" s="468">
        <f t="shared" si="9"/>
        <v>413</v>
      </c>
      <c r="M35" s="153"/>
      <c r="N35" s="366"/>
      <c r="O35" s="468"/>
      <c r="P35" s="468"/>
      <c r="Q35" s="468"/>
      <c r="R35" s="469"/>
      <c r="S35" s="902">
        <v>1</v>
      </c>
      <c r="T35" s="265"/>
      <c r="U35" s="472">
        <f t="shared" si="48"/>
        <v>-3.0400000000000002E-3</v>
      </c>
      <c r="V35" s="902">
        <v>1</v>
      </c>
      <c r="W35" s="265"/>
      <c r="X35" s="472">
        <f t="shared" si="49"/>
        <v>-1.6100000000000001E-3</v>
      </c>
      <c r="Y35" s="902">
        <v>1</v>
      </c>
      <c r="Z35" s="265"/>
      <c r="AA35" s="472">
        <f t="shared" si="50"/>
        <v>5.6999999999999998E-4</v>
      </c>
      <c r="AB35" s="902">
        <v>1</v>
      </c>
      <c r="AC35" s="265"/>
      <c r="AD35" s="472">
        <f t="shared" si="42"/>
        <v>-1.6999999999999999E-3</v>
      </c>
      <c r="AE35" s="902">
        <v>1</v>
      </c>
      <c r="AF35" s="265"/>
      <c r="AG35" s="472">
        <f t="shared" si="51"/>
        <v>-3.0400000000000002E-3</v>
      </c>
      <c r="AH35" s="902">
        <v>1</v>
      </c>
      <c r="AI35" s="265"/>
      <c r="AJ35" s="472">
        <f t="shared" si="52"/>
        <v>-1.6199999999999999E-3</v>
      </c>
      <c r="AK35" s="902">
        <v>1</v>
      </c>
      <c r="AL35" s="265"/>
      <c r="AM35" s="472">
        <f t="shared" si="53"/>
        <v>-1.6000000000000001E-4</v>
      </c>
      <c r="AN35" s="1796"/>
      <c r="AO35" s="877"/>
    </row>
    <row r="36" spans="1:68" s="55" customFormat="1" x14ac:dyDescent="0.3">
      <c r="A36" s="85">
        <f t="shared" si="0"/>
        <v>30</v>
      </c>
      <c r="B36" s="709"/>
      <c r="C36" s="710" t="s">
        <v>8</v>
      </c>
      <c r="D36" s="473">
        <f>'WA Volumes &amp; Revenues'!E37</f>
        <v>0</v>
      </c>
      <c r="E36" s="467">
        <f>'Rates in Detail'!E35</f>
        <v>5.5809999999999992E-2</v>
      </c>
      <c r="F36" s="1473">
        <f>'Rates in Detail'!L35+SUM('Rates in Detail'!P35:Q35)</f>
        <v>1.2699999999999999E-2</v>
      </c>
      <c r="G36" s="1472">
        <f t="shared" si="34"/>
        <v>6.8509999999999988E-2</v>
      </c>
      <c r="H36" s="1473">
        <f>'Rates in Detail'!AG35</f>
        <v>7.6699999999999997E-3</v>
      </c>
      <c r="I36" s="1472">
        <f t="shared" si="6"/>
        <v>7.6179999999999984E-2</v>
      </c>
      <c r="J36" s="468">
        <f t="shared" si="7"/>
        <v>0</v>
      </c>
      <c r="K36" s="468">
        <f t="shared" si="8"/>
        <v>0</v>
      </c>
      <c r="L36" s="468">
        <f t="shared" si="9"/>
        <v>0</v>
      </c>
      <c r="M36" s="153"/>
      <c r="N36" s="366"/>
      <c r="O36" s="468"/>
      <c r="P36" s="468"/>
      <c r="Q36" s="468"/>
      <c r="R36" s="469"/>
      <c r="S36" s="902">
        <v>1</v>
      </c>
      <c r="T36" s="265"/>
      <c r="U36" s="472">
        <f t="shared" si="48"/>
        <v>-2.0200000000000001E-3</v>
      </c>
      <c r="V36" s="902">
        <v>1</v>
      </c>
      <c r="W36" s="265"/>
      <c r="X36" s="472">
        <f t="shared" si="49"/>
        <v>-1.08E-3</v>
      </c>
      <c r="Y36" s="902">
        <v>1</v>
      </c>
      <c r="Z36" s="265"/>
      <c r="AA36" s="472">
        <f t="shared" si="50"/>
        <v>3.8000000000000002E-4</v>
      </c>
      <c r="AB36" s="902">
        <v>1</v>
      </c>
      <c r="AC36" s="265"/>
      <c r="AD36" s="472">
        <f t="shared" si="42"/>
        <v>-1.1299999999999999E-3</v>
      </c>
      <c r="AE36" s="902">
        <v>1</v>
      </c>
      <c r="AF36" s="265"/>
      <c r="AG36" s="472">
        <f t="shared" si="51"/>
        <v>-2.0200000000000001E-3</v>
      </c>
      <c r="AH36" s="902">
        <v>1</v>
      </c>
      <c r="AI36" s="265"/>
      <c r="AJ36" s="472">
        <f t="shared" si="52"/>
        <v>-1.08E-3</v>
      </c>
      <c r="AK36" s="902">
        <v>1</v>
      </c>
      <c r="AL36" s="265"/>
      <c r="AM36" s="472">
        <f t="shared" si="53"/>
        <v>-1.1E-4</v>
      </c>
      <c r="AN36" s="1796"/>
      <c r="AO36" s="877"/>
    </row>
    <row r="37" spans="1:68" s="55" customFormat="1" x14ac:dyDescent="0.3">
      <c r="A37" s="85">
        <f t="shared" si="0"/>
        <v>31</v>
      </c>
      <c r="B37" s="707"/>
      <c r="C37" s="711" t="s">
        <v>9</v>
      </c>
      <c r="D37" s="460">
        <f>'WA Volumes &amp; Revenues'!E38</f>
        <v>0</v>
      </c>
      <c r="E37" s="457">
        <f>'Rates in Detail'!E36</f>
        <v>2.0920000000000029E-2</v>
      </c>
      <c r="F37" s="1467">
        <f>'Rates in Detail'!L36+SUM('Rates in Detail'!P36:Q36)</f>
        <v>4.7599999999999995E-3</v>
      </c>
      <c r="G37" s="1468">
        <f t="shared" si="34"/>
        <v>2.5680000000000029E-2</v>
      </c>
      <c r="H37" s="1467">
        <f>'Rates in Detail'!AG36</f>
        <v>2.8800000000000002E-3</v>
      </c>
      <c r="I37" s="1468">
        <f t="shared" si="6"/>
        <v>2.856000000000003E-2</v>
      </c>
      <c r="J37" s="461">
        <f t="shared" si="7"/>
        <v>0</v>
      </c>
      <c r="K37" s="461">
        <f t="shared" si="8"/>
        <v>0</v>
      </c>
      <c r="L37" s="461">
        <f t="shared" si="9"/>
        <v>0</v>
      </c>
      <c r="M37" s="462"/>
      <c r="N37" s="724"/>
      <c r="O37" s="461"/>
      <c r="P37" s="461"/>
      <c r="Q37" s="461"/>
      <c r="R37" s="456"/>
      <c r="S37" s="901">
        <v>1</v>
      </c>
      <c r="T37" s="459"/>
      <c r="U37" s="464">
        <f t="shared" si="48"/>
        <v>-7.6000000000000004E-4</v>
      </c>
      <c r="V37" s="901">
        <v>1</v>
      </c>
      <c r="W37" s="459"/>
      <c r="X37" s="464">
        <f t="shared" si="49"/>
        <v>-4.0000000000000002E-4</v>
      </c>
      <c r="Y37" s="901">
        <v>1</v>
      </c>
      <c r="Z37" s="459"/>
      <c r="AA37" s="464">
        <f t="shared" si="50"/>
        <v>1.3999999999999999E-4</v>
      </c>
      <c r="AB37" s="901">
        <v>1</v>
      </c>
      <c r="AC37" s="459"/>
      <c r="AD37" s="464">
        <f t="shared" si="42"/>
        <v>-4.2000000000000002E-4</v>
      </c>
      <c r="AE37" s="901">
        <v>1</v>
      </c>
      <c r="AF37" s="459"/>
      <c r="AG37" s="464">
        <f t="shared" si="51"/>
        <v>-7.6000000000000004E-4</v>
      </c>
      <c r="AH37" s="901">
        <v>1</v>
      </c>
      <c r="AI37" s="459"/>
      <c r="AJ37" s="464">
        <f t="shared" si="52"/>
        <v>-4.0000000000000002E-4</v>
      </c>
      <c r="AK37" s="901">
        <v>1</v>
      </c>
      <c r="AL37" s="459"/>
      <c r="AM37" s="464">
        <f t="shared" si="53"/>
        <v>-4.0000000000000003E-5</v>
      </c>
      <c r="AN37" s="1796"/>
      <c r="AO37" s="877"/>
    </row>
    <row r="38" spans="1:68" s="55" customFormat="1" x14ac:dyDescent="0.3">
      <c r="A38" s="85">
        <f t="shared" si="0"/>
        <v>32</v>
      </c>
      <c r="B38" s="709" t="str">
        <f>'WA Volumes &amp; Revenues'!B39</f>
        <v>42I Firm Sales</v>
      </c>
      <c r="C38" s="710" t="s">
        <v>4</v>
      </c>
      <c r="D38" s="473">
        <f>'WA Volumes &amp; Revenues'!E39</f>
        <v>1093724.2000000002</v>
      </c>
      <c r="E38" s="467">
        <f>'Rates in Detail'!E37</f>
        <v>0.14721000000000001</v>
      </c>
      <c r="F38" s="1473">
        <f>'Rates in Detail'!L37+SUM('Rates in Detail'!P37:Q37)</f>
        <v>1.3469999999999999E-2</v>
      </c>
      <c r="G38" s="1472">
        <f t="shared" si="34"/>
        <v>0.16068000000000002</v>
      </c>
      <c r="H38" s="1473">
        <f>'Rates in Detail'!AG37</f>
        <v>6.1399999999999996E-3</v>
      </c>
      <c r="I38" s="1472">
        <f t="shared" si="6"/>
        <v>0.16682000000000002</v>
      </c>
      <c r="J38" s="468">
        <f t="shared" si="7"/>
        <v>161007</v>
      </c>
      <c r="K38" s="468">
        <f t="shared" si="8"/>
        <v>175740</v>
      </c>
      <c r="L38" s="468">
        <f t="shared" si="9"/>
        <v>182455</v>
      </c>
      <c r="M38" s="153">
        <f>'WA Volumes &amp; Revenues'!N39</f>
        <v>1300</v>
      </c>
      <c r="N38" s="366">
        <f>'WA Volumes &amp; Revenues'!H39</f>
        <v>11.916666666666666</v>
      </c>
      <c r="O38" s="468">
        <f>ROUND((M38*N38*12)+J38+J39+J40+J41+J42+J43,0)+'Rev Req Proof Yr1'!Y51+'Rev Req Proof Yr1'!Z51</f>
        <v>511671.18216089124</v>
      </c>
      <c r="P38" s="468">
        <f>ROUND((M38*N38*12)+K38+K39+K40+K41+K42+K43,0)+'Rev Req Proof Yr1'!Y51+'Rev Req Proof Yr1'!Z51</f>
        <v>535135.18216089124</v>
      </c>
      <c r="Q38" s="468">
        <f>ROUND((M38*N38*12)+L38+L39+L40+L41+L42+L43,0)+'Rev Req Proof Yr1'!Y51+'Rev Req Proof Yr1'!Z51</f>
        <v>545832.18216089124</v>
      </c>
      <c r="R38" s="469"/>
      <c r="S38" s="902">
        <v>0</v>
      </c>
      <c r="T38" s="474">
        <f>ROUND(+$S$10*(($P38*S38)/S$84),0)</f>
        <v>0</v>
      </c>
      <c r="U38" s="472">
        <f>ROUND(G38*$AR$38,5)</f>
        <v>0</v>
      </c>
      <c r="V38" s="902">
        <v>1</v>
      </c>
      <c r="W38" s="474">
        <f>ROUND(+$V$10*(($P38*V38)/V$84),0)</f>
        <v>-4310</v>
      </c>
      <c r="X38" s="472">
        <f>ROUND(G38*$AV$38,5)</f>
        <v>-2.47E-3</v>
      </c>
      <c r="Y38" s="902">
        <v>1</v>
      </c>
      <c r="Z38" s="474">
        <f t="shared" ref="Z38" si="54">ROUND(+$Y$10*(($P38*Y38)/Y$84),0)</f>
        <v>1520</v>
      </c>
      <c r="AA38" s="472">
        <f>ROUND(G38*$AZ$38,5)</f>
        <v>8.7000000000000001E-4</v>
      </c>
      <c r="AB38" s="902">
        <v>1</v>
      </c>
      <c r="AC38" s="474">
        <f>ROUND(+$AB$10*(($O38*AB38)/AB$84),0)</f>
        <v>-4792</v>
      </c>
      <c r="AD38" s="472">
        <f t="shared" ref="AD38:AD43" si="55">ROUND(E38*$BD$38,5)</f>
        <v>-2.7499999999999998E-3</v>
      </c>
      <c r="AE38" s="902">
        <v>0</v>
      </c>
      <c r="AF38" s="474">
        <f t="shared" ref="AF38" si="56">ROUND(+$AE$10*(($Q38*AE38)/AE$84),0)</f>
        <v>0</v>
      </c>
      <c r="AG38" s="472">
        <f>ROUND(I38*$BH$38,5)</f>
        <v>0</v>
      </c>
      <c r="AH38" s="902">
        <v>1</v>
      </c>
      <c r="AI38" s="474">
        <f t="shared" ref="AI38" si="57">ROUND(+$AH$10*(($Q38*AH38)/AH$84),0)</f>
        <v>-4167</v>
      </c>
      <c r="AJ38" s="472">
        <f>ROUND(I38*$BL$38,5)</f>
        <v>-2.3900000000000002E-3</v>
      </c>
      <c r="AK38" s="902">
        <v>1</v>
      </c>
      <c r="AL38" s="474">
        <f t="shared" ref="AL38" si="58">ROUND(+$AK$10*(($Q38*AK38)/AK$84),0)</f>
        <v>-424</v>
      </c>
      <c r="AM38" s="472">
        <f>ROUND(I38*$BP$38,5)</f>
        <v>-2.4000000000000001E-4</v>
      </c>
      <c r="AN38" s="1796"/>
      <c r="AO38" s="877"/>
      <c r="AQ38" s="427">
        <f>T38/P38</f>
        <v>0</v>
      </c>
      <c r="AR38" s="427">
        <f>T38/SUM($K$38:$K$43)</f>
        <v>0</v>
      </c>
      <c r="AU38" s="427">
        <f t="shared" ref="AU38" si="59">W38/P38</f>
        <v>-8.0540396962802858E-3</v>
      </c>
      <c r="AV38" s="427">
        <f>W38/SUM($K$38:$K$43)</f>
        <v>-1.5400227251613273E-2</v>
      </c>
      <c r="AY38" s="427">
        <f t="shared" ref="AY38" si="60">Z38/P38</f>
        <v>2.8404037907995439E-3</v>
      </c>
      <c r="AZ38" s="427">
        <f>Z38/SUM($K$38:$K$43)</f>
        <v>5.4311706316594374E-3</v>
      </c>
      <c r="BC38" s="427">
        <f>AC38/O38</f>
        <v>-9.3653896624828689E-3</v>
      </c>
      <c r="BD38" s="427">
        <f>AC38/SUM($J$38:$J$43)</f>
        <v>-1.8689401798737921E-2</v>
      </c>
      <c r="BG38" s="427">
        <f t="shared" ref="BG38" si="61">AF38/Q38</f>
        <v>0</v>
      </c>
      <c r="BH38" s="427">
        <f>AF38/SUM($L$38:$L$43)</f>
        <v>0</v>
      </c>
      <c r="BK38" s="427">
        <f t="shared" ref="BK38" si="62">AI38/Q38</f>
        <v>-7.6342145739800331E-3</v>
      </c>
      <c r="BL38" s="427">
        <f>AI38/SUM($L$38:$L$43)</f>
        <v>-1.4341123955906292E-2</v>
      </c>
      <c r="BO38" s="427">
        <f t="shared" ref="BO38" si="63">AL38/Q38</f>
        <v>-7.7679553140569564E-4</v>
      </c>
      <c r="BP38" s="427">
        <f>AL38/SUM($L$38:$L$43)</f>
        <v>-1.4592360348702348E-3</v>
      </c>
    </row>
    <row r="39" spans="1:68" s="55" customFormat="1" x14ac:dyDescent="0.3">
      <c r="A39" s="85">
        <f t="shared" si="0"/>
        <v>33</v>
      </c>
      <c r="B39" s="709"/>
      <c r="C39" s="710" t="s">
        <v>5</v>
      </c>
      <c r="D39" s="473">
        <f>'WA Volumes &amp; Revenues'!E40</f>
        <v>655939.80000000005</v>
      </c>
      <c r="E39" s="467">
        <f>'Rates in Detail'!E38</f>
        <v>0.13177</v>
      </c>
      <c r="F39" s="1473">
        <f>'Rates in Detail'!L38+SUM('Rates in Detail'!P38:Q38)</f>
        <v>1.206E-2</v>
      </c>
      <c r="G39" s="1472">
        <f t="shared" si="34"/>
        <v>0.14382999999999999</v>
      </c>
      <c r="H39" s="1473">
        <f>'Rates in Detail'!AG38</f>
        <v>5.4999999999999997E-3</v>
      </c>
      <c r="I39" s="1472">
        <f t="shared" si="6"/>
        <v>0.14932999999999999</v>
      </c>
      <c r="J39" s="468">
        <f t="shared" si="7"/>
        <v>86433</v>
      </c>
      <c r="K39" s="468">
        <f t="shared" si="8"/>
        <v>94344</v>
      </c>
      <c r="L39" s="468">
        <f t="shared" si="9"/>
        <v>97951</v>
      </c>
      <c r="M39" s="153"/>
      <c r="N39" s="366"/>
      <c r="O39" s="468"/>
      <c r="P39" s="468"/>
      <c r="Q39" s="468"/>
      <c r="R39" s="469"/>
      <c r="S39" s="902">
        <v>0</v>
      </c>
      <c r="T39" s="265"/>
      <c r="U39" s="472">
        <f t="shared" ref="U39:U43" si="64">ROUND(G39*$AR$38,5)</f>
        <v>0</v>
      </c>
      <c r="V39" s="902">
        <v>1</v>
      </c>
      <c r="W39" s="265"/>
      <c r="X39" s="472">
        <f t="shared" ref="X39:X43" si="65">ROUND(G39*$AV$38,5)</f>
        <v>-2.2200000000000002E-3</v>
      </c>
      <c r="Y39" s="902">
        <v>1</v>
      </c>
      <c r="Z39" s="265"/>
      <c r="AA39" s="472">
        <f t="shared" ref="AA39:AA43" si="66">ROUND(G39*$AZ$38,5)</f>
        <v>7.7999999999999999E-4</v>
      </c>
      <c r="AB39" s="902">
        <v>1</v>
      </c>
      <c r="AC39" s="265"/>
      <c r="AD39" s="472">
        <f t="shared" si="55"/>
        <v>-2.4599999999999999E-3</v>
      </c>
      <c r="AE39" s="902">
        <v>0</v>
      </c>
      <c r="AF39" s="265"/>
      <c r="AG39" s="472">
        <f t="shared" ref="AG39:AG43" si="67">ROUND(I39*$BH$38,5)</f>
        <v>0</v>
      </c>
      <c r="AH39" s="902">
        <v>1</v>
      </c>
      <c r="AI39" s="265"/>
      <c r="AJ39" s="472">
        <f t="shared" ref="AJ39:AJ43" si="68">ROUND(I39*$BL$38,5)</f>
        <v>-2.14E-3</v>
      </c>
      <c r="AK39" s="902">
        <v>1</v>
      </c>
      <c r="AL39" s="265"/>
      <c r="AM39" s="472">
        <f t="shared" ref="AM39:AM43" si="69">ROUND(I39*$BP$38,5)</f>
        <v>-2.2000000000000001E-4</v>
      </c>
      <c r="AN39" s="1796"/>
      <c r="AO39" s="877"/>
    </row>
    <row r="40" spans="1:68" s="55" customFormat="1" x14ac:dyDescent="0.3">
      <c r="A40" s="85">
        <f t="shared" si="0"/>
        <v>34</v>
      </c>
      <c r="B40" s="709"/>
      <c r="C40" s="710" t="s">
        <v>6</v>
      </c>
      <c r="D40" s="473">
        <f>'WA Volumes &amp; Revenues'!E41</f>
        <v>81241.3</v>
      </c>
      <c r="E40" s="467">
        <f>'Rates in Detail'!E39</f>
        <v>0.10104999999999985</v>
      </c>
      <c r="F40" s="1473">
        <f>'Rates in Detail'!L39+SUM('Rates in Detail'!P39:Q39)</f>
        <v>9.2399999999999999E-3</v>
      </c>
      <c r="G40" s="1472">
        <f t="shared" si="34"/>
        <v>0.11028999999999985</v>
      </c>
      <c r="H40" s="1473">
        <f>'Rates in Detail'!AG39</f>
        <v>4.2199999999999998E-3</v>
      </c>
      <c r="I40" s="1472">
        <f t="shared" si="6"/>
        <v>0.11450999999999985</v>
      </c>
      <c r="J40" s="468">
        <f t="shared" si="7"/>
        <v>8209</v>
      </c>
      <c r="K40" s="468">
        <f t="shared" si="8"/>
        <v>8960</v>
      </c>
      <c r="L40" s="468">
        <f t="shared" si="9"/>
        <v>9303</v>
      </c>
      <c r="M40" s="153"/>
      <c r="N40" s="366"/>
      <c r="O40" s="468"/>
      <c r="P40" s="468"/>
      <c r="Q40" s="468"/>
      <c r="R40" s="469"/>
      <c r="S40" s="902">
        <v>0</v>
      </c>
      <c r="T40" s="265"/>
      <c r="U40" s="472">
        <f t="shared" si="64"/>
        <v>0</v>
      </c>
      <c r="V40" s="902">
        <v>1</v>
      </c>
      <c r="W40" s="265"/>
      <c r="X40" s="472">
        <f t="shared" si="65"/>
        <v>-1.6999999999999999E-3</v>
      </c>
      <c r="Y40" s="902">
        <v>1</v>
      </c>
      <c r="Z40" s="265"/>
      <c r="AA40" s="472">
        <f t="shared" si="66"/>
        <v>5.9999999999999995E-4</v>
      </c>
      <c r="AB40" s="902">
        <v>1</v>
      </c>
      <c r="AC40" s="265"/>
      <c r="AD40" s="472">
        <f t="shared" si="55"/>
        <v>-1.89E-3</v>
      </c>
      <c r="AE40" s="902">
        <v>0</v>
      </c>
      <c r="AF40" s="265"/>
      <c r="AG40" s="472">
        <f t="shared" si="67"/>
        <v>0</v>
      </c>
      <c r="AH40" s="902">
        <v>1</v>
      </c>
      <c r="AI40" s="265"/>
      <c r="AJ40" s="472">
        <f t="shared" si="68"/>
        <v>-1.64E-3</v>
      </c>
      <c r="AK40" s="902">
        <v>1</v>
      </c>
      <c r="AL40" s="265"/>
      <c r="AM40" s="472">
        <f t="shared" si="69"/>
        <v>-1.7000000000000001E-4</v>
      </c>
      <c r="AN40" s="1796"/>
      <c r="AO40" s="877"/>
    </row>
    <row r="41" spans="1:68" s="55" customFormat="1" x14ac:dyDescent="0.3">
      <c r="A41" s="85">
        <f t="shared" si="0"/>
        <v>35</v>
      </c>
      <c r="B41" s="709"/>
      <c r="C41" s="710" t="s">
        <v>7</v>
      </c>
      <c r="D41" s="473">
        <f>'WA Volumes &amp; Revenues'!E42</f>
        <v>9320.1</v>
      </c>
      <c r="E41" s="467">
        <f>'Rates in Detail'!E40</f>
        <v>8.0839999999999995E-2</v>
      </c>
      <c r="F41" s="1473">
        <f>'Rates in Detail'!L40+SUM('Rates in Detail'!P40:Q40)</f>
        <v>7.3999999999999995E-3</v>
      </c>
      <c r="G41" s="1472">
        <f t="shared" si="34"/>
        <v>8.8239999999999999E-2</v>
      </c>
      <c r="H41" s="1473">
        <f>'Rates in Detail'!AG40</f>
        <v>3.3700000000000002E-3</v>
      </c>
      <c r="I41" s="1472">
        <f t="shared" si="6"/>
        <v>9.1609999999999997E-2</v>
      </c>
      <c r="J41" s="468">
        <f t="shared" si="7"/>
        <v>753</v>
      </c>
      <c r="K41" s="468">
        <f t="shared" si="8"/>
        <v>822</v>
      </c>
      <c r="L41" s="468">
        <f t="shared" si="9"/>
        <v>854</v>
      </c>
      <c r="M41" s="153"/>
      <c r="N41" s="366"/>
      <c r="O41" s="468"/>
      <c r="P41" s="468"/>
      <c r="Q41" s="468"/>
      <c r="R41" s="469"/>
      <c r="S41" s="902">
        <v>0</v>
      </c>
      <c r="T41" s="265"/>
      <c r="U41" s="472">
        <f t="shared" si="64"/>
        <v>0</v>
      </c>
      <c r="V41" s="902">
        <v>1</v>
      </c>
      <c r="W41" s="265"/>
      <c r="X41" s="472">
        <f t="shared" si="65"/>
        <v>-1.3600000000000001E-3</v>
      </c>
      <c r="Y41" s="902">
        <v>1</v>
      </c>
      <c r="Z41" s="265"/>
      <c r="AA41" s="472">
        <f t="shared" si="66"/>
        <v>4.8000000000000001E-4</v>
      </c>
      <c r="AB41" s="902">
        <v>1</v>
      </c>
      <c r="AC41" s="265"/>
      <c r="AD41" s="472">
        <f t="shared" si="55"/>
        <v>-1.5100000000000001E-3</v>
      </c>
      <c r="AE41" s="902">
        <v>0</v>
      </c>
      <c r="AF41" s="265"/>
      <c r="AG41" s="472">
        <f t="shared" si="67"/>
        <v>0</v>
      </c>
      <c r="AH41" s="902">
        <v>1</v>
      </c>
      <c r="AI41" s="265"/>
      <c r="AJ41" s="472">
        <f t="shared" si="68"/>
        <v>-1.31E-3</v>
      </c>
      <c r="AK41" s="902">
        <v>1</v>
      </c>
      <c r="AL41" s="265"/>
      <c r="AM41" s="472">
        <f t="shared" si="69"/>
        <v>-1.2999999999999999E-4</v>
      </c>
      <c r="AN41" s="1796"/>
      <c r="AO41" s="877"/>
    </row>
    <row r="42" spans="1:68" s="55" customFormat="1" x14ac:dyDescent="0.3">
      <c r="A42" s="85">
        <f t="shared" si="0"/>
        <v>36</v>
      </c>
      <c r="B42" s="709"/>
      <c r="C42" s="710" t="s">
        <v>8</v>
      </c>
      <c r="D42" s="473">
        <f>'WA Volumes &amp; Revenues'!E43</f>
        <v>0</v>
      </c>
      <c r="E42" s="467">
        <f>'Rates in Detail'!E41</f>
        <v>5.391E-2</v>
      </c>
      <c r="F42" s="1471">
        <f>'Rates in Detail'!L41+SUM('Rates in Detail'!P41:Q41)</f>
        <v>4.9300000000000004E-3</v>
      </c>
      <c r="G42" s="1472">
        <f t="shared" si="34"/>
        <v>5.8840000000000003E-2</v>
      </c>
      <c r="H42" s="1471">
        <f>'Rates in Detail'!AG41</f>
        <v>2.2499999999999998E-3</v>
      </c>
      <c r="I42" s="1472">
        <f t="shared" si="6"/>
        <v>6.1090000000000005E-2</v>
      </c>
      <c r="J42" s="468">
        <f t="shared" si="7"/>
        <v>0</v>
      </c>
      <c r="K42" s="468">
        <f t="shared" si="8"/>
        <v>0</v>
      </c>
      <c r="L42" s="468">
        <f t="shared" si="9"/>
        <v>0</v>
      </c>
      <c r="M42" s="153"/>
      <c r="N42" s="366"/>
      <c r="O42" s="468"/>
      <c r="P42" s="468"/>
      <c r="Q42" s="468"/>
      <c r="R42" s="469"/>
      <c r="S42" s="902">
        <v>0</v>
      </c>
      <c r="T42" s="265"/>
      <c r="U42" s="472">
        <f t="shared" si="64"/>
        <v>0</v>
      </c>
      <c r="V42" s="902">
        <v>1</v>
      </c>
      <c r="W42" s="265"/>
      <c r="X42" s="472">
        <f t="shared" si="65"/>
        <v>-9.1E-4</v>
      </c>
      <c r="Y42" s="902">
        <v>1</v>
      </c>
      <c r="Z42" s="265"/>
      <c r="AA42" s="472">
        <f t="shared" si="66"/>
        <v>3.2000000000000003E-4</v>
      </c>
      <c r="AB42" s="902">
        <v>1</v>
      </c>
      <c r="AC42" s="265"/>
      <c r="AD42" s="472">
        <f t="shared" si="55"/>
        <v>-1.01E-3</v>
      </c>
      <c r="AE42" s="902">
        <v>0</v>
      </c>
      <c r="AF42" s="265"/>
      <c r="AG42" s="472">
        <f t="shared" si="67"/>
        <v>0</v>
      </c>
      <c r="AH42" s="902">
        <v>1</v>
      </c>
      <c r="AI42" s="265"/>
      <c r="AJ42" s="472">
        <f t="shared" si="68"/>
        <v>-8.8000000000000003E-4</v>
      </c>
      <c r="AK42" s="902">
        <v>1</v>
      </c>
      <c r="AL42" s="265"/>
      <c r="AM42" s="472">
        <f t="shared" si="69"/>
        <v>-9.0000000000000006E-5</v>
      </c>
      <c r="AN42" s="1796"/>
      <c r="AO42" s="877"/>
    </row>
    <row r="43" spans="1:68" s="55" customFormat="1" x14ac:dyDescent="0.3">
      <c r="A43" s="85">
        <f t="shared" si="0"/>
        <v>37</v>
      </c>
      <c r="B43" s="707"/>
      <c r="C43" s="711" t="s">
        <v>9</v>
      </c>
      <c r="D43" s="460">
        <f>'WA Volumes &amp; Revenues'!E44</f>
        <v>0</v>
      </c>
      <c r="E43" s="457">
        <f>'Rates in Detail'!E42</f>
        <v>2.0199999999999999E-2</v>
      </c>
      <c r="F43" s="1469">
        <f>'Rates in Detail'!L42+SUM('Rates in Detail'!P42:Q42)</f>
        <v>1.8500000000000001E-3</v>
      </c>
      <c r="G43" s="1468">
        <f t="shared" si="34"/>
        <v>2.205E-2</v>
      </c>
      <c r="H43" s="1469">
        <f>'Rates in Detail'!AG42</f>
        <v>8.4000000000000003E-4</v>
      </c>
      <c r="I43" s="1468">
        <f t="shared" si="6"/>
        <v>2.2890000000000001E-2</v>
      </c>
      <c r="J43" s="461">
        <f t="shared" si="7"/>
        <v>0</v>
      </c>
      <c r="K43" s="461">
        <f t="shared" si="8"/>
        <v>0</v>
      </c>
      <c r="L43" s="461">
        <f t="shared" si="9"/>
        <v>0</v>
      </c>
      <c r="M43" s="462"/>
      <c r="N43" s="724"/>
      <c r="O43" s="461"/>
      <c r="P43" s="461"/>
      <c r="Q43" s="461"/>
      <c r="R43" s="456"/>
      <c r="S43" s="901">
        <v>0</v>
      </c>
      <c r="T43" s="459"/>
      <c r="U43" s="464">
        <f t="shared" si="64"/>
        <v>0</v>
      </c>
      <c r="V43" s="901">
        <v>1</v>
      </c>
      <c r="W43" s="459"/>
      <c r="X43" s="464">
        <f t="shared" si="65"/>
        <v>-3.4000000000000002E-4</v>
      </c>
      <c r="Y43" s="901">
        <v>1</v>
      </c>
      <c r="Z43" s="459"/>
      <c r="AA43" s="464">
        <f t="shared" si="66"/>
        <v>1.2E-4</v>
      </c>
      <c r="AB43" s="901">
        <v>1</v>
      </c>
      <c r="AC43" s="459"/>
      <c r="AD43" s="464">
        <f t="shared" si="55"/>
        <v>-3.8000000000000002E-4</v>
      </c>
      <c r="AE43" s="901">
        <v>0</v>
      </c>
      <c r="AF43" s="459"/>
      <c r="AG43" s="464">
        <f t="shared" si="67"/>
        <v>0</v>
      </c>
      <c r="AH43" s="901">
        <v>1</v>
      </c>
      <c r="AI43" s="459"/>
      <c r="AJ43" s="464">
        <f t="shared" si="68"/>
        <v>-3.3E-4</v>
      </c>
      <c r="AK43" s="901">
        <v>1</v>
      </c>
      <c r="AL43" s="459"/>
      <c r="AM43" s="464">
        <f t="shared" si="69"/>
        <v>-3.0000000000000001E-5</v>
      </c>
      <c r="AN43" s="1796"/>
      <c r="AO43" s="877"/>
    </row>
    <row r="44" spans="1:68" s="55" customFormat="1" x14ac:dyDescent="0.3">
      <c r="A44" s="85">
        <f t="shared" si="0"/>
        <v>38</v>
      </c>
      <c r="B44" s="709" t="str">
        <f>'WA Volumes &amp; Revenues'!B45</f>
        <v>42C Firm Transpt</v>
      </c>
      <c r="C44" s="710" t="s">
        <v>4</v>
      </c>
      <c r="D44" s="473">
        <f>'WA Volumes &amp; Revenues'!E45</f>
        <v>480000</v>
      </c>
      <c r="E44" s="467">
        <f>'Rates in Detail'!E43</f>
        <v>0.13791999999999999</v>
      </c>
      <c r="F44" s="1471">
        <f>'Rates in Detail'!L43+SUM('Rates in Detail'!P43:Q43)</f>
        <v>1.12E-2</v>
      </c>
      <c r="G44" s="1472">
        <f t="shared" si="34"/>
        <v>0.14911999999999997</v>
      </c>
      <c r="H44" s="1471">
        <f>'Rates in Detail'!AG43</f>
        <v>5.94E-3</v>
      </c>
      <c r="I44" s="1472">
        <f t="shared" si="6"/>
        <v>0.15505999999999998</v>
      </c>
      <c r="J44" s="468">
        <f t="shared" si="7"/>
        <v>66202</v>
      </c>
      <c r="K44" s="468">
        <f t="shared" si="8"/>
        <v>71578</v>
      </c>
      <c r="L44" s="468">
        <f t="shared" si="9"/>
        <v>74429</v>
      </c>
      <c r="M44" s="153">
        <f>'WA Volumes &amp; Revenues'!N45</f>
        <v>1550</v>
      </c>
      <c r="N44" s="366">
        <f>'WA Volumes &amp; Revenues'!H45</f>
        <v>4</v>
      </c>
      <c r="O44" s="468">
        <f>ROUND((M44*N44*12)+J44+J45+J46+J47+J48+J49,0)+'Rev Req Proof Yr1'!Y58+'Rev Req Proof Yr1'!Z58</f>
        <v>360784.79504</v>
      </c>
      <c r="P44" s="468">
        <f>ROUND((M44*N44*12)+K44+K45+K46+K47+K48+K49,0)+'Rev Req Proof Yr1'!Y58+'Rev Req Proof Yr1'!Z58</f>
        <v>382428.79504</v>
      </c>
      <c r="Q44" s="468">
        <f>ROUND((M44*N44*12)+L44+L45+L46+L47+L48+L49,0)+'Rev Req Proof Yr1'!Y58+'Rev Req Proof Yr1'!Z58</f>
        <v>393897.79504</v>
      </c>
      <c r="R44" s="469"/>
      <c r="S44" s="902">
        <v>0</v>
      </c>
      <c r="T44" s="474">
        <f>ROUND(+$S$10*(($P44*S44)/S$84),0)</f>
        <v>0</v>
      </c>
      <c r="U44" s="472">
        <f>ROUND(G44*$AR$44,5)</f>
        <v>0</v>
      </c>
      <c r="V44" s="902">
        <v>1</v>
      </c>
      <c r="W44" s="474">
        <f>ROUND(+$V$10*(($P44*V44)/V$84),0)</f>
        <v>-3080</v>
      </c>
      <c r="X44" s="472">
        <f>ROUND(G44*$AV$44,5)</f>
        <v>-1.5900000000000001E-3</v>
      </c>
      <c r="Y44" s="902">
        <v>1</v>
      </c>
      <c r="Z44" s="474">
        <f t="shared" ref="Z44" si="70">ROUND(+$Y$10*(($P44*Y44)/Y$84),0)</f>
        <v>1086</v>
      </c>
      <c r="AA44" s="472">
        <f>ROUND(G44*$AZ$44,5)</f>
        <v>5.5999999999999995E-4</v>
      </c>
      <c r="AB44" s="902">
        <v>1</v>
      </c>
      <c r="AC44" s="474">
        <f>ROUND(+$AB$10*(($O44*AB44)/AB$84),0)</f>
        <v>-3379</v>
      </c>
      <c r="AD44" s="472">
        <f t="shared" ref="AD44:AD49" si="71">ROUND(E44*$BD$44,5)</f>
        <v>-1.75E-3</v>
      </c>
      <c r="AE44" s="902">
        <v>0</v>
      </c>
      <c r="AF44" s="474">
        <f t="shared" ref="AF44" si="72">ROUND(+$AE$10*(($Q44*AE44)/AE$84),0)</f>
        <v>0</v>
      </c>
      <c r="AG44" s="472">
        <f>ROUND(I44*$BH$44,5)</f>
        <v>0</v>
      </c>
      <c r="AH44" s="902">
        <v>1</v>
      </c>
      <c r="AI44" s="474">
        <f t="shared" ref="AI44" si="73">ROUND(+$AH$10*(($Q44*AH44)/AH$84),0)</f>
        <v>-3007</v>
      </c>
      <c r="AJ44" s="472">
        <f>ROUND(I44*$BL$44,5)</f>
        <v>-1.56E-3</v>
      </c>
      <c r="AK44" s="902">
        <v>1</v>
      </c>
      <c r="AL44" s="474">
        <f t="shared" ref="AL44" si="74">ROUND(+$AK$10*(($Q44*AK44)/AK$84),0)</f>
        <v>-306</v>
      </c>
      <c r="AM44" s="472">
        <f>ROUND(I44*$BP$44,5)</f>
        <v>-1.6000000000000001E-4</v>
      </c>
      <c r="AN44" s="1796"/>
      <c r="AO44" s="877"/>
      <c r="AQ44" s="427">
        <f>T44/P44</f>
        <v>0</v>
      </c>
      <c r="AR44" s="1496">
        <f>T44/SUM($K$44:$K$49)</f>
        <v>0</v>
      </c>
      <c r="AU44" s="427">
        <f t="shared" ref="AU44" si="75">W44/P44</f>
        <v>-8.0537868485500638E-3</v>
      </c>
      <c r="AV44" s="427">
        <f>W44/SUM($K$44:$K$49)</f>
        <v>-1.0686058856591702E-2</v>
      </c>
      <c r="AY44" s="427">
        <f t="shared" ref="AY44" si="76">Z44/P44</f>
        <v>2.8397443238718733E-3</v>
      </c>
      <c r="AZ44" s="427">
        <f>Z44/SUM($K$44:$K$49)</f>
        <v>3.7678765968372041E-3</v>
      </c>
      <c r="BC44" s="427">
        <f>AC44/O44</f>
        <v>-9.365694027170331E-3</v>
      </c>
      <c r="BD44" s="427">
        <f>AC44/SUM($J$44:$J$49)</f>
        <v>-1.2675274399621879E-2</v>
      </c>
      <c r="BG44" s="427">
        <f t="shared" ref="BG44" si="77">AF44/Q44</f>
        <v>0</v>
      </c>
      <c r="BH44" s="427">
        <f>AF44/SUM($L$44:$L$49)</f>
        <v>0</v>
      </c>
      <c r="BK44" s="427">
        <f t="shared" ref="BK44" si="78">AI44/Q44</f>
        <v>-7.6339599709986739E-3</v>
      </c>
      <c r="BL44" s="427">
        <f>AI44/SUM($L$44:$L$49)</f>
        <v>-1.0033534092994545E-2</v>
      </c>
      <c r="BO44" s="427">
        <f t="shared" ref="BO44" si="79">AL44/Q44</f>
        <v>-7.76851264092316E-4</v>
      </c>
      <c r="BP44" s="427">
        <f>AL44/SUM($L$44:$L$49)</f>
        <v>-1.021038055356279E-3</v>
      </c>
    </row>
    <row r="45" spans="1:68" s="55" customFormat="1" x14ac:dyDescent="0.3">
      <c r="A45" s="85">
        <f t="shared" si="0"/>
        <v>39</v>
      </c>
      <c r="B45" s="709"/>
      <c r="C45" s="710" t="s">
        <v>5</v>
      </c>
      <c r="D45" s="473">
        <f>'WA Volumes &amp; Revenues'!E46</f>
        <v>807846</v>
      </c>
      <c r="E45" s="467">
        <f>'Rates in Detail'!E44</f>
        <v>0.12346999999999998</v>
      </c>
      <c r="F45" s="1471">
        <f>'Rates in Detail'!L44+SUM('Rates in Detail'!P44:Q44)</f>
        <v>1.0019999999999999E-2</v>
      </c>
      <c r="G45" s="1472">
        <f t="shared" si="34"/>
        <v>0.13348999999999997</v>
      </c>
      <c r="H45" s="1471">
        <f>'Rates in Detail'!AG44</f>
        <v>5.3099999999999996E-3</v>
      </c>
      <c r="I45" s="1472">
        <f t="shared" si="6"/>
        <v>0.13879999999999998</v>
      </c>
      <c r="J45" s="468">
        <f t="shared" si="7"/>
        <v>99745</v>
      </c>
      <c r="K45" s="468">
        <f t="shared" si="8"/>
        <v>107839</v>
      </c>
      <c r="L45" s="468">
        <f t="shared" si="9"/>
        <v>112129</v>
      </c>
      <c r="M45" s="153"/>
      <c r="N45" s="366"/>
      <c r="O45" s="468"/>
      <c r="P45" s="468"/>
      <c r="Q45" s="468"/>
      <c r="R45" s="469"/>
      <c r="S45" s="902">
        <v>0</v>
      </c>
      <c r="T45" s="265"/>
      <c r="U45" s="472">
        <f t="shared" ref="U45:U49" si="80">ROUND(G45*$AR$44,5)</f>
        <v>0</v>
      </c>
      <c r="V45" s="902">
        <v>1</v>
      </c>
      <c r="W45" s="265"/>
      <c r="X45" s="472">
        <f t="shared" ref="X45:X49" si="81">ROUND(G45*$AV$44,5)</f>
        <v>-1.4300000000000001E-3</v>
      </c>
      <c r="Y45" s="902">
        <v>1</v>
      </c>
      <c r="Z45" s="265"/>
      <c r="AA45" s="472">
        <f t="shared" ref="AA45:AA49" si="82">ROUND(G45*$AZ$44,5)</f>
        <v>5.0000000000000001E-4</v>
      </c>
      <c r="AB45" s="902">
        <v>1</v>
      </c>
      <c r="AC45" s="265"/>
      <c r="AD45" s="472">
        <f t="shared" si="71"/>
        <v>-1.57E-3</v>
      </c>
      <c r="AE45" s="902">
        <v>0</v>
      </c>
      <c r="AF45" s="265"/>
      <c r="AG45" s="472">
        <f t="shared" ref="AG45:AG49" si="83">ROUND(I45*$BH$44,5)</f>
        <v>0</v>
      </c>
      <c r="AH45" s="902">
        <v>1</v>
      </c>
      <c r="AI45" s="265"/>
      <c r="AJ45" s="472">
        <f t="shared" ref="AJ45:AJ49" si="84">ROUND(I45*$BL$44,5)</f>
        <v>-1.39E-3</v>
      </c>
      <c r="AK45" s="902">
        <v>1</v>
      </c>
      <c r="AL45" s="265"/>
      <c r="AM45" s="472">
        <f t="shared" ref="AM45:AM49" si="85">ROUND(I45*$BP$44,5)</f>
        <v>-1.3999999999999999E-4</v>
      </c>
      <c r="AN45" s="1796"/>
      <c r="AO45" s="877"/>
    </row>
    <row r="46" spans="1:68" s="55" customFormat="1" x14ac:dyDescent="0.3">
      <c r="A46" s="85">
        <f t="shared" si="0"/>
        <v>40</v>
      </c>
      <c r="B46" s="709"/>
      <c r="C46" s="710" t="s">
        <v>6</v>
      </c>
      <c r="D46" s="473">
        <f>'WA Volumes &amp; Revenues'!E47</f>
        <v>583779</v>
      </c>
      <c r="E46" s="467">
        <f>'Rates in Detail'!E45</f>
        <v>9.4670000000000004E-2</v>
      </c>
      <c r="F46" s="1471">
        <f>'Rates in Detail'!L45+SUM('Rates in Detail'!P45:Q45)</f>
        <v>7.6900000000000007E-3</v>
      </c>
      <c r="G46" s="1472">
        <f t="shared" si="34"/>
        <v>0.10236000000000001</v>
      </c>
      <c r="H46" s="1471">
        <f>'Rates in Detail'!AG45</f>
        <v>4.0699999999999998E-3</v>
      </c>
      <c r="I46" s="1472">
        <f t="shared" si="6"/>
        <v>0.10643000000000001</v>
      </c>
      <c r="J46" s="468">
        <f t="shared" si="7"/>
        <v>55266</v>
      </c>
      <c r="K46" s="468">
        <f t="shared" si="8"/>
        <v>59756</v>
      </c>
      <c r="L46" s="468">
        <f t="shared" si="9"/>
        <v>62132</v>
      </c>
      <c r="M46" s="153"/>
      <c r="N46" s="366"/>
      <c r="O46" s="468"/>
      <c r="P46" s="468"/>
      <c r="Q46" s="468"/>
      <c r="R46" s="469"/>
      <c r="S46" s="902">
        <v>0</v>
      </c>
      <c r="T46" s="265"/>
      <c r="U46" s="472">
        <f t="shared" si="80"/>
        <v>0</v>
      </c>
      <c r="V46" s="902">
        <v>1</v>
      </c>
      <c r="W46" s="265"/>
      <c r="X46" s="472">
        <f t="shared" si="81"/>
        <v>-1.09E-3</v>
      </c>
      <c r="Y46" s="902">
        <v>1</v>
      </c>
      <c r="Z46" s="265"/>
      <c r="AA46" s="472">
        <f t="shared" si="82"/>
        <v>3.8999999999999999E-4</v>
      </c>
      <c r="AB46" s="902">
        <v>1</v>
      </c>
      <c r="AC46" s="265"/>
      <c r="AD46" s="472">
        <f t="shared" si="71"/>
        <v>-1.1999999999999999E-3</v>
      </c>
      <c r="AE46" s="902">
        <v>0</v>
      </c>
      <c r="AF46" s="265"/>
      <c r="AG46" s="472">
        <f t="shared" si="83"/>
        <v>0</v>
      </c>
      <c r="AH46" s="902">
        <v>1</v>
      </c>
      <c r="AI46" s="265"/>
      <c r="AJ46" s="472">
        <f t="shared" si="84"/>
        <v>-1.07E-3</v>
      </c>
      <c r="AK46" s="902">
        <v>1</v>
      </c>
      <c r="AL46" s="265"/>
      <c r="AM46" s="472">
        <f t="shared" si="85"/>
        <v>-1.1E-4</v>
      </c>
      <c r="AN46" s="1796"/>
      <c r="AO46" s="877"/>
    </row>
    <row r="47" spans="1:68" s="55" customFormat="1" x14ac:dyDescent="0.3">
      <c r="A47" s="85">
        <f t="shared" si="0"/>
        <v>41</v>
      </c>
      <c r="B47" s="709"/>
      <c r="C47" s="710" t="s">
        <v>7</v>
      </c>
      <c r="D47" s="473">
        <f>'WA Volumes &amp; Revenues'!E48</f>
        <v>598933</v>
      </c>
      <c r="E47" s="467">
        <f>'Rates in Detail'!E46</f>
        <v>7.5750000000000012E-2</v>
      </c>
      <c r="F47" s="1471">
        <f>'Rates in Detail'!L46+SUM('Rates in Detail'!P46:Q46)</f>
        <v>6.1500000000000001E-3</v>
      </c>
      <c r="G47" s="1472">
        <f t="shared" si="34"/>
        <v>8.1900000000000014E-2</v>
      </c>
      <c r="H47" s="1471">
        <f>'Rates in Detail'!AG46</f>
        <v>3.2599999999999999E-3</v>
      </c>
      <c r="I47" s="1472">
        <f t="shared" si="6"/>
        <v>8.5160000000000013E-2</v>
      </c>
      <c r="J47" s="468">
        <f t="shared" si="7"/>
        <v>45369</v>
      </c>
      <c r="K47" s="468">
        <f t="shared" si="8"/>
        <v>49053</v>
      </c>
      <c r="L47" s="468">
        <f t="shared" si="9"/>
        <v>51005</v>
      </c>
      <c r="M47" s="153"/>
      <c r="N47" s="366"/>
      <c r="O47" s="468"/>
      <c r="P47" s="468"/>
      <c r="Q47" s="468"/>
      <c r="R47" s="469"/>
      <c r="S47" s="902">
        <v>0</v>
      </c>
      <c r="T47" s="265"/>
      <c r="U47" s="472">
        <f t="shared" si="80"/>
        <v>0</v>
      </c>
      <c r="V47" s="902">
        <v>1</v>
      </c>
      <c r="W47" s="265"/>
      <c r="X47" s="472">
        <f t="shared" si="81"/>
        <v>-8.8000000000000003E-4</v>
      </c>
      <c r="Y47" s="902">
        <v>1</v>
      </c>
      <c r="Z47" s="265"/>
      <c r="AA47" s="472">
        <f t="shared" si="82"/>
        <v>3.1E-4</v>
      </c>
      <c r="AB47" s="902">
        <v>1</v>
      </c>
      <c r="AC47" s="265"/>
      <c r="AD47" s="472">
        <f t="shared" si="71"/>
        <v>-9.6000000000000002E-4</v>
      </c>
      <c r="AE47" s="902">
        <v>0</v>
      </c>
      <c r="AF47" s="265"/>
      <c r="AG47" s="472">
        <f t="shared" si="83"/>
        <v>0</v>
      </c>
      <c r="AH47" s="902">
        <v>1</v>
      </c>
      <c r="AI47" s="265"/>
      <c r="AJ47" s="472">
        <f t="shared" si="84"/>
        <v>-8.4999999999999995E-4</v>
      </c>
      <c r="AK47" s="902">
        <v>1</v>
      </c>
      <c r="AL47" s="265"/>
      <c r="AM47" s="472">
        <f t="shared" si="85"/>
        <v>-9.0000000000000006E-5</v>
      </c>
      <c r="AN47" s="1796"/>
      <c r="AO47" s="877"/>
    </row>
    <row r="48" spans="1:68" s="55" customFormat="1" x14ac:dyDescent="0.3">
      <c r="A48" s="85">
        <f t="shared" si="0"/>
        <v>42</v>
      </c>
      <c r="B48" s="709"/>
      <c r="C48" s="710" t="s">
        <v>8</v>
      </c>
      <c r="D48" s="473">
        <f>'WA Volumes &amp; Revenues'!E49</f>
        <v>0</v>
      </c>
      <c r="E48" s="467">
        <f>'Rates in Detail'!E47</f>
        <v>5.0500000000000003E-2</v>
      </c>
      <c r="F48" s="1471">
        <f>'Rates in Detail'!L47+SUM('Rates in Detail'!P47:Q47)</f>
        <v>4.1000000000000003E-3</v>
      </c>
      <c r="G48" s="1472">
        <f t="shared" si="34"/>
        <v>5.4600000000000003E-2</v>
      </c>
      <c r="H48" s="1471">
        <f>'Rates in Detail'!AG47</f>
        <v>2.1700000000000001E-3</v>
      </c>
      <c r="I48" s="1472">
        <f t="shared" si="6"/>
        <v>5.6770000000000001E-2</v>
      </c>
      <c r="J48" s="468">
        <f t="shared" si="7"/>
        <v>0</v>
      </c>
      <c r="K48" s="468">
        <f t="shared" si="8"/>
        <v>0</v>
      </c>
      <c r="L48" s="468">
        <f t="shared" si="9"/>
        <v>0</v>
      </c>
      <c r="M48" s="153"/>
      <c r="N48" s="366"/>
      <c r="O48" s="468"/>
      <c r="P48" s="468"/>
      <c r="Q48" s="468"/>
      <c r="R48" s="469"/>
      <c r="S48" s="902">
        <v>0</v>
      </c>
      <c r="T48" s="265"/>
      <c r="U48" s="472">
        <f t="shared" si="80"/>
        <v>0</v>
      </c>
      <c r="V48" s="902">
        <v>1</v>
      </c>
      <c r="W48" s="265"/>
      <c r="X48" s="472">
        <f t="shared" si="81"/>
        <v>-5.8E-4</v>
      </c>
      <c r="Y48" s="902">
        <v>1</v>
      </c>
      <c r="Z48" s="265"/>
      <c r="AA48" s="472">
        <f t="shared" si="82"/>
        <v>2.1000000000000001E-4</v>
      </c>
      <c r="AB48" s="902">
        <v>1</v>
      </c>
      <c r="AC48" s="265"/>
      <c r="AD48" s="472">
        <f t="shared" si="71"/>
        <v>-6.4000000000000005E-4</v>
      </c>
      <c r="AE48" s="902">
        <v>0</v>
      </c>
      <c r="AF48" s="265"/>
      <c r="AG48" s="472">
        <f t="shared" si="83"/>
        <v>0</v>
      </c>
      <c r="AH48" s="902">
        <v>1</v>
      </c>
      <c r="AI48" s="265"/>
      <c r="AJ48" s="472">
        <f t="shared" si="84"/>
        <v>-5.6999999999999998E-4</v>
      </c>
      <c r="AK48" s="902">
        <v>1</v>
      </c>
      <c r="AL48" s="265"/>
      <c r="AM48" s="472">
        <f t="shared" si="85"/>
        <v>-6.0000000000000002E-5</v>
      </c>
      <c r="AN48" s="1796"/>
      <c r="AO48" s="877"/>
    </row>
    <row r="49" spans="1:68" s="55" customFormat="1" x14ac:dyDescent="0.3">
      <c r="A49" s="85">
        <f t="shared" si="0"/>
        <v>43</v>
      </c>
      <c r="B49" s="707"/>
      <c r="C49" s="711" t="s">
        <v>9</v>
      </c>
      <c r="D49" s="460">
        <f>'WA Volumes &amp; Revenues'!E50</f>
        <v>0</v>
      </c>
      <c r="E49" s="457">
        <f>'Rates in Detail'!E48</f>
        <v>1.8929999999999999E-2</v>
      </c>
      <c r="F49" s="1469">
        <f>'Rates in Detail'!L48+SUM('Rates in Detail'!P48:Q48)</f>
        <v>1.5399999999999999E-3</v>
      </c>
      <c r="G49" s="1468">
        <f t="shared" si="34"/>
        <v>2.0469999999999999E-2</v>
      </c>
      <c r="H49" s="1469">
        <f>'Rates in Detail'!AG48</f>
        <v>8.0999999999999996E-4</v>
      </c>
      <c r="I49" s="1468">
        <f t="shared" si="6"/>
        <v>2.128E-2</v>
      </c>
      <c r="J49" s="461">
        <f t="shared" si="7"/>
        <v>0</v>
      </c>
      <c r="K49" s="461">
        <f t="shared" si="8"/>
        <v>0</v>
      </c>
      <c r="L49" s="461">
        <f t="shared" si="9"/>
        <v>0</v>
      </c>
      <c r="M49" s="462"/>
      <c r="N49" s="724"/>
      <c r="O49" s="461"/>
      <c r="P49" s="461"/>
      <c r="Q49" s="461"/>
      <c r="R49" s="456"/>
      <c r="S49" s="901">
        <v>0</v>
      </c>
      <c r="T49" s="459"/>
      <c r="U49" s="464">
        <f t="shared" si="80"/>
        <v>0</v>
      </c>
      <c r="V49" s="901">
        <v>1</v>
      </c>
      <c r="W49" s="459"/>
      <c r="X49" s="464">
        <f t="shared" si="81"/>
        <v>-2.2000000000000001E-4</v>
      </c>
      <c r="Y49" s="901">
        <v>1</v>
      </c>
      <c r="Z49" s="459"/>
      <c r="AA49" s="464">
        <f t="shared" si="82"/>
        <v>8.0000000000000007E-5</v>
      </c>
      <c r="AB49" s="901">
        <v>1</v>
      </c>
      <c r="AC49" s="459"/>
      <c r="AD49" s="464">
        <f t="shared" si="71"/>
        <v>-2.4000000000000001E-4</v>
      </c>
      <c r="AE49" s="901">
        <v>0</v>
      </c>
      <c r="AF49" s="459"/>
      <c r="AG49" s="464">
        <f t="shared" si="83"/>
        <v>0</v>
      </c>
      <c r="AH49" s="901">
        <v>1</v>
      </c>
      <c r="AI49" s="459"/>
      <c r="AJ49" s="464">
        <f t="shared" si="84"/>
        <v>-2.1000000000000001E-4</v>
      </c>
      <c r="AK49" s="901">
        <v>1</v>
      </c>
      <c r="AL49" s="459"/>
      <c r="AM49" s="464">
        <f t="shared" si="85"/>
        <v>-2.0000000000000002E-5</v>
      </c>
      <c r="AN49" s="1796"/>
      <c r="AO49" s="877"/>
    </row>
    <row r="50" spans="1:68" s="55" customFormat="1" x14ac:dyDescent="0.3">
      <c r="A50" s="85">
        <f t="shared" si="0"/>
        <v>44</v>
      </c>
      <c r="B50" s="709" t="str">
        <f>'WA Volumes &amp; Revenues'!B51</f>
        <v>42I Firm Transpt</v>
      </c>
      <c r="C50" s="710" t="s">
        <v>4</v>
      </c>
      <c r="D50" s="473">
        <f>'WA Volumes &amp; Revenues'!E51</f>
        <v>924395</v>
      </c>
      <c r="E50" s="467">
        <f>'Rates in Detail'!E49</f>
        <v>0.13941000000000001</v>
      </c>
      <c r="F50" s="1471">
        <f>'Rates in Detail'!L49+SUM('Rates in Detail'!P49:Q49)</f>
        <v>8.6699999999999989E-3</v>
      </c>
      <c r="G50" s="1472">
        <f t="shared" si="34"/>
        <v>0.14808000000000002</v>
      </c>
      <c r="H50" s="1471">
        <f>'Rates in Detail'!AG49</f>
        <v>3.96E-3</v>
      </c>
      <c r="I50" s="1472">
        <f t="shared" si="6"/>
        <v>0.15204000000000001</v>
      </c>
      <c r="J50" s="468">
        <f t="shared" si="7"/>
        <v>128870</v>
      </c>
      <c r="K50" s="468">
        <f t="shared" si="8"/>
        <v>136884</v>
      </c>
      <c r="L50" s="468">
        <f t="shared" si="9"/>
        <v>140545</v>
      </c>
      <c r="M50" s="153">
        <f>'WA Volumes &amp; Revenues'!N51</f>
        <v>1550</v>
      </c>
      <c r="N50" s="366">
        <f>'WA Volumes &amp; Revenues'!H51</f>
        <v>8.9166666666666661</v>
      </c>
      <c r="O50" s="468">
        <f>ROUND((M50*N50*12)+J50+J51+J52+J53+J54+J55,0)+'Rev Req Proof Yr1'!Y65+'Rev Req Proof Yr1'!Z65</f>
        <v>823616.4656</v>
      </c>
      <c r="P50" s="468">
        <f>ROUND((M50*N50*12)+K50+K51+K52+K53+K54+K55,0)+'Rev Req Proof Yr1'!Y65+'Rev Req Proof Yr1'!Z65</f>
        <v>861360.4656</v>
      </c>
      <c r="Q50" s="468">
        <f>ROUND((M50*N50*12)+L50+L51+L52+L53+L54+L55,0)+'Rev Req Proof Yr1'!Y65+'Rev Req Proof Yr1'!Z65</f>
        <v>878592.4656</v>
      </c>
      <c r="R50" s="469"/>
      <c r="S50" s="902">
        <v>0</v>
      </c>
      <c r="T50" s="474">
        <f>ROUND(+$S$10*(($P50*S50)/S$84),0)</f>
        <v>0</v>
      </c>
      <c r="U50" s="472">
        <f>ROUND(G50*$AR$50,5)</f>
        <v>0</v>
      </c>
      <c r="V50" s="902">
        <v>1</v>
      </c>
      <c r="W50" s="474">
        <f>ROUND(+$V$10*(($P50*V50)/V$84),0)</f>
        <v>-6938</v>
      </c>
      <c r="X50" s="472">
        <f>ROUND(G50*$AV$50,5)</f>
        <v>-1.5900000000000001E-3</v>
      </c>
      <c r="Y50" s="902">
        <v>1</v>
      </c>
      <c r="Z50" s="474">
        <f t="shared" ref="Z50" si="86">ROUND(+$Y$10*(($P50*Y50)/Y$84),0)</f>
        <v>2447</v>
      </c>
      <c r="AA50" s="472">
        <f>ROUND(G50*$AZ$50,5)</f>
        <v>5.5999999999999995E-4</v>
      </c>
      <c r="AB50" s="902">
        <v>1</v>
      </c>
      <c r="AC50" s="474">
        <f>ROUND(+$AB$10*(($O50*AB50)/AB$84),0)</f>
        <v>-7713</v>
      </c>
      <c r="AD50" s="472">
        <f t="shared" ref="AD50:AD55" si="87">ROUND(E50*$BD$50,5)</f>
        <v>-1.7700000000000001E-3</v>
      </c>
      <c r="AE50" s="902">
        <v>0</v>
      </c>
      <c r="AF50" s="474">
        <f t="shared" ref="AF50" si="88">ROUND(+$AE$10*(($Q50*AE50)/AE$84),0)</f>
        <v>0</v>
      </c>
      <c r="AG50" s="472">
        <f>ROUND(I50*$BH$50,5)</f>
        <v>0</v>
      </c>
      <c r="AH50" s="902">
        <v>1</v>
      </c>
      <c r="AI50" s="474">
        <f t="shared" ref="AI50" si="89">ROUND(+$AH$10*(($Q50*AH50)/AH$84),0)</f>
        <v>-6707</v>
      </c>
      <c r="AJ50" s="472">
        <f>ROUND(I50*$BL$50,5)</f>
        <v>-1.5399999999999999E-3</v>
      </c>
      <c r="AK50" s="902">
        <v>1</v>
      </c>
      <c r="AL50" s="474">
        <f t="shared" ref="AL50" si="90">ROUND(+$AK$10*(($Q50*AK50)/AK$84),0)</f>
        <v>-682</v>
      </c>
      <c r="AM50" s="472">
        <f>ROUND(I50*$BP$50,5)</f>
        <v>-1.6000000000000001E-4</v>
      </c>
      <c r="AN50" s="1796"/>
      <c r="AO50" s="877"/>
      <c r="AQ50" s="427">
        <f>T50/P50</f>
        <v>0</v>
      </c>
      <c r="AR50" s="427">
        <f>T50/SUM($K$50:$K$55)</f>
        <v>0</v>
      </c>
      <c r="AU50" s="427">
        <f t="shared" ref="AU50" si="91">W50/P50</f>
        <v>-8.054699834833005E-3</v>
      </c>
      <c r="AV50" s="427">
        <f>W50/SUM($K$50:$K$55)</f>
        <v>-1.0759158000514852E-2</v>
      </c>
      <c r="AY50" s="427">
        <f t="shared" ref="AY50" si="92">Z50/P50</f>
        <v>2.8408547846405828E-3</v>
      </c>
      <c r="AZ50" s="427">
        <f>Z50/SUM($K$50:$K$55)</f>
        <v>3.7947044720755031E-3</v>
      </c>
      <c r="BC50" s="427">
        <f>AC50/O50</f>
        <v>-9.364795778313055E-3</v>
      </c>
      <c r="BD50" s="427">
        <f>AC50/SUM($J$50:$J$55)</f>
        <v>-1.270461965205188E-2</v>
      </c>
      <c r="BG50" s="427">
        <f t="shared" ref="BG50" si="93">AF50/Q50</f>
        <v>0</v>
      </c>
      <c r="BH50" s="427">
        <f>AF50/SUM($L$50:$L$55)</f>
        <v>0</v>
      </c>
      <c r="BK50" s="427">
        <f t="shared" ref="BK50" si="94">AI50/Q50</f>
        <v>-7.6338009516388463E-3</v>
      </c>
      <c r="BL50" s="427">
        <f>AI50/SUM($L$50:$L$55)</f>
        <v>-1.0130226347952961E-2</v>
      </c>
      <c r="BO50" s="427">
        <f t="shared" ref="BO50" si="95">AL50/Q50</f>
        <v>-7.7624157581894927E-4</v>
      </c>
      <c r="BP50" s="427">
        <f>AL50/SUM($L$50:$L$55)</f>
        <v>-1.0300901102287042E-3</v>
      </c>
    </row>
    <row r="51" spans="1:68" s="55" customFormat="1" x14ac:dyDescent="0.3">
      <c r="A51" s="85">
        <f t="shared" si="0"/>
        <v>45</v>
      </c>
      <c r="B51" s="709"/>
      <c r="C51" s="710" t="s">
        <v>5</v>
      </c>
      <c r="D51" s="473">
        <f>'WA Volumes &amp; Revenues'!E52</f>
        <v>1036796</v>
      </c>
      <c r="E51" s="467">
        <f>'Rates in Detail'!E50</f>
        <v>0.12478999999999997</v>
      </c>
      <c r="F51" s="1471">
        <f>'Rates in Detail'!L50+SUM('Rates in Detail'!P50:Q50)</f>
        <v>7.7600000000000004E-3</v>
      </c>
      <c r="G51" s="1472">
        <f t="shared" si="34"/>
        <v>0.13254999999999997</v>
      </c>
      <c r="H51" s="1471">
        <f>'Rates in Detail'!AG50</f>
        <v>3.5400000000000002E-3</v>
      </c>
      <c r="I51" s="1472">
        <f t="shared" si="6"/>
        <v>0.13608999999999996</v>
      </c>
      <c r="J51" s="468">
        <f t="shared" si="7"/>
        <v>129382</v>
      </c>
      <c r="K51" s="468">
        <f t="shared" si="8"/>
        <v>137427</v>
      </c>
      <c r="L51" s="468">
        <f t="shared" si="9"/>
        <v>141098</v>
      </c>
      <c r="M51" s="153"/>
      <c r="N51" s="366"/>
      <c r="O51" s="468"/>
      <c r="P51" s="468"/>
      <c r="Q51" s="468"/>
      <c r="R51" s="469"/>
      <c r="S51" s="902">
        <v>0</v>
      </c>
      <c r="T51" s="265"/>
      <c r="U51" s="472">
        <f t="shared" ref="U51:U55" si="96">ROUND(G51*$AR$50,5)</f>
        <v>0</v>
      </c>
      <c r="V51" s="902">
        <v>1</v>
      </c>
      <c r="W51" s="265"/>
      <c r="X51" s="472">
        <f t="shared" ref="X51:X55" si="97">ROUND(G51*$AV$50,5)</f>
        <v>-1.4300000000000001E-3</v>
      </c>
      <c r="Y51" s="902">
        <v>1</v>
      </c>
      <c r="Z51" s="265"/>
      <c r="AA51" s="472">
        <f t="shared" ref="AA51:AA55" si="98">ROUND(G51*$AZ$50,5)</f>
        <v>5.0000000000000001E-4</v>
      </c>
      <c r="AB51" s="902">
        <v>1</v>
      </c>
      <c r="AC51" s="265"/>
      <c r="AD51" s="472">
        <f t="shared" si="87"/>
        <v>-1.5900000000000001E-3</v>
      </c>
      <c r="AE51" s="902">
        <v>0</v>
      </c>
      <c r="AF51" s="265"/>
      <c r="AG51" s="472">
        <f t="shared" ref="AG51:AG55" si="99">ROUND(I51*$BH$50,5)</f>
        <v>0</v>
      </c>
      <c r="AH51" s="902">
        <v>1</v>
      </c>
      <c r="AI51" s="265"/>
      <c r="AJ51" s="472">
        <f t="shared" ref="AJ51:AJ55" si="100">ROUND(I51*$BL$50,5)</f>
        <v>-1.3799999999999999E-3</v>
      </c>
      <c r="AK51" s="902">
        <v>1</v>
      </c>
      <c r="AL51" s="265"/>
      <c r="AM51" s="472">
        <f t="shared" ref="AM51:AM55" si="101">ROUND(I51*$BP$50,5)</f>
        <v>-1.3999999999999999E-4</v>
      </c>
      <c r="AN51" s="1796"/>
      <c r="AO51" s="877"/>
    </row>
    <row r="52" spans="1:68" s="55" customFormat="1" x14ac:dyDescent="0.3">
      <c r="A52" s="85">
        <f t="shared" si="0"/>
        <v>46</v>
      </c>
      <c r="B52" s="709"/>
      <c r="C52" s="710" t="s">
        <v>6</v>
      </c>
      <c r="D52" s="473">
        <f>'WA Volumes &amp; Revenues'!E53</f>
        <v>937215</v>
      </c>
      <c r="E52" s="467">
        <f>'Rates in Detail'!E51</f>
        <v>9.5690000000000011E-2</v>
      </c>
      <c r="F52" s="1471">
        <f>'Rates in Detail'!L51+SUM('Rates in Detail'!P51:Q51)</f>
        <v>5.9500000000000004E-3</v>
      </c>
      <c r="G52" s="1472">
        <f t="shared" si="34"/>
        <v>0.10164000000000001</v>
      </c>
      <c r="H52" s="1471">
        <f>'Rates in Detail'!AG51</f>
        <v>2.7200000000000002E-3</v>
      </c>
      <c r="I52" s="1472">
        <f t="shared" si="6"/>
        <v>0.10436000000000001</v>
      </c>
      <c r="J52" s="468">
        <f t="shared" si="7"/>
        <v>89682</v>
      </c>
      <c r="K52" s="468">
        <f t="shared" si="8"/>
        <v>95259</v>
      </c>
      <c r="L52" s="468">
        <f t="shared" si="9"/>
        <v>97808</v>
      </c>
      <c r="M52" s="153"/>
      <c r="N52" s="366"/>
      <c r="O52" s="468"/>
      <c r="P52" s="468"/>
      <c r="Q52" s="468"/>
      <c r="R52" s="469"/>
      <c r="S52" s="902">
        <v>0</v>
      </c>
      <c r="T52" s="265"/>
      <c r="U52" s="472">
        <f t="shared" si="96"/>
        <v>0</v>
      </c>
      <c r="V52" s="902">
        <v>1</v>
      </c>
      <c r="W52" s="265"/>
      <c r="X52" s="472">
        <f t="shared" si="97"/>
        <v>-1.09E-3</v>
      </c>
      <c r="Y52" s="902">
        <v>1</v>
      </c>
      <c r="Z52" s="265"/>
      <c r="AA52" s="472">
        <f t="shared" si="98"/>
        <v>3.8999999999999999E-4</v>
      </c>
      <c r="AB52" s="902">
        <v>1</v>
      </c>
      <c r="AC52" s="265"/>
      <c r="AD52" s="472">
        <f t="shared" si="87"/>
        <v>-1.2199999999999999E-3</v>
      </c>
      <c r="AE52" s="902">
        <v>0</v>
      </c>
      <c r="AF52" s="265"/>
      <c r="AG52" s="472">
        <f t="shared" si="99"/>
        <v>0</v>
      </c>
      <c r="AH52" s="902">
        <v>1</v>
      </c>
      <c r="AI52" s="265"/>
      <c r="AJ52" s="472">
        <f t="shared" si="100"/>
        <v>-1.06E-3</v>
      </c>
      <c r="AK52" s="902">
        <v>1</v>
      </c>
      <c r="AL52" s="265"/>
      <c r="AM52" s="472">
        <f t="shared" si="101"/>
        <v>-1.1E-4</v>
      </c>
      <c r="AN52" s="1796"/>
      <c r="AO52" s="877"/>
    </row>
    <row r="53" spans="1:68" s="55" customFormat="1" x14ac:dyDescent="0.3">
      <c r="A53" s="85">
        <f t="shared" si="0"/>
        <v>47</v>
      </c>
      <c r="B53" s="709"/>
      <c r="C53" s="710" t="s">
        <v>7</v>
      </c>
      <c r="D53" s="473">
        <f>'WA Volumes &amp; Revenues'!E54</f>
        <v>2390318</v>
      </c>
      <c r="E53" s="467">
        <f>'Rates in Detail'!E52</f>
        <v>7.6560000000000017E-2</v>
      </c>
      <c r="F53" s="1471">
        <f>'Rates in Detail'!L52+SUM('Rates in Detail'!P52:Q52)</f>
        <v>4.7599999999999995E-3</v>
      </c>
      <c r="G53" s="1472">
        <f t="shared" si="34"/>
        <v>8.1320000000000017E-2</v>
      </c>
      <c r="H53" s="1471">
        <f>'Rates in Detail'!AG52</f>
        <v>2.1700000000000001E-3</v>
      </c>
      <c r="I53" s="1472">
        <f t="shared" si="6"/>
        <v>8.3490000000000023E-2</v>
      </c>
      <c r="J53" s="468">
        <f t="shared" si="7"/>
        <v>183003</v>
      </c>
      <c r="K53" s="468">
        <f t="shared" si="8"/>
        <v>194381</v>
      </c>
      <c r="L53" s="468">
        <f t="shared" si="9"/>
        <v>199568</v>
      </c>
      <c r="M53" s="153"/>
      <c r="N53" s="366"/>
      <c r="O53" s="468"/>
      <c r="P53" s="468"/>
      <c r="Q53" s="468"/>
      <c r="R53" s="469"/>
      <c r="S53" s="902">
        <v>0</v>
      </c>
      <c r="T53" s="265"/>
      <c r="U53" s="472">
        <f t="shared" si="96"/>
        <v>0</v>
      </c>
      <c r="V53" s="902">
        <v>1</v>
      </c>
      <c r="W53" s="265"/>
      <c r="X53" s="472">
        <f t="shared" si="97"/>
        <v>-8.7000000000000001E-4</v>
      </c>
      <c r="Y53" s="902">
        <v>1</v>
      </c>
      <c r="Z53" s="265"/>
      <c r="AA53" s="472">
        <f t="shared" si="98"/>
        <v>3.1E-4</v>
      </c>
      <c r="AB53" s="902">
        <v>1</v>
      </c>
      <c r="AC53" s="265"/>
      <c r="AD53" s="472">
        <f t="shared" si="87"/>
        <v>-9.7000000000000005E-4</v>
      </c>
      <c r="AE53" s="902">
        <v>0</v>
      </c>
      <c r="AF53" s="265"/>
      <c r="AG53" s="472">
        <f t="shared" si="99"/>
        <v>0</v>
      </c>
      <c r="AH53" s="902">
        <v>1</v>
      </c>
      <c r="AI53" s="265"/>
      <c r="AJ53" s="472">
        <f t="shared" si="100"/>
        <v>-8.4999999999999995E-4</v>
      </c>
      <c r="AK53" s="902">
        <v>1</v>
      </c>
      <c r="AL53" s="265"/>
      <c r="AM53" s="472">
        <f t="shared" si="101"/>
        <v>-9.0000000000000006E-5</v>
      </c>
      <c r="AN53" s="1796"/>
      <c r="AO53" s="877"/>
    </row>
    <row r="54" spans="1:68" s="55" customFormat="1" x14ac:dyDescent="0.3">
      <c r="A54" s="85">
        <f t="shared" si="0"/>
        <v>48</v>
      </c>
      <c r="B54" s="709"/>
      <c r="C54" s="710" t="s">
        <v>8</v>
      </c>
      <c r="D54" s="473">
        <f>'WA Volumes &amp; Revenues'!E55</f>
        <v>1492257</v>
      </c>
      <c r="E54" s="467">
        <f>'Rates in Detail'!E53</f>
        <v>5.1040000000000002E-2</v>
      </c>
      <c r="F54" s="1471">
        <f>'Rates in Detail'!L53+SUM('Rates in Detail'!P53:Q53)</f>
        <v>3.1700000000000001E-3</v>
      </c>
      <c r="G54" s="1472">
        <f t="shared" si="34"/>
        <v>5.4210000000000001E-2</v>
      </c>
      <c r="H54" s="1471">
        <f>'Rates in Detail'!AG53</f>
        <v>1.4499999999999999E-3</v>
      </c>
      <c r="I54" s="1472">
        <f t="shared" si="6"/>
        <v>5.5660000000000001E-2</v>
      </c>
      <c r="J54" s="468">
        <f t="shared" si="7"/>
        <v>76165</v>
      </c>
      <c r="K54" s="468">
        <f t="shared" si="8"/>
        <v>80895</v>
      </c>
      <c r="L54" s="468">
        <f t="shared" si="9"/>
        <v>83059</v>
      </c>
      <c r="M54" s="153"/>
      <c r="N54" s="366"/>
      <c r="O54" s="468"/>
      <c r="P54" s="468"/>
      <c r="Q54" s="468"/>
      <c r="R54" s="469"/>
      <c r="S54" s="902">
        <v>0</v>
      </c>
      <c r="T54" s="265"/>
      <c r="U54" s="472">
        <f t="shared" si="96"/>
        <v>0</v>
      </c>
      <c r="V54" s="902">
        <v>1</v>
      </c>
      <c r="W54" s="265"/>
      <c r="X54" s="472">
        <f t="shared" si="97"/>
        <v>-5.8E-4</v>
      </c>
      <c r="Y54" s="902">
        <v>1</v>
      </c>
      <c r="Z54" s="265"/>
      <c r="AA54" s="472">
        <f t="shared" si="98"/>
        <v>2.1000000000000001E-4</v>
      </c>
      <c r="AB54" s="902">
        <v>1</v>
      </c>
      <c r="AC54" s="265"/>
      <c r="AD54" s="472">
        <f t="shared" si="87"/>
        <v>-6.4999999999999997E-4</v>
      </c>
      <c r="AE54" s="902">
        <v>0</v>
      </c>
      <c r="AF54" s="265"/>
      <c r="AG54" s="472">
        <f t="shared" si="99"/>
        <v>0</v>
      </c>
      <c r="AH54" s="902">
        <v>1</v>
      </c>
      <c r="AI54" s="265"/>
      <c r="AJ54" s="472">
        <f t="shared" si="100"/>
        <v>-5.5999999999999995E-4</v>
      </c>
      <c r="AK54" s="902">
        <v>1</v>
      </c>
      <c r="AL54" s="265"/>
      <c r="AM54" s="472">
        <f t="shared" si="101"/>
        <v>-6.0000000000000002E-5</v>
      </c>
      <c r="AN54" s="1796"/>
      <c r="AO54" s="877"/>
    </row>
    <row r="55" spans="1:68" s="55" customFormat="1" x14ac:dyDescent="0.3">
      <c r="A55" s="85">
        <f t="shared" si="0"/>
        <v>49</v>
      </c>
      <c r="B55" s="707"/>
      <c r="C55" s="711" t="s">
        <v>9</v>
      </c>
      <c r="D55" s="460">
        <f>'WA Volumes &amp; Revenues'!E56</f>
        <v>0</v>
      </c>
      <c r="E55" s="457">
        <f>'Rates in Detail'!E54</f>
        <v>1.9140000000000001E-2</v>
      </c>
      <c r="F55" s="1469">
        <f>'Rates in Detail'!L54+SUM('Rates in Detail'!P54:Q54)</f>
        <v>1.1900000000000001E-3</v>
      </c>
      <c r="G55" s="1468">
        <f t="shared" si="34"/>
        <v>2.0330000000000001E-2</v>
      </c>
      <c r="H55" s="1469">
        <f>'Rates in Detail'!AG54</f>
        <v>5.4000000000000001E-4</v>
      </c>
      <c r="I55" s="1468">
        <f t="shared" si="6"/>
        <v>2.087E-2</v>
      </c>
      <c r="J55" s="461">
        <f t="shared" si="7"/>
        <v>0</v>
      </c>
      <c r="K55" s="461">
        <f t="shared" si="8"/>
        <v>0</v>
      </c>
      <c r="L55" s="461">
        <f t="shared" si="9"/>
        <v>0</v>
      </c>
      <c r="M55" s="462"/>
      <c r="N55" s="724"/>
      <c r="O55" s="461"/>
      <c r="P55" s="461"/>
      <c r="Q55" s="461"/>
      <c r="R55" s="456"/>
      <c r="S55" s="901">
        <v>0</v>
      </c>
      <c r="T55" s="459"/>
      <c r="U55" s="464">
        <f t="shared" si="96"/>
        <v>0</v>
      </c>
      <c r="V55" s="901">
        <v>1</v>
      </c>
      <c r="W55" s="459"/>
      <c r="X55" s="464">
        <f t="shared" si="97"/>
        <v>-2.2000000000000001E-4</v>
      </c>
      <c r="Y55" s="901">
        <v>1</v>
      </c>
      <c r="Z55" s="459"/>
      <c r="AA55" s="464">
        <f t="shared" si="98"/>
        <v>8.0000000000000007E-5</v>
      </c>
      <c r="AB55" s="901">
        <v>1</v>
      </c>
      <c r="AC55" s="459"/>
      <c r="AD55" s="464">
        <f t="shared" si="87"/>
        <v>-2.4000000000000001E-4</v>
      </c>
      <c r="AE55" s="901">
        <v>0</v>
      </c>
      <c r="AF55" s="459"/>
      <c r="AG55" s="464">
        <f t="shared" si="99"/>
        <v>0</v>
      </c>
      <c r="AH55" s="901">
        <v>1</v>
      </c>
      <c r="AI55" s="459"/>
      <c r="AJ55" s="464">
        <f t="shared" si="100"/>
        <v>-2.1000000000000001E-4</v>
      </c>
      <c r="AK55" s="901">
        <v>1</v>
      </c>
      <c r="AL55" s="459"/>
      <c r="AM55" s="464">
        <f t="shared" si="101"/>
        <v>-2.0000000000000002E-5</v>
      </c>
      <c r="AN55" s="1796"/>
      <c r="AO55" s="877"/>
    </row>
    <row r="56" spans="1:68" s="55" customFormat="1" x14ac:dyDescent="0.3">
      <c r="A56" s="85">
        <f t="shared" si="0"/>
        <v>50</v>
      </c>
      <c r="B56" s="709" t="str">
        <f>'WA Volumes &amp; Revenues'!B57</f>
        <v>42C Interr Sales</v>
      </c>
      <c r="C56" s="710" t="s">
        <v>4</v>
      </c>
      <c r="D56" s="473">
        <f>'WA Volumes &amp; Revenues'!E57</f>
        <v>240000</v>
      </c>
      <c r="E56" s="467">
        <f>'Rates in Detail'!E55</f>
        <v>0.13682000000000002</v>
      </c>
      <c r="F56" s="1471">
        <f>'Rates in Detail'!L55+SUM('Rates in Detail'!P55:Q55)</f>
        <v>2.06E-2</v>
      </c>
      <c r="G56" s="1472">
        <f t="shared" si="34"/>
        <v>0.15742000000000003</v>
      </c>
      <c r="H56" s="1471">
        <f>'Rates in Detail'!AG55</f>
        <v>1.2449999999999999E-2</v>
      </c>
      <c r="I56" s="1472">
        <f t="shared" si="6"/>
        <v>0.16987000000000002</v>
      </c>
      <c r="J56" s="468">
        <f t="shared" si="7"/>
        <v>32837</v>
      </c>
      <c r="K56" s="468">
        <f t="shared" si="8"/>
        <v>37781</v>
      </c>
      <c r="L56" s="468">
        <f t="shared" si="9"/>
        <v>40769</v>
      </c>
      <c r="M56" s="153">
        <f>'WA Volumes &amp; Revenues'!N57</f>
        <v>1300</v>
      </c>
      <c r="N56" s="366">
        <f>'WA Volumes &amp; Revenues'!H57</f>
        <v>2</v>
      </c>
      <c r="O56" s="468">
        <f>ROUND((M56*N56*12)+J56+J57+J58+J59+J60+J61,0)+'Rev Req Proof Yr1'!Z72</f>
        <v>160513.01702958997</v>
      </c>
      <c r="P56" s="468">
        <f>ROUND((M56*N56*12)+K56+K57+K58+K59+K60+K61,0)+'Rev Req Proof Yr1'!Z72</f>
        <v>177371.01702958997</v>
      </c>
      <c r="Q56" s="468">
        <f>ROUND((M56*N56*12)+L56+L57+L58+L59+L60+L61,0)+'Rev Req Proof Yr1'!Z72</f>
        <v>187553.01702958997</v>
      </c>
      <c r="R56" s="469"/>
      <c r="S56" s="902">
        <v>1</v>
      </c>
      <c r="T56" s="474">
        <f>ROUND(+$S$10*(($P56*S56)/S$84),0)</f>
        <v>-2687</v>
      </c>
      <c r="U56" s="472">
        <f>ROUND(G56*$AR$56,5)</f>
        <v>-3.2799999999999999E-3</v>
      </c>
      <c r="V56" s="902">
        <v>1</v>
      </c>
      <c r="W56" s="474">
        <f>ROUND(+$V$10*(($P56*V56)/V$84),0)</f>
        <v>-1429</v>
      </c>
      <c r="X56" s="472">
        <f>ROUND(G56*$AV$56,5)</f>
        <v>-1.75E-3</v>
      </c>
      <c r="Y56" s="902">
        <v>1</v>
      </c>
      <c r="Z56" s="474">
        <f t="shared" ref="Z56" si="102">ROUND(+$Y$10*(($P56*Y56)/Y$84),0)</f>
        <v>504</v>
      </c>
      <c r="AA56" s="472">
        <f>ROUND(G56*$AZ$56,5)</f>
        <v>6.2E-4</v>
      </c>
      <c r="AB56" s="902">
        <v>1</v>
      </c>
      <c r="AC56" s="474">
        <f>ROUND(+$AB$10*(($O56*AB56)/AB$84),0)</f>
        <v>-1503</v>
      </c>
      <c r="AD56" s="472">
        <f t="shared" ref="AD56:AD61" si="103">ROUND(E56*$BD$56,5)</f>
        <v>-1.8400000000000001E-3</v>
      </c>
      <c r="AE56" s="902">
        <v>1</v>
      </c>
      <c r="AF56" s="474">
        <f t="shared" ref="AF56" si="104">ROUND(+$AE$10*(($Q56*AE56)/AE$84),0)</f>
        <v>-2687</v>
      </c>
      <c r="AG56" s="472">
        <f>ROUND(I56*$BH$56,5)</f>
        <v>-3.2799999999999999E-3</v>
      </c>
      <c r="AH56" s="902">
        <v>1</v>
      </c>
      <c r="AI56" s="474">
        <f t="shared" ref="AI56" si="105">ROUND(+$AH$10*(($Q56*AH56)/AH$84),0)</f>
        <v>-1432</v>
      </c>
      <c r="AJ56" s="472">
        <f>ROUND(I56*$BL$56,5)</f>
        <v>-1.75E-3</v>
      </c>
      <c r="AK56" s="902">
        <v>1</v>
      </c>
      <c r="AL56" s="474">
        <f t="shared" ref="AL56" si="106">ROUND(+$AK$10*(($Q56*AK56)/AK$84),0)</f>
        <v>-146</v>
      </c>
      <c r="AM56" s="472">
        <f>ROUND(I56*$BP$56,5)</f>
        <v>-1.8000000000000001E-4</v>
      </c>
      <c r="AN56" s="1796"/>
      <c r="AO56" s="877"/>
      <c r="AQ56" s="427">
        <f>T56/P56</f>
        <v>-1.5149036437851289E-2</v>
      </c>
      <c r="AR56" s="427">
        <f>T56/SUM($K$56:$K$61)</f>
        <v>-2.0863097086775577E-2</v>
      </c>
      <c r="AU56" s="427">
        <f t="shared" ref="AU56" si="107">W56/P56</f>
        <v>-8.0565586414921824E-3</v>
      </c>
      <c r="AV56" s="427">
        <f>W56/SUM($K$56:$K$61)</f>
        <v>-1.1095409652773464E-2</v>
      </c>
      <c r="AY56" s="427">
        <f t="shared" ref="AY56" si="108">Z56/P56</f>
        <v>2.8415014382869555E-3</v>
      </c>
      <c r="AZ56" s="427">
        <f>Z56/SUM($K$56:$K$61)</f>
        <v>3.913286539536617E-3</v>
      </c>
      <c r="BC56" s="427">
        <f>AC56/O56</f>
        <v>-9.3637265551050446E-3</v>
      </c>
      <c r="BD56" s="427">
        <f>AC56/SUM($J$56:$J$61)</f>
        <v>-1.3427555523790805E-2</v>
      </c>
      <c r="BG56" s="427">
        <f t="shared" ref="BG56" si="109">AF56/Q56</f>
        <v>-1.432661570875224E-2</v>
      </c>
      <c r="BH56" s="427">
        <f>AF56/SUM($L$56:$L$61)</f>
        <v>-1.9334551786665131E-2</v>
      </c>
      <c r="BK56" s="427">
        <f t="shared" ref="BK56" si="110">AI56/Q56</f>
        <v>-7.6351744305668805E-3</v>
      </c>
      <c r="BL56" s="427">
        <f>AI56/SUM($L$56:$L$61)</f>
        <v>-1.0304085656309813E-2</v>
      </c>
      <c r="BO56" s="427">
        <f t="shared" ref="BO56" si="111">AL56/Q56</f>
        <v>-7.7844655507176288E-4</v>
      </c>
      <c r="BP56" s="427">
        <f>AL56/SUM($L$56:$L$61)</f>
        <v>-1.0505562191489056E-3</v>
      </c>
    </row>
    <row r="57" spans="1:68" s="55" customFormat="1" x14ac:dyDescent="0.3">
      <c r="A57" s="85">
        <f t="shared" si="0"/>
        <v>51</v>
      </c>
      <c r="B57" s="709"/>
      <c r="C57" s="710" t="s">
        <v>5</v>
      </c>
      <c r="D57" s="473">
        <f>'WA Volumes &amp; Revenues'!E58</f>
        <v>467511</v>
      </c>
      <c r="E57" s="467">
        <f>'Rates in Detail'!E56</f>
        <v>0.12246999999999988</v>
      </c>
      <c r="F57" s="1471">
        <f>'Rates in Detail'!L56+SUM('Rates in Detail'!P56:Q56)</f>
        <v>1.8450000000000001E-2</v>
      </c>
      <c r="G57" s="1472">
        <f t="shared" si="34"/>
        <v>0.14091999999999988</v>
      </c>
      <c r="H57" s="1471">
        <f>'Rates in Detail'!AG56</f>
        <v>1.1140000000000001E-2</v>
      </c>
      <c r="I57" s="1472">
        <f t="shared" si="6"/>
        <v>0.15205999999999989</v>
      </c>
      <c r="J57" s="468">
        <f t="shared" si="7"/>
        <v>57256</v>
      </c>
      <c r="K57" s="468">
        <f t="shared" si="8"/>
        <v>65882</v>
      </c>
      <c r="L57" s="468">
        <f t="shared" si="9"/>
        <v>71090</v>
      </c>
      <c r="M57" s="153"/>
      <c r="N57" s="366"/>
      <c r="O57" s="468"/>
      <c r="P57" s="468"/>
      <c r="Q57" s="468"/>
      <c r="R57" s="469"/>
      <c r="S57" s="902">
        <v>1</v>
      </c>
      <c r="T57" s="265"/>
      <c r="U57" s="472">
        <f t="shared" ref="U57:U61" si="112">ROUND(G57*$AR$56,5)</f>
        <v>-2.9399999999999999E-3</v>
      </c>
      <c r="V57" s="902">
        <v>1</v>
      </c>
      <c r="W57" s="265"/>
      <c r="X57" s="472">
        <f t="shared" ref="X57:X61" si="113">ROUND(G57*$AV$56,5)</f>
        <v>-1.56E-3</v>
      </c>
      <c r="Y57" s="902">
        <v>1</v>
      </c>
      <c r="Z57" s="265"/>
      <c r="AA57" s="472">
        <f t="shared" ref="AA57:AA61" si="114">ROUND(G57*$AZ$56,5)</f>
        <v>5.5000000000000003E-4</v>
      </c>
      <c r="AB57" s="902">
        <v>1</v>
      </c>
      <c r="AC57" s="265"/>
      <c r="AD57" s="472">
        <f t="shared" si="103"/>
        <v>-1.64E-3</v>
      </c>
      <c r="AE57" s="902">
        <v>1</v>
      </c>
      <c r="AF57" s="265"/>
      <c r="AG57" s="472">
        <f t="shared" ref="AG57:AG61" si="115">ROUND(I57*$BH$56,5)</f>
        <v>-2.9399999999999999E-3</v>
      </c>
      <c r="AH57" s="902">
        <v>1</v>
      </c>
      <c r="AI57" s="265"/>
      <c r="AJ57" s="472">
        <f t="shared" ref="AJ57:AJ61" si="116">ROUND(I57*$BL$56,5)</f>
        <v>-1.57E-3</v>
      </c>
      <c r="AK57" s="902">
        <v>1</v>
      </c>
      <c r="AL57" s="265"/>
      <c r="AM57" s="472">
        <f t="shared" ref="AM57:AM61" si="117">ROUND(I57*$BP$56,5)</f>
        <v>-1.6000000000000001E-4</v>
      </c>
      <c r="AN57" s="1796"/>
      <c r="AO57" s="877"/>
      <c r="AQ57" s="427"/>
      <c r="BG57" s="427"/>
    </row>
    <row r="58" spans="1:68" s="55" customFormat="1" x14ac:dyDescent="0.3">
      <c r="A58" s="85">
        <f t="shared" si="0"/>
        <v>52</v>
      </c>
      <c r="B58" s="709"/>
      <c r="C58" s="710" t="s">
        <v>6</v>
      </c>
      <c r="D58" s="473">
        <f>'WA Volumes &amp; Revenues'!E59</f>
        <v>218004</v>
      </c>
      <c r="E58" s="467">
        <f>'Rates in Detail'!E57</f>
        <v>9.3909999999999993E-2</v>
      </c>
      <c r="F58" s="1471">
        <f>'Rates in Detail'!L57+SUM('Rates in Detail'!P57:Q57)</f>
        <v>1.414E-2</v>
      </c>
      <c r="G58" s="1472">
        <f t="shared" si="34"/>
        <v>0.10804999999999999</v>
      </c>
      <c r="H58" s="1471">
        <f>'Rates in Detail'!AG57</f>
        <v>8.5400000000000007E-3</v>
      </c>
      <c r="I58" s="1472">
        <f t="shared" si="6"/>
        <v>0.11659</v>
      </c>
      <c r="J58" s="468">
        <f t="shared" si="7"/>
        <v>20473</v>
      </c>
      <c r="K58" s="468">
        <f t="shared" si="8"/>
        <v>23555</v>
      </c>
      <c r="L58" s="468">
        <f t="shared" si="9"/>
        <v>25417</v>
      </c>
      <c r="M58" s="153"/>
      <c r="N58" s="366"/>
      <c r="O58" s="468"/>
      <c r="P58" s="468"/>
      <c r="Q58" s="468"/>
      <c r="R58" s="469"/>
      <c r="S58" s="902">
        <v>1</v>
      </c>
      <c r="T58" s="265"/>
      <c r="U58" s="472">
        <f t="shared" si="112"/>
        <v>-2.2499999999999998E-3</v>
      </c>
      <c r="V58" s="902">
        <v>1</v>
      </c>
      <c r="W58" s="265"/>
      <c r="X58" s="472">
        <f t="shared" si="113"/>
        <v>-1.1999999999999999E-3</v>
      </c>
      <c r="Y58" s="902">
        <v>1</v>
      </c>
      <c r="Z58" s="265"/>
      <c r="AA58" s="472">
        <f t="shared" si="114"/>
        <v>4.2000000000000002E-4</v>
      </c>
      <c r="AB58" s="902">
        <v>1</v>
      </c>
      <c r="AC58" s="265"/>
      <c r="AD58" s="472">
        <f t="shared" si="103"/>
        <v>-1.2600000000000001E-3</v>
      </c>
      <c r="AE58" s="902">
        <v>1</v>
      </c>
      <c r="AF58" s="265"/>
      <c r="AG58" s="472">
        <f t="shared" si="115"/>
        <v>-2.2499999999999998E-3</v>
      </c>
      <c r="AH58" s="902">
        <v>1</v>
      </c>
      <c r="AI58" s="265"/>
      <c r="AJ58" s="472">
        <f t="shared" si="116"/>
        <v>-1.1999999999999999E-3</v>
      </c>
      <c r="AK58" s="902">
        <v>1</v>
      </c>
      <c r="AL58" s="265"/>
      <c r="AM58" s="472">
        <f t="shared" si="117"/>
        <v>-1.2E-4</v>
      </c>
      <c r="AN58" s="1796"/>
      <c r="AO58" s="877"/>
    </row>
    <row r="59" spans="1:68" s="55" customFormat="1" x14ac:dyDescent="0.3">
      <c r="A59" s="85">
        <f t="shared" si="0"/>
        <v>53</v>
      </c>
      <c r="B59" s="709"/>
      <c r="C59" s="710" t="s">
        <v>7</v>
      </c>
      <c r="D59" s="473">
        <f>'WA Volumes &amp; Revenues'!E60</f>
        <v>18208</v>
      </c>
      <c r="E59" s="467">
        <f>'Rates in Detail'!E58</f>
        <v>7.5130000000000044E-2</v>
      </c>
      <c r="F59" s="1471">
        <f>'Rates in Detail'!L58+SUM('Rates in Detail'!P58:Q58)</f>
        <v>1.1309999999999999E-2</v>
      </c>
      <c r="G59" s="1472">
        <f t="shared" si="34"/>
        <v>8.6440000000000045E-2</v>
      </c>
      <c r="H59" s="1471">
        <f>'Rates in Detail'!AG58</f>
        <v>6.8300000000000001E-3</v>
      </c>
      <c r="I59" s="1472">
        <f t="shared" si="6"/>
        <v>9.3270000000000047E-2</v>
      </c>
      <c r="J59" s="468">
        <f t="shared" si="7"/>
        <v>1368</v>
      </c>
      <c r="K59" s="468">
        <f t="shared" si="8"/>
        <v>1574</v>
      </c>
      <c r="L59" s="468">
        <f t="shared" si="9"/>
        <v>1698</v>
      </c>
      <c r="M59" s="153"/>
      <c r="N59" s="366"/>
      <c r="O59" s="468"/>
      <c r="P59" s="468"/>
      <c r="Q59" s="468"/>
      <c r="R59" s="469"/>
      <c r="S59" s="902">
        <v>1</v>
      </c>
      <c r="T59" s="265"/>
      <c r="U59" s="472">
        <f t="shared" si="112"/>
        <v>-1.8E-3</v>
      </c>
      <c r="V59" s="902">
        <v>1</v>
      </c>
      <c r="W59" s="265"/>
      <c r="X59" s="472">
        <f t="shared" si="113"/>
        <v>-9.6000000000000002E-4</v>
      </c>
      <c r="Y59" s="902">
        <v>1</v>
      </c>
      <c r="Z59" s="265"/>
      <c r="AA59" s="472">
        <f t="shared" si="114"/>
        <v>3.4000000000000002E-4</v>
      </c>
      <c r="AB59" s="902">
        <v>1</v>
      </c>
      <c r="AC59" s="265"/>
      <c r="AD59" s="472">
        <f t="shared" si="103"/>
        <v>-1.01E-3</v>
      </c>
      <c r="AE59" s="902">
        <v>1</v>
      </c>
      <c r="AF59" s="265"/>
      <c r="AG59" s="472">
        <f t="shared" si="115"/>
        <v>-1.8E-3</v>
      </c>
      <c r="AH59" s="902">
        <v>1</v>
      </c>
      <c r="AI59" s="265"/>
      <c r="AJ59" s="472">
        <f t="shared" si="116"/>
        <v>-9.6000000000000002E-4</v>
      </c>
      <c r="AK59" s="902">
        <v>1</v>
      </c>
      <c r="AL59" s="265"/>
      <c r="AM59" s="472">
        <f t="shared" si="117"/>
        <v>-1E-4</v>
      </c>
      <c r="AN59" s="1796"/>
      <c r="AO59" s="877"/>
    </row>
    <row r="60" spans="1:68" s="55" customFormat="1" x14ac:dyDescent="0.3">
      <c r="A60" s="85">
        <f t="shared" si="0"/>
        <v>54</v>
      </c>
      <c r="B60" s="709"/>
      <c r="C60" s="710" t="s">
        <v>8</v>
      </c>
      <c r="D60" s="473">
        <f>'WA Volumes &amp; Revenues'!E61</f>
        <v>0</v>
      </c>
      <c r="E60" s="467">
        <f>'Rates in Detail'!E59</f>
        <v>5.0089999999999968E-2</v>
      </c>
      <c r="F60" s="1471">
        <f>'Rates in Detail'!L59+SUM('Rates in Detail'!P59:Q59)</f>
        <v>7.5499999999999994E-3</v>
      </c>
      <c r="G60" s="1472">
        <f t="shared" si="34"/>
        <v>5.7639999999999969E-2</v>
      </c>
      <c r="H60" s="1471">
        <f>'Rates in Detail'!AG59</f>
        <v>4.5599999999999998E-3</v>
      </c>
      <c r="I60" s="1472">
        <f t="shared" si="6"/>
        <v>6.2199999999999971E-2</v>
      </c>
      <c r="J60" s="468">
        <f t="shared" si="7"/>
        <v>0</v>
      </c>
      <c r="K60" s="468">
        <f t="shared" si="8"/>
        <v>0</v>
      </c>
      <c r="L60" s="468">
        <f t="shared" si="9"/>
        <v>0</v>
      </c>
      <c r="M60" s="153"/>
      <c r="N60" s="366"/>
      <c r="O60" s="468"/>
      <c r="P60" s="468"/>
      <c r="Q60" s="468"/>
      <c r="R60" s="469"/>
      <c r="S60" s="902">
        <v>1</v>
      </c>
      <c r="T60" s="265"/>
      <c r="U60" s="472">
        <f t="shared" si="112"/>
        <v>-1.1999999999999999E-3</v>
      </c>
      <c r="V60" s="902">
        <v>1</v>
      </c>
      <c r="W60" s="265"/>
      <c r="X60" s="472">
        <f t="shared" si="113"/>
        <v>-6.4000000000000005E-4</v>
      </c>
      <c r="Y60" s="902">
        <v>1</v>
      </c>
      <c r="Z60" s="265"/>
      <c r="AA60" s="472">
        <f t="shared" si="114"/>
        <v>2.3000000000000001E-4</v>
      </c>
      <c r="AB60" s="902">
        <v>1</v>
      </c>
      <c r="AC60" s="265"/>
      <c r="AD60" s="472">
        <f t="shared" si="103"/>
        <v>-6.7000000000000002E-4</v>
      </c>
      <c r="AE60" s="902">
        <v>1</v>
      </c>
      <c r="AF60" s="265"/>
      <c r="AG60" s="472">
        <f t="shared" si="115"/>
        <v>-1.1999999999999999E-3</v>
      </c>
      <c r="AH60" s="902">
        <v>1</v>
      </c>
      <c r="AI60" s="265"/>
      <c r="AJ60" s="472">
        <f t="shared" si="116"/>
        <v>-6.4000000000000005E-4</v>
      </c>
      <c r="AK60" s="902">
        <v>1</v>
      </c>
      <c r="AL60" s="265"/>
      <c r="AM60" s="472">
        <f t="shared" si="117"/>
        <v>-6.9999999999999994E-5</v>
      </c>
      <c r="AN60" s="1796"/>
      <c r="AO60" s="877"/>
    </row>
    <row r="61" spans="1:68" s="55" customFormat="1" x14ac:dyDescent="0.3">
      <c r="A61" s="85">
        <f t="shared" si="0"/>
        <v>55</v>
      </c>
      <c r="B61" s="707"/>
      <c r="C61" s="711" t="s">
        <v>9</v>
      </c>
      <c r="D61" s="460">
        <f>'WA Volumes &amp; Revenues'!E62</f>
        <v>0</v>
      </c>
      <c r="E61" s="457">
        <f>'Rates in Detail'!E60</f>
        <v>1.8790000000000001E-2</v>
      </c>
      <c r="F61" s="1469">
        <f>'Rates in Detail'!L60+SUM('Rates in Detail'!P60:Q60)</f>
        <v>2.8300000000000001E-3</v>
      </c>
      <c r="G61" s="1468">
        <f t="shared" si="34"/>
        <v>2.162E-2</v>
      </c>
      <c r="H61" s="1469">
        <f>'Rates in Detail'!AG60</f>
        <v>1.7099999999999999E-3</v>
      </c>
      <c r="I61" s="1468">
        <f t="shared" si="6"/>
        <v>2.333E-2</v>
      </c>
      <c r="J61" s="461">
        <f t="shared" si="7"/>
        <v>0</v>
      </c>
      <c r="K61" s="461">
        <f t="shared" si="8"/>
        <v>0</v>
      </c>
      <c r="L61" s="461">
        <f t="shared" si="9"/>
        <v>0</v>
      </c>
      <c r="M61" s="462"/>
      <c r="N61" s="724"/>
      <c r="O61" s="461"/>
      <c r="P61" s="461"/>
      <c r="Q61" s="461"/>
      <c r="R61" s="456"/>
      <c r="S61" s="901">
        <v>1</v>
      </c>
      <c r="T61" s="459"/>
      <c r="U61" s="464">
        <f t="shared" si="112"/>
        <v>-4.4999999999999999E-4</v>
      </c>
      <c r="V61" s="901">
        <v>1</v>
      </c>
      <c r="W61" s="459"/>
      <c r="X61" s="464">
        <f t="shared" si="113"/>
        <v>-2.4000000000000001E-4</v>
      </c>
      <c r="Y61" s="901">
        <v>1</v>
      </c>
      <c r="Z61" s="459"/>
      <c r="AA61" s="464">
        <f t="shared" si="114"/>
        <v>8.0000000000000007E-5</v>
      </c>
      <c r="AB61" s="901">
        <v>1</v>
      </c>
      <c r="AC61" s="459"/>
      <c r="AD61" s="464">
        <f t="shared" si="103"/>
        <v>-2.5000000000000001E-4</v>
      </c>
      <c r="AE61" s="901">
        <v>1</v>
      </c>
      <c r="AF61" s="459"/>
      <c r="AG61" s="464">
        <f t="shared" si="115"/>
        <v>-4.4999999999999999E-4</v>
      </c>
      <c r="AH61" s="901">
        <v>1</v>
      </c>
      <c r="AI61" s="459"/>
      <c r="AJ61" s="464">
        <f t="shared" si="116"/>
        <v>-2.4000000000000001E-4</v>
      </c>
      <c r="AK61" s="901">
        <v>1</v>
      </c>
      <c r="AL61" s="459"/>
      <c r="AM61" s="464">
        <f t="shared" si="117"/>
        <v>-2.0000000000000002E-5</v>
      </c>
      <c r="AN61" s="1796"/>
      <c r="AO61" s="877"/>
    </row>
    <row r="62" spans="1:68" s="55" customFormat="1" x14ac:dyDescent="0.3">
      <c r="A62" s="85">
        <f t="shared" si="0"/>
        <v>56</v>
      </c>
      <c r="B62" s="709" t="str">
        <f>'WA Volumes &amp; Revenues'!B63</f>
        <v>42I Interr Sales</v>
      </c>
      <c r="C62" s="710" t="s">
        <v>4</v>
      </c>
      <c r="D62" s="473">
        <f>'WA Volumes &amp; Revenues'!E63</f>
        <v>156740</v>
      </c>
      <c r="E62" s="467">
        <f>'Rates in Detail'!E61</f>
        <v>0.14583999999999989</v>
      </c>
      <c r="F62" s="1471">
        <f>'Rates in Detail'!L61+SUM('Rates in Detail'!P61:Q61)</f>
        <v>1.2409999999999999E-2</v>
      </c>
      <c r="G62" s="1472">
        <f t="shared" si="34"/>
        <v>0.15824999999999989</v>
      </c>
      <c r="H62" s="1471">
        <f>'Rates in Detail'!AG61</f>
        <v>5.6600000000000001E-3</v>
      </c>
      <c r="I62" s="1472">
        <f t="shared" si="6"/>
        <v>0.16390999999999989</v>
      </c>
      <c r="J62" s="468">
        <f t="shared" si="7"/>
        <v>22859</v>
      </c>
      <c r="K62" s="468">
        <f t="shared" si="8"/>
        <v>24804</v>
      </c>
      <c r="L62" s="468">
        <f t="shared" si="9"/>
        <v>25691</v>
      </c>
      <c r="M62" s="153">
        <f>'WA Volumes &amp; Revenues'!N63</f>
        <v>1300</v>
      </c>
      <c r="N62" s="366">
        <f>'WA Volumes &amp; Revenues'!H63</f>
        <v>1.9166666666666701</v>
      </c>
      <c r="O62" s="468">
        <f>ROUND((M62*N62*12)+J62+J63+J64+J65+J66+J67,0)+'Rev Req Proof Yr1'!Z79</f>
        <v>81130.543495991747</v>
      </c>
      <c r="P62" s="468">
        <f>ROUND((M62*N62*12)+K62+K63+K64+K65+K66+K67,0)+'Rev Req Proof Yr1'!Z79</f>
        <v>84849.543495991747</v>
      </c>
      <c r="Q62" s="468">
        <f>ROUND((M62*N62*12)+L62+L63+L64+L65+L66+L67,0)+'Rev Req Proof Yr1'!Z79</f>
        <v>86545.543495991747</v>
      </c>
      <c r="R62" s="469"/>
      <c r="S62" s="902">
        <v>0</v>
      </c>
      <c r="T62" s="474">
        <f>ROUND(+$S$10*(($P62*S62)/S$84),0)</f>
        <v>0</v>
      </c>
      <c r="U62" s="472">
        <f>ROUND(G62*$AR$62,5)</f>
        <v>0</v>
      </c>
      <c r="V62" s="902">
        <v>1</v>
      </c>
      <c r="W62" s="474">
        <f>ROUND(+$V$10*(($P62*V62)/V$84),0)</f>
        <v>-683</v>
      </c>
      <c r="X62" s="472">
        <f>ROUND(G62*$AV$62,5)</f>
        <v>-2.2799999999999999E-3</v>
      </c>
      <c r="Y62" s="902">
        <v>1</v>
      </c>
      <c r="Z62" s="474">
        <f t="shared" ref="Z62" si="118">ROUND(+$Y$10*(($P62*Y62)/Y$84),0)</f>
        <v>241</v>
      </c>
      <c r="AA62" s="472">
        <f>ROUND(G62*$AZ$62,5)</f>
        <v>8.0000000000000004E-4</v>
      </c>
      <c r="AB62" s="902">
        <v>1</v>
      </c>
      <c r="AC62" s="474">
        <f>ROUND(+$AB$10*(($O62*AB62)/AB$84),0)</f>
        <v>-760</v>
      </c>
      <c r="AD62" s="472">
        <f t="shared" ref="AD62:AD67" si="119">ROUND(E62*$BD$62,5)</f>
        <v>-2.5400000000000002E-3</v>
      </c>
      <c r="AE62" s="902">
        <v>0</v>
      </c>
      <c r="AF62" s="474">
        <f t="shared" ref="AF62" si="120">ROUND(+$AE$10*(($Q62*AE62)/AE$84),0)</f>
        <v>0</v>
      </c>
      <c r="AG62" s="472">
        <f>ROUND(I62*$BH$62,5)</f>
        <v>0</v>
      </c>
      <c r="AH62" s="902">
        <v>1</v>
      </c>
      <c r="AI62" s="474">
        <f t="shared" ref="AI62" si="121">ROUND(+$AH$10*(($Q62*AH62)/AH$84),0)</f>
        <v>-661</v>
      </c>
      <c r="AJ62" s="472">
        <f>ROUND(I62*$BL$62,5)</f>
        <v>-2.2100000000000002E-3</v>
      </c>
      <c r="AK62" s="902">
        <v>1</v>
      </c>
      <c r="AL62" s="474">
        <f t="shared" ref="AL62" si="122">ROUND(+$AK$10*(($Q62*AK62)/AK$84),0)</f>
        <v>-67</v>
      </c>
      <c r="AM62" s="472">
        <f>ROUND(I62*$BP$62,5)</f>
        <v>-2.2000000000000001E-4</v>
      </c>
      <c r="AN62" s="1796"/>
      <c r="AO62" s="877"/>
      <c r="AQ62" s="427">
        <f>T62/P62</f>
        <v>0</v>
      </c>
      <c r="AR62" s="427">
        <f>T62/SUM($K$62:$K$67)</f>
        <v>0</v>
      </c>
      <c r="AU62" s="427">
        <f t="shared" ref="AU62" si="123">W62/P62</f>
        <v>-8.0495424236697814E-3</v>
      </c>
      <c r="AV62" s="427">
        <f>W62/SUM($K$62:$K$67)</f>
        <v>-1.4401383207523299E-2</v>
      </c>
      <c r="AY62" s="427">
        <f t="shared" ref="AY62" si="124">Z62/P62</f>
        <v>2.8403217043988542E-3</v>
      </c>
      <c r="AZ62" s="427">
        <f>Z62/SUM($K$62:$K$67)</f>
        <v>5.0816008096824525E-3</v>
      </c>
      <c r="BC62" s="427">
        <f>AC62/O62</f>
        <v>-9.3676187444442279E-3</v>
      </c>
      <c r="BD62" s="427">
        <f>AC62/SUM($J$62:$J$67)</f>
        <v>-1.7388519001532935E-2</v>
      </c>
      <c r="BG62" s="427">
        <f t="shared" ref="BG62" si="125">AF62/Q62</f>
        <v>0</v>
      </c>
      <c r="BH62" s="427">
        <f>AF62/SUM($L$62:$L$67)</f>
        <v>0</v>
      </c>
      <c r="BK62" s="427">
        <f t="shared" ref="BK62" si="126">AI62/Q62</f>
        <v>-7.6375971921721587E-3</v>
      </c>
      <c r="BL62" s="427">
        <f>AI62/SUM($L$62:$L$67)</f>
        <v>-1.3456292496233866E-2</v>
      </c>
      <c r="BO62" s="427">
        <f t="shared" ref="BO62" si="127">AL62/Q62</f>
        <v>-7.7415886819294196E-4</v>
      </c>
      <c r="BP62" s="427">
        <f>AL62/SUM($L$62:$L$67)</f>
        <v>-1.3639509791946581E-3</v>
      </c>
    </row>
    <row r="63" spans="1:68" s="55" customFormat="1" x14ac:dyDescent="0.3">
      <c r="A63" s="85">
        <f t="shared" si="0"/>
        <v>57</v>
      </c>
      <c r="B63" s="709"/>
      <c r="C63" s="710" t="s">
        <v>5</v>
      </c>
      <c r="D63" s="473">
        <f>'WA Volumes &amp; Revenues'!E64</f>
        <v>159690</v>
      </c>
      <c r="E63" s="467">
        <f>'Rates in Detail'!E62</f>
        <v>0.13054999999999992</v>
      </c>
      <c r="F63" s="1471">
        <f>'Rates in Detail'!L62+SUM('Rates in Detail'!P62:Q62)</f>
        <v>1.111E-2</v>
      </c>
      <c r="G63" s="1472">
        <f t="shared" si="34"/>
        <v>0.14165999999999992</v>
      </c>
      <c r="H63" s="1471">
        <f>'Rates in Detail'!AG62</f>
        <v>5.0699999999999999E-3</v>
      </c>
      <c r="I63" s="1472">
        <f t="shared" si="6"/>
        <v>0.14672999999999992</v>
      </c>
      <c r="J63" s="468">
        <f t="shared" si="7"/>
        <v>20848</v>
      </c>
      <c r="K63" s="468">
        <f t="shared" si="8"/>
        <v>22622</v>
      </c>
      <c r="L63" s="468">
        <f t="shared" si="9"/>
        <v>23431</v>
      </c>
      <c r="M63" s="153"/>
      <c r="N63" s="366"/>
      <c r="O63" s="468"/>
      <c r="P63" s="468"/>
      <c r="Q63" s="468"/>
      <c r="R63" s="469"/>
      <c r="S63" s="902">
        <v>0</v>
      </c>
      <c r="T63" s="265"/>
      <c r="U63" s="472">
        <f t="shared" ref="U63:U67" si="128">ROUND(G63*$AR$62,5)</f>
        <v>0</v>
      </c>
      <c r="V63" s="902">
        <v>1</v>
      </c>
      <c r="W63" s="265"/>
      <c r="X63" s="472">
        <f t="shared" ref="X63:X67" si="129">ROUND(G63*$AV$62,5)</f>
        <v>-2.0400000000000001E-3</v>
      </c>
      <c r="Y63" s="902">
        <v>1</v>
      </c>
      <c r="Z63" s="265"/>
      <c r="AA63" s="472">
        <f t="shared" ref="AA63:AA67" si="130">ROUND(G63*$AZ$62,5)</f>
        <v>7.2000000000000005E-4</v>
      </c>
      <c r="AB63" s="902">
        <v>1</v>
      </c>
      <c r="AC63" s="265"/>
      <c r="AD63" s="472">
        <f t="shared" si="119"/>
        <v>-2.2699999999999999E-3</v>
      </c>
      <c r="AE63" s="902">
        <v>0</v>
      </c>
      <c r="AF63" s="265"/>
      <c r="AG63" s="472">
        <f t="shared" ref="AG63:AG67" si="131">ROUND(I63*$BH$62,5)</f>
        <v>0</v>
      </c>
      <c r="AH63" s="902">
        <v>1</v>
      </c>
      <c r="AI63" s="265"/>
      <c r="AJ63" s="472">
        <f t="shared" ref="AJ63:AJ67" si="132">ROUND(I63*$BL$62,5)</f>
        <v>-1.97E-3</v>
      </c>
      <c r="AK63" s="902">
        <v>1</v>
      </c>
      <c r="AL63" s="265"/>
      <c r="AM63" s="472">
        <f t="shared" ref="AM63:AM67" si="133">ROUND(I63*$BP$62,5)</f>
        <v>-2.0000000000000001E-4</v>
      </c>
      <c r="AN63" s="1796"/>
      <c r="AO63" s="877"/>
    </row>
    <row r="64" spans="1:68" s="55" customFormat="1" x14ac:dyDescent="0.3">
      <c r="A64" s="85">
        <f t="shared" si="0"/>
        <v>58</v>
      </c>
      <c r="B64" s="709"/>
      <c r="C64" s="710" t="s">
        <v>6</v>
      </c>
      <c r="D64" s="473">
        <f>'WA Volumes &amp; Revenues'!E65</f>
        <v>0</v>
      </c>
      <c r="E64" s="467">
        <f>'Rates in Detail'!E63</f>
        <v>0.10011</v>
      </c>
      <c r="F64" s="1471">
        <f>'Rates in Detail'!L63+SUM('Rates in Detail'!P63:Q63)</f>
        <v>8.5199999999999998E-3</v>
      </c>
      <c r="G64" s="1472">
        <f t="shared" si="34"/>
        <v>0.10863</v>
      </c>
      <c r="H64" s="1471">
        <f>'Rates in Detail'!AG63</f>
        <v>3.8899999999999998E-3</v>
      </c>
      <c r="I64" s="1472">
        <f t="shared" si="6"/>
        <v>0.11252000000000001</v>
      </c>
      <c r="J64" s="468">
        <f t="shared" si="7"/>
        <v>0</v>
      </c>
      <c r="K64" s="468">
        <f t="shared" si="8"/>
        <v>0</v>
      </c>
      <c r="L64" s="468">
        <f t="shared" si="9"/>
        <v>0</v>
      </c>
      <c r="M64" s="153"/>
      <c r="N64" s="366"/>
      <c r="O64" s="468"/>
      <c r="P64" s="468"/>
      <c r="Q64" s="468"/>
      <c r="R64" s="469"/>
      <c r="S64" s="902">
        <v>0</v>
      </c>
      <c r="T64" s="265"/>
      <c r="U64" s="472">
        <f t="shared" si="128"/>
        <v>0</v>
      </c>
      <c r="V64" s="902">
        <v>1</v>
      </c>
      <c r="W64" s="265"/>
      <c r="X64" s="472">
        <f t="shared" si="129"/>
        <v>-1.56E-3</v>
      </c>
      <c r="Y64" s="902">
        <v>1</v>
      </c>
      <c r="Z64" s="265"/>
      <c r="AA64" s="472">
        <f t="shared" si="130"/>
        <v>5.5000000000000003E-4</v>
      </c>
      <c r="AB64" s="902">
        <v>1</v>
      </c>
      <c r="AC64" s="265"/>
      <c r="AD64" s="472">
        <f t="shared" si="119"/>
        <v>-1.74E-3</v>
      </c>
      <c r="AE64" s="902">
        <v>0</v>
      </c>
      <c r="AF64" s="265"/>
      <c r="AG64" s="472">
        <f t="shared" si="131"/>
        <v>0</v>
      </c>
      <c r="AH64" s="902">
        <v>1</v>
      </c>
      <c r="AI64" s="265"/>
      <c r="AJ64" s="472">
        <f t="shared" si="132"/>
        <v>-1.5100000000000001E-3</v>
      </c>
      <c r="AK64" s="902">
        <v>1</v>
      </c>
      <c r="AL64" s="265"/>
      <c r="AM64" s="472">
        <f t="shared" si="133"/>
        <v>-1.4999999999999999E-4</v>
      </c>
      <c r="AN64" s="1796"/>
      <c r="AO64" s="877"/>
    </row>
    <row r="65" spans="1:68" s="55" customFormat="1" x14ac:dyDescent="0.3">
      <c r="A65" s="85">
        <f t="shared" si="0"/>
        <v>59</v>
      </c>
      <c r="B65" s="709"/>
      <c r="C65" s="710" t="s">
        <v>7</v>
      </c>
      <c r="D65" s="473">
        <f>'WA Volumes &amp; Revenues'!E66</f>
        <v>0</v>
      </c>
      <c r="E65" s="467">
        <f>'Rates in Detail'!E64</f>
        <v>8.0089999999999995E-2</v>
      </c>
      <c r="F65" s="1471">
        <f>'Rates in Detail'!L64+SUM('Rates in Detail'!P64:Q64)</f>
        <v>6.8200000000000005E-3</v>
      </c>
      <c r="G65" s="1472">
        <f t="shared" si="34"/>
        <v>8.6910000000000001E-2</v>
      </c>
      <c r="H65" s="1471">
        <f>'Rates in Detail'!AG64</f>
        <v>3.1099999999999999E-3</v>
      </c>
      <c r="I65" s="1472">
        <f t="shared" si="6"/>
        <v>9.0020000000000003E-2</v>
      </c>
      <c r="J65" s="468">
        <f t="shared" si="7"/>
        <v>0</v>
      </c>
      <c r="K65" s="468">
        <f t="shared" si="8"/>
        <v>0</v>
      </c>
      <c r="L65" s="468">
        <f t="shared" si="9"/>
        <v>0</v>
      </c>
      <c r="M65" s="153"/>
      <c r="N65" s="366"/>
      <c r="O65" s="468"/>
      <c r="P65" s="468"/>
      <c r="Q65" s="468"/>
      <c r="R65" s="469"/>
      <c r="S65" s="902">
        <v>0</v>
      </c>
      <c r="T65" s="265"/>
      <c r="U65" s="472">
        <f t="shared" si="128"/>
        <v>0</v>
      </c>
      <c r="V65" s="902">
        <v>1</v>
      </c>
      <c r="W65" s="265"/>
      <c r="X65" s="472">
        <f t="shared" si="129"/>
        <v>-1.25E-3</v>
      </c>
      <c r="Y65" s="902">
        <v>1</v>
      </c>
      <c r="Z65" s="265"/>
      <c r="AA65" s="472">
        <f t="shared" si="130"/>
        <v>4.4000000000000002E-4</v>
      </c>
      <c r="AB65" s="902">
        <v>1</v>
      </c>
      <c r="AC65" s="265"/>
      <c r="AD65" s="472">
        <f t="shared" si="119"/>
        <v>-1.39E-3</v>
      </c>
      <c r="AE65" s="902">
        <v>0</v>
      </c>
      <c r="AF65" s="265"/>
      <c r="AG65" s="472">
        <f t="shared" si="131"/>
        <v>0</v>
      </c>
      <c r="AH65" s="902">
        <v>1</v>
      </c>
      <c r="AI65" s="265"/>
      <c r="AJ65" s="472">
        <f t="shared" si="132"/>
        <v>-1.2099999999999999E-3</v>
      </c>
      <c r="AK65" s="902">
        <v>1</v>
      </c>
      <c r="AL65" s="265"/>
      <c r="AM65" s="472">
        <f t="shared" si="133"/>
        <v>-1.2E-4</v>
      </c>
      <c r="AN65" s="1796"/>
      <c r="AO65" s="877"/>
    </row>
    <row r="66" spans="1:68" s="55" customFormat="1" x14ac:dyDescent="0.3">
      <c r="A66" s="85">
        <f t="shared" si="0"/>
        <v>60</v>
      </c>
      <c r="B66" s="709"/>
      <c r="C66" s="710" t="s">
        <v>8</v>
      </c>
      <c r="D66" s="473">
        <f>'WA Volumes &amp; Revenues'!E67</f>
        <v>0</v>
      </c>
      <c r="E66" s="467">
        <f>'Rates in Detail'!E65</f>
        <v>5.339E-2</v>
      </c>
      <c r="F66" s="1471">
        <f>'Rates in Detail'!L65+SUM('Rates in Detail'!P65:Q65)</f>
        <v>4.5399999999999998E-3</v>
      </c>
      <c r="G66" s="1472">
        <f t="shared" si="34"/>
        <v>5.7930000000000002E-2</v>
      </c>
      <c r="H66" s="1471">
        <f>'Rates in Detail'!AG65</f>
        <v>2.0699999999999998E-3</v>
      </c>
      <c r="I66" s="1472">
        <f t="shared" si="6"/>
        <v>6.0000000000000005E-2</v>
      </c>
      <c r="J66" s="468">
        <f t="shared" si="7"/>
        <v>0</v>
      </c>
      <c r="K66" s="468">
        <f t="shared" si="8"/>
        <v>0</v>
      </c>
      <c r="L66" s="468">
        <f t="shared" si="9"/>
        <v>0</v>
      </c>
      <c r="M66" s="153"/>
      <c r="N66" s="366"/>
      <c r="O66" s="468"/>
      <c r="P66" s="468"/>
      <c r="Q66" s="468"/>
      <c r="R66" s="469"/>
      <c r="S66" s="902">
        <v>0</v>
      </c>
      <c r="T66" s="265"/>
      <c r="U66" s="472">
        <f t="shared" si="128"/>
        <v>0</v>
      </c>
      <c r="V66" s="902">
        <v>1</v>
      </c>
      <c r="W66" s="265"/>
      <c r="X66" s="472">
        <f t="shared" si="129"/>
        <v>-8.3000000000000001E-4</v>
      </c>
      <c r="Y66" s="902">
        <v>1</v>
      </c>
      <c r="Z66" s="265"/>
      <c r="AA66" s="472">
        <f t="shared" si="130"/>
        <v>2.9E-4</v>
      </c>
      <c r="AB66" s="902">
        <v>1</v>
      </c>
      <c r="AC66" s="265"/>
      <c r="AD66" s="472">
        <f t="shared" si="119"/>
        <v>-9.3000000000000005E-4</v>
      </c>
      <c r="AE66" s="902">
        <v>0</v>
      </c>
      <c r="AF66" s="265"/>
      <c r="AG66" s="472">
        <f t="shared" si="131"/>
        <v>0</v>
      </c>
      <c r="AH66" s="902">
        <v>1</v>
      </c>
      <c r="AI66" s="265"/>
      <c r="AJ66" s="472">
        <f t="shared" si="132"/>
        <v>-8.0999999999999996E-4</v>
      </c>
      <c r="AK66" s="902">
        <v>1</v>
      </c>
      <c r="AL66" s="265"/>
      <c r="AM66" s="472">
        <f t="shared" si="133"/>
        <v>-8.0000000000000007E-5</v>
      </c>
      <c r="AN66" s="1796"/>
      <c r="AO66" s="877"/>
    </row>
    <row r="67" spans="1:68" s="55" customFormat="1" x14ac:dyDescent="0.3">
      <c r="A67" s="85">
        <f t="shared" si="0"/>
        <v>61</v>
      </c>
      <c r="B67" s="707"/>
      <c r="C67" s="711" t="s">
        <v>9</v>
      </c>
      <c r="D67" s="460">
        <f>'WA Volumes &amp; Revenues'!E68</f>
        <v>0</v>
      </c>
      <c r="E67" s="457">
        <f>'Rates in Detail'!E66</f>
        <v>2.002E-2</v>
      </c>
      <c r="F67" s="1469">
        <f>'Rates in Detail'!L66+SUM('Rates in Detail'!P66:Q66)</f>
        <v>1.7000000000000001E-3</v>
      </c>
      <c r="G67" s="1468">
        <f t="shared" si="34"/>
        <v>2.172E-2</v>
      </c>
      <c r="H67" s="1469">
        <f>'Rates in Detail'!AG66</f>
        <v>7.7999999999999999E-4</v>
      </c>
      <c r="I67" s="1468">
        <f t="shared" si="6"/>
        <v>2.2499999999999999E-2</v>
      </c>
      <c r="J67" s="461">
        <f t="shared" si="7"/>
        <v>0</v>
      </c>
      <c r="K67" s="461">
        <f t="shared" si="8"/>
        <v>0</v>
      </c>
      <c r="L67" s="461">
        <f t="shared" si="9"/>
        <v>0</v>
      </c>
      <c r="M67" s="462"/>
      <c r="N67" s="724"/>
      <c r="O67" s="461"/>
      <c r="P67" s="461"/>
      <c r="Q67" s="461"/>
      <c r="R67" s="456"/>
      <c r="S67" s="901">
        <v>0</v>
      </c>
      <c r="T67" s="459"/>
      <c r="U67" s="464">
        <f t="shared" si="128"/>
        <v>0</v>
      </c>
      <c r="V67" s="901">
        <v>1</v>
      </c>
      <c r="W67" s="459"/>
      <c r="X67" s="464">
        <f t="shared" si="129"/>
        <v>-3.1E-4</v>
      </c>
      <c r="Y67" s="901">
        <v>1</v>
      </c>
      <c r="Z67" s="459"/>
      <c r="AA67" s="464">
        <f t="shared" si="130"/>
        <v>1.1E-4</v>
      </c>
      <c r="AB67" s="901">
        <v>1</v>
      </c>
      <c r="AC67" s="459"/>
      <c r="AD67" s="464">
        <f t="shared" si="119"/>
        <v>-3.5E-4</v>
      </c>
      <c r="AE67" s="901">
        <v>0</v>
      </c>
      <c r="AF67" s="459"/>
      <c r="AG67" s="464">
        <f t="shared" si="131"/>
        <v>0</v>
      </c>
      <c r="AH67" s="901">
        <v>1</v>
      </c>
      <c r="AI67" s="459"/>
      <c r="AJ67" s="464">
        <f t="shared" si="132"/>
        <v>-2.9999999999999997E-4</v>
      </c>
      <c r="AK67" s="901">
        <v>1</v>
      </c>
      <c r="AL67" s="459"/>
      <c r="AM67" s="464">
        <f t="shared" si="133"/>
        <v>-3.0000000000000001E-5</v>
      </c>
      <c r="AN67" s="1796"/>
      <c r="AO67" s="877"/>
    </row>
    <row r="68" spans="1:68" s="55" customFormat="1" x14ac:dyDescent="0.3">
      <c r="A68" s="85">
        <f t="shared" si="0"/>
        <v>62</v>
      </c>
      <c r="B68" s="709" t="str">
        <f>'WA Volumes &amp; Revenues'!B69</f>
        <v>42C Inter Transpt</v>
      </c>
      <c r="C68" s="710" t="s">
        <v>4</v>
      </c>
      <c r="D68" s="473">
        <f>'WA Volumes &amp; Revenues'!E69</f>
        <v>0</v>
      </c>
      <c r="E68" s="475">
        <f>'Rates in Detail'!E67</f>
        <v>0.13402999999999998</v>
      </c>
      <c r="F68" s="1474">
        <f>'Rates in Detail'!L67+SUM('Rates in Detail'!P67:Q67)</f>
        <v>4.8799999999999998E-3</v>
      </c>
      <c r="G68" s="1475">
        <f t="shared" si="34"/>
        <v>0.13890999999999998</v>
      </c>
      <c r="H68" s="1474">
        <f>'Rates in Detail'!AG67</f>
        <v>2.7799999999999999E-3</v>
      </c>
      <c r="I68" s="1475">
        <f t="shared" si="6"/>
        <v>0.14168999999999998</v>
      </c>
      <c r="J68" s="468">
        <f t="shared" si="7"/>
        <v>0</v>
      </c>
      <c r="K68" s="468">
        <f t="shared" si="8"/>
        <v>0</v>
      </c>
      <c r="L68" s="468">
        <f t="shared" si="9"/>
        <v>0</v>
      </c>
      <c r="M68" s="153">
        <f>'WA Volumes &amp; Revenues'!N69</f>
        <v>1550</v>
      </c>
      <c r="N68" s="366">
        <f>'WA Volumes &amp; Revenues'!H69</f>
        <v>0</v>
      </c>
      <c r="O68" s="468">
        <f>ROUND((M68*N68*12)+J68+J69+J70+J71+J72+J73,0)+'Rev Req Proof Yr1'!Z86</f>
        <v>0</v>
      </c>
      <c r="P68" s="468">
        <f>ROUND((M68*N68*12)+K68+K69+K70+K71+K72+K73,0)+'Rev Req Proof Yr1'!Z86</f>
        <v>0</v>
      </c>
      <c r="Q68" s="468">
        <f>ROUND((M68*N68*12)+L68+L69+L70+L71+L72+L73,0)+'Rev Req Proof Yr1'!Z86</f>
        <v>0</v>
      </c>
      <c r="R68" s="476"/>
      <c r="S68" s="902">
        <v>0</v>
      </c>
      <c r="T68" s="474">
        <f>ROUND(+$S$10*(($P68*S68)/S$84),0)</f>
        <v>0</v>
      </c>
      <c r="U68" s="472">
        <f>ROUND(G68*$AR$68,5)</f>
        <v>0</v>
      </c>
      <c r="V68" s="902">
        <v>1</v>
      </c>
      <c r="W68" s="474">
        <f>ROUND(+$V$10*(($P68*V68)/V$84),0)</f>
        <v>0</v>
      </c>
      <c r="X68" s="1630">
        <f>ROUND(G68*$AV$68,5)</f>
        <v>-1.1199999999999999E-3</v>
      </c>
      <c r="Y68" s="902">
        <v>1</v>
      </c>
      <c r="Z68" s="474">
        <f t="shared" ref="Z68" si="134">ROUND(+$Y$10*(($P68*Y68)/Y$84),0)</f>
        <v>0</v>
      </c>
      <c r="AA68" s="1615">
        <f>IF(Z68&lt;&gt;0,ROUND((Z68/$K68)*$G68,5),ROUND(($Y$10/$K$84)*$G68*Y68,5))</f>
        <v>5.1000000000000004E-4</v>
      </c>
      <c r="AB68" s="902">
        <v>1</v>
      </c>
      <c r="AC68" s="474">
        <f>ROUND(+$AB$10*(($O68*AB68)/AB$84),0)</f>
        <v>0</v>
      </c>
      <c r="AD68" s="1630">
        <f t="shared" ref="AD68:AD73" si="135">ROUND(E68*$BD$68,5)</f>
        <v>-1.2600000000000001E-3</v>
      </c>
      <c r="AE68" s="902">
        <v>0</v>
      </c>
      <c r="AF68" s="474">
        <f t="shared" ref="AF68" si="136">ROUND(+$AE$10*(($Q68*AE68)/AE$84),0)</f>
        <v>0</v>
      </c>
      <c r="AG68" s="472">
        <f>ROUND(I68*$BH$68,5)</f>
        <v>0</v>
      </c>
      <c r="AH68" s="902">
        <v>1</v>
      </c>
      <c r="AI68" s="474">
        <f t="shared" ref="AI68" si="137">ROUND(+$AH$10*(($Q68*AH68)/AH$84),0)</f>
        <v>0</v>
      </c>
      <c r="AJ68" s="1630">
        <f>ROUND(I68*$BL$68,5)</f>
        <v>-1.08E-3</v>
      </c>
      <c r="AK68" s="902">
        <v>1</v>
      </c>
      <c r="AL68" s="474">
        <f t="shared" ref="AL68" si="138">ROUND(+$AK$10*(($Q68*AK68)/AK$84),0)</f>
        <v>0</v>
      </c>
      <c r="AM68" s="1630">
        <f>ROUND(I68*$BP$68,5)</f>
        <v>-1.1E-4</v>
      </c>
      <c r="AN68" s="1796"/>
      <c r="AO68" s="877"/>
      <c r="AQ68" s="427">
        <v>0</v>
      </c>
      <c r="AR68" s="427">
        <v>0</v>
      </c>
      <c r="AU68" s="1632">
        <v>-8.0548568584918115E-3</v>
      </c>
      <c r="AV68" s="1632">
        <v>-8.0548568584918115E-3</v>
      </c>
      <c r="AY68" s="427">
        <v>0</v>
      </c>
      <c r="AZ68" s="427">
        <v>0</v>
      </c>
      <c r="BC68" s="1632">
        <v>-9.3642979246309037E-3</v>
      </c>
      <c r="BD68" s="1632">
        <v>-9.3642979246309037E-3</v>
      </c>
      <c r="BG68" s="427">
        <v>0</v>
      </c>
      <c r="BH68" s="427">
        <v>0</v>
      </c>
      <c r="BK68" s="1632">
        <v>-7.6336583527997961E-3</v>
      </c>
      <c r="BL68" s="1632">
        <v>-7.6336583527997961E-3</v>
      </c>
      <c r="BO68" s="1632">
        <v>-7.7629483430740091E-4</v>
      </c>
      <c r="BP68" s="1632">
        <v>-7.7629483430740091E-4</v>
      </c>
    </row>
    <row r="69" spans="1:68" s="55" customFormat="1" x14ac:dyDescent="0.3">
      <c r="A69" s="85">
        <f t="shared" si="0"/>
        <v>63</v>
      </c>
      <c r="B69" s="709"/>
      <c r="C69" s="710" t="s">
        <v>5</v>
      </c>
      <c r="D69" s="473">
        <f>'WA Volumes &amp; Revenues'!E70</f>
        <v>0</v>
      </c>
      <c r="E69" s="475">
        <f>'Rates in Detail'!E68</f>
        <v>0.11997999999999999</v>
      </c>
      <c r="F69" s="1474">
        <f>'Rates in Detail'!L68+SUM('Rates in Detail'!P68:Q68)</f>
        <v>4.3800000000000002E-3</v>
      </c>
      <c r="G69" s="1475">
        <f t="shared" si="34"/>
        <v>0.12435999999999998</v>
      </c>
      <c r="H69" s="1474">
        <f>'Rates in Detail'!AG68</f>
        <v>2.49E-3</v>
      </c>
      <c r="I69" s="1475">
        <f t="shared" si="6"/>
        <v>0.12684999999999999</v>
      </c>
      <c r="J69" s="468">
        <f t="shared" si="7"/>
        <v>0</v>
      </c>
      <c r="K69" s="468">
        <f t="shared" si="8"/>
        <v>0</v>
      </c>
      <c r="L69" s="468">
        <f t="shared" si="9"/>
        <v>0</v>
      </c>
      <c r="M69" s="153"/>
      <c r="N69" s="366"/>
      <c r="O69" s="468"/>
      <c r="P69" s="468"/>
      <c r="Q69" s="468"/>
      <c r="R69" s="476"/>
      <c r="S69" s="902">
        <v>0</v>
      </c>
      <c r="T69" s="265"/>
      <c r="U69" s="472">
        <f t="shared" ref="U69:U73" si="139">ROUND(G69*$AR$68,5)</f>
        <v>0</v>
      </c>
      <c r="V69" s="902">
        <v>1</v>
      </c>
      <c r="W69" s="265"/>
      <c r="X69" s="1630">
        <f t="shared" ref="X69:X73" si="140">ROUND(G69*$AV$68,5)</f>
        <v>-1E-3</v>
      </c>
      <c r="Y69" s="902">
        <v>1</v>
      </c>
      <c r="Z69" s="265"/>
      <c r="AA69" s="1615">
        <f t="shared" ref="AA69:AA73" si="141">IF(Z69&lt;&gt;0,ROUND((Z69/$K69)*$G69,5),ROUND(($Y$10/$K$84)*$G69*Y69,5))</f>
        <v>4.4999999999999999E-4</v>
      </c>
      <c r="AB69" s="902">
        <v>1</v>
      </c>
      <c r="AC69" s="265"/>
      <c r="AD69" s="1630">
        <f t="shared" si="135"/>
        <v>-1.1199999999999999E-3</v>
      </c>
      <c r="AE69" s="902">
        <v>0</v>
      </c>
      <c r="AF69" s="265"/>
      <c r="AG69" s="472">
        <f t="shared" ref="AG69:AG73" si="142">ROUND(I69*$BH$68,5)</f>
        <v>0</v>
      </c>
      <c r="AH69" s="902">
        <v>1</v>
      </c>
      <c r="AI69" s="265"/>
      <c r="AJ69" s="1630">
        <f t="shared" ref="AJ69:AJ73" si="143">ROUND(I69*$BL$68,5)</f>
        <v>-9.7000000000000005E-4</v>
      </c>
      <c r="AK69" s="902">
        <v>1</v>
      </c>
      <c r="AL69" s="265"/>
      <c r="AM69" s="1630">
        <f t="shared" ref="AM69:AM73" si="144">ROUND(I69*$BP$68,5)</f>
        <v>-1E-4</v>
      </c>
      <c r="AN69" s="1796"/>
      <c r="AO69" s="877"/>
    </row>
    <row r="70" spans="1:68" s="55" customFormat="1" x14ac:dyDescent="0.3">
      <c r="A70" s="85">
        <f t="shared" si="0"/>
        <v>64</v>
      </c>
      <c r="B70" s="709"/>
      <c r="C70" s="710" t="s">
        <v>6</v>
      </c>
      <c r="D70" s="473">
        <f>'WA Volumes &amp; Revenues'!E71</f>
        <v>0</v>
      </c>
      <c r="E70" s="475">
        <f>'Rates in Detail'!E69</f>
        <v>9.1999999999999998E-2</v>
      </c>
      <c r="F70" s="1474">
        <f>'Rates in Detail'!L69+SUM('Rates in Detail'!P69:Q69)</f>
        <v>3.3599999999999997E-3</v>
      </c>
      <c r="G70" s="1475">
        <f t="shared" si="34"/>
        <v>9.536E-2</v>
      </c>
      <c r="H70" s="1474">
        <f>'Rates in Detail'!AG69</f>
        <v>1.91E-3</v>
      </c>
      <c r="I70" s="1475">
        <f t="shared" si="6"/>
        <v>9.7269999999999995E-2</v>
      </c>
      <c r="J70" s="468">
        <f t="shared" si="7"/>
        <v>0</v>
      </c>
      <c r="K70" s="468">
        <f t="shared" si="8"/>
        <v>0</v>
      </c>
      <c r="L70" s="468">
        <f t="shared" si="9"/>
        <v>0</v>
      </c>
      <c r="M70" s="153"/>
      <c r="N70" s="366"/>
      <c r="O70" s="468"/>
      <c r="P70" s="468"/>
      <c r="Q70" s="468"/>
      <c r="R70" s="476"/>
      <c r="S70" s="902">
        <v>0</v>
      </c>
      <c r="T70" s="265"/>
      <c r="U70" s="472">
        <f t="shared" si="139"/>
        <v>0</v>
      </c>
      <c r="V70" s="902">
        <v>1</v>
      </c>
      <c r="W70" s="265"/>
      <c r="X70" s="1630">
        <f t="shared" si="140"/>
        <v>-7.6999999999999996E-4</v>
      </c>
      <c r="Y70" s="902">
        <v>1</v>
      </c>
      <c r="Z70" s="265"/>
      <c r="AA70" s="1615">
        <f t="shared" si="141"/>
        <v>3.5E-4</v>
      </c>
      <c r="AB70" s="902">
        <v>1</v>
      </c>
      <c r="AC70" s="265"/>
      <c r="AD70" s="1630">
        <f t="shared" si="135"/>
        <v>-8.5999999999999998E-4</v>
      </c>
      <c r="AE70" s="902">
        <v>0</v>
      </c>
      <c r="AF70" s="265"/>
      <c r="AG70" s="472">
        <f t="shared" si="142"/>
        <v>0</v>
      </c>
      <c r="AH70" s="902">
        <v>1</v>
      </c>
      <c r="AI70" s="265"/>
      <c r="AJ70" s="1630">
        <f t="shared" si="143"/>
        <v>-7.3999999999999999E-4</v>
      </c>
      <c r="AK70" s="902">
        <v>1</v>
      </c>
      <c r="AL70" s="265"/>
      <c r="AM70" s="1630">
        <f t="shared" si="144"/>
        <v>-8.0000000000000007E-5</v>
      </c>
      <c r="AN70" s="1796"/>
      <c r="AO70" s="877"/>
    </row>
    <row r="71" spans="1:68" s="55" customFormat="1" x14ac:dyDescent="0.3">
      <c r="A71" s="85">
        <f t="shared" si="0"/>
        <v>65</v>
      </c>
      <c r="B71" s="709"/>
      <c r="C71" s="710" t="s">
        <v>7</v>
      </c>
      <c r="D71" s="473">
        <f>'WA Volumes &amp; Revenues'!E72</f>
        <v>0</v>
      </c>
      <c r="E71" s="475">
        <f>'Rates in Detail'!E70</f>
        <v>7.3609999999999995E-2</v>
      </c>
      <c r="F71" s="1474">
        <f>'Rates in Detail'!L70+SUM('Rates in Detail'!P70:Q70)</f>
        <v>2.6800000000000001E-3</v>
      </c>
      <c r="G71" s="1475">
        <f t="shared" si="34"/>
        <v>7.6289999999999997E-2</v>
      </c>
      <c r="H71" s="1474">
        <f>'Rates in Detail'!AG70</f>
        <v>1.5299999999999999E-3</v>
      </c>
      <c r="I71" s="1475">
        <f t="shared" si="6"/>
        <v>7.782E-2</v>
      </c>
      <c r="J71" s="468">
        <f t="shared" si="7"/>
        <v>0</v>
      </c>
      <c r="K71" s="468">
        <f t="shared" si="8"/>
        <v>0</v>
      </c>
      <c r="L71" s="468">
        <f t="shared" si="9"/>
        <v>0</v>
      </c>
      <c r="M71" s="153"/>
      <c r="N71" s="366"/>
      <c r="O71" s="468"/>
      <c r="P71" s="468"/>
      <c r="Q71" s="468"/>
      <c r="R71" s="476"/>
      <c r="S71" s="902">
        <v>0</v>
      </c>
      <c r="T71" s="265"/>
      <c r="U71" s="472">
        <f t="shared" si="139"/>
        <v>0</v>
      </c>
      <c r="V71" s="902">
        <v>1</v>
      </c>
      <c r="W71" s="265"/>
      <c r="X71" s="1630">
        <f t="shared" si="140"/>
        <v>-6.0999999999999997E-4</v>
      </c>
      <c r="Y71" s="902">
        <v>1</v>
      </c>
      <c r="Z71" s="265"/>
      <c r="AA71" s="1615">
        <f t="shared" si="141"/>
        <v>2.7999999999999998E-4</v>
      </c>
      <c r="AB71" s="902">
        <v>1</v>
      </c>
      <c r="AC71" s="265"/>
      <c r="AD71" s="1630">
        <f t="shared" si="135"/>
        <v>-6.8999999999999997E-4</v>
      </c>
      <c r="AE71" s="902">
        <v>0</v>
      </c>
      <c r="AF71" s="265"/>
      <c r="AG71" s="472">
        <f t="shared" si="142"/>
        <v>0</v>
      </c>
      <c r="AH71" s="902">
        <v>1</v>
      </c>
      <c r="AI71" s="265"/>
      <c r="AJ71" s="1630">
        <f t="shared" si="143"/>
        <v>-5.9000000000000003E-4</v>
      </c>
      <c r="AK71" s="902">
        <v>1</v>
      </c>
      <c r="AL71" s="265"/>
      <c r="AM71" s="1630">
        <f t="shared" si="144"/>
        <v>-6.0000000000000002E-5</v>
      </c>
      <c r="AN71" s="1796"/>
      <c r="AO71" s="877"/>
    </row>
    <row r="72" spans="1:68" s="55" customFormat="1" x14ac:dyDescent="0.3">
      <c r="A72" s="85">
        <f t="shared" si="0"/>
        <v>66</v>
      </c>
      <c r="B72" s="709"/>
      <c r="C72" s="710" t="s">
        <v>8</v>
      </c>
      <c r="D72" s="473">
        <f>'WA Volumes &amp; Revenues'!E73</f>
        <v>0</v>
      </c>
      <c r="E72" s="475">
        <f>'Rates in Detail'!E71</f>
        <v>4.9079999999999999E-2</v>
      </c>
      <c r="F72" s="1474">
        <f>'Rates in Detail'!L71+SUM('Rates in Detail'!P71:Q71)</f>
        <v>1.7899999999999999E-3</v>
      </c>
      <c r="G72" s="1475">
        <f t="shared" si="34"/>
        <v>5.0869999999999999E-2</v>
      </c>
      <c r="H72" s="1474">
        <f>'Rates in Detail'!AG71</f>
        <v>1.0200000000000001E-3</v>
      </c>
      <c r="I72" s="1475">
        <f t="shared" si="6"/>
        <v>5.1889999999999999E-2</v>
      </c>
      <c r="J72" s="468">
        <f t="shared" si="7"/>
        <v>0</v>
      </c>
      <c r="K72" s="468">
        <f t="shared" si="8"/>
        <v>0</v>
      </c>
      <c r="L72" s="468">
        <f t="shared" si="9"/>
        <v>0</v>
      </c>
      <c r="M72" s="153"/>
      <c r="N72" s="366"/>
      <c r="O72" s="468"/>
      <c r="P72" s="468"/>
      <c r="Q72" s="468"/>
      <c r="R72" s="476"/>
      <c r="S72" s="902">
        <v>0</v>
      </c>
      <c r="T72" s="265"/>
      <c r="U72" s="472">
        <f t="shared" si="139"/>
        <v>0</v>
      </c>
      <c r="V72" s="902">
        <v>1</v>
      </c>
      <c r="W72" s="265"/>
      <c r="X72" s="1630">
        <f t="shared" si="140"/>
        <v>-4.0999999999999999E-4</v>
      </c>
      <c r="Y72" s="902">
        <v>1</v>
      </c>
      <c r="Z72" s="265"/>
      <c r="AA72" s="1615">
        <f t="shared" si="141"/>
        <v>1.9000000000000001E-4</v>
      </c>
      <c r="AB72" s="902">
        <v>1</v>
      </c>
      <c r="AC72" s="265"/>
      <c r="AD72" s="1630">
        <f t="shared" si="135"/>
        <v>-4.6000000000000001E-4</v>
      </c>
      <c r="AE72" s="902">
        <v>0</v>
      </c>
      <c r="AF72" s="265"/>
      <c r="AG72" s="472">
        <f t="shared" si="142"/>
        <v>0</v>
      </c>
      <c r="AH72" s="902">
        <v>1</v>
      </c>
      <c r="AI72" s="265"/>
      <c r="AJ72" s="1630">
        <f t="shared" si="143"/>
        <v>-4.0000000000000002E-4</v>
      </c>
      <c r="AK72" s="902">
        <v>1</v>
      </c>
      <c r="AL72" s="265"/>
      <c r="AM72" s="1630">
        <f t="shared" si="144"/>
        <v>-4.0000000000000003E-5</v>
      </c>
      <c r="AN72" s="1796"/>
      <c r="AO72" s="877"/>
    </row>
    <row r="73" spans="1:68" s="55" customFormat="1" x14ac:dyDescent="0.3">
      <c r="A73" s="85">
        <f t="shared" si="0"/>
        <v>67</v>
      </c>
      <c r="B73" s="707"/>
      <c r="C73" s="711" t="s">
        <v>9</v>
      </c>
      <c r="D73" s="460">
        <f>'WA Volumes &amp; Revenues'!E74</f>
        <v>0</v>
      </c>
      <c r="E73" s="477">
        <f>'Rates in Detail'!E72</f>
        <v>1.839E-2</v>
      </c>
      <c r="F73" s="1476">
        <f>'Rates in Detail'!L72+SUM('Rates in Detail'!P72:Q72)</f>
        <v>6.7000000000000002E-4</v>
      </c>
      <c r="G73" s="1477">
        <f t="shared" si="34"/>
        <v>1.9060000000000001E-2</v>
      </c>
      <c r="H73" s="1476">
        <f>'Rates in Detail'!AG72</f>
        <v>3.8000000000000002E-4</v>
      </c>
      <c r="I73" s="1477">
        <f t="shared" si="6"/>
        <v>1.9439999999999999E-2</v>
      </c>
      <c r="J73" s="461">
        <f t="shared" si="7"/>
        <v>0</v>
      </c>
      <c r="K73" s="461">
        <f t="shared" si="8"/>
        <v>0</v>
      </c>
      <c r="L73" s="461">
        <f t="shared" si="9"/>
        <v>0</v>
      </c>
      <c r="M73" s="462"/>
      <c r="N73" s="724"/>
      <c r="O73" s="461"/>
      <c r="P73" s="461"/>
      <c r="Q73" s="461"/>
      <c r="R73" s="478"/>
      <c r="S73" s="901">
        <v>0</v>
      </c>
      <c r="T73" s="459"/>
      <c r="U73" s="464">
        <f t="shared" si="139"/>
        <v>0</v>
      </c>
      <c r="V73" s="901">
        <v>1</v>
      </c>
      <c r="W73" s="459"/>
      <c r="X73" s="1631">
        <f t="shared" si="140"/>
        <v>-1.4999999999999999E-4</v>
      </c>
      <c r="Y73" s="901">
        <v>1</v>
      </c>
      <c r="Z73" s="459"/>
      <c r="AA73" s="1616">
        <f t="shared" si="141"/>
        <v>6.9999999999999994E-5</v>
      </c>
      <c r="AB73" s="901">
        <v>1</v>
      </c>
      <c r="AC73" s="459"/>
      <c r="AD73" s="1631">
        <f t="shared" si="135"/>
        <v>-1.7000000000000001E-4</v>
      </c>
      <c r="AE73" s="901">
        <v>0</v>
      </c>
      <c r="AF73" s="459"/>
      <c r="AG73" s="464">
        <f t="shared" si="142"/>
        <v>0</v>
      </c>
      <c r="AH73" s="901">
        <v>1</v>
      </c>
      <c r="AI73" s="459"/>
      <c r="AJ73" s="1631">
        <f t="shared" si="143"/>
        <v>-1.4999999999999999E-4</v>
      </c>
      <c r="AK73" s="901">
        <v>1</v>
      </c>
      <c r="AL73" s="459"/>
      <c r="AM73" s="1631">
        <f t="shared" si="144"/>
        <v>-2.0000000000000002E-5</v>
      </c>
      <c r="AN73" s="1796"/>
      <c r="AO73" s="877"/>
    </row>
    <row r="74" spans="1:68" s="55" customFormat="1" x14ac:dyDescent="0.3">
      <c r="A74" s="85">
        <f t="shared" si="0"/>
        <v>68</v>
      </c>
      <c r="B74" s="709" t="str">
        <f>'WA Volumes &amp; Revenues'!B75</f>
        <v>42I Inter Transpt</v>
      </c>
      <c r="C74" s="710" t="s">
        <v>4</v>
      </c>
      <c r="D74" s="473">
        <f>'WA Volumes &amp; Revenues'!E75</f>
        <v>844078</v>
      </c>
      <c r="E74" s="475">
        <f>'Rates in Detail'!E73</f>
        <v>0.13402999999999998</v>
      </c>
      <c r="F74" s="1474">
        <f>'Rates in Detail'!L73+SUM('Rates in Detail'!P73:Q73)</f>
        <v>7.2999999999999992E-3</v>
      </c>
      <c r="G74" s="1475">
        <f t="shared" si="34"/>
        <v>0.14132999999999998</v>
      </c>
      <c r="H74" s="1474">
        <f>'Rates in Detail'!AG73</f>
        <v>3.3300000000000001E-3</v>
      </c>
      <c r="I74" s="1475">
        <f t="shared" si="6"/>
        <v>0.14465999999999998</v>
      </c>
      <c r="J74" s="468">
        <f t="shared" si="7"/>
        <v>113132</v>
      </c>
      <c r="K74" s="468">
        <f t="shared" si="8"/>
        <v>119294</v>
      </c>
      <c r="L74" s="468">
        <f t="shared" si="9"/>
        <v>122104</v>
      </c>
      <c r="M74" s="153">
        <f>'WA Volumes &amp; Revenues'!N75</f>
        <v>1550</v>
      </c>
      <c r="N74" s="366">
        <f>'WA Volumes &amp; Revenues'!H75</f>
        <v>7</v>
      </c>
      <c r="O74" s="468">
        <f>ROUND((M74*N74*12)+J74+J75+J76+J77+J78+J79,0)+'Rev Req Proof Yr1'!Z93</f>
        <v>825480</v>
      </c>
      <c r="P74" s="468">
        <f>ROUND((M74*N74*12)+K74+K75+K76+K77+K78+K79,0)+'Rev Req Proof Yr1'!Z93</f>
        <v>863340</v>
      </c>
      <c r="Q74" s="468">
        <f>ROUND((M74*N74*12)+L74+L75+L76+L77+L78+L79,0)+'Rev Req Proof Yr1'!Z93</f>
        <v>880611</v>
      </c>
      <c r="R74" s="476"/>
      <c r="S74" s="902">
        <v>0</v>
      </c>
      <c r="T74" s="474">
        <f>ROUND(+$S$10*(($P74*S74)/S$84),0)</f>
        <v>0</v>
      </c>
      <c r="U74" s="472">
        <f>ROUND(G74*$AR$74,5)</f>
        <v>0</v>
      </c>
      <c r="V74" s="902">
        <v>1</v>
      </c>
      <c r="W74" s="474">
        <f>ROUND(+$V$10*(($P74*V74)/V$84),0)</f>
        <v>-6954</v>
      </c>
      <c r="X74" s="472">
        <f>ROUND(G74*$AV$74,5)</f>
        <v>-1.34E-3</v>
      </c>
      <c r="Y74" s="902">
        <v>1</v>
      </c>
      <c r="Z74" s="474">
        <f t="shared" ref="Z74" si="145">ROUND(+$Y$10*(($P74*Y74)/Y$84),0)</f>
        <v>2452</v>
      </c>
      <c r="AA74" s="472">
        <f>ROUND(G74*$AZ$74,5)</f>
        <v>4.6999999999999999E-4</v>
      </c>
      <c r="AB74" s="902">
        <v>1</v>
      </c>
      <c r="AC74" s="474">
        <f>ROUND(+$AB$10*(($O74*AB74)/AB$84),0)</f>
        <v>-7730</v>
      </c>
      <c r="AD74" s="472">
        <f t="shared" ref="AD74:AD79" si="146">ROUND(E74*$BD$74,5)</f>
        <v>-1.49E-3</v>
      </c>
      <c r="AE74" s="902">
        <v>0</v>
      </c>
      <c r="AF74" s="474">
        <f t="shared" ref="AF74" si="147">ROUND(+$AE$10*(($Q74*AE74)/AE$84),0)</f>
        <v>0</v>
      </c>
      <c r="AG74" s="472">
        <f>ROUND(I74*$BH$74,5)</f>
        <v>0</v>
      </c>
      <c r="AH74" s="902">
        <v>1</v>
      </c>
      <c r="AI74" s="474">
        <f t="shared" ref="AI74" si="148">ROUND(+$AH$10*(($Q74*AH74)/AH$84),0)</f>
        <v>-6722</v>
      </c>
      <c r="AJ74" s="472">
        <f>ROUND(I74*$BL$74,5)</f>
        <v>-1.2999999999999999E-3</v>
      </c>
      <c r="AK74" s="902">
        <v>1</v>
      </c>
      <c r="AL74" s="474">
        <f t="shared" ref="AL74" si="149">ROUND(+$AK$10*(($Q74*AK74)/AK$84),0)</f>
        <v>-684</v>
      </c>
      <c r="AM74" s="472">
        <f>ROUND(I74*$BP$74,5)</f>
        <v>-1.2999999999999999E-4</v>
      </c>
      <c r="AN74" s="1796"/>
      <c r="AO74" s="877"/>
      <c r="AQ74" s="427">
        <f>T74/P74</f>
        <v>0</v>
      </c>
      <c r="AR74" s="427">
        <f>T74/SUM($K$74:$K$79)</f>
        <v>0</v>
      </c>
      <c r="AU74" s="427">
        <f t="shared" ref="AU74" si="150">W74/P74</f>
        <v>-8.0547640558760163E-3</v>
      </c>
      <c r="AV74" s="427">
        <f>W74/SUM($K$74:$K$79)</f>
        <v>-9.4852279237253451E-3</v>
      </c>
      <c r="AY74" s="427">
        <f t="shared" ref="AY74" si="151">Z74/P74</f>
        <v>2.8401325086292771E-3</v>
      </c>
      <c r="AZ74" s="427">
        <f>Z74/SUM($K$74:$K$79)</f>
        <v>3.3445181002264234E-3</v>
      </c>
      <c r="BC74" s="427">
        <f>AC74/O74</f>
        <v>-9.3642486795561374E-3</v>
      </c>
      <c r="BD74" s="427">
        <f>AC74/SUM($J$74:$J$79)</f>
        <v>-1.1117823035323899E-2</v>
      </c>
      <c r="BG74" s="427">
        <f t="shared" ref="BG74" si="152">AF74/Q74</f>
        <v>0</v>
      </c>
      <c r="BH74" s="427">
        <f>AF74/SUM($L$74:$L$79)</f>
        <v>0</v>
      </c>
      <c r="BK74" s="427">
        <f t="shared" ref="BK74" si="153">AI74/Q74</f>
        <v>-7.6333363993863349E-3</v>
      </c>
      <c r="BL74" s="427">
        <f>AI74/SUM($L$74:$L$79)</f>
        <v>-8.9577578153838371E-3</v>
      </c>
      <c r="BO74" s="427">
        <f t="shared" ref="BO74" si="154">AL74/Q74</f>
        <v>-7.7673342713184372E-4</v>
      </c>
      <c r="BP74" s="427">
        <f>AL74/SUM($L$74:$L$79)</f>
        <v>-9.1150049772724547E-4</v>
      </c>
    </row>
    <row r="75" spans="1:68" s="55" customFormat="1" x14ac:dyDescent="0.3">
      <c r="A75" s="85">
        <f t="shared" si="0"/>
        <v>69</v>
      </c>
      <c r="B75" s="709"/>
      <c r="C75" s="710" t="s">
        <v>5</v>
      </c>
      <c r="D75" s="473">
        <f>'WA Volumes &amp; Revenues'!E76</f>
        <v>1445175</v>
      </c>
      <c r="E75" s="475">
        <f>'Rates in Detail'!E74</f>
        <v>0.11997999999999999</v>
      </c>
      <c r="F75" s="1474">
        <f>'Rates in Detail'!L74+SUM('Rates in Detail'!P74:Q74)</f>
        <v>6.5300000000000011E-3</v>
      </c>
      <c r="G75" s="1475">
        <f t="shared" si="34"/>
        <v>0.12650999999999998</v>
      </c>
      <c r="H75" s="1474">
        <f>'Rates in Detail'!AG74</f>
        <v>2.98E-3</v>
      </c>
      <c r="I75" s="1475">
        <f t="shared" si="6"/>
        <v>0.12948999999999999</v>
      </c>
      <c r="J75" s="468">
        <f t="shared" si="7"/>
        <v>173392</v>
      </c>
      <c r="K75" s="468">
        <f t="shared" si="8"/>
        <v>182829</v>
      </c>
      <c r="L75" s="468">
        <f t="shared" si="9"/>
        <v>187136</v>
      </c>
      <c r="M75" s="153"/>
      <c r="N75" s="366"/>
      <c r="O75" s="468"/>
      <c r="P75" s="468"/>
      <c r="Q75" s="468"/>
      <c r="R75" s="476"/>
      <c r="S75" s="902">
        <v>0</v>
      </c>
      <c r="T75" s="265"/>
      <c r="U75" s="472">
        <f t="shared" ref="U75:U79" si="155">ROUND(G75*$AR$74,5)</f>
        <v>0</v>
      </c>
      <c r="V75" s="902">
        <v>1</v>
      </c>
      <c r="W75" s="265"/>
      <c r="X75" s="472">
        <f t="shared" ref="X75:X79" si="156">ROUND(G75*$AV$74,5)</f>
        <v>-1.1999999999999999E-3</v>
      </c>
      <c r="Y75" s="902">
        <v>1</v>
      </c>
      <c r="Z75" s="265"/>
      <c r="AA75" s="472">
        <f t="shared" ref="AA75:AA79" si="157">ROUND(G75*$AZ$74,5)</f>
        <v>4.2000000000000002E-4</v>
      </c>
      <c r="AB75" s="902">
        <v>1</v>
      </c>
      <c r="AC75" s="265"/>
      <c r="AD75" s="472">
        <f t="shared" si="146"/>
        <v>-1.33E-3</v>
      </c>
      <c r="AE75" s="902">
        <v>0</v>
      </c>
      <c r="AF75" s="265"/>
      <c r="AG75" s="472">
        <f t="shared" ref="AG75:AG79" si="158">ROUND(I75*$BH$74,5)</f>
        <v>0</v>
      </c>
      <c r="AH75" s="902">
        <v>1</v>
      </c>
      <c r="AI75" s="265"/>
      <c r="AJ75" s="472">
        <f t="shared" ref="AJ75:AJ79" si="159">ROUND(I75*$BL$74,5)</f>
        <v>-1.16E-3</v>
      </c>
      <c r="AK75" s="902">
        <v>1</v>
      </c>
      <c r="AL75" s="265"/>
      <c r="AM75" s="472">
        <f t="shared" ref="AM75:AM79" si="160">ROUND(I75*$BP$74,5)</f>
        <v>-1.2E-4</v>
      </c>
      <c r="AN75" s="1796"/>
      <c r="AO75" s="877"/>
    </row>
    <row r="76" spans="1:68" s="55" customFormat="1" x14ac:dyDescent="0.3">
      <c r="A76" s="85">
        <f t="shared" si="0"/>
        <v>70</v>
      </c>
      <c r="B76" s="709"/>
      <c r="C76" s="710" t="s">
        <v>6</v>
      </c>
      <c r="D76" s="473">
        <f>'WA Volumes &amp; Revenues'!E77</f>
        <v>1034978</v>
      </c>
      <c r="E76" s="475">
        <f>'Rates in Detail'!E75</f>
        <v>9.1999999999999998E-2</v>
      </c>
      <c r="F76" s="1474">
        <f>'Rates in Detail'!L75+SUM('Rates in Detail'!P75:Q75)</f>
        <v>5.0099999999999997E-3</v>
      </c>
      <c r="G76" s="1475">
        <f t="shared" si="34"/>
        <v>9.7009999999999999E-2</v>
      </c>
      <c r="H76" s="1474">
        <f>'Rates in Detail'!AG75</f>
        <v>2.2799999999999999E-3</v>
      </c>
      <c r="I76" s="1475">
        <f t="shared" si="6"/>
        <v>9.9290000000000003E-2</v>
      </c>
      <c r="J76" s="468">
        <f t="shared" si="7"/>
        <v>95218</v>
      </c>
      <c r="K76" s="468">
        <f t="shared" si="8"/>
        <v>100403</v>
      </c>
      <c r="L76" s="468">
        <f t="shared" si="9"/>
        <v>102763</v>
      </c>
      <c r="M76" s="153"/>
      <c r="N76" s="366"/>
      <c r="O76" s="468"/>
      <c r="P76" s="468"/>
      <c r="Q76" s="468"/>
      <c r="R76" s="476"/>
      <c r="S76" s="902">
        <v>0</v>
      </c>
      <c r="T76" s="265"/>
      <c r="U76" s="472">
        <f t="shared" si="155"/>
        <v>0</v>
      </c>
      <c r="V76" s="902">
        <v>1</v>
      </c>
      <c r="W76" s="265"/>
      <c r="X76" s="472">
        <f t="shared" si="156"/>
        <v>-9.2000000000000003E-4</v>
      </c>
      <c r="Y76" s="902">
        <v>1</v>
      </c>
      <c r="Z76" s="265"/>
      <c r="AA76" s="472">
        <f t="shared" si="157"/>
        <v>3.2000000000000003E-4</v>
      </c>
      <c r="AB76" s="902">
        <v>1</v>
      </c>
      <c r="AC76" s="265"/>
      <c r="AD76" s="472">
        <f t="shared" si="146"/>
        <v>-1.0200000000000001E-3</v>
      </c>
      <c r="AE76" s="902">
        <v>0</v>
      </c>
      <c r="AF76" s="265"/>
      <c r="AG76" s="472">
        <f t="shared" si="158"/>
        <v>0</v>
      </c>
      <c r="AH76" s="902">
        <v>1</v>
      </c>
      <c r="AI76" s="265"/>
      <c r="AJ76" s="472">
        <f t="shared" si="159"/>
        <v>-8.8999999999999995E-4</v>
      </c>
      <c r="AK76" s="902">
        <v>1</v>
      </c>
      <c r="AL76" s="265"/>
      <c r="AM76" s="472">
        <f t="shared" si="160"/>
        <v>-9.0000000000000006E-5</v>
      </c>
      <c r="AN76" s="1796"/>
      <c r="AO76" s="877"/>
    </row>
    <row r="77" spans="1:68" s="55" customFormat="1" x14ac:dyDescent="0.3">
      <c r="A77" s="85">
        <f t="shared" si="0"/>
        <v>71</v>
      </c>
      <c r="B77" s="709"/>
      <c r="C77" s="710" t="s">
        <v>7</v>
      </c>
      <c r="D77" s="473">
        <f>'WA Volumes &amp; Revenues'!E78</f>
        <v>3359916</v>
      </c>
      <c r="E77" s="475">
        <f>'Rates in Detail'!E76</f>
        <v>7.3609999999999995E-2</v>
      </c>
      <c r="F77" s="1474">
        <f>'Rates in Detail'!L76+SUM('Rates in Detail'!P76:Q76)</f>
        <v>4.0099999999999997E-3</v>
      </c>
      <c r="G77" s="1475">
        <f t="shared" si="34"/>
        <v>7.7619999999999995E-2</v>
      </c>
      <c r="H77" s="1474">
        <f>'Rates in Detail'!AG76</f>
        <v>1.83E-3</v>
      </c>
      <c r="I77" s="1475">
        <f t="shared" si="6"/>
        <v>7.9449999999999993E-2</v>
      </c>
      <c r="J77" s="468">
        <f t="shared" si="7"/>
        <v>247323</v>
      </c>
      <c r="K77" s="468">
        <f t="shared" si="8"/>
        <v>260797</v>
      </c>
      <c r="L77" s="468">
        <f t="shared" si="9"/>
        <v>266945</v>
      </c>
      <c r="M77" s="153"/>
      <c r="N77" s="366"/>
      <c r="O77" s="468"/>
      <c r="P77" s="468"/>
      <c r="Q77" s="468"/>
      <c r="R77" s="476"/>
      <c r="S77" s="902">
        <v>0</v>
      </c>
      <c r="T77" s="265"/>
      <c r="U77" s="472">
        <f t="shared" si="155"/>
        <v>0</v>
      </c>
      <c r="V77" s="902">
        <v>1</v>
      </c>
      <c r="W77" s="265"/>
      <c r="X77" s="472">
        <f t="shared" si="156"/>
        <v>-7.3999999999999999E-4</v>
      </c>
      <c r="Y77" s="902">
        <v>1</v>
      </c>
      <c r="Z77" s="265"/>
      <c r="AA77" s="472">
        <f t="shared" si="157"/>
        <v>2.5999999999999998E-4</v>
      </c>
      <c r="AB77" s="902">
        <v>1</v>
      </c>
      <c r="AC77" s="265"/>
      <c r="AD77" s="472">
        <f t="shared" si="146"/>
        <v>-8.1999999999999998E-4</v>
      </c>
      <c r="AE77" s="902">
        <v>0</v>
      </c>
      <c r="AF77" s="265"/>
      <c r="AG77" s="472">
        <f t="shared" si="158"/>
        <v>0</v>
      </c>
      <c r="AH77" s="902">
        <v>1</v>
      </c>
      <c r="AI77" s="265"/>
      <c r="AJ77" s="472">
        <f t="shared" si="159"/>
        <v>-7.1000000000000002E-4</v>
      </c>
      <c r="AK77" s="902">
        <v>1</v>
      </c>
      <c r="AL77" s="265"/>
      <c r="AM77" s="472">
        <f t="shared" si="160"/>
        <v>-6.9999999999999994E-5</v>
      </c>
      <c r="AN77" s="1796"/>
      <c r="AO77" s="877"/>
    </row>
    <row r="78" spans="1:68" s="55" customFormat="1" x14ac:dyDescent="0.3">
      <c r="A78" s="85">
        <f t="shared" si="0"/>
        <v>72</v>
      </c>
      <c r="B78" s="709"/>
      <c r="C78" s="710" t="s">
        <v>8</v>
      </c>
      <c r="D78" s="473">
        <f>'WA Volumes &amp; Revenues'!E79</f>
        <v>1349120</v>
      </c>
      <c r="E78" s="475">
        <f>'Rates in Detail'!E77</f>
        <v>4.9079999999999999E-2</v>
      </c>
      <c r="F78" s="1474">
        <f>'Rates in Detail'!L77+SUM('Rates in Detail'!P77:Q77)</f>
        <v>2.6700000000000001E-3</v>
      </c>
      <c r="G78" s="1475">
        <f t="shared" si="34"/>
        <v>5.1749999999999997E-2</v>
      </c>
      <c r="H78" s="1474">
        <f>'Rates in Detail'!AG77</f>
        <v>1.2199999999999999E-3</v>
      </c>
      <c r="I78" s="1475">
        <f t="shared" si="6"/>
        <v>5.2969999999999996E-2</v>
      </c>
      <c r="J78" s="468">
        <f t="shared" si="7"/>
        <v>66215</v>
      </c>
      <c r="K78" s="468">
        <f t="shared" si="8"/>
        <v>69817</v>
      </c>
      <c r="L78" s="468">
        <f t="shared" si="9"/>
        <v>71463</v>
      </c>
      <c r="M78" s="153"/>
      <c r="N78" s="366"/>
      <c r="O78" s="468"/>
      <c r="P78" s="468"/>
      <c r="Q78" s="468"/>
      <c r="R78" s="476"/>
      <c r="S78" s="902">
        <v>0</v>
      </c>
      <c r="T78" s="265"/>
      <c r="U78" s="472">
        <f t="shared" si="155"/>
        <v>0</v>
      </c>
      <c r="V78" s="902">
        <v>1</v>
      </c>
      <c r="W78" s="265"/>
      <c r="X78" s="472">
        <f t="shared" si="156"/>
        <v>-4.8999999999999998E-4</v>
      </c>
      <c r="Y78" s="902">
        <v>1</v>
      </c>
      <c r="Z78" s="265"/>
      <c r="AA78" s="472">
        <f t="shared" si="157"/>
        <v>1.7000000000000001E-4</v>
      </c>
      <c r="AB78" s="902">
        <v>1</v>
      </c>
      <c r="AC78" s="265"/>
      <c r="AD78" s="472">
        <f t="shared" si="146"/>
        <v>-5.5000000000000003E-4</v>
      </c>
      <c r="AE78" s="902">
        <v>0</v>
      </c>
      <c r="AF78" s="265"/>
      <c r="AG78" s="472">
        <f t="shared" si="158"/>
        <v>0</v>
      </c>
      <c r="AH78" s="902">
        <v>1</v>
      </c>
      <c r="AI78" s="265"/>
      <c r="AJ78" s="472">
        <f t="shared" si="159"/>
        <v>-4.6999999999999999E-4</v>
      </c>
      <c r="AK78" s="902">
        <v>1</v>
      </c>
      <c r="AL78" s="265"/>
      <c r="AM78" s="472">
        <f t="shared" si="160"/>
        <v>-5.0000000000000002E-5</v>
      </c>
      <c r="AN78" s="1796"/>
      <c r="AO78" s="877"/>
    </row>
    <row r="79" spans="1:68" s="55" customFormat="1" x14ac:dyDescent="0.3">
      <c r="A79" s="85">
        <f t="shared" si="0"/>
        <v>73</v>
      </c>
      <c r="B79" s="707"/>
      <c r="C79" s="711" t="s">
        <v>9</v>
      </c>
      <c r="D79" s="460">
        <f>'WA Volumes &amp; Revenues'!E80</f>
        <v>0</v>
      </c>
      <c r="E79" s="477">
        <f>'Rates in Detail'!E78</f>
        <v>1.839E-2</v>
      </c>
      <c r="F79" s="1476">
        <f>'Rates in Detail'!L78+SUM('Rates in Detail'!P78:Q78)</f>
        <v>1.0099999999999998E-3</v>
      </c>
      <c r="G79" s="1477">
        <f t="shared" si="34"/>
        <v>1.9400000000000001E-2</v>
      </c>
      <c r="H79" s="1476">
        <f>'Rates in Detail'!AG78</f>
        <v>4.6000000000000001E-4</v>
      </c>
      <c r="I79" s="1477">
        <f t="shared" ref="I79:I82" si="161">G79+H79</f>
        <v>1.9859999999999999E-2</v>
      </c>
      <c r="J79" s="461">
        <f t="shared" ref="J79:J82" si="162">ROUND(E79*D79,0)</f>
        <v>0</v>
      </c>
      <c r="K79" s="461">
        <f t="shared" ref="K79:K82" si="163">ROUND(G79*D79,0)</f>
        <v>0</v>
      </c>
      <c r="L79" s="461">
        <f t="shared" ref="L79:L82" si="164">ROUND(I79*D79,0)</f>
        <v>0</v>
      </c>
      <c r="M79" s="462"/>
      <c r="N79" s="724"/>
      <c r="O79" s="461"/>
      <c r="P79" s="461"/>
      <c r="Q79" s="461"/>
      <c r="R79" s="478"/>
      <c r="S79" s="901">
        <v>0</v>
      </c>
      <c r="T79" s="459"/>
      <c r="U79" s="464">
        <f t="shared" si="155"/>
        <v>0</v>
      </c>
      <c r="V79" s="901">
        <v>1</v>
      </c>
      <c r="W79" s="459"/>
      <c r="X79" s="464">
        <f t="shared" si="156"/>
        <v>-1.8000000000000001E-4</v>
      </c>
      <c r="Y79" s="901">
        <v>1</v>
      </c>
      <c r="Z79" s="459"/>
      <c r="AA79" s="464">
        <f t="shared" si="157"/>
        <v>6.0000000000000002E-5</v>
      </c>
      <c r="AB79" s="901">
        <v>1</v>
      </c>
      <c r="AC79" s="459"/>
      <c r="AD79" s="464">
        <f t="shared" si="146"/>
        <v>-2.0000000000000001E-4</v>
      </c>
      <c r="AE79" s="901">
        <v>0</v>
      </c>
      <c r="AF79" s="459"/>
      <c r="AG79" s="464">
        <f t="shared" si="158"/>
        <v>0</v>
      </c>
      <c r="AH79" s="901">
        <v>1</v>
      </c>
      <c r="AI79" s="459"/>
      <c r="AJ79" s="464">
        <f t="shared" si="159"/>
        <v>-1.8000000000000001E-4</v>
      </c>
      <c r="AK79" s="901">
        <v>1</v>
      </c>
      <c r="AL79" s="459"/>
      <c r="AM79" s="464">
        <f t="shared" si="160"/>
        <v>-2.0000000000000002E-5</v>
      </c>
      <c r="AN79" s="1796"/>
      <c r="AO79" s="877"/>
    </row>
    <row r="80" spans="1:68" s="55" customFormat="1" x14ac:dyDescent="0.3">
      <c r="A80" s="85">
        <f t="shared" si="0"/>
        <v>74</v>
      </c>
      <c r="B80" s="707" t="str">
        <f>'WA Volumes &amp; Revenues'!B81</f>
        <v>43 Firm Transpt</v>
      </c>
      <c r="C80" s="707" t="s">
        <v>270</v>
      </c>
      <c r="D80" s="1498">
        <f>'WA Volumes &amp; Revenues'!E81</f>
        <v>0</v>
      </c>
      <c r="E80" s="479">
        <f>'Rates in Detail'!E79</f>
        <v>4.9099999999999994E-3</v>
      </c>
      <c r="F80" s="1478">
        <f>'Rates in Detail'!L79+SUM('Rates in Detail'!P79:Q79)</f>
        <v>0</v>
      </c>
      <c r="G80" s="1479">
        <f t="shared" si="34"/>
        <v>4.9099999999999994E-3</v>
      </c>
      <c r="H80" s="1478">
        <f>'Rates in Detail'!AG79</f>
        <v>0</v>
      </c>
      <c r="I80" s="1479">
        <f t="shared" si="161"/>
        <v>4.9099999999999994E-3</v>
      </c>
      <c r="J80" s="461">
        <f t="shared" si="162"/>
        <v>0</v>
      </c>
      <c r="K80" s="461">
        <f t="shared" si="163"/>
        <v>0</v>
      </c>
      <c r="L80" s="461">
        <f t="shared" si="164"/>
        <v>0</v>
      </c>
      <c r="M80" s="462">
        <f>'WA Volumes &amp; Revenues'!N81</f>
        <v>38000</v>
      </c>
      <c r="N80" s="724">
        <f>'WA Volumes &amp; Revenues'!H81</f>
        <v>0</v>
      </c>
      <c r="O80" s="461">
        <f>ROUND(J80+(M80*N80*12),0)</f>
        <v>0</v>
      </c>
      <c r="P80" s="461">
        <f>ROUND(K80+(M80*N80*12),0)</f>
        <v>0</v>
      </c>
      <c r="Q80" s="461">
        <f>ROUND(L80+(M80*N80*12),0)</f>
        <v>0</v>
      </c>
      <c r="R80" s="480"/>
      <c r="S80" s="903">
        <v>0</v>
      </c>
      <c r="T80" s="459">
        <f>ROUND(+$S$10*(($P80*S80)/S$84),0)</f>
        <v>0</v>
      </c>
      <c r="U80" s="464">
        <f t="shared" ref="U80:U82" si="165">ROUND(G80*AR80,5)</f>
        <v>0</v>
      </c>
      <c r="V80" s="903">
        <v>1</v>
      </c>
      <c r="W80" s="459">
        <f>ROUND(+$V$10*(($P80*V80)/V$84),0)</f>
        <v>0</v>
      </c>
      <c r="X80" s="1631">
        <f t="shared" ref="X80:X82" si="166">ROUND(G80*AV80,5)</f>
        <v>-4.0000000000000003E-5</v>
      </c>
      <c r="Y80" s="903">
        <v>1</v>
      </c>
      <c r="Z80" s="459">
        <f t="shared" ref="Z80:Z82" si="167">ROUND(+$Y$10*(($P80*Y80)/Y$84),0)</f>
        <v>0</v>
      </c>
      <c r="AA80" s="1616">
        <f t="shared" ref="AA80:AA82" si="168">IF(Z80&lt;&gt;0,ROUND((Z80/$K80)*$G80,5),ROUND(($Y$10/$K$84)*$G80*Y80,5))</f>
        <v>2.0000000000000002E-5</v>
      </c>
      <c r="AB80" s="903">
        <v>1</v>
      </c>
      <c r="AC80" s="459">
        <f>ROUND(+$AB$10*(($O80*AB80)/AB$84),0)</f>
        <v>0</v>
      </c>
      <c r="AD80" s="1656">
        <v>0</v>
      </c>
      <c r="AE80" s="903">
        <v>0</v>
      </c>
      <c r="AF80" s="459">
        <f t="shared" ref="AF80:AF82" si="169">ROUND(+$AE$10*(($Q80*AE80)/AE$84),0)</f>
        <v>0</v>
      </c>
      <c r="AG80" s="464">
        <f t="shared" ref="AG80:AG82" si="170">ROUND(I80*BH80,5)</f>
        <v>0</v>
      </c>
      <c r="AH80" s="903">
        <v>1</v>
      </c>
      <c r="AI80" s="459">
        <f t="shared" ref="AI80:AI82" si="171">ROUND(+$AH$10*(($Q80*AH80)/AH$84),0)</f>
        <v>0</v>
      </c>
      <c r="AJ80" s="1631">
        <f t="shared" ref="AJ80:AJ82" si="172">ROUND(I80*BL80,5)</f>
        <v>-4.0000000000000003E-5</v>
      </c>
      <c r="AK80" s="903">
        <v>1</v>
      </c>
      <c r="AL80" s="459">
        <f t="shared" ref="AL80:AL82" si="173">ROUND(+$AK$10*(($Q80*AK80)/AK$84),0)</f>
        <v>0</v>
      </c>
      <c r="AM80" s="1631">
        <f t="shared" ref="AM80:AM82" si="174">ROUND(I80*BP80,5)</f>
        <v>0</v>
      </c>
      <c r="AN80" s="1796">
        <f t="shared" ref="AN80:AN82" si="175">AJ80+AM80</f>
        <v>-4.0000000000000003E-5</v>
      </c>
      <c r="AO80" s="877"/>
      <c r="AQ80" s="427">
        <v>0</v>
      </c>
      <c r="AR80" s="427">
        <v>0</v>
      </c>
      <c r="AU80" s="1632">
        <v>-8.0548568584918115E-3</v>
      </c>
      <c r="AV80" s="1632">
        <v>-8.0548568584918115E-3</v>
      </c>
      <c r="AY80" s="427">
        <v>0</v>
      </c>
      <c r="AZ80" s="427">
        <v>0</v>
      </c>
      <c r="BC80" s="1632">
        <v>-9.3642979246309037E-3</v>
      </c>
      <c r="BD80" s="1632">
        <v>-9.3642979246309037E-3</v>
      </c>
      <c r="BG80" s="427">
        <v>0</v>
      </c>
      <c r="BH80" s="427">
        <v>0</v>
      </c>
      <c r="BK80" s="1632">
        <v>-7.6336583527997961E-3</v>
      </c>
      <c r="BL80" s="1632">
        <v>-7.6336583527997961E-3</v>
      </c>
      <c r="BO80" s="1632">
        <v>-7.7629483430740091E-4</v>
      </c>
      <c r="BP80" s="1632">
        <v>-7.7629483430740091E-4</v>
      </c>
    </row>
    <row r="81" spans="1:68" s="55" customFormat="1" x14ac:dyDescent="0.3">
      <c r="A81" s="85">
        <f t="shared" si="0"/>
        <v>75</v>
      </c>
      <c r="B81" s="708" t="str">
        <f>'WA Volumes &amp; Revenues'!B82</f>
        <v>43 Interr Transpt</v>
      </c>
      <c r="C81" s="708" t="s">
        <v>270</v>
      </c>
      <c r="D81" s="460">
        <f>'WA Volumes &amp; Revenues'!E82</f>
        <v>0</v>
      </c>
      <c r="E81" s="477">
        <f>'Rates in Detail'!E80</f>
        <v>4.9099999999999994E-3</v>
      </c>
      <c r="F81" s="1469">
        <f>'Rates in Detail'!L80+SUM('Rates in Detail'!P80:Q80)</f>
        <v>0</v>
      </c>
      <c r="G81" s="1468">
        <f t="shared" ref="G81:G82" si="176">E81+F81</f>
        <v>4.9099999999999994E-3</v>
      </c>
      <c r="H81" s="1469">
        <f>'Rates in Detail'!AG80</f>
        <v>0</v>
      </c>
      <c r="I81" s="1468">
        <f t="shared" si="161"/>
        <v>4.9099999999999994E-3</v>
      </c>
      <c r="J81" s="461">
        <f t="shared" si="162"/>
        <v>0</v>
      </c>
      <c r="K81" s="461">
        <f t="shared" si="163"/>
        <v>0</v>
      </c>
      <c r="L81" s="461">
        <f t="shared" si="164"/>
        <v>0</v>
      </c>
      <c r="M81" s="462">
        <f>'WA Volumes &amp; Revenues'!N82</f>
        <v>38000</v>
      </c>
      <c r="N81" s="724">
        <f>'WA Volumes &amp; Revenues'!H82</f>
        <v>0</v>
      </c>
      <c r="O81" s="461">
        <f>ROUND(J81+(M81*N81*12),0)</f>
        <v>0</v>
      </c>
      <c r="P81" s="461">
        <f>ROUND(K81+(M81*N81*12),0)</f>
        <v>0</v>
      </c>
      <c r="Q81" s="461">
        <f t="shared" ref="Q81:Q82" si="177">ROUND(L81+(M81*N81*12),0)</f>
        <v>0</v>
      </c>
      <c r="R81" s="478"/>
      <c r="S81" s="903">
        <v>0</v>
      </c>
      <c r="T81" s="459">
        <f>ROUND(+$S$10*(($P81*S81)/S$84),0)</f>
        <v>0</v>
      </c>
      <c r="U81" s="464">
        <f t="shared" si="165"/>
        <v>0</v>
      </c>
      <c r="V81" s="903">
        <v>1</v>
      </c>
      <c r="W81" s="459">
        <f t="shared" ref="W81:W82" si="178">ROUND(+$V$10*(($P81*V81)/V$84),0)</f>
        <v>0</v>
      </c>
      <c r="X81" s="1631">
        <f t="shared" si="166"/>
        <v>-4.0000000000000003E-5</v>
      </c>
      <c r="Y81" s="903">
        <v>1</v>
      </c>
      <c r="Z81" s="459">
        <f t="shared" si="167"/>
        <v>0</v>
      </c>
      <c r="AA81" s="1616">
        <f t="shared" si="168"/>
        <v>2.0000000000000002E-5</v>
      </c>
      <c r="AB81" s="903">
        <v>1</v>
      </c>
      <c r="AC81" s="459">
        <f>ROUND(+$AB$10*(($O81*AB81)/AB$84),0)</f>
        <v>0</v>
      </c>
      <c r="AD81" s="1656">
        <v>0</v>
      </c>
      <c r="AE81" s="903">
        <v>0</v>
      </c>
      <c r="AF81" s="459">
        <f t="shared" si="169"/>
        <v>0</v>
      </c>
      <c r="AG81" s="464">
        <f t="shared" si="170"/>
        <v>0</v>
      </c>
      <c r="AH81" s="903">
        <v>1</v>
      </c>
      <c r="AI81" s="459">
        <f t="shared" si="171"/>
        <v>0</v>
      </c>
      <c r="AJ81" s="1631">
        <f t="shared" si="172"/>
        <v>-4.0000000000000003E-5</v>
      </c>
      <c r="AK81" s="903">
        <v>1</v>
      </c>
      <c r="AL81" s="459">
        <f t="shared" si="173"/>
        <v>0</v>
      </c>
      <c r="AM81" s="1631">
        <f t="shared" si="174"/>
        <v>0</v>
      </c>
      <c r="AN81" s="1796">
        <f t="shared" si="175"/>
        <v>-4.0000000000000003E-5</v>
      </c>
      <c r="AO81" s="877"/>
      <c r="AQ81" s="427">
        <v>0</v>
      </c>
      <c r="AR81" s="427">
        <v>0</v>
      </c>
      <c r="AU81" s="1632">
        <v>-8.0548568584918115E-3</v>
      </c>
      <c r="AV81" s="1632">
        <v>-8.0548568584918115E-3</v>
      </c>
      <c r="AY81" s="427">
        <v>0</v>
      </c>
      <c r="AZ81" s="427">
        <v>0</v>
      </c>
      <c r="BC81" s="1632">
        <v>-9.3642979246309037E-3</v>
      </c>
      <c r="BD81" s="1632">
        <v>-9.3642979246309037E-3</v>
      </c>
      <c r="BG81" s="427">
        <v>0</v>
      </c>
      <c r="BH81" s="427">
        <v>0</v>
      </c>
      <c r="BK81" s="1632">
        <v>-7.6336583527997961E-3</v>
      </c>
      <c r="BL81" s="1632">
        <v>-7.6336583527997961E-3</v>
      </c>
      <c r="BO81" s="1632">
        <v>-7.7629483430740091E-4</v>
      </c>
      <c r="BP81" s="1632">
        <v>-7.7629483430740091E-4</v>
      </c>
    </row>
    <row r="82" spans="1:68" s="55" customFormat="1" x14ac:dyDescent="0.3">
      <c r="A82" s="85">
        <f t="shared" si="0"/>
        <v>76</v>
      </c>
      <c r="B82" s="708" t="str">
        <f>'WA Volumes &amp; Revenues'!B83</f>
        <v>Special Contract</v>
      </c>
      <c r="C82" s="708" t="s">
        <v>270</v>
      </c>
      <c r="D82" s="359">
        <f>'WA Volumes &amp; Revenues'!E83</f>
        <v>2895114</v>
      </c>
      <c r="E82" s="477">
        <f>'Rates in Detail'!E81</f>
        <v>0</v>
      </c>
      <c r="F82" s="1476">
        <f>'Rates in Detail'!L81+SUM('Rates in Detail'!P81:Q81)</f>
        <v>0</v>
      </c>
      <c r="G82" s="1477">
        <f t="shared" si="176"/>
        <v>0</v>
      </c>
      <c r="H82" s="1476">
        <f>'Rates in Detail'!AG81</f>
        <v>0</v>
      </c>
      <c r="I82" s="1477">
        <f t="shared" si="161"/>
        <v>0</v>
      </c>
      <c r="J82" s="461">
        <f t="shared" si="162"/>
        <v>0</v>
      </c>
      <c r="K82" s="461">
        <f t="shared" si="163"/>
        <v>0</v>
      </c>
      <c r="L82" s="461">
        <f t="shared" si="164"/>
        <v>0</v>
      </c>
      <c r="M82" s="462">
        <f>'WA Volumes &amp; Revenues'!N83</f>
        <v>0</v>
      </c>
      <c r="N82" s="724">
        <f>'WA Volumes &amp; Revenues'!H83</f>
        <v>1</v>
      </c>
      <c r="O82" s="461">
        <f>'WA Volumes &amp; Revenues'!R83</f>
        <v>242994.60207180592</v>
      </c>
      <c r="P82" s="461">
        <f>O82</f>
        <v>242994.60207180592</v>
      </c>
      <c r="Q82" s="461">
        <f t="shared" si="177"/>
        <v>0</v>
      </c>
      <c r="R82" s="478"/>
      <c r="S82" s="903">
        <v>0</v>
      </c>
      <c r="T82" s="1086">
        <f>ROUND(+$S$10*(($P82*S82)/S$84),0)</f>
        <v>0</v>
      </c>
      <c r="U82" s="464">
        <f t="shared" si="165"/>
        <v>0</v>
      </c>
      <c r="V82" s="903">
        <v>0</v>
      </c>
      <c r="W82" s="1086">
        <f t="shared" si="178"/>
        <v>0</v>
      </c>
      <c r="X82" s="464">
        <f t="shared" si="166"/>
        <v>0</v>
      </c>
      <c r="Y82" s="903">
        <v>0</v>
      </c>
      <c r="Z82" s="1086">
        <f t="shared" si="167"/>
        <v>0</v>
      </c>
      <c r="AA82" s="464">
        <f t="shared" si="168"/>
        <v>0</v>
      </c>
      <c r="AB82" s="903">
        <v>0</v>
      </c>
      <c r="AC82" s="1086">
        <f>ROUND(+$AB$10*(($O82*AB82)/AB$84),0)</f>
        <v>0</v>
      </c>
      <c r="AD82" s="464">
        <f t="shared" ref="AD82" si="179">BD82</f>
        <v>0</v>
      </c>
      <c r="AE82" s="903">
        <v>0</v>
      </c>
      <c r="AF82" s="1086">
        <f t="shared" si="169"/>
        <v>0</v>
      </c>
      <c r="AG82" s="464">
        <f t="shared" si="170"/>
        <v>0</v>
      </c>
      <c r="AH82" s="903">
        <v>0</v>
      </c>
      <c r="AI82" s="1086">
        <f t="shared" si="171"/>
        <v>0</v>
      </c>
      <c r="AJ82" s="464">
        <f t="shared" si="172"/>
        <v>0</v>
      </c>
      <c r="AK82" s="903">
        <v>0</v>
      </c>
      <c r="AL82" s="1086">
        <f t="shared" si="173"/>
        <v>0</v>
      </c>
      <c r="AM82" s="464">
        <f t="shared" si="174"/>
        <v>0</v>
      </c>
      <c r="AN82" s="1796">
        <f t="shared" si="175"/>
        <v>0</v>
      </c>
      <c r="AO82" s="877"/>
      <c r="AQ82" s="427">
        <v>0</v>
      </c>
      <c r="AR82" s="427">
        <v>0</v>
      </c>
      <c r="AU82" s="427">
        <v>0</v>
      </c>
      <c r="AV82" s="427">
        <v>0</v>
      </c>
      <c r="AY82" s="427">
        <v>0</v>
      </c>
      <c r="AZ82" s="427">
        <v>0</v>
      </c>
      <c r="BC82" s="427">
        <v>0</v>
      </c>
      <c r="BD82" s="427">
        <v>0</v>
      </c>
      <c r="BG82" s="427">
        <v>0</v>
      </c>
      <c r="BH82" s="427">
        <v>0</v>
      </c>
      <c r="BK82" s="427">
        <v>0</v>
      </c>
      <c r="BL82" s="427">
        <v>0</v>
      </c>
      <c r="BO82" s="427">
        <v>0</v>
      </c>
      <c r="BP82" s="427">
        <v>0</v>
      </c>
    </row>
    <row r="83" spans="1:68" s="55" customFormat="1" ht="13.5" thickBot="1" x14ac:dyDescent="0.35">
      <c r="A83" s="85">
        <f t="shared" ref="A83:A91" si="180">+A82+1</f>
        <v>77</v>
      </c>
      <c r="D83" s="423"/>
      <c r="E83" s="482"/>
      <c r="F83" s="1480"/>
      <c r="G83" s="1481"/>
      <c r="H83" s="1480"/>
      <c r="I83" s="1481"/>
      <c r="J83" s="483"/>
      <c r="K83" s="483"/>
      <c r="L83" s="483"/>
      <c r="M83" s="423"/>
      <c r="N83" s="423"/>
      <c r="O83" s="483"/>
      <c r="P83" s="483"/>
      <c r="Q83" s="483"/>
      <c r="R83" s="423"/>
      <c r="S83" s="484"/>
      <c r="U83" s="139"/>
      <c r="V83" s="484"/>
      <c r="X83" s="139"/>
      <c r="Y83" s="484"/>
      <c r="AA83" s="139"/>
      <c r="AB83" s="484"/>
      <c r="AD83" s="139"/>
      <c r="AE83" s="484"/>
      <c r="AG83" s="139"/>
      <c r="AH83" s="484"/>
      <c r="AJ83" s="139"/>
      <c r="AK83" s="484"/>
      <c r="AM83" s="139"/>
      <c r="AN83" s="877"/>
      <c r="AO83" s="877"/>
    </row>
    <row r="84" spans="1:68" s="55" customFormat="1" x14ac:dyDescent="0.3">
      <c r="A84" s="85">
        <f t="shared" si="180"/>
        <v>78</v>
      </c>
      <c r="B84" s="59" t="s">
        <v>61</v>
      </c>
      <c r="C84" s="59"/>
      <c r="D84" s="719">
        <f>SUM(D14:D82)</f>
        <v>103032055.6009268</v>
      </c>
      <c r="E84" s="720"/>
      <c r="F84" s="720"/>
      <c r="G84" s="720"/>
      <c r="H84" s="720"/>
      <c r="I84" s="720"/>
      <c r="J84" s="603">
        <f>SUM(J14:J82)</f>
        <v>37287358</v>
      </c>
      <c r="K84" s="603">
        <f>SUM(K14:K82)</f>
        <v>42287344</v>
      </c>
      <c r="L84" s="603">
        <f>SUM(L14:L82)</f>
        <v>45287448</v>
      </c>
      <c r="M84" s="603"/>
      <c r="N84" s="719">
        <f>SUM(N14:N82)</f>
        <v>89340.750000000015</v>
      </c>
      <c r="O84" s="603">
        <f>SUM(O14:O81)</f>
        <v>49361908.641201891</v>
      </c>
      <c r="P84" s="603">
        <f>SUM(P14:P81)</f>
        <v>54361894.641201891</v>
      </c>
      <c r="Q84" s="603">
        <f>SUM(Q14:Q81)</f>
        <v>57361998.641201891</v>
      </c>
      <c r="R84" s="721"/>
      <c r="S84" s="907">
        <f>ROUND(($P14*S14)+($P15*S15)+($P16*S16)+($P17*S17)+($P18*S18)+($P19*S19)+($P20*S20)+(P22*S22)+($P24*S24)+($P$26*S26)+($P28*S28)+(P30*S30)+($P32*S32)+($P38*S38)+($P44*S44)+($P50*S50)+($P$56*S56)+($P62*S62)+(P68*S68)+(P74*S74)+($P80*S80)+($P81*S81)+($P82*S82),0)</f>
        <v>50868840</v>
      </c>
      <c r="T84" s="723">
        <f>SUM(T14:T83)</f>
        <v>-770716</v>
      </c>
      <c r="U84" s="538"/>
      <c r="V84" s="907">
        <f>ROUND(($P14*V14)+($P15*V15)+($P16*V16)+($P17*V17)+($P18*V18)+($P19*V19)+($P20*V20)+(P22*V22)+($P24*V24)+($P$26*V26)+($P28*V28)+(P30*V30)+($P32*V32)+($P38*V38)+($P44*V44)+($P50*V50)+($P$56*V56)+($P62*V62)+(P68*V68)+(P74*V74)+($P80*V80)+($P81*V81)+($P82*V82),0)</f>
        <v>54361895</v>
      </c>
      <c r="W84" s="723">
        <f>SUM(W14:W83)</f>
        <v>-437869</v>
      </c>
      <c r="X84" s="538"/>
      <c r="Y84" s="907">
        <f>ROUND(($P14*Y14)+($P15*Y15)+($P16*Y16)+($P17*Y17)+($P18*Y18)+($P19*Y19)+($P20*Y20)+(P22*Y22)+($P24*Y24)+($P$26*Y26)+($P28*Y28)+(P30*Y30)+($P32*Y32)+($P38*Y38)+($P44*Y44)+($P50*Y50)+($P$56*Y56)+($P62*Y62)+(P68*Y68)+(P74*Y74)+($P80*Y80)+($P81*Y81)+($P82*Y82),0)</f>
        <v>54361895</v>
      </c>
      <c r="Z84" s="723">
        <f>SUM(Z14:Z83)</f>
        <v>154419</v>
      </c>
      <c r="AA84" s="538"/>
      <c r="AB84" s="907">
        <f>ROUND(($O14*AB14)+($O15*AB15)+($O16*AB16)+($O17*AB17)+($O18*AB18)+($O19*AB19)+($O20*AB20)+(O22*AB22)+($O24*AB24)+($O$26*AB26)+($O28*AB28)+(O30*AB30)+($O32*AB32)+($O38*AB38)+($O44*AB44)+($O50*AB50)+($O$56*AB56)+($O62*AB62)+(O68*AB68)+(O74*AB74)+($O80*AB80)+($O81*AB81)+($O82*AB82),0)</f>
        <v>49361909</v>
      </c>
      <c r="AC84" s="723">
        <f>SUM(AC14:AC83)</f>
        <v>-462253</v>
      </c>
      <c r="AD84" s="538"/>
      <c r="AE84" s="907">
        <f>ROUND(($Q14*AE14)+($Q15*AE15)+($Q16*AE16)+($Q17*AE17)+($Q18*AE18)+($Q19*AE19)+($Q20*AE20)+(Q22*AE22)+($Q24*AE24)+($Q$26*AE26)+($Q28*AE28)+(Q30*AE30)+($Q32*AE32)+($Q38*AE38)+($Q44*AE44)+($Q50*AE50)+($Q$56*AE56)+($Q62*AE62)+(Q68*AE68)+(Q74*AE74)+($Q80*AE80)+($Q81*AE81)+($Q82*AE82),0)</f>
        <v>53789396</v>
      </c>
      <c r="AF84" s="723">
        <f>SUM(AF14:AF83)</f>
        <v>-770716</v>
      </c>
      <c r="AG84" s="538"/>
      <c r="AH84" s="907">
        <f>ROUND(($Q14*AH14)+($Q15*AH15)+($Q16*AH16)+($Q17*AH17)+($Q18*AH18)+($Q19*AH19)+($Q20*AH20)+(Q22*AH22)+($Q24*AH24)+($Q$26*AH26)+($Q28*AH28)+(Q30*AH30)+($Q32*AH32)+($Q38*AH38)+($Q44*AH44)+($Q50*AH50)+($Q$56*AH56)+($Q62*AH62)+(Q68*AH68)+(Q74*AH74)+($Q80*AH80)+($Q81*AH81)+($Q82*AH82),0)</f>
        <v>57361999</v>
      </c>
      <c r="AI84" s="723">
        <f>SUM(AI14:AI83)</f>
        <v>-437872</v>
      </c>
      <c r="AJ84" s="538"/>
      <c r="AK84" s="907">
        <f>ROUND(($Q14*AK14)+($Q15*AK15)+($Q16*AK16)+($Q17*AK17)+($Q18*AK18)+($Q19*AK19)+($Q20*AK20)+($Q22*AK22)+($Q24*AK24)+($Q26*AK26)+($Q28*AK28)+(Q30*AK30)+($Q32*AK32)+($Q38*AK38)+($Q44*AK44)+($Q50*AK50)+($Q56*AK56)+($Q62*AK62)+($Q68*AK68)+($Q74*AK74)+($Q80*AK80)+($Q81*AK81)+($Q82*AK82),0)</f>
        <v>57361999</v>
      </c>
      <c r="AL84" s="723">
        <f>SUM(AL14:AL83)</f>
        <v>-44543</v>
      </c>
      <c r="AM84" s="538"/>
      <c r="AN84" s="877"/>
      <c r="AO84" s="1194"/>
    </row>
    <row r="85" spans="1:68" s="55" customFormat="1" x14ac:dyDescent="0.3">
      <c r="A85" s="85">
        <f t="shared" si="180"/>
        <v>79</v>
      </c>
      <c r="D85" s="423"/>
      <c r="E85" s="423"/>
      <c r="F85" s="423"/>
      <c r="G85" s="423"/>
      <c r="H85" s="423"/>
      <c r="I85" s="423"/>
      <c r="J85" s="486"/>
      <c r="K85" s="425">
        <f>K84-J84</f>
        <v>4999986</v>
      </c>
      <c r="L85" s="425">
        <f>L84-K84</f>
        <v>3000104</v>
      </c>
      <c r="M85" s="423"/>
      <c r="N85" s="423"/>
      <c r="O85" s="425"/>
      <c r="P85" s="425">
        <f>P84-O84</f>
        <v>4999986</v>
      </c>
      <c r="Q85" s="425">
        <f>Q84-P84</f>
        <v>3000104</v>
      </c>
      <c r="R85" s="426"/>
      <c r="S85" s="431"/>
      <c r="U85" s="139"/>
      <c r="V85" s="431"/>
      <c r="X85" s="139"/>
      <c r="Y85" s="431"/>
      <c r="AA85" s="139"/>
      <c r="AB85" s="431"/>
      <c r="AD85" s="139"/>
      <c r="AE85" s="431"/>
      <c r="AG85" s="139"/>
      <c r="AH85" s="431"/>
      <c r="AJ85" s="139"/>
      <c r="AK85" s="431"/>
      <c r="AM85" s="139"/>
      <c r="AN85" s="877"/>
      <c r="AO85" s="54"/>
    </row>
    <row r="86" spans="1:68" s="55" customFormat="1" x14ac:dyDescent="0.3">
      <c r="A86" s="85">
        <f t="shared" si="180"/>
        <v>80</v>
      </c>
      <c r="B86" s="167" t="s">
        <v>77</v>
      </c>
      <c r="D86" s="423"/>
      <c r="J86" s="423"/>
      <c r="K86" s="423"/>
      <c r="L86" s="423"/>
      <c r="N86" s="423"/>
      <c r="O86" s="425"/>
      <c r="P86" s="425"/>
      <c r="Q86" s="425"/>
      <c r="U86" s="139"/>
      <c r="X86" s="139"/>
      <c r="AA86" s="139"/>
      <c r="AD86" s="139"/>
      <c r="AG86" s="139"/>
      <c r="AJ86" s="139"/>
      <c r="AM86" s="139"/>
      <c r="AN86" s="877"/>
      <c r="AO86" s="54"/>
    </row>
    <row r="87" spans="1:68" s="55" customFormat="1" x14ac:dyDescent="0.3">
      <c r="A87" s="85">
        <f t="shared" si="180"/>
        <v>81</v>
      </c>
      <c r="B87" s="1829" t="s">
        <v>78</v>
      </c>
      <c r="C87" s="1830"/>
      <c r="D87" s="1830"/>
      <c r="E87" s="1830"/>
      <c r="F87" s="1830"/>
      <c r="G87" s="1830"/>
      <c r="H87" s="1830"/>
      <c r="I87" s="1830"/>
      <c r="J87" s="1830"/>
      <c r="K87" s="1830"/>
      <c r="L87" s="1830"/>
      <c r="M87" s="1830"/>
      <c r="N87" s="1830"/>
      <c r="O87" s="1830"/>
      <c r="P87" s="1830"/>
      <c r="Q87" s="1830"/>
      <c r="R87" s="1830"/>
      <c r="S87" s="1830"/>
      <c r="T87" s="1830"/>
      <c r="U87" s="1830"/>
      <c r="V87" s="1830"/>
      <c r="W87" s="1830"/>
      <c r="X87" s="1830"/>
      <c r="Y87" s="1830"/>
      <c r="Z87" s="1830"/>
      <c r="AA87" s="1830"/>
      <c r="AB87" s="1830"/>
      <c r="AC87" s="1830"/>
      <c r="AD87" s="1830"/>
      <c r="AE87" s="1830"/>
      <c r="AF87" s="1830"/>
      <c r="AG87" s="1830"/>
      <c r="AH87" s="1830"/>
      <c r="AI87" s="1830"/>
      <c r="AJ87" s="1830"/>
      <c r="AK87" s="1830"/>
      <c r="AL87" s="1830"/>
      <c r="AM87" s="1831"/>
      <c r="AN87" s="877"/>
      <c r="AO87" s="54"/>
    </row>
    <row r="88" spans="1:68" s="55" customFormat="1" x14ac:dyDescent="0.3">
      <c r="A88" s="85">
        <f t="shared" si="180"/>
        <v>82</v>
      </c>
      <c r="B88" s="167" t="s">
        <v>92</v>
      </c>
      <c r="D88" s="423"/>
      <c r="J88" s="423"/>
      <c r="K88" s="423"/>
      <c r="L88" s="423"/>
      <c r="N88" s="423"/>
      <c r="O88" s="423"/>
      <c r="P88" s="423"/>
      <c r="Q88" s="423"/>
      <c r="U88" s="139"/>
      <c r="X88" s="139"/>
      <c r="AA88" s="139"/>
      <c r="AD88" s="139"/>
      <c r="AG88" s="139"/>
      <c r="AJ88" s="139"/>
      <c r="AM88" s="139"/>
      <c r="AN88" s="877"/>
      <c r="AO88" s="54"/>
    </row>
    <row r="89" spans="1:68" s="55" customFormat="1" x14ac:dyDescent="0.3">
      <c r="A89" s="85">
        <f t="shared" si="180"/>
        <v>83</v>
      </c>
      <c r="B89" s="1829" t="s">
        <v>93</v>
      </c>
      <c r="C89" s="1830"/>
      <c r="D89" s="1830"/>
      <c r="E89" s="1830"/>
      <c r="F89" s="1830"/>
      <c r="G89" s="1830"/>
      <c r="H89" s="1830"/>
      <c r="I89" s="1830"/>
      <c r="J89" s="1830"/>
      <c r="K89" s="1830"/>
      <c r="L89" s="1830"/>
      <c r="M89" s="1830"/>
      <c r="N89" s="1830"/>
      <c r="O89" s="1830"/>
      <c r="P89" s="1830"/>
      <c r="Q89" s="1830"/>
      <c r="R89" s="1830"/>
      <c r="S89" s="1830"/>
      <c r="T89" s="1830"/>
      <c r="U89" s="1830"/>
      <c r="V89" s="1830"/>
      <c r="W89" s="1830"/>
      <c r="X89" s="1830"/>
      <c r="Y89" s="1830"/>
      <c r="Z89" s="1830"/>
      <c r="AA89" s="1830"/>
      <c r="AB89" s="1830"/>
      <c r="AC89" s="1830"/>
      <c r="AD89" s="1830"/>
      <c r="AE89" s="1830"/>
      <c r="AF89" s="1830"/>
      <c r="AG89" s="1830"/>
      <c r="AH89" s="1830"/>
      <c r="AI89" s="1830"/>
      <c r="AJ89" s="1830"/>
      <c r="AK89" s="1830"/>
      <c r="AL89" s="1830"/>
      <c r="AM89" s="1831"/>
      <c r="AN89" s="877"/>
      <c r="AO89" s="54"/>
    </row>
    <row r="90" spans="1:68" x14ac:dyDescent="0.3">
      <c r="A90" s="85">
        <f t="shared" si="180"/>
        <v>84</v>
      </c>
      <c r="S90" s="484"/>
      <c r="V90" s="484"/>
      <c r="Y90" s="484"/>
      <c r="AB90" s="484"/>
      <c r="AE90" s="484"/>
      <c r="AH90" s="484"/>
      <c r="AK90" s="484"/>
    </row>
    <row r="91" spans="1:68" x14ac:dyDescent="0.3">
      <c r="A91" s="85">
        <f t="shared" si="180"/>
        <v>85</v>
      </c>
      <c r="B91" s="55" t="s">
        <v>81</v>
      </c>
      <c r="S91" s="484"/>
      <c r="V91" s="484"/>
      <c r="Y91" s="484"/>
      <c r="AB91" s="484"/>
      <c r="AE91" s="484"/>
      <c r="AH91" s="484"/>
      <c r="AK91" s="484"/>
    </row>
    <row r="92" spans="1:68" x14ac:dyDescent="0.3">
      <c r="A92" s="85"/>
    </row>
    <row r="95" spans="1:68" x14ac:dyDescent="0.3">
      <c r="T95" s="487"/>
      <c r="W95" s="487"/>
      <c r="Z95" s="487"/>
      <c r="AC95" s="487"/>
      <c r="AF95" s="487"/>
      <c r="AI95" s="487"/>
      <c r="AL95" s="487"/>
    </row>
    <row r="96" spans="1:68" x14ac:dyDescent="0.3">
      <c r="B96" s="54"/>
      <c r="C96" s="54"/>
      <c r="D96" s="54"/>
      <c r="E96" s="54"/>
      <c r="F96" s="54"/>
      <c r="G96" s="54"/>
      <c r="H96" s="54"/>
      <c r="I96" s="54"/>
      <c r="J96" s="54"/>
      <c r="K96" s="54"/>
      <c r="L96" s="54"/>
      <c r="M96" s="54"/>
      <c r="N96" s="54"/>
      <c r="O96" s="54"/>
      <c r="P96" s="54"/>
      <c r="Q96" s="54"/>
      <c r="R96" s="54"/>
      <c r="T96" s="488"/>
      <c r="U96" s="54"/>
      <c r="W96" s="488"/>
      <c r="X96" s="54"/>
      <c r="Z96" s="488"/>
      <c r="AA96" s="54"/>
      <c r="AC96" s="488"/>
      <c r="AD96" s="54"/>
      <c r="AF96" s="488"/>
      <c r="AG96" s="54"/>
      <c r="AI96" s="488"/>
      <c r="AJ96" s="54"/>
      <c r="AL96" s="488"/>
      <c r="AM96" s="54"/>
    </row>
    <row r="97" spans="2:39" x14ac:dyDescent="0.3">
      <c r="B97" s="54"/>
      <c r="C97" s="54"/>
      <c r="D97" s="54"/>
      <c r="E97" s="54"/>
      <c r="F97" s="54"/>
      <c r="G97" s="54"/>
      <c r="H97" s="54"/>
      <c r="I97" s="54"/>
      <c r="J97" s="54"/>
      <c r="K97" s="54"/>
      <c r="L97" s="54"/>
      <c r="M97" s="54"/>
      <c r="N97" s="54"/>
      <c r="O97" s="54"/>
      <c r="P97" s="54"/>
      <c r="Q97" s="54"/>
      <c r="R97" s="54"/>
      <c r="T97" s="295"/>
      <c r="U97" s="54"/>
      <c r="W97" s="295"/>
      <c r="X97" s="54"/>
      <c r="Z97" s="295"/>
      <c r="AA97" s="54"/>
      <c r="AC97" s="295"/>
      <c r="AD97" s="54"/>
      <c r="AF97" s="295"/>
      <c r="AG97" s="54"/>
      <c r="AI97" s="295"/>
      <c r="AJ97" s="54"/>
      <c r="AL97" s="295"/>
      <c r="AM97" s="54"/>
    </row>
    <row r="98" spans="2:39" x14ac:dyDescent="0.3">
      <c r="B98" s="54"/>
      <c r="C98" s="54"/>
      <c r="D98" s="54"/>
      <c r="E98" s="54"/>
      <c r="F98" s="54"/>
      <c r="G98" s="54"/>
      <c r="H98" s="54"/>
      <c r="I98" s="54"/>
      <c r="J98" s="54"/>
      <c r="K98" s="54"/>
      <c r="L98" s="54"/>
      <c r="M98" s="54"/>
      <c r="N98" s="54"/>
      <c r="O98" s="54"/>
      <c r="P98" s="54"/>
      <c r="Q98" s="54"/>
      <c r="R98" s="54"/>
      <c r="T98" s="295"/>
      <c r="U98" s="54"/>
      <c r="W98" s="295"/>
      <c r="X98" s="54"/>
      <c r="Z98" s="295"/>
      <c r="AA98" s="54"/>
      <c r="AC98" s="295"/>
      <c r="AD98" s="54"/>
      <c r="AF98" s="295"/>
      <c r="AG98" s="54"/>
      <c r="AI98" s="295"/>
      <c r="AJ98" s="54"/>
      <c r="AL98" s="295"/>
      <c r="AM98" s="54"/>
    </row>
    <row r="99" spans="2:39" x14ac:dyDescent="0.3">
      <c r="B99" s="54"/>
      <c r="C99" s="54"/>
      <c r="D99" s="54"/>
      <c r="E99" s="54"/>
      <c r="F99" s="54"/>
      <c r="G99" s="54"/>
      <c r="H99" s="54"/>
      <c r="I99" s="54"/>
      <c r="J99" s="54"/>
      <c r="K99" s="54"/>
      <c r="L99" s="54"/>
      <c r="M99" s="54"/>
      <c r="N99" s="54"/>
      <c r="O99" s="54"/>
      <c r="P99" s="54"/>
      <c r="Q99" s="54"/>
      <c r="R99" s="54"/>
      <c r="T99" s="487"/>
      <c r="U99" s="54"/>
      <c r="W99" s="487"/>
      <c r="X99" s="54"/>
      <c r="Z99" s="487"/>
      <c r="AA99" s="54"/>
      <c r="AC99" s="487"/>
      <c r="AD99" s="54"/>
      <c r="AF99" s="487"/>
      <c r="AG99" s="54"/>
      <c r="AI99" s="487"/>
      <c r="AJ99" s="54"/>
      <c r="AL99" s="487"/>
      <c r="AM99" s="54"/>
    </row>
    <row r="100" spans="2:39" x14ac:dyDescent="0.3">
      <c r="B100" s="54"/>
      <c r="C100" s="54"/>
      <c r="D100" s="54"/>
      <c r="E100" s="54"/>
      <c r="F100" s="54"/>
      <c r="G100" s="54"/>
      <c r="H100" s="54"/>
      <c r="I100" s="54"/>
      <c r="J100" s="54"/>
      <c r="K100" s="54"/>
      <c r="L100" s="54"/>
      <c r="M100" s="54"/>
      <c r="N100" s="54"/>
      <c r="O100" s="54"/>
      <c r="P100" s="54"/>
      <c r="Q100" s="54"/>
      <c r="R100" s="54"/>
      <c r="T100" s="322"/>
      <c r="U100" s="54"/>
      <c r="W100" s="322"/>
      <c r="X100" s="54"/>
      <c r="Z100" s="322"/>
      <c r="AA100" s="54"/>
      <c r="AC100" s="322"/>
      <c r="AD100" s="54"/>
      <c r="AF100" s="322"/>
      <c r="AG100" s="54"/>
      <c r="AI100" s="322"/>
      <c r="AJ100" s="54"/>
      <c r="AL100" s="322"/>
      <c r="AM100" s="54"/>
    </row>
    <row r="102" spans="2:39" x14ac:dyDescent="0.3">
      <c r="B102" s="54"/>
      <c r="C102" s="54"/>
      <c r="D102" s="54"/>
      <c r="E102" s="54"/>
      <c r="F102" s="54"/>
      <c r="G102" s="54"/>
      <c r="H102" s="54"/>
      <c r="I102" s="54"/>
      <c r="J102" s="54"/>
      <c r="K102" s="54"/>
      <c r="L102" s="54"/>
      <c r="M102" s="54"/>
      <c r="N102" s="54"/>
      <c r="O102" s="54"/>
      <c r="P102" s="54"/>
      <c r="Q102" s="54"/>
      <c r="R102" s="54"/>
      <c r="T102" s="487"/>
      <c r="U102" s="54"/>
      <c r="W102" s="487"/>
      <c r="X102" s="54"/>
      <c r="Z102" s="487"/>
      <c r="AA102" s="54"/>
      <c r="AC102" s="487"/>
      <c r="AD102" s="54"/>
      <c r="AF102" s="487"/>
      <c r="AG102" s="54"/>
      <c r="AI102" s="487"/>
      <c r="AJ102" s="54"/>
      <c r="AL102" s="487"/>
      <c r="AM102" s="54"/>
    </row>
    <row r="103" spans="2:39" x14ac:dyDescent="0.3">
      <c r="B103" s="54"/>
      <c r="C103" s="54"/>
      <c r="D103" s="54"/>
      <c r="E103" s="54"/>
      <c r="F103" s="54"/>
      <c r="G103" s="54"/>
      <c r="H103" s="54"/>
      <c r="I103" s="54"/>
      <c r="J103" s="54"/>
      <c r="K103" s="54"/>
      <c r="L103" s="54"/>
      <c r="M103" s="54"/>
      <c r="N103" s="54"/>
      <c r="O103" s="54"/>
      <c r="P103" s="54"/>
      <c r="Q103" s="54"/>
      <c r="R103" s="54"/>
      <c r="T103" s="322"/>
      <c r="U103" s="54"/>
      <c r="W103" s="322"/>
      <c r="X103" s="54"/>
      <c r="Z103" s="322"/>
      <c r="AA103" s="54"/>
      <c r="AC103" s="322"/>
      <c r="AD103" s="54"/>
      <c r="AF103" s="322"/>
      <c r="AG103" s="54"/>
      <c r="AI103" s="322"/>
      <c r="AJ103" s="54"/>
      <c r="AL103" s="322"/>
      <c r="AM103" s="54"/>
    </row>
    <row r="104" spans="2:39" x14ac:dyDescent="0.3">
      <c r="B104" s="54"/>
      <c r="C104" s="54"/>
      <c r="D104" s="54"/>
      <c r="E104" s="54"/>
      <c r="F104" s="54"/>
      <c r="G104" s="54"/>
      <c r="H104" s="54"/>
      <c r="I104" s="54"/>
      <c r="J104" s="54"/>
      <c r="K104" s="54"/>
      <c r="L104" s="54"/>
      <c r="M104" s="54"/>
      <c r="N104" s="54"/>
      <c r="O104" s="54"/>
      <c r="P104" s="54"/>
      <c r="Q104" s="54"/>
      <c r="R104" s="54"/>
      <c r="T104" s="322"/>
      <c r="U104" s="54"/>
      <c r="W104" s="322"/>
      <c r="X104" s="54"/>
      <c r="Z104" s="322"/>
      <c r="AA104" s="54"/>
      <c r="AC104" s="322"/>
      <c r="AD104" s="54"/>
      <c r="AF104" s="322"/>
      <c r="AG104" s="54"/>
      <c r="AI104" s="322"/>
      <c r="AJ104" s="54"/>
      <c r="AL104" s="322"/>
      <c r="AM104" s="54"/>
    </row>
    <row r="105" spans="2:39" x14ac:dyDescent="0.3">
      <c r="B105" s="54"/>
      <c r="C105" s="54"/>
      <c r="D105" s="54"/>
      <c r="E105" s="54"/>
      <c r="F105" s="54"/>
      <c r="G105" s="54"/>
      <c r="H105" s="54"/>
      <c r="I105" s="54"/>
      <c r="J105" s="54"/>
      <c r="K105" s="54"/>
      <c r="L105" s="54"/>
      <c r="M105" s="54"/>
      <c r="N105" s="54"/>
      <c r="O105" s="54"/>
      <c r="P105" s="54"/>
      <c r="Q105" s="54"/>
      <c r="R105" s="54"/>
      <c r="T105" s="322"/>
      <c r="U105" s="54"/>
      <c r="W105" s="322"/>
      <c r="X105" s="54"/>
      <c r="Z105" s="322"/>
      <c r="AA105" s="54"/>
      <c r="AC105" s="322"/>
      <c r="AD105" s="54"/>
      <c r="AF105" s="322"/>
      <c r="AG105" s="54"/>
      <c r="AI105" s="322"/>
      <c r="AJ105" s="54"/>
      <c r="AL105" s="322"/>
      <c r="AM105" s="54"/>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39">
    <mergeCell ref="B89:AM89"/>
    <mergeCell ref="AB7:AD7"/>
    <mergeCell ref="AK7:AM7"/>
    <mergeCell ref="F1:J1"/>
    <mergeCell ref="F2:J2"/>
    <mergeCell ref="V7:X7"/>
    <mergeCell ref="M4:O4"/>
    <mergeCell ref="M5:O5"/>
    <mergeCell ref="S7:U7"/>
    <mergeCell ref="AE7:AG7"/>
    <mergeCell ref="AH7:AJ7"/>
    <mergeCell ref="AE6:AM6"/>
    <mergeCell ref="AB5:AD5"/>
    <mergeCell ref="Y5:AA5"/>
    <mergeCell ref="Y7:AA7"/>
    <mergeCell ref="B87:AM87"/>
    <mergeCell ref="BB12:BE12"/>
    <mergeCell ref="BN11:BQ11"/>
    <mergeCell ref="BN12:BQ12"/>
    <mergeCell ref="AT11:AW11"/>
    <mergeCell ref="AT12:AW12"/>
    <mergeCell ref="BF11:BI11"/>
    <mergeCell ref="BJ11:BM11"/>
    <mergeCell ref="BF12:BI12"/>
    <mergeCell ref="BJ12:BM12"/>
    <mergeCell ref="BC10:BD10"/>
    <mergeCell ref="BO10:BP10"/>
    <mergeCell ref="BG10:BH10"/>
    <mergeCell ref="BK10:BL10"/>
    <mergeCell ref="BB11:BE11"/>
    <mergeCell ref="S6:AD6"/>
    <mergeCell ref="AY10:AZ10"/>
    <mergeCell ref="AX11:BA11"/>
    <mergeCell ref="AX12:BA12"/>
    <mergeCell ref="AU10:AV10"/>
    <mergeCell ref="AP11:AS11"/>
    <mergeCell ref="AP12:AS12"/>
    <mergeCell ref="AO8:AO11"/>
    <mergeCell ref="AQ10:AR10"/>
  </mergeCells>
  <printOptions horizontalCentered="1" vertic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ignoredErrors>
    <ignoredError sqref="H14:H83" formula="1"/>
  </ignoredError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sheetViews>
  <sheetFormatPr defaultColWidth="9.296875" defaultRowHeight="13" x14ac:dyDescent="0.3"/>
  <cols>
    <col min="1" max="1" width="5.69921875" style="54" customWidth="1"/>
    <col min="2" max="2" width="16.5" style="55" customWidth="1"/>
    <col min="3" max="3" width="8.296875" style="55" customWidth="1"/>
    <col min="4" max="4" width="17.69921875" style="423" customWidth="1"/>
    <col min="5" max="6" width="12.69921875" style="423" bestFit="1" customWidth="1"/>
    <col min="7" max="7" width="12.5" style="423" customWidth="1"/>
    <col min="8" max="8" width="17.796875" style="423" bestFit="1" customWidth="1"/>
    <col min="9" max="9" width="14.69921875" style="423" customWidth="1"/>
    <col min="10" max="10" width="11.296875" style="423" customWidth="1"/>
    <col min="11" max="11" width="19.796875" style="423" bestFit="1" customWidth="1"/>
    <col min="12" max="12" width="28.296875" style="423" customWidth="1"/>
    <col min="13" max="13" width="16.19921875" style="424" customWidth="1"/>
    <col min="14" max="15" width="13.796875" style="55" customWidth="1"/>
    <col min="16" max="16" width="16.19921875" style="424" customWidth="1"/>
    <col min="17" max="18" width="13.796875" style="55" customWidth="1"/>
    <col min="19" max="16384" width="9.296875" style="54"/>
  </cols>
  <sheetData>
    <row r="1" spans="1:18" ht="14.15" customHeight="1" x14ac:dyDescent="0.3">
      <c r="A1" s="138" t="str">
        <f>+'WA Volumes &amp; Revenues'!A1</f>
        <v>NW Natural</v>
      </c>
      <c r="F1" s="1814"/>
      <c r="G1" s="1814"/>
      <c r="H1" s="1814"/>
    </row>
    <row r="2" spans="1:18" ht="14.15" customHeight="1" x14ac:dyDescent="0.3">
      <c r="A2" s="138" t="str">
        <f>+'WA Volumes &amp; Revenues'!A2</f>
        <v>Rates &amp; Regulatory Affairs</v>
      </c>
      <c r="F2" s="1816"/>
      <c r="G2" s="1816"/>
      <c r="H2" s="1816"/>
      <c r="K2" s="425"/>
    </row>
    <row r="3" spans="1:18" ht="14.15" customHeight="1" x14ac:dyDescent="0.3">
      <c r="A3" s="138" t="e">
        <f>+'WA Volumes &amp; Revenues'!#REF!</f>
        <v>#REF!</v>
      </c>
      <c r="M3" s="426"/>
      <c r="P3" s="426"/>
    </row>
    <row r="4" spans="1:18" ht="14.15" customHeight="1" x14ac:dyDescent="0.3">
      <c r="A4" s="138" t="str">
        <f>+'WA Volumes &amp; Revenues'!A3</f>
        <v>Test Year Ending September 30, 2020</v>
      </c>
      <c r="M4" s="423"/>
      <c r="P4" s="423"/>
    </row>
    <row r="5" spans="1:18" ht="14.15" customHeight="1" x14ac:dyDescent="0.3">
      <c r="A5" s="429" t="s">
        <v>205</v>
      </c>
      <c r="D5" s="55"/>
      <c r="E5" s="55"/>
      <c r="F5" s="55"/>
      <c r="G5" s="55"/>
      <c r="H5" s="55"/>
      <c r="I5" s="55"/>
      <c r="J5" s="55"/>
      <c r="K5" s="428"/>
      <c r="L5" s="55"/>
      <c r="M5" s="55"/>
      <c r="P5" s="55"/>
    </row>
    <row r="6" spans="1:18" ht="14.15" customHeight="1" x14ac:dyDescent="0.3">
      <c r="A6" s="54">
        <f>'WA Volumes &amp; Revenues'!A7</f>
        <v>0</v>
      </c>
      <c r="D6" s="55"/>
      <c r="E6" s="55"/>
      <c r="F6" s="55"/>
      <c r="G6" s="55"/>
      <c r="H6" s="55"/>
      <c r="I6" s="55"/>
      <c r="J6" s="55"/>
      <c r="K6" s="428"/>
      <c r="L6" s="55"/>
      <c r="M6" s="55"/>
      <c r="P6" s="55"/>
    </row>
    <row r="7" spans="1:18" ht="14.15" customHeight="1" x14ac:dyDescent="0.3">
      <c r="D7" s="55"/>
      <c r="E7" s="55"/>
      <c r="G7" s="55"/>
      <c r="H7" s="430"/>
      <c r="J7" s="55"/>
      <c r="K7" s="428"/>
      <c r="L7" s="55"/>
      <c r="M7" s="431"/>
      <c r="P7" s="431"/>
    </row>
    <row r="8" spans="1:18" ht="14.15" customHeight="1" x14ac:dyDescent="0.3">
      <c r="A8" s="432"/>
      <c r="B8" s="433"/>
      <c r="C8" s="433"/>
      <c r="D8" s="433"/>
      <c r="E8" s="434"/>
      <c r="H8" s="55"/>
      <c r="I8" s="434"/>
      <c r="J8" s="55"/>
      <c r="K8" s="55"/>
    </row>
    <row r="9" spans="1:18" ht="15" customHeight="1" thickBot="1" x14ac:dyDescent="0.35">
      <c r="A9" s="85">
        <v>1</v>
      </c>
      <c r="E9" s="348"/>
      <c r="F9" s="435">
        <f>'Avg Bill by RS'!Q9</f>
        <v>44501</v>
      </c>
      <c r="G9" s="435">
        <f>F9</f>
        <v>44501</v>
      </c>
      <c r="H9" s="60"/>
      <c r="J9" s="60"/>
      <c r="K9" s="60"/>
      <c r="L9" s="55"/>
      <c r="M9" s="1842" t="s">
        <v>360</v>
      </c>
      <c r="N9" s="1843"/>
      <c r="O9" s="1844"/>
      <c r="P9" s="1842" t="s">
        <v>360</v>
      </c>
      <c r="Q9" s="1843"/>
      <c r="R9" s="1844"/>
    </row>
    <row r="10" spans="1:18" ht="15" customHeight="1" thickBot="1" x14ac:dyDescent="0.35">
      <c r="A10" s="85">
        <f t="shared" ref="A10:A90" si="0">+A9+1</f>
        <v>2</v>
      </c>
      <c r="D10" s="436" t="str">
        <f>'Allocation = ¢ per Therm'!D11</f>
        <v>UG XXXXXX</v>
      </c>
      <c r="E10" s="60" t="s">
        <v>18</v>
      </c>
      <c r="F10" s="512" t="str">
        <f>D10</f>
        <v>UG XXXXXX</v>
      </c>
      <c r="G10" s="512" t="str">
        <f>F10</f>
        <v>UG XXXXXX</v>
      </c>
      <c r="H10" s="512" t="str">
        <f>G10</f>
        <v>UG XXXXXX</v>
      </c>
      <c r="I10" s="512" t="str">
        <f>H10</f>
        <v>UG XXXXXX</v>
      </c>
      <c r="J10" s="512" t="str">
        <f>I10</f>
        <v>UG XXXXXX</v>
      </c>
      <c r="K10" s="512" t="str">
        <f>G10</f>
        <v>UG XXXXXX</v>
      </c>
      <c r="L10" s="599" t="s">
        <v>29</v>
      </c>
      <c r="M10" s="437"/>
      <c r="N10" s="438" t="s">
        <v>174</v>
      </c>
      <c r="O10" s="439"/>
      <c r="P10" s="437"/>
      <c r="Q10" s="438" t="s">
        <v>174</v>
      </c>
      <c r="R10" s="439"/>
    </row>
    <row r="11" spans="1:18" ht="15" customHeight="1" thickBot="1" x14ac:dyDescent="0.35">
      <c r="A11" s="85">
        <f t="shared" si="0"/>
        <v>3</v>
      </c>
      <c r="D11" s="60" t="str">
        <f>'Allocation = ¢ per Therm'!D12</f>
        <v>WA GRC</v>
      </c>
      <c r="E11" s="58" t="s">
        <v>202</v>
      </c>
      <c r="F11" s="440" t="s">
        <v>202</v>
      </c>
      <c r="G11" s="143" t="s">
        <v>202</v>
      </c>
      <c r="H11" s="60" t="s">
        <v>83</v>
      </c>
      <c r="I11" s="85" t="s">
        <v>80</v>
      </c>
      <c r="J11" s="60" t="s">
        <v>80</v>
      </c>
      <c r="K11" s="58" t="s">
        <v>32</v>
      </c>
      <c r="L11" s="599" t="s">
        <v>24</v>
      </c>
      <c r="M11" s="441">
        <v>4.1579999999999999E-2</v>
      </c>
      <c r="N11" s="442" t="str">
        <f>IF(M11="&lt; n/a &gt;","rev sensitive factor is built in","add revenue sensitive factor")</f>
        <v>add revenue sensitive factor</v>
      </c>
      <c r="O11" s="443"/>
      <c r="P11" s="441">
        <v>4.1579999999999999E-2</v>
      </c>
      <c r="Q11" s="442" t="str">
        <f>IF(P11="&lt; n/a &gt;","rev sensitive factor is built in","add revenue sensitive factor")</f>
        <v>add revenue sensitive factor</v>
      </c>
      <c r="R11" s="443"/>
    </row>
    <row r="12" spans="1:18" s="56" customFormat="1" ht="15" customHeight="1" thickBot="1" x14ac:dyDescent="0.35">
      <c r="A12" s="85">
        <f t="shared" si="0"/>
        <v>4</v>
      </c>
      <c r="B12" s="55"/>
      <c r="C12" s="55"/>
      <c r="D12" s="353" t="s">
        <v>168</v>
      </c>
      <c r="E12" s="171" t="s">
        <v>28</v>
      </c>
      <c r="F12" s="444" t="s">
        <v>95</v>
      </c>
      <c r="G12" s="445" t="s">
        <v>28</v>
      </c>
      <c r="H12" s="353" t="s">
        <v>203</v>
      </c>
      <c r="I12" s="353" t="s">
        <v>69</v>
      </c>
      <c r="J12" s="353" t="s">
        <v>359</v>
      </c>
      <c r="K12" s="171" t="s">
        <v>203</v>
      </c>
      <c r="L12" s="600" t="s">
        <v>25</v>
      </c>
      <c r="M12" s="446">
        <f>IF(M11&lt;&gt;"&lt; n/a &gt;",ROUND(+M10/(1-M11),0),M10)</f>
        <v>0</v>
      </c>
      <c r="N12" s="906" t="s">
        <v>386</v>
      </c>
      <c r="O12" s="447"/>
      <c r="P12" s="446">
        <f>IF(P11&lt;&gt;"&lt; n/a &gt;",ROUND(+P10/(1-P11),0),P10)</f>
        <v>0</v>
      </c>
      <c r="Q12" s="906" t="s">
        <v>386</v>
      </c>
      <c r="R12" s="447"/>
    </row>
    <row r="13" spans="1:18" s="56" customFormat="1" x14ac:dyDescent="0.3">
      <c r="A13" s="85">
        <f t="shared" si="0"/>
        <v>5</v>
      </c>
      <c r="B13" s="55"/>
      <c r="C13" s="55"/>
      <c r="D13" s="149"/>
      <c r="E13" s="58"/>
      <c r="F13" s="58"/>
      <c r="G13" s="58" t="s">
        <v>169</v>
      </c>
      <c r="H13" s="356" t="s">
        <v>170</v>
      </c>
      <c r="I13" s="58"/>
      <c r="J13" s="149"/>
      <c r="K13" s="448" t="s">
        <v>171</v>
      </c>
      <c r="L13" s="449"/>
      <c r="M13" s="403"/>
      <c r="N13" s="450" t="s">
        <v>389</v>
      </c>
      <c r="O13" s="451" t="s">
        <v>212</v>
      </c>
      <c r="P13" s="403"/>
      <c r="Q13" s="450" t="s">
        <v>389</v>
      </c>
      <c r="R13" s="451" t="s">
        <v>212</v>
      </c>
    </row>
    <row r="14" spans="1:18" s="56" customFormat="1" ht="12.65" customHeight="1" x14ac:dyDescent="0.3">
      <c r="A14" s="85">
        <f t="shared" si="0"/>
        <v>6</v>
      </c>
      <c r="C14" s="404"/>
      <c r="D14" s="404"/>
      <c r="E14" s="404"/>
      <c r="F14" s="404"/>
      <c r="G14" s="404"/>
      <c r="H14" s="404"/>
      <c r="I14" s="404"/>
      <c r="J14" s="404"/>
      <c r="K14" s="404"/>
      <c r="L14" s="452"/>
      <c r="M14" s="453" t="s">
        <v>22</v>
      </c>
      <c r="N14" s="454" t="s">
        <v>390</v>
      </c>
      <c r="O14" s="455" t="s">
        <v>28</v>
      </c>
      <c r="P14" s="453" t="s">
        <v>22</v>
      </c>
      <c r="Q14" s="454" t="s">
        <v>390</v>
      </c>
      <c r="R14" s="455" t="s">
        <v>28</v>
      </c>
    </row>
    <row r="15" spans="1:18" x14ac:dyDescent="0.3">
      <c r="A15" s="85">
        <f t="shared" si="0"/>
        <v>7</v>
      </c>
      <c r="B15" s="725" t="s">
        <v>2</v>
      </c>
      <c r="C15" s="57" t="s">
        <v>3</v>
      </c>
      <c r="D15" s="123" t="s">
        <v>35</v>
      </c>
      <c r="E15" s="123" t="s">
        <v>36</v>
      </c>
      <c r="F15" s="123" t="s">
        <v>13</v>
      </c>
      <c r="G15" s="123" t="s">
        <v>37</v>
      </c>
      <c r="H15" s="123" t="s">
        <v>38</v>
      </c>
      <c r="I15" s="123" t="s">
        <v>39</v>
      </c>
      <c r="J15" s="123" t="s">
        <v>40</v>
      </c>
      <c r="K15" s="123" t="s">
        <v>41</v>
      </c>
      <c r="L15" s="456"/>
      <c r="M15" s="453" t="s">
        <v>42</v>
      </c>
      <c r="N15" s="123" t="s">
        <v>124</v>
      </c>
      <c r="O15" s="455" t="s">
        <v>43</v>
      </c>
      <c r="P15" s="453" t="s">
        <v>42</v>
      </c>
      <c r="Q15" s="706" t="s">
        <v>124</v>
      </c>
      <c r="R15" s="455" t="s">
        <v>43</v>
      </c>
    </row>
    <row r="16" spans="1:18" x14ac:dyDescent="0.3">
      <c r="A16" s="85">
        <f t="shared" si="0"/>
        <v>8</v>
      </c>
      <c r="B16" s="708" t="str">
        <f>'WA Volumes &amp; Revenues'!B15</f>
        <v>1R</v>
      </c>
      <c r="C16" s="708" t="s">
        <v>270</v>
      </c>
      <c r="D16" s="359">
        <f>'WA Volumes &amp; Revenues'!E15</f>
        <v>214704.20066131229</v>
      </c>
      <c r="E16" s="457">
        <f>'Rates in Detail'!J13</f>
        <v>1.1525299999999998</v>
      </c>
      <c r="F16" s="754">
        <f>'Rates in Detail'!L13+'Rates in Detail'!P13+'Rates in Detail'!S13+'Rates in Detail'!U13</f>
        <v>8.882000000000001E-2</v>
      </c>
      <c r="G16" s="457">
        <f>E16+F16</f>
        <v>1.2413499999999997</v>
      </c>
      <c r="H16" s="461">
        <f>ROUND(G16*D16,0)</f>
        <v>266523</v>
      </c>
      <c r="I16" s="752">
        <f>'WA Volumes &amp; Revenues'!N15</f>
        <v>5.5</v>
      </c>
      <c r="J16" s="359">
        <f>'WA Volumes &amp; Revenues'!H15</f>
        <v>911</v>
      </c>
      <c r="K16" s="461">
        <f>ROUND((I16*J16*12)+H16,0)</f>
        <v>326649</v>
      </c>
      <c r="L16" s="456"/>
      <c r="M16" s="458">
        <v>1</v>
      </c>
      <c r="N16" s="459">
        <f>ROUND(+$M$12*(($K16*M16)/M$86),0)</f>
        <v>0</v>
      </c>
      <c r="O16" s="464">
        <f>IFERROR(ROUND(N16/D16,5),0)</f>
        <v>0</v>
      </c>
      <c r="P16" s="458">
        <v>1</v>
      </c>
      <c r="Q16" s="459">
        <f>ROUND(+$P$12*(($K16*P16)/P$86),0)</f>
        <v>0</v>
      </c>
      <c r="R16" s="464">
        <f>IFERROR(ROUND(Q16/$D16,5),0)</f>
        <v>0</v>
      </c>
    </row>
    <row r="17" spans="1:18" x14ac:dyDescent="0.3">
      <c r="A17" s="85">
        <f t="shared" si="0"/>
        <v>9</v>
      </c>
      <c r="B17" s="708" t="str">
        <f>'WA Volumes &amp; Revenues'!B16</f>
        <v>1C</v>
      </c>
      <c r="C17" s="708" t="s">
        <v>270</v>
      </c>
      <c r="D17" s="460">
        <f>'WA Volumes &amp; Revenues'!E16</f>
        <v>46539.057144390383</v>
      </c>
      <c r="E17" s="457">
        <f>'Rates in Detail'!J14</f>
        <v>1.18929</v>
      </c>
      <c r="F17" s="754">
        <f>'Rates in Detail'!L14+'Rates in Detail'!P14+'Rates in Detail'!S14+'Rates in Detail'!U14</f>
        <v>7.3850000000000013E-2</v>
      </c>
      <c r="G17" s="457">
        <f t="shared" ref="G17:G80" si="1">E17+F17</f>
        <v>1.2631399999999999</v>
      </c>
      <c r="H17" s="461">
        <f t="shared" ref="H17:H80" si="2">ROUND(G17*D17,0)</f>
        <v>58785</v>
      </c>
      <c r="I17" s="462">
        <f>'WA Volumes &amp; Revenues'!N16</f>
        <v>7</v>
      </c>
      <c r="J17" s="359">
        <f>'WA Volumes &amp; Revenues'!H16</f>
        <v>34</v>
      </c>
      <c r="K17" s="461">
        <f t="shared" ref="K17:K21" si="3">ROUND((I17*J17*12)+H17,0)</f>
        <v>61641</v>
      </c>
      <c r="L17" s="456"/>
      <c r="M17" s="458">
        <v>1</v>
      </c>
      <c r="N17" s="459">
        <f t="shared" ref="N17:N21" si="4">ROUND(+$M$12*(($K17*M17)/M$86),0)</f>
        <v>0</v>
      </c>
      <c r="O17" s="464">
        <f t="shared" ref="O17:O21" si="5">IFERROR(ROUND(N17/D17,5),0)</f>
        <v>0</v>
      </c>
      <c r="P17" s="458">
        <v>1</v>
      </c>
      <c r="Q17" s="459">
        <f t="shared" ref="Q17:Q21" si="6">ROUND(+$P$12*(($K17*P17)/P$86),0)</f>
        <v>0</v>
      </c>
      <c r="R17" s="464">
        <f t="shared" ref="R17:R21" si="7">IFERROR(ROUND(Q17/$D17,5),0)</f>
        <v>0</v>
      </c>
    </row>
    <row r="18" spans="1:18" x14ac:dyDescent="0.3">
      <c r="A18" s="85">
        <f t="shared" si="0"/>
        <v>10</v>
      </c>
      <c r="B18" s="708" t="str">
        <f>'WA Volumes &amp; Revenues'!B17</f>
        <v>2R</v>
      </c>
      <c r="C18" s="708" t="s">
        <v>270</v>
      </c>
      <c r="D18" s="460">
        <f>'WA Volumes &amp; Revenues'!E17</f>
        <v>54953515.785084128</v>
      </c>
      <c r="E18" s="457">
        <f>'Rates in Detail'!J15</f>
        <v>0.88947999999999972</v>
      </c>
      <c r="F18" s="754">
        <f>'Rates in Detail'!L15+'Rates in Detail'!P15+'Rates in Detail'!S15+'Rates in Detail'!U15</f>
        <v>5.6209999999999996E-2</v>
      </c>
      <c r="G18" s="457">
        <f t="shared" si="1"/>
        <v>0.9456899999999997</v>
      </c>
      <c r="H18" s="461">
        <f t="shared" si="2"/>
        <v>51968990</v>
      </c>
      <c r="I18" s="462">
        <f>'WA Volumes &amp; Revenues'!N17</f>
        <v>8</v>
      </c>
      <c r="J18" s="359">
        <f>'WA Volumes &amp; Revenues'!H17</f>
        <v>81119</v>
      </c>
      <c r="K18" s="461">
        <f t="shared" si="3"/>
        <v>59756414</v>
      </c>
      <c r="L18" s="456"/>
      <c r="M18" s="458">
        <v>1</v>
      </c>
      <c r="N18" s="459">
        <f t="shared" si="4"/>
        <v>0</v>
      </c>
      <c r="O18" s="464">
        <f t="shared" si="5"/>
        <v>0</v>
      </c>
      <c r="P18" s="458">
        <v>1</v>
      </c>
      <c r="Q18" s="459">
        <f t="shared" si="6"/>
        <v>0</v>
      </c>
      <c r="R18" s="464">
        <f t="shared" si="7"/>
        <v>0</v>
      </c>
    </row>
    <row r="19" spans="1:18" x14ac:dyDescent="0.3">
      <c r="A19" s="85">
        <f t="shared" si="0"/>
        <v>11</v>
      </c>
      <c r="B19" s="708" t="str">
        <f>'WA Volumes &amp; Revenues'!B18</f>
        <v>3 CFS</v>
      </c>
      <c r="C19" s="708" t="s">
        <v>270</v>
      </c>
      <c r="D19" s="460">
        <f>'WA Volumes &amp; Revenues'!E18</f>
        <v>17867210.60654201</v>
      </c>
      <c r="E19" s="457">
        <f>'Rates in Detail'!J16</f>
        <v>0.86690000000000011</v>
      </c>
      <c r="F19" s="754">
        <f>'Rates in Detail'!L16+'Rates in Detail'!P16+'Rates in Detail'!S16+'Rates in Detail'!U16</f>
        <v>5.0479999999999997E-2</v>
      </c>
      <c r="G19" s="457">
        <f t="shared" si="1"/>
        <v>0.91738000000000008</v>
      </c>
      <c r="H19" s="461">
        <f t="shared" si="2"/>
        <v>16391022</v>
      </c>
      <c r="I19" s="462">
        <f>'WA Volumes &amp; Revenues'!N18</f>
        <v>22</v>
      </c>
      <c r="J19" s="359">
        <f>'WA Volumes &amp; Revenues'!H18</f>
        <v>6318</v>
      </c>
      <c r="K19" s="461">
        <f t="shared" si="3"/>
        <v>18058974</v>
      </c>
      <c r="L19" s="456"/>
      <c r="M19" s="458">
        <v>1</v>
      </c>
      <c r="N19" s="459">
        <f t="shared" si="4"/>
        <v>0</v>
      </c>
      <c r="O19" s="464">
        <f t="shared" si="5"/>
        <v>0</v>
      </c>
      <c r="P19" s="458">
        <v>1</v>
      </c>
      <c r="Q19" s="459">
        <f t="shared" si="6"/>
        <v>0</v>
      </c>
      <c r="R19" s="464">
        <f t="shared" si="7"/>
        <v>0</v>
      </c>
    </row>
    <row r="20" spans="1:18" x14ac:dyDescent="0.3">
      <c r="A20" s="85">
        <f t="shared" si="0"/>
        <v>12</v>
      </c>
      <c r="B20" s="708" t="str">
        <f>'WA Volumes &amp; Revenues'!B19</f>
        <v>3 IFS</v>
      </c>
      <c r="C20" s="708" t="s">
        <v>270</v>
      </c>
      <c r="D20" s="460">
        <f>'WA Volumes &amp; Revenues'!E19</f>
        <v>283651.99999999994</v>
      </c>
      <c r="E20" s="457">
        <f>'Rates in Detail'!J17</f>
        <v>0.82713999999999999</v>
      </c>
      <c r="F20" s="457">
        <f>'Rates in Detail'!L17+'Rates in Detail'!P17+'Rates in Detail'!S17+'Rates in Detail'!U17</f>
        <v>5.4089999999999999E-2</v>
      </c>
      <c r="G20" s="457">
        <f t="shared" si="1"/>
        <v>0.88122999999999996</v>
      </c>
      <c r="H20" s="461">
        <f t="shared" si="2"/>
        <v>249963</v>
      </c>
      <c r="I20" s="462">
        <f>'WA Volumes &amp; Revenues'!N19</f>
        <v>22</v>
      </c>
      <c r="J20" s="359">
        <f>'WA Volumes &amp; Revenues'!H19</f>
        <v>24.25</v>
      </c>
      <c r="K20" s="461">
        <f t="shared" si="3"/>
        <v>256365</v>
      </c>
      <c r="L20" s="456"/>
      <c r="M20" s="458">
        <v>1</v>
      </c>
      <c r="N20" s="459">
        <f t="shared" si="4"/>
        <v>0</v>
      </c>
      <c r="O20" s="464">
        <f t="shared" si="5"/>
        <v>0</v>
      </c>
      <c r="P20" s="458">
        <v>1</v>
      </c>
      <c r="Q20" s="459">
        <f t="shared" si="6"/>
        <v>0</v>
      </c>
      <c r="R20" s="464">
        <f t="shared" si="7"/>
        <v>0</v>
      </c>
    </row>
    <row r="21" spans="1:18" x14ac:dyDescent="0.3">
      <c r="A21" s="85">
        <f t="shared" si="0"/>
        <v>13</v>
      </c>
      <c r="B21" s="708" t="str">
        <f>'WA Volumes &amp; Revenues'!B20</f>
        <v>27R</v>
      </c>
      <c r="C21" s="708" t="s">
        <v>270</v>
      </c>
      <c r="D21" s="460">
        <f>'WA Volumes &amp; Revenues'!E20</f>
        <v>461371.76933137607</v>
      </c>
      <c r="E21" s="457">
        <f>'Rates in Detail'!J18</f>
        <v>0.64432999999999974</v>
      </c>
      <c r="F21" s="457">
        <f>'Rates in Detail'!L18+'Rates in Detail'!P18+'Rates in Detail'!S18+'Rates in Detail'!U18</f>
        <v>0.04</v>
      </c>
      <c r="G21" s="457">
        <f t="shared" si="1"/>
        <v>0.68432999999999977</v>
      </c>
      <c r="H21" s="461">
        <f t="shared" si="2"/>
        <v>315731</v>
      </c>
      <c r="I21" s="462">
        <f>'WA Volumes &amp; Revenues'!N20</f>
        <v>9</v>
      </c>
      <c r="J21" s="359">
        <f>'WA Volumes &amp; Revenues'!H20</f>
        <v>776</v>
      </c>
      <c r="K21" s="461">
        <f t="shared" si="3"/>
        <v>399539</v>
      </c>
      <c r="L21" s="456"/>
      <c r="M21" s="458">
        <v>1</v>
      </c>
      <c r="N21" s="459">
        <f t="shared" si="4"/>
        <v>0</v>
      </c>
      <c r="O21" s="464">
        <f t="shared" si="5"/>
        <v>0</v>
      </c>
      <c r="P21" s="458">
        <v>1</v>
      </c>
      <c r="Q21" s="459">
        <f t="shared" si="6"/>
        <v>0</v>
      </c>
      <c r="R21" s="464">
        <f t="shared" si="7"/>
        <v>0</v>
      </c>
    </row>
    <row r="22" spans="1:18" x14ac:dyDescent="0.3">
      <c r="A22" s="85">
        <f t="shared" si="0"/>
        <v>14</v>
      </c>
      <c r="B22" s="709" t="str">
        <f>'WA Volumes &amp; Revenues'!B21</f>
        <v>41C Firm Sales</v>
      </c>
      <c r="C22" s="710" t="s">
        <v>4</v>
      </c>
      <c r="D22" s="466">
        <f>'WA Volumes &amp; Revenues'!E21</f>
        <v>1777065.1510316674</v>
      </c>
      <c r="E22" s="467">
        <f>'Rates in Detail'!J19</f>
        <v>0.65150000000000008</v>
      </c>
      <c r="F22" s="467">
        <f>'Rates in Detail'!L19+'Rates in Detail'!P19+'Rates in Detail'!S19+'Rates in Detail'!U19</f>
        <v>4.0090000000000001E-2</v>
      </c>
      <c r="G22" s="467">
        <f t="shared" si="1"/>
        <v>0.69159000000000004</v>
      </c>
      <c r="H22" s="276">
        <f t="shared" si="2"/>
        <v>1229000</v>
      </c>
      <c r="I22" s="153">
        <f>'WA Volumes &amp; Revenues'!N21</f>
        <v>250</v>
      </c>
      <c r="J22" s="294">
        <f>'WA Volumes &amp; Revenues'!H21</f>
        <v>91</v>
      </c>
      <c r="K22" s="468">
        <f>ROUND((I22*J22*12)+H22+H23,0)</f>
        <v>2764971</v>
      </c>
      <c r="L22" s="469"/>
      <c r="M22" s="470">
        <v>1</v>
      </c>
      <c r="N22" s="471">
        <f>ROUND(+$M$12*(($K22*M22)/M$86),0)</f>
        <v>0</v>
      </c>
      <c r="O22" s="472">
        <f>IFERROR(ROUND(($N$22*(D22/SUM($D$22:$D$23)))/D22,5),0)</f>
        <v>0</v>
      </c>
      <c r="P22" s="470">
        <v>1</v>
      </c>
      <c r="Q22" s="471">
        <f>ROUND(+$P$12*(($K22*P22)/P$86),0)</f>
        <v>0</v>
      </c>
      <c r="R22" s="472">
        <f>IFERROR(ROUND(($Q$22*(D22/SUM($D$22:$D$23)))/D22,5),0)</f>
        <v>0</v>
      </c>
    </row>
    <row r="23" spans="1:18" x14ac:dyDescent="0.3">
      <c r="A23" s="85">
        <f t="shared" si="0"/>
        <v>15</v>
      </c>
      <c r="B23" s="707"/>
      <c r="C23" s="711" t="s">
        <v>5</v>
      </c>
      <c r="D23" s="460">
        <f>'WA Volumes &amp; Revenues'!E22</f>
        <v>1974656.4658023661</v>
      </c>
      <c r="E23" s="457">
        <f>'Rates in Detail'!J20</f>
        <v>0.60426999999999997</v>
      </c>
      <c r="F23" s="457">
        <f>'Rates in Detail'!L20+'Rates in Detail'!P20+'Rates in Detail'!S20+'Rates in Detail'!U20</f>
        <v>3.5320000000000004E-2</v>
      </c>
      <c r="G23" s="457">
        <f t="shared" si="1"/>
        <v>0.63958999999999999</v>
      </c>
      <c r="H23" s="461">
        <f t="shared" si="2"/>
        <v>1262971</v>
      </c>
      <c r="I23" s="462"/>
      <c r="J23" s="359"/>
      <c r="K23" s="461"/>
      <c r="L23" s="456"/>
      <c r="M23" s="458">
        <v>1</v>
      </c>
      <c r="N23" s="459"/>
      <c r="O23" s="464">
        <f>IFERROR(ROUND(($N$22*(D23/SUM($D$22:$D$23)))/D23,5),0)</f>
        <v>0</v>
      </c>
      <c r="P23" s="458">
        <v>1</v>
      </c>
      <c r="Q23" s="459"/>
      <c r="R23" s="464">
        <f>IFERROR(ROUND(($Q$22*(D23/SUM($D$22:$D$23)))/D23,5),0)</f>
        <v>0</v>
      </c>
    </row>
    <row r="24" spans="1:18" x14ac:dyDescent="0.3">
      <c r="A24" s="85">
        <f t="shared" si="0"/>
        <v>16</v>
      </c>
      <c r="B24" s="709" t="str">
        <f>'WA Volumes &amp; Revenues'!B23</f>
        <v>41I Firm Sales</v>
      </c>
      <c r="C24" s="710" t="s">
        <v>4</v>
      </c>
      <c r="D24" s="466">
        <f>'WA Volumes &amp; Revenues'!E23</f>
        <v>392890.20000000007</v>
      </c>
      <c r="E24" s="467">
        <f>'Rates in Detail'!J21</f>
        <v>0.60577000000000025</v>
      </c>
      <c r="F24" s="467">
        <f>'Rates in Detail'!L21+'Rates in Detail'!P21+'Rates in Detail'!S21+'Rates in Detail'!U21</f>
        <v>2.0370000000000003E-2</v>
      </c>
      <c r="G24" s="467">
        <f t="shared" si="1"/>
        <v>0.62614000000000025</v>
      </c>
      <c r="H24" s="276">
        <f t="shared" si="2"/>
        <v>246004</v>
      </c>
      <c r="I24" s="153">
        <f>'WA Volumes &amp; Revenues'!N23</f>
        <v>250</v>
      </c>
      <c r="J24" s="294">
        <f>'WA Volumes &amp; Revenues'!H23</f>
        <v>17.833333333333332</v>
      </c>
      <c r="K24" s="468">
        <f>ROUND((I24*J24*12)+H24+H25,0)</f>
        <v>661248</v>
      </c>
      <c r="L24" s="469"/>
      <c r="M24" s="470">
        <v>1</v>
      </c>
      <c r="N24" s="471">
        <f>ROUND(+$M$12*(($K24*M24)/M$86),0)</f>
        <v>0</v>
      </c>
      <c r="O24" s="472">
        <f>IFERROR(ROUND(($N$24*(D24/SUM($D$24:$D$25)))/D24,5),0)</f>
        <v>0</v>
      </c>
      <c r="P24" s="470">
        <v>1</v>
      </c>
      <c r="Q24" s="471">
        <f>ROUND(+$P$12*(($K24*P24)/P$86),0)</f>
        <v>0</v>
      </c>
      <c r="R24" s="472">
        <f>IFERROR(ROUND(($Q$24*(D24/SUM($D$24:$D$25)))/D24,5),0)</f>
        <v>0</v>
      </c>
    </row>
    <row r="25" spans="1:18" x14ac:dyDescent="0.3">
      <c r="A25" s="85">
        <f t="shared" si="0"/>
        <v>17</v>
      </c>
      <c r="B25" s="707"/>
      <c r="C25" s="711" t="s">
        <v>5</v>
      </c>
      <c r="D25" s="460">
        <f>'WA Volumes &amp; Revenues'!E24</f>
        <v>621650.00000000012</v>
      </c>
      <c r="E25" s="457">
        <f>'Rates in Detail'!J22</f>
        <v>0.56396000000000013</v>
      </c>
      <c r="F25" s="457">
        <f>'Rates in Detail'!L22+'Rates in Detail'!P22+'Rates in Detail'!S22+'Rates in Detail'!U22</f>
        <v>1.7950000000000001E-2</v>
      </c>
      <c r="G25" s="457">
        <f t="shared" si="1"/>
        <v>0.58191000000000015</v>
      </c>
      <c r="H25" s="461">
        <f t="shared" si="2"/>
        <v>361744</v>
      </c>
      <c r="I25" s="462"/>
      <c r="J25" s="359"/>
      <c r="K25" s="461"/>
      <c r="L25" s="456"/>
      <c r="M25" s="458">
        <v>1</v>
      </c>
      <c r="N25" s="459"/>
      <c r="O25" s="464">
        <f>IFERROR(ROUND(($N$24*(D25/SUM($D$24:$D$25)))/D25,5),0)</f>
        <v>0</v>
      </c>
      <c r="P25" s="458">
        <v>1</v>
      </c>
      <c r="Q25" s="459"/>
      <c r="R25" s="464">
        <f>IFERROR(ROUND(($Q$24*(D25/SUM($D$24:$D$25)))/D25,5),0)</f>
        <v>0</v>
      </c>
    </row>
    <row r="26" spans="1:18" x14ac:dyDescent="0.3">
      <c r="A26" s="85">
        <f t="shared" si="0"/>
        <v>18</v>
      </c>
      <c r="B26" s="709" t="str">
        <f>'WA Volumes &amp; Revenues'!B25</f>
        <v>41C Interr Sales</v>
      </c>
      <c r="C26" s="710" t="s">
        <v>4</v>
      </c>
      <c r="D26" s="473">
        <f>'WA Volumes &amp; Revenues'!E25</f>
        <v>0</v>
      </c>
      <c r="E26" s="467">
        <f>'Rates in Detail'!J23</f>
        <v>0.66024999999999989</v>
      </c>
      <c r="F26" s="467">
        <f>'Rates in Detail'!L23+'Rates in Detail'!P23+'Rates in Detail'!S23+'Rates in Detail'!U23</f>
        <v>2.7389999999999998E-2</v>
      </c>
      <c r="G26" s="467">
        <f t="shared" si="1"/>
        <v>0.68763999999999992</v>
      </c>
      <c r="H26" s="468">
        <f t="shared" si="2"/>
        <v>0</v>
      </c>
      <c r="I26" s="153">
        <f>'WA Volumes &amp; Revenues'!N25</f>
        <v>250</v>
      </c>
      <c r="J26" s="294">
        <f>'WA Volumes &amp; Revenues'!H25</f>
        <v>0</v>
      </c>
      <c r="K26" s="468">
        <f>ROUND((I26*J26*12)+H26+H27,0)</f>
        <v>0</v>
      </c>
      <c r="L26" s="469"/>
      <c r="M26" s="470">
        <v>1</v>
      </c>
      <c r="N26" s="471">
        <f>ROUND(+$M$12*(($K26*M26)/M$86),0)</f>
        <v>0</v>
      </c>
      <c r="O26" s="472">
        <f>IFERROR(ROUND(($N$26*(D26/SUM($D$26:$D$27)))/D26,5),0)</f>
        <v>0</v>
      </c>
      <c r="P26" s="470">
        <v>1</v>
      </c>
      <c r="Q26" s="471">
        <f>ROUND(+$P$12*(($K26*P26)/P$86),0)</f>
        <v>0</v>
      </c>
      <c r="R26" s="472">
        <f>IFERROR(ROUND(($Q$26*(D26/SUM($D$26:$D$27)))/D26,5),0)</f>
        <v>0</v>
      </c>
    </row>
    <row r="27" spans="1:18" x14ac:dyDescent="0.3">
      <c r="A27" s="85">
        <f t="shared" si="0"/>
        <v>19</v>
      </c>
      <c r="B27" s="707"/>
      <c r="C27" s="711" t="s">
        <v>5</v>
      </c>
      <c r="D27" s="460">
        <f>'WA Volumes &amp; Revenues'!E26</f>
        <v>0</v>
      </c>
      <c r="E27" s="457">
        <f>'Rates in Detail'!J24</f>
        <v>0.61316999999999988</v>
      </c>
      <c r="F27" s="457">
        <f>'Rates in Detail'!L24+'Rates in Detail'!P24+'Rates in Detail'!S24+'Rates in Detail'!U24</f>
        <v>2.4120000000000003E-2</v>
      </c>
      <c r="G27" s="457">
        <f t="shared" si="1"/>
        <v>0.63728999999999991</v>
      </c>
      <c r="H27" s="461">
        <f t="shared" si="2"/>
        <v>0</v>
      </c>
      <c r="I27" s="462"/>
      <c r="J27" s="359"/>
      <c r="K27" s="461"/>
      <c r="L27" s="456"/>
      <c r="M27" s="458">
        <v>1</v>
      </c>
      <c r="N27" s="459"/>
      <c r="O27" s="464">
        <f>IFERROR(ROUND(($N$26*(D27/SUM($D$26:$D$27)))/D27,5),0)</f>
        <v>0</v>
      </c>
      <c r="P27" s="458">
        <v>1</v>
      </c>
      <c r="Q27" s="459"/>
      <c r="R27" s="464">
        <f>IFERROR(ROUND(($Q$26*(D27/SUM($D$26:$D$27)))/D27,5),0)</f>
        <v>0</v>
      </c>
    </row>
    <row r="28" spans="1:18" x14ac:dyDescent="0.3">
      <c r="A28" s="85">
        <f t="shared" si="0"/>
        <v>20</v>
      </c>
      <c r="B28" s="709" t="str">
        <f>'WA Volumes &amp; Revenues'!B27</f>
        <v>41I Interr Sales</v>
      </c>
      <c r="C28" s="710" t="s">
        <v>4</v>
      </c>
      <c r="D28" s="473">
        <f>'WA Volumes &amp; Revenues'!E27</f>
        <v>0</v>
      </c>
      <c r="E28" s="467">
        <f>'Rates in Detail'!J25</f>
        <v>0.61580999999999997</v>
      </c>
      <c r="F28" s="467">
        <f>'Rates in Detail'!L25+'Rates in Detail'!P25+'Rates in Detail'!S25+'Rates in Detail'!U25</f>
        <v>1.3839999999999998E-2</v>
      </c>
      <c r="G28" s="467">
        <f t="shared" si="1"/>
        <v>0.62964999999999993</v>
      </c>
      <c r="H28" s="468">
        <f t="shared" si="2"/>
        <v>0</v>
      </c>
      <c r="I28" s="153">
        <f>'WA Volumes &amp; Revenues'!N27</f>
        <v>250</v>
      </c>
      <c r="J28" s="294">
        <f>'WA Volumes &amp; Revenues'!H27</f>
        <v>0</v>
      </c>
      <c r="K28" s="468">
        <f>ROUND((I28*J28*12)+H28+H29,0)</f>
        <v>0</v>
      </c>
      <c r="L28" s="469"/>
      <c r="M28" s="470">
        <v>1</v>
      </c>
      <c r="N28" s="471">
        <f>ROUND(+$M$12*(($K28*M28)/M$86),0)</f>
        <v>0</v>
      </c>
      <c r="O28" s="472">
        <f>IFERROR(ROUND(($N$28*(D28/SUM($D$28:$D$29)))/D28,5),0)</f>
        <v>0</v>
      </c>
      <c r="P28" s="470">
        <v>1</v>
      </c>
      <c r="Q28" s="471">
        <f>ROUND(+$P$12*(($K28*P28)/P$86),0)</f>
        <v>0</v>
      </c>
      <c r="R28" s="472">
        <f>IFERROR(ROUND(($Q$28*(D28/SUM($D$28:$D$29)))/D28,5),0)</f>
        <v>0</v>
      </c>
    </row>
    <row r="29" spans="1:18" x14ac:dyDescent="0.3">
      <c r="A29" s="85">
        <f t="shared" si="0"/>
        <v>21</v>
      </c>
      <c r="B29" s="707"/>
      <c r="C29" s="711" t="s">
        <v>5</v>
      </c>
      <c r="D29" s="460">
        <f>'WA Volumes &amp; Revenues'!E28</f>
        <v>0</v>
      </c>
      <c r="E29" s="457">
        <f>'Rates in Detail'!J26</f>
        <v>0.57401999999999986</v>
      </c>
      <c r="F29" s="457">
        <f>'Rates in Detail'!L26+'Rates in Detail'!P26+'Rates in Detail'!S26+'Rates in Detail'!U26</f>
        <v>1.2189999999999999E-2</v>
      </c>
      <c r="G29" s="457">
        <f t="shared" si="1"/>
        <v>0.5862099999999999</v>
      </c>
      <c r="H29" s="461">
        <f t="shared" si="2"/>
        <v>0</v>
      </c>
      <c r="I29" s="462"/>
      <c r="J29" s="359"/>
      <c r="K29" s="461"/>
      <c r="L29" s="456"/>
      <c r="M29" s="458">
        <v>1</v>
      </c>
      <c r="N29" s="459"/>
      <c r="O29" s="464">
        <f>IFERROR(ROUND(($N$28*(D29/SUM($D$28:$D$29)))/D29,5),0)</f>
        <v>0</v>
      </c>
      <c r="P29" s="458">
        <v>1</v>
      </c>
      <c r="Q29" s="459"/>
      <c r="R29" s="464">
        <f>IFERROR(ROUND(($Q$28*(D29/SUM($D$28:$D$29)))/D29,5),0)</f>
        <v>0</v>
      </c>
    </row>
    <row r="30" spans="1:18" x14ac:dyDescent="0.3">
      <c r="A30" s="85">
        <f t="shared" si="0"/>
        <v>22</v>
      </c>
      <c r="B30" s="709" t="str">
        <f>'WA Volumes &amp; Revenues'!B29</f>
        <v>41C Firm Transpt</v>
      </c>
      <c r="C30" s="710" t="s">
        <v>4</v>
      </c>
      <c r="D30" s="473">
        <f>'WA Volumes &amp; Revenues'!E29</f>
        <v>168721</v>
      </c>
      <c r="E30" s="467">
        <f>'Rates in Detail'!J27</f>
        <v>0.34945999999999999</v>
      </c>
      <c r="F30" s="467">
        <f>'Rates in Detail'!L27+'Rates in Detail'!P27+'Rates in Detail'!S27+'Rates in Detail'!U27</f>
        <v>2.265E-2</v>
      </c>
      <c r="G30" s="467">
        <f t="shared" si="1"/>
        <v>0.37211</v>
      </c>
      <c r="H30" s="468">
        <f t="shared" si="2"/>
        <v>62783</v>
      </c>
      <c r="I30" s="153">
        <f>'WA Volumes &amp; Revenues'!N29</f>
        <v>500</v>
      </c>
      <c r="J30" s="294">
        <f>'WA Volumes &amp; Revenues'!H29</f>
        <v>7.916666666666667</v>
      </c>
      <c r="K30" s="468">
        <f>ROUND((I30*J30*12)+H30+H31,0)</f>
        <v>199739</v>
      </c>
      <c r="L30" s="469"/>
      <c r="M30" s="470">
        <v>1</v>
      </c>
      <c r="N30" s="471">
        <f>ROUND(+$M$12*(($K30*M30)/M$86),0)</f>
        <v>0</v>
      </c>
      <c r="O30" s="472">
        <f>IFERROR(ROUND(($N$30*(D30/SUM($D$30:$D$31)))/D30,5),0)</f>
        <v>0</v>
      </c>
      <c r="P30" s="470">
        <v>1</v>
      </c>
      <c r="Q30" s="471">
        <f>ROUND(+$P$12*(($K30*P30)/P$86),0)</f>
        <v>0</v>
      </c>
      <c r="R30" s="472">
        <f>IFERROR(ROUND(($Q$30*(D30/SUM($D$30:$D$31)))/D30,5),0)</f>
        <v>0</v>
      </c>
    </row>
    <row r="31" spans="1:18" x14ac:dyDescent="0.3">
      <c r="A31" s="85">
        <f t="shared" si="0"/>
        <v>23</v>
      </c>
      <c r="B31" s="707"/>
      <c r="C31" s="711" t="s">
        <v>5</v>
      </c>
      <c r="D31" s="460">
        <f>'WA Volumes &amp; Revenues'!E30</f>
        <v>272866</v>
      </c>
      <c r="E31" s="457">
        <f>'Rates in Detail'!J28</f>
        <v>0.30789000000000011</v>
      </c>
      <c r="F31" s="457">
        <f>'Rates in Detail'!L28+'Rates in Detail'!P28+'Rates in Detail'!S28+'Rates in Detail'!U28</f>
        <v>1.9949999999999999E-2</v>
      </c>
      <c r="G31" s="457">
        <f t="shared" si="1"/>
        <v>0.32784000000000013</v>
      </c>
      <c r="H31" s="461">
        <f t="shared" si="2"/>
        <v>89456</v>
      </c>
      <c r="I31" s="462"/>
      <c r="J31" s="359"/>
      <c r="K31" s="461"/>
      <c r="L31" s="456"/>
      <c r="M31" s="458">
        <v>1</v>
      </c>
      <c r="N31" s="459"/>
      <c r="O31" s="464">
        <f>IFERROR(ROUND(($N$30*(D31/SUM($D$30:$D$31)))/D31,5),0)</f>
        <v>0</v>
      </c>
      <c r="P31" s="458">
        <v>1</v>
      </c>
      <c r="Q31" s="459"/>
      <c r="R31" s="464">
        <f>IFERROR(ROUND(($Q$30*(D31/SUM($D$30:$D$31)))/D31,5),0)</f>
        <v>0</v>
      </c>
    </row>
    <row r="32" spans="1:18" x14ac:dyDescent="0.3">
      <c r="A32" s="85">
        <f t="shared" si="0"/>
        <v>24</v>
      </c>
      <c r="B32" s="709" t="str">
        <f>'WA Volumes &amp; Revenues'!B31</f>
        <v>41I Firm Transpt</v>
      </c>
      <c r="C32" s="710" t="s">
        <v>4</v>
      </c>
      <c r="D32" s="473">
        <f>'WA Volumes &amp; Revenues'!E31</f>
        <v>0</v>
      </c>
      <c r="E32" s="467">
        <f>'Rates in Detail'!J29</f>
        <v>0.34945999999999999</v>
      </c>
      <c r="F32" s="467">
        <f>'Rates in Detail'!L29+'Rates in Detail'!P29+'Rates in Detail'!S29+'Rates in Detail'!U29</f>
        <v>1.401E-2</v>
      </c>
      <c r="G32" s="467">
        <f t="shared" si="1"/>
        <v>0.36347000000000002</v>
      </c>
      <c r="H32" s="468">
        <f t="shared" si="2"/>
        <v>0</v>
      </c>
      <c r="I32" s="153">
        <f>'WA Volumes &amp; Revenues'!N31</f>
        <v>500</v>
      </c>
      <c r="J32" s="294">
        <f>'WA Volumes &amp; Revenues'!H31</f>
        <v>0</v>
      </c>
      <c r="K32" s="468">
        <f>ROUND((I32*J32*12)+H32+H33,0)</f>
        <v>0</v>
      </c>
      <c r="L32" s="469"/>
      <c r="M32" s="470">
        <v>1</v>
      </c>
      <c r="N32" s="471">
        <f>ROUND(+$M$12*(($K32*M32)/M$86),0)</f>
        <v>0</v>
      </c>
      <c r="O32" s="472">
        <f>IFERROR(ROUND(($N$32*(D32/SUM($D$31:$D$32)))/D32,5),0)</f>
        <v>0</v>
      </c>
      <c r="P32" s="470">
        <v>1</v>
      </c>
      <c r="Q32" s="471">
        <f>ROUND(+$P$12*(($K32*P32)/P$86),0)</f>
        <v>0</v>
      </c>
      <c r="R32" s="472">
        <f>IFERROR(ROUND(($Q$32*(D32/SUM($D$32:$D$33)))/D32,5),0)</f>
        <v>0</v>
      </c>
    </row>
    <row r="33" spans="1:18" x14ac:dyDescent="0.3">
      <c r="A33" s="85">
        <f t="shared" si="0"/>
        <v>25</v>
      </c>
      <c r="B33" s="707"/>
      <c r="C33" s="711" t="s">
        <v>5</v>
      </c>
      <c r="D33" s="460">
        <f>'WA Volumes &amp; Revenues'!E32</f>
        <v>0</v>
      </c>
      <c r="E33" s="457">
        <f>'Rates in Detail'!J30</f>
        <v>0.30789000000000011</v>
      </c>
      <c r="F33" s="457">
        <f>'Rates in Detail'!L30+'Rates in Detail'!P30+'Rates in Detail'!S30+'Rates in Detail'!U30</f>
        <v>1.2339999999999999E-2</v>
      </c>
      <c r="G33" s="457">
        <f t="shared" si="1"/>
        <v>0.32023000000000013</v>
      </c>
      <c r="H33" s="461">
        <f t="shared" si="2"/>
        <v>0</v>
      </c>
      <c r="I33" s="462"/>
      <c r="J33" s="359"/>
      <c r="K33" s="461"/>
      <c r="L33" s="456"/>
      <c r="M33" s="458">
        <v>1</v>
      </c>
      <c r="N33" s="459"/>
      <c r="O33" s="464">
        <f>IFERROR(ROUND(($N$32*(D33/SUM($D$32:$D$33)))/D33,5),0)</f>
        <v>0</v>
      </c>
      <c r="P33" s="458">
        <v>1</v>
      </c>
      <c r="Q33" s="459"/>
      <c r="R33" s="464">
        <f>IFERROR(ROUND(($Q$32*(D33/SUM($D$32:$D$33)))/D33,5),0)</f>
        <v>0</v>
      </c>
    </row>
    <row r="34" spans="1:18" x14ac:dyDescent="0.3">
      <c r="A34" s="85">
        <f t="shared" si="0"/>
        <v>26</v>
      </c>
      <c r="B34" s="709" t="str">
        <f>'WA Volumes &amp; Revenues'!B33</f>
        <v>42C Firm Sales</v>
      </c>
      <c r="C34" s="710" t="s">
        <v>4</v>
      </c>
      <c r="D34" s="473">
        <f>'WA Volumes &amp; Revenues'!E33</f>
        <v>350769.66174469434</v>
      </c>
      <c r="E34" s="467">
        <f>'Rates in Detail'!J31</f>
        <v>0.43535000000000001</v>
      </c>
      <c r="F34" s="467">
        <f>'Rates in Detail'!L31+'Rates in Detail'!P31+'Rates in Detail'!S31+'Rates in Detail'!U31</f>
        <v>3.0189999999999995E-2</v>
      </c>
      <c r="G34" s="467">
        <f t="shared" si="1"/>
        <v>0.46554000000000001</v>
      </c>
      <c r="H34" s="468">
        <f t="shared" si="2"/>
        <v>163297</v>
      </c>
      <c r="I34" s="153">
        <f>'WA Volumes &amp; Revenues'!N33</f>
        <v>1300</v>
      </c>
      <c r="J34" s="294">
        <f>'WA Volumes &amp; Revenues'!H33</f>
        <v>5</v>
      </c>
      <c r="K34" s="468">
        <f>ROUND((I34*J34*12)+H34+H35+H36+H37+H38+H39,0)+'Rev Req Proof Yr1'!AD38</f>
        <v>430083.76516000001</v>
      </c>
      <c r="L34" s="469"/>
      <c r="M34" s="470">
        <v>1</v>
      </c>
      <c r="N34" s="474">
        <f>ROUND(+$M$12*(($K34*M34)/M$86),0)</f>
        <v>0</v>
      </c>
      <c r="O34" s="472">
        <f>IFERROR(ROUND(($N$34*(D34/SUM($D$34:$D$39)))/D34,5),0)</f>
        <v>0</v>
      </c>
      <c r="P34" s="470">
        <v>1</v>
      </c>
      <c r="Q34" s="474">
        <f>ROUND(+$P$12*(($K34*P34)/P$86),0)</f>
        <v>0</v>
      </c>
      <c r="R34" s="472">
        <f>IFERROR(ROUND(($Q$34*(D34/SUM($D$34:$D$39)))/D34,5),0)</f>
        <v>0</v>
      </c>
    </row>
    <row r="35" spans="1:18" x14ac:dyDescent="0.3">
      <c r="A35" s="85">
        <f t="shared" si="0"/>
        <v>27</v>
      </c>
      <c r="B35" s="709"/>
      <c r="C35" s="710" t="s">
        <v>5</v>
      </c>
      <c r="D35" s="473">
        <f>'WA Volumes &amp; Revenues'!E34</f>
        <v>303088.75426472601</v>
      </c>
      <c r="E35" s="467">
        <f>'Rates in Detail'!J32</f>
        <v>0.41633999999999971</v>
      </c>
      <c r="F35" s="467">
        <f>'Rates in Detail'!L32+'Rates in Detail'!P32+'Rates in Detail'!S32+'Rates in Detail'!U32</f>
        <v>2.7019999999999999E-2</v>
      </c>
      <c r="G35" s="467">
        <f t="shared" si="1"/>
        <v>0.4433599999999997</v>
      </c>
      <c r="H35" s="468">
        <f t="shared" si="2"/>
        <v>134377</v>
      </c>
      <c r="I35" s="153"/>
      <c r="J35" s="294"/>
      <c r="K35" s="468"/>
      <c r="L35" s="469"/>
      <c r="M35" s="470">
        <v>1</v>
      </c>
      <c r="N35" s="265"/>
      <c r="O35" s="472">
        <f t="shared" ref="O35:O39" si="8">IFERROR(ROUND(($N$34*(D35/SUM($D$34:$D$39)))/D35,5),0)</f>
        <v>0</v>
      </c>
      <c r="P35" s="470">
        <v>1</v>
      </c>
      <c r="Q35" s="265"/>
      <c r="R35" s="472">
        <f t="shared" ref="R35:R39" si="9">IFERROR(ROUND(($Q$34*(D35/SUM($D$34:$D$39)))/D35,5),0)</f>
        <v>0</v>
      </c>
    </row>
    <row r="36" spans="1:18" x14ac:dyDescent="0.3">
      <c r="A36" s="85">
        <f t="shared" si="0"/>
        <v>28</v>
      </c>
      <c r="B36" s="709"/>
      <c r="C36" s="710" t="s">
        <v>6</v>
      </c>
      <c r="D36" s="473">
        <f>'WA Volumes &amp; Revenues'!E35</f>
        <v>59441.942130257296</v>
      </c>
      <c r="E36" s="467">
        <f>'Rates in Detail'!J33</f>
        <v>0.37851999999999986</v>
      </c>
      <c r="F36" s="467">
        <f>'Rates in Detail'!L33+'Rates in Detail'!P33+'Rates in Detail'!S33+'Rates in Detail'!U33</f>
        <v>2.0719999999999999E-2</v>
      </c>
      <c r="G36" s="467">
        <f t="shared" si="1"/>
        <v>0.39923999999999987</v>
      </c>
      <c r="H36" s="468">
        <f t="shared" si="2"/>
        <v>23732</v>
      </c>
      <c r="I36" s="153"/>
      <c r="J36" s="294"/>
      <c r="K36" s="468"/>
      <c r="L36" s="469"/>
      <c r="M36" s="470">
        <v>1</v>
      </c>
      <c r="N36" s="265"/>
      <c r="O36" s="472">
        <f t="shared" si="8"/>
        <v>0</v>
      </c>
      <c r="P36" s="470">
        <v>1</v>
      </c>
      <c r="Q36" s="265"/>
      <c r="R36" s="472">
        <f t="shared" si="9"/>
        <v>0</v>
      </c>
    </row>
    <row r="37" spans="1:18" x14ac:dyDescent="0.3">
      <c r="A37" s="85">
        <f t="shared" si="0"/>
        <v>29</v>
      </c>
      <c r="B37" s="709"/>
      <c r="C37" s="710" t="s">
        <v>7</v>
      </c>
      <c r="D37" s="473">
        <f>'WA Volumes &amp; Revenues'!E36</f>
        <v>3614.6071898605187</v>
      </c>
      <c r="E37" s="467">
        <f>'Rates in Detail'!J34</f>
        <v>0.35361000000000004</v>
      </c>
      <c r="F37" s="467">
        <f>'Rates in Detail'!L34+'Rates in Detail'!P34+'Rates in Detail'!S34+'Rates in Detail'!U34</f>
        <v>1.6570000000000001E-2</v>
      </c>
      <c r="G37" s="467">
        <f t="shared" si="1"/>
        <v>0.37018000000000006</v>
      </c>
      <c r="H37" s="468">
        <f t="shared" si="2"/>
        <v>1338</v>
      </c>
      <c r="I37" s="153"/>
      <c r="J37" s="294"/>
      <c r="K37" s="468"/>
      <c r="L37" s="469"/>
      <c r="M37" s="470">
        <v>1</v>
      </c>
      <c r="N37" s="265"/>
      <c r="O37" s="472">
        <f t="shared" si="8"/>
        <v>0</v>
      </c>
      <c r="P37" s="470">
        <v>1</v>
      </c>
      <c r="Q37" s="265"/>
      <c r="R37" s="472">
        <f t="shared" si="9"/>
        <v>0</v>
      </c>
    </row>
    <row r="38" spans="1:18" x14ac:dyDescent="0.3">
      <c r="A38" s="85">
        <f t="shared" si="0"/>
        <v>30</v>
      </c>
      <c r="B38" s="709"/>
      <c r="C38" s="710" t="s">
        <v>8</v>
      </c>
      <c r="D38" s="473">
        <f>'WA Volumes &amp; Revenues'!E37</f>
        <v>0</v>
      </c>
      <c r="E38" s="467">
        <f>'Rates in Detail'!J35</f>
        <v>0.32038</v>
      </c>
      <c r="F38" s="467">
        <f>'Rates in Detail'!L35+'Rates in Detail'!P35+'Rates in Detail'!S35+'Rates in Detail'!U35</f>
        <v>1.1059999999999999E-2</v>
      </c>
      <c r="G38" s="467">
        <f t="shared" si="1"/>
        <v>0.33144000000000001</v>
      </c>
      <c r="H38" s="468">
        <f t="shared" si="2"/>
        <v>0</v>
      </c>
      <c r="I38" s="153"/>
      <c r="J38" s="294"/>
      <c r="K38" s="468"/>
      <c r="L38" s="469"/>
      <c r="M38" s="470">
        <v>1</v>
      </c>
      <c r="N38" s="265"/>
      <c r="O38" s="472">
        <f t="shared" si="8"/>
        <v>0</v>
      </c>
      <c r="P38" s="470">
        <v>1</v>
      </c>
      <c r="Q38" s="265"/>
      <c r="R38" s="472">
        <f t="shared" si="9"/>
        <v>0</v>
      </c>
    </row>
    <row r="39" spans="1:18" x14ac:dyDescent="0.3">
      <c r="A39" s="85">
        <f t="shared" si="0"/>
        <v>31</v>
      </c>
      <c r="B39" s="707"/>
      <c r="C39" s="711" t="s">
        <v>9</v>
      </c>
      <c r="D39" s="460">
        <f>'WA Volumes &amp; Revenues'!E38</f>
        <v>0</v>
      </c>
      <c r="E39" s="457">
        <f>'Rates in Detail'!J36</f>
        <v>0.27890000000000004</v>
      </c>
      <c r="F39" s="457">
        <f>'Rates in Detail'!L36+'Rates in Detail'!P36+'Rates in Detail'!S36+'Rates in Detail'!U36</f>
        <v>4.1399999999999996E-3</v>
      </c>
      <c r="G39" s="457">
        <f t="shared" si="1"/>
        <v>0.28304000000000001</v>
      </c>
      <c r="H39" s="461">
        <f t="shared" si="2"/>
        <v>0</v>
      </c>
      <c r="I39" s="462"/>
      <c r="J39" s="359"/>
      <c r="K39" s="461"/>
      <c r="L39" s="456"/>
      <c r="M39" s="458">
        <v>1</v>
      </c>
      <c r="N39" s="459"/>
      <c r="O39" s="464">
        <f t="shared" si="8"/>
        <v>0</v>
      </c>
      <c r="P39" s="458">
        <v>1</v>
      </c>
      <c r="Q39" s="459"/>
      <c r="R39" s="464">
        <f t="shared" si="9"/>
        <v>0</v>
      </c>
    </row>
    <row r="40" spans="1:18" x14ac:dyDescent="0.3">
      <c r="A40" s="85">
        <f t="shared" si="0"/>
        <v>32</v>
      </c>
      <c r="B40" s="709" t="str">
        <f>'WA Volumes &amp; Revenues'!B39</f>
        <v>42I Firm Sales</v>
      </c>
      <c r="C40" s="710" t="s">
        <v>4</v>
      </c>
      <c r="D40" s="473">
        <f>'WA Volumes &amp; Revenues'!E39</f>
        <v>1093724.2000000002</v>
      </c>
      <c r="E40" s="467">
        <f>'Rates in Detail'!J37</f>
        <v>0.40593000000000001</v>
      </c>
      <c r="F40" s="467">
        <f>'Rates in Detail'!L37+'Rates in Detail'!P37+'Rates in Detail'!S37+'Rates in Detail'!U37</f>
        <v>1.4339999999999999E-2</v>
      </c>
      <c r="G40" s="467">
        <f t="shared" si="1"/>
        <v>0.42027000000000003</v>
      </c>
      <c r="H40" s="468">
        <f t="shared" si="2"/>
        <v>459659</v>
      </c>
      <c r="I40" s="153">
        <f>'WA Volumes &amp; Revenues'!N39</f>
        <v>1300</v>
      </c>
      <c r="J40" s="294">
        <f>'WA Volumes &amp; Revenues'!H39</f>
        <v>11.916666666666666</v>
      </c>
      <c r="K40" s="468">
        <f>ROUND((I40*J40*12)+H40+H41+H42+H43+H44+H45,0)+'Rev Req Proof Yr1'!AD45</f>
        <v>984386.83536000003</v>
      </c>
      <c r="L40" s="469"/>
      <c r="M40" s="470">
        <v>1</v>
      </c>
      <c r="N40" s="474">
        <f>ROUND(+$M$12*(($K40*M40)/M$86),0)</f>
        <v>0</v>
      </c>
      <c r="O40" s="472">
        <f>IFERROR(ROUND(($N$40*(D40/SUM($D$40:$D$45)))/D40,5),0)</f>
        <v>0</v>
      </c>
      <c r="P40" s="470">
        <v>1</v>
      </c>
      <c r="Q40" s="474">
        <f>ROUND(+$P$12*(($K40*P40)/P$86),0)</f>
        <v>0</v>
      </c>
      <c r="R40" s="472">
        <f>IFERROR(ROUND(($Q$40*(D40/SUM($D$40:$D$45)))/D40,5),0)</f>
        <v>0</v>
      </c>
    </row>
    <row r="41" spans="1:18" x14ac:dyDescent="0.3">
      <c r="A41" s="85">
        <f t="shared" si="0"/>
        <v>33</v>
      </c>
      <c r="B41" s="709"/>
      <c r="C41" s="710" t="s">
        <v>5</v>
      </c>
      <c r="D41" s="473">
        <f>'WA Volumes &amp; Revenues'!E40</f>
        <v>655939.80000000005</v>
      </c>
      <c r="E41" s="467">
        <f>'Rates in Detail'!J38</f>
        <v>0.38999</v>
      </c>
      <c r="F41" s="467">
        <f>'Rates in Detail'!L38+'Rates in Detail'!P38+'Rates in Detail'!S38+'Rates in Detail'!U38</f>
        <v>1.2839999999999999E-2</v>
      </c>
      <c r="G41" s="467">
        <f t="shared" si="1"/>
        <v>0.40283000000000002</v>
      </c>
      <c r="H41" s="468">
        <f t="shared" si="2"/>
        <v>264232</v>
      </c>
      <c r="I41" s="153"/>
      <c r="J41" s="294"/>
      <c r="K41" s="468"/>
      <c r="L41" s="469"/>
      <c r="M41" s="470">
        <v>1</v>
      </c>
      <c r="N41" s="265"/>
      <c r="O41" s="472">
        <f t="shared" ref="O41:O45" si="10">IFERROR(ROUND(($N$40*(D41/SUM($D$40:$D$45)))/D41,5),0)</f>
        <v>0</v>
      </c>
      <c r="P41" s="470">
        <v>1</v>
      </c>
      <c r="Q41" s="265"/>
      <c r="R41" s="472">
        <f t="shared" ref="R41:R45" si="11">IFERROR(ROUND(($Q$40*(D41/SUM($D$40:$D$45)))/D41,5),0)</f>
        <v>0</v>
      </c>
    </row>
    <row r="42" spans="1:18" x14ac:dyDescent="0.3">
      <c r="A42" s="85">
        <f t="shared" si="0"/>
        <v>34</v>
      </c>
      <c r="B42" s="709"/>
      <c r="C42" s="710" t="s">
        <v>6</v>
      </c>
      <c r="D42" s="473">
        <f>'WA Volumes &amp; Revenues'!E41</f>
        <v>81241.3</v>
      </c>
      <c r="E42" s="467">
        <f>'Rates in Detail'!J39</f>
        <v>0.35830999999999985</v>
      </c>
      <c r="F42" s="467">
        <f>'Rates in Detail'!L39+'Rates in Detail'!P39+'Rates in Detail'!S39+'Rates in Detail'!U39</f>
        <v>9.8399999999999998E-3</v>
      </c>
      <c r="G42" s="467">
        <f t="shared" si="1"/>
        <v>0.36814999999999987</v>
      </c>
      <c r="H42" s="468">
        <f t="shared" si="2"/>
        <v>29909</v>
      </c>
      <c r="I42" s="153"/>
      <c r="J42" s="294"/>
      <c r="K42" s="468"/>
      <c r="L42" s="469"/>
      <c r="M42" s="470">
        <v>1</v>
      </c>
      <c r="N42" s="265"/>
      <c r="O42" s="472">
        <f t="shared" si="10"/>
        <v>0</v>
      </c>
      <c r="P42" s="470">
        <v>1</v>
      </c>
      <c r="Q42" s="265"/>
      <c r="R42" s="472">
        <f t="shared" si="11"/>
        <v>0</v>
      </c>
    </row>
    <row r="43" spans="1:18" x14ac:dyDescent="0.3">
      <c r="A43" s="85">
        <f t="shared" si="0"/>
        <v>35</v>
      </c>
      <c r="B43" s="709"/>
      <c r="C43" s="710" t="s">
        <v>7</v>
      </c>
      <c r="D43" s="473">
        <f>'WA Volumes &amp; Revenues'!E42</f>
        <v>9320.1</v>
      </c>
      <c r="E43" s="467">
        <f>'Rates in Detail'!J40</f>
        <v>0.33743999999999996</v>
      </c>
      <c r="F43" s="467">
        <f>'Rates in Detail'!L40+'Rates in Detail'!P40+'Rates in Detail'!S40+'Rates in Detail'!U40</f>
        <v>7.8799999999999999E-3</v>
      </c>
      <c r="G43" s="467">
        <f t="shared" si="1"/>
        <v>0.34531999999999996</v>
      </c>
      <c r="H43" s="468">
        <f t="shared" si="2"/>
        <v>3218</v>
      </c>
      <c r="I43" s="153"/>
      <c r="J43" s="294"/>
      <c r="K43" s="468"/>
      <c r="L43" s="469"/>
      <c r="M43" s="470">
        <v>1</v>
      </c>
      <c r="N43" s="265"/>
      <c r="O43" s="472">
        <f t="shared" si="10"/>
        <v>0</v>
      </c>
      <c r="P43" s="470">
        <v>1</v>
      </c>
      <c r="Q43" s="265"/>
      <c r="R43" s="472">
        <f t="shared" si="11"/>
        <v>0</v>
      </c>
    </row>
    <row r="44" spans="1:18" x14ac:dyDescent="0.3">
      <c r="A44" s="85">
        <f t="shared" si="0"/>
        <v>36</v>
      </c>
      <c r="B44" s="709"/>
      <c r="C44" s="710" t="s">
        <v>8</v>
      </c>
      <c r="D44" s="473">
        <f>'WA Volumes &amp; Revenues'!E43</f>
        <v>0</v>
      </c>
      <c r="E44" s="467">
        <f>'Rates in Detail'!J41</f>
        <v>0.30965000000000004</v>
      </c>
      <c r="F44" s="467">
        <f>'Rates in Detail'!L41+'Rates in Detail'!P41+'Rates in Detail'!S41+'Rates in Detail'!U41</f>
        <v>5.2500000000000003E-3</v>
      </c>
      <c r="G44" s="467">
        <f t="shared" si="1"/>
        <v>0.31490000000000001</v>
      </c>
      <c r="H44" s="468">
        <f t="shared" si="2"/>
        <v>0</v>
      </c>
      <c r="I44" s="153"/>
      <c r="J44" s="294"/>
      <c r="K44" s="468"/>
      <c r="L44" s="469"/>
      <c r="M44" s="470">
        <v>1</v>
      </c>
      <c r="N44" s="265"/>
      <c r="O44" s="472">
        <f t="shared" si="10"/>
        <v>0</v>
      </c>
      <c r="P44" s="470">
        <v>1</v>
      </c>
      <c r="Q44" s="265"/>
      <c r="R44" s="472">
        <f t="shared" si="11"/>
        <v>0</v>
      </c>
    </row>
    <row r="45" spans="1:18" x14ac:dyDescent="0.3">
      <c r="A45" s="85">
        <f t="shared" si="0"/>
        <v>37</v>
      </c>
      <c r="B45" s="707"/>
      <c r="C45" s="711" t="s">
        <v>9</v>
      </c>
      <c r="D45" s="460">
        <f>'WA Volumes &amp; Revenues'!E44</f>
        <v>0</v>
      </c>
      <c r="E45" s="457">
        <f>'Rates in Detail'!J42</f>
        <v>0.27485999999999999</v>
      </c>
      <c r="F45" s="457">
        <f>'Rates in Detail'!L42+'Rates in Detail'!P42+'Rates in Detail'!S42+'Rates in Detail'!U42</f>
        <v>1.97E-3</v>
      </c>
      <c r="G45" s="457">
        <f t="shared" si="1"/>
        <v>0.27683000000000002</v>
      </c>
      <c r="H45" s="461">
        <f t="shared" si="2"/>
        <v>0</v>
      </c>
      <c r="I45" s="462"/>
      <c r="J45" s="359"/>
      <c r="K45" s="461"/>
      <c r="L45" s="456"/>
      <c r="M45" s="458">
        <v>1</v>
      </c>
      <c r="N45" s="459"/>
      <c r="O45" s="464">
        <f t="shared" si="10"/>
        <v>0</v>
      </c>
      <c r="P45" s="458">
        <v>1</v>
      </c>
      <c r="Q45" s="459"/>
      <c r="R45" s="464">
        <f t="shared" si="11"/>
        <v>0</v>
      </c>
    </row>
    <row r="46" spans="1:18" x14ac:dyDescent="0.3">
      <c r="A46" s="85">
        <f t="shared" si="0"/>
        <v>38</v>
      </c>
      <c r="B46" s="709" t="str">
        <f>'WA Volumes &amp; Revenues'!B45</f>
        <v>42C Firm Transpt</v>
      </c>
      <c r="C46" s="710" t="s">
        <v>4</v>
      </c>
      <c r="D46" s="473">
        <f>'WA Volumes &amp; Revenues'!E45</f>
        <v>480000</v>
      </c>
      <c r="E46" s="467">
        <f>'Rates in Detail'!J43</f>
        <v>0.13851999999999998</v>
      </c>
      <c r="F46" s="467">
        <f>'Rates in Detail'!L43+'Rates in Detail'!P43+'Rates in Detail'!S43+'Rates in Detail'!U43</f>
        <v>1.176E-2</v>
      </c>
      <c r="G46" s="467">
        <f t="shared" si="1"/>
        <v>0.15027999999999997</v>
      </c>
      <c r="H46" s="468">
        <f t="shared" si="2"/>
        <v>72134</v>
      </c>
      <c r="I46" s="153">
        <f>'WA Volumes &amp; Revenues'!N45</f>
        <v>1550</v>
      </c>
      <c r="J46" s="294">
        <f>'WA Volumes &amp; Revenues'!H45</f>
        <v>4</v>
      </c>
      <c r="K46" s="468">
        <f>ROUND((I46*J46*12)+H46+H47+H48+H49+H50+H51,0)+'Rev Req Proof Yr1'!AD52</f>
        <v>384660.79504</v>
      </c>
      <c r="L46" s="469"/>
      <c r="M46" s="470">
        <v>1</v>
      </c>
      <c r="N46" s="474">
        <f>ROUND(+$M$12*(($K46*M46)/M$86),0)</f>
        <v>0</v>
      </c>
      <c r="O46" s="472">
        <f>IFERROR(ROUND(($N$46*(D46/SUM($D$46:$D$51)))/D46,5),0)</f>
        <v>0</v>
      </c>
      <c r="P46" s="470">
        <v>1</v>
      </c>
      <c r="Q46" s="474">
        <f>ROUND(+$P$12*(($K46*P46)/P$86),0)</f>
        <v>0</v>
      </c>
      <c r="R46" s="472">
        <f>IFERROR(ROUND(($Q$46*(D46/SUM($D$46:$D$51)))/D46,5),0)</f>
        <v>0</v>
      </c>
    </row>
    <row r="47" spans="1:18" x14ac:dyDescent="0.3">
      <c r="A47" s="85">
        <f t="shared" si="0"/>
        <v>39</v>
      </c>
      <c r="B47" s="709"/>
      <c r="C47" s="710" t="s">
        <v>5</v>
      </c>
      <c r="D47" s="473">
        <f>'WA Volumes &amp; Revenues'!E46</f>
        <v>807846</v>
      </c>
      <c r="E47" s="467">
        <f>'Rates in Detail'!J44</f>
        <v>0.12399999999999999</v>
      </c>
      <c r="F47" s="467">
        <f>'Rates in Detail'!L44+'Rates in Detail'!P44+'Rates in Detail'!S44+'Rates in Detail'!U44</f>
        <v>1.052E-2</v>
      </c>
      <c r="G47" s="467">
        <f t="shared" si="1"/>
        <v>0.13451999999999997</v>
      </c>
      <c r="H47" s="468">
        <f t="shared" si="2"/>
        <v>108671</v>
      </c>
      <c r="I47" s="153"/>
      <c r="J47" s="294"/>
      <c r="K47" s="468"/>
      <c r="L47" s="469"/>
      <c r="M47" s="470">
        <v>1</v>
      </c>
      <c r="N47" s="265"/>
      <c r="O47" s="472">
        <f t="shared" ref="O47:O51" si="12">IFERROR(ROUND(($N$46*(D47/SUM($D$46:$D$51)))/D47,5),0)</f>
        <v>0</v>
      </c>
      <c r="P47" s="470">
        <v>1</v>
      </c>
      <c r="Q47" s="265"/>
      <c r="R47" s="472">
        <f t="shared" ref="R47:R51" si="13">IFERROR(ROUND(($Q$46*(D47/SUM($D$46:$D$51)))/D47,5),0)</f>
        <v>0</v>
      </c>
    </row>
    <row r="48" spans="1:18" x14ac:dyDescent="0.3">
      <c r="A48" s="85">
        <f t="shared" si="0"/>
        <v>40</v>
      </c>
      <c r="B48" s="709"/>
      <c r="C48" s="710" t="s">
        <v>6</v>
      </c>
      <c r="D48" s="473">
        <f>'WA Volumes &amp; Revenues'!E47</f>
        <v>583779</v>
      </c>
      <c r="E48" s="467">
        <f>'Rates in Detail'!J45</f>
        <v>9.5079999999999998E-2</v>
      </c>
      <c r="F48" s="467">
        <f>'Rates in Detail'!L45+'Rates in Detail'!P45+'Rates in Detail'!S45+'Rates in Detail'!U45</f>
        <v>8.0800000000000004E-3</v>
      </c>
      <c r="G48" s="467">
        <f t="shared" si="1"/>
        <v>0.10316</v>
      </c>
      <c r="H48" s="468">
        <f t="shared" si="2"/>
        <v>60223</v>
      </c>
      <c r="I48" s="153"/>
      <c r="J48" s="294"/>
      <c r="K48" s="468"/>
      <c r="L48" s="469"/>
      <c r="M48" s="470">
        <v>1</v>
      </c>
      <c r="N48" s="265"/>
      <c r="O48" s="472">
        <f t="shared" si="12"/>
        <v>0</v>
      </c>
      <c r="P48" s="470">
        <v>1</v>
      </c>
      <c r="Q48" s="265"/>
      <c r="R48" s="472">
        <f t="shared" si="13"/>
        <v>0</v>
      </c>
    </row>
    <row r="49" spans="1:18" x14ac:dyDescent="0.3">
      <c r="A49" s="85">
        <f t="shared" si="0"/>
        <v>41</v>
      </c>
      <c r="B49" s="709"/>
      <c r="C49" s="710" t="s">
        <v>7</v>
      </c>
      <c r="D49" s="473">
        <f>'WA Volumes &amp; Revenues'!E48</f>
        <v>598933</v>
      </c>
      <c r="E49" s="467">
        <f>'Rates in Detail'!J46</f>
        <v>7.6070000000000013E-2</v>
      </c>
      <c r="F49" s="467">
        <f>'Rates in Detail'!L46+'Rates in Detail'!P46+'Rates in Detail'!S46+'Rates in Detail'!U46</f>
        <v>6.4600000000000005E-3</v>
      </c>
      <c r="G49" s="467">
        <f t="shared" si="1"/>
        <v>8.253000000000002E-2</v>
      </c>
      <c r="H49" s="468">
        <f t="shared" si="2"/>
        <v>49430</v>
      </c>
      <c r="I49" s="153"/>
      <c r="J49" s="294"/>
      <c r="K49" s="468"/>
      <c r="L49" s="469"/>
      <c r="M49" s="470">
        <v>1</v>
      </c>
      <c r="N49" s="265"/>
      <c r="O49" s="472">
        <f t="shared" si="12"/>
        <v>0</v>
      </c>
      <c r="P49" s="470">
        <v>1</v>
      </c>
      <c r="Q49" s="265"/>
      <c r="R49" s="472">
        <f t="shared" si="13"/>
        <v>0</v>
      </c>
    </row>
    <row r="50" spans="1:18" x14ac:dyDescent="0.3">
      <c r="A50" s="85">
        <f t="shared" si="0"/>
        <v>42</v>
      </c>
      <c r="B50" s="709"/>
      <c r="C50" s="710" t="s">
        <v>8</v>
      </c>
      <c r="D50" s="473">
        <f>'WA Volumes &amp; Revenues'!E49</f>
        <v>0</v>
      </c>
      <c r="E50" s="467">
        <f>'Rates in Detail'!J47</f>
        <v>5.0710000000000005E-2</v>
      </c>
      <c r="F50" s="467">
        <f>'Rates in Detail'!L47+'Rates in Detail'!P47+'Rates in Detail'!S47+'Rates in Detail'!U47</f>
        <v>4.3100000000000005E-3</v>
      </c>
      <c r="G50" s="467">
        <f t="shared" si="1"/>
        <v>5.5020000000000006E-2</v>
      </c>
      <c r="H50" s="468">
        <f t="shared" si="2"/>
        <v>0</v>
      </c>
      <c r="I50" s="153"/>
      <c r="J50" s="294"/>
      <c r="K50" s="468"/>
      <c r="L50" s="469"/>
      <c r="M50" s="470">
        <v>1</v>
      </c>
      <c r="N50" s="265"/>
      <c r="O50" s="472">
        <f t="shared" si="12"/>
        <v>0</v>
      </c>
      <c r="P50" s="470">
        <v>1</v>
      </c>
      <c r="Q50" s="265"/>
      <c r="R50" s="472">
        <f t="shared" si="13"/>
        <v>0</v>
      </c>
    </row>
    <row r="51" spans="1:18" x14ac:dyDescent="0.3">
      <c r="A51" s="85">
        <f t="shared" si="0"/>
        <v>43</v>
      </c>
      <c r="B51" s="707"/>
      <c r="C51" s="711" t="s">
        <v>9</v>
      </c>
      <c r="D51" s="460">
        <f>'WA Volumes &amp; Revenues'!E50</f>
        <v>0</v>
      </c>
      <c r="E51" s="457">
        <f>'Rates in Detail'!J48</f>
        <v>1.9009999999999999E-2</v>
      </c>
      <c r="F51" s="457">
        <f>'Rates in Detail'!L48+'Rates in Detail'!P48+'Rates in Detail'!S48+'Rates in Detail'!U48</f>
        <v>1.6199999999999999E-3</v>
      </c>
      <c r="G51" s="457">
        <f t="shared" si="1"/>
        <v>2.0629999999999999E-2</v>
      </c>
      <c r="H51" s="461">
        <f t="shared" si="2"/>
        <v>0</v>
      </c>
      <c r="I51" s="462"/>
      <c r="J51" s="359"/>
      <c r="K51" s="461"/>
      <c r="L51" s="456"/>
      <c r="M51" s="458">
        <v>1</v>
      </c>
      <c r="N51" s="459"/>
      <c r="O51" s="464">
        <f t="shared" si="12"/>
        <v>0</v>
      </c>
      <c r="P51" s="458">
        <v>1</v>
      </c>
      <c r="Q51" s="459"/>
      <c r="R51" s="464">
        <f t="shared" si="13"/>
        <v>0</v>
      </c>
    </row>
    <row r="52" spans="1:18" x14ac:dyDescent="0.3">
      <c r="A52" s="85">
        <f t="shared" si="0"/>
        <v>44</v>
      </c>
      <c r="B52" s="709" t="str">
        <f>'WA Volumes &amp; Revenues'!B51</f>
        <v>42I Firm Transpt</v>
      </c>
      <c r="C52" s="710" t="s">
        <v>4</v>
      </c>
      <c r="D52" s="473">
        <f>'WA Volumes &amp; Revenues'!E51</f>
        <v>924395</v>
      </c>
      <c r="E52" s="467">
        <f>'Rates in Detail'!J49</f>
        <v>0.14000000000000001</v>
      </c>
      <c r="F52" s="467">
        <f>'Rates in Detail'!L49+'Rates in Detail'!P49+'Rates in Detail'!S49+'Rates in Detail'!U49</f>
        <v>9.2299999999999986E-3</v>
      </c>
      <c r="G52" s="467">
        <f t="shared" si="1"/>
        <v>0.14923</v>
      </c>
      <c r="H52" s="468">
        <f t="shared" si="2"/>
        <v>137947</v>
      </c>
      <c r="I52" s="153">
        <f>'WA Volumes &amp; Revenues'!N51</f>
        <v>1550</v>
      </c>
      <c r="J52" s="294">
        <f>'WA Volumes &amp; Revenues'!H51</f>
        <v>8.9166666666666661</v>
      </c>
      <c r="K52" s="468">
        <f>ROUND((I52*J52*12)+H52+H53+H54+H55+H56+H57,0)+'Rev Req Proof Yr1'!AD59</f>
        <v>866363.4656</v>
      </c>
      <c r="L52" s="469"/>
      <c r="M52" s="470">
        <v>1</v>
      </c>
      <c r="N52" s="474">
        <f>ROUND(+$M$12*(($K52*M52)/M$86),0)</f>
        <v>0</v>
      </c>
      <c r="O52" s="472">
        <f>IFERROR(ROUND(($N$52*(D52/SUM($D$52:$D$57)))/D52,5),0)</f>
        <v>0</v>
      </c>
      <c r="P52" s="470">
        <v>1</v>
      </c>
      <c r="Q52" s="474">
        <f>ROUND(+$P$12*(($K52*P52)/P$86),0)</f>
        <v>0</v>
      </c>
      <c r="R52" s="472">
        <f>IFERROR(ROUND(($Q$52*(D52/SUM($D$52:$D$57)))/D52,5),0)</f>
        <v>0</v>
      </c>
    </row>
    <row r="53" spans="1:18" x14ac:dyDescent="0.3">
      <c r="A53" s="85">
        <f t="shared" si="0"/>
        <v>45</v>
      </c>
      <c r="B53" s="709"/>
      <c r="C53" s="710" t="s">
        <v>5</v>
      </c>
      <c r="D53" s="473">
        <f>'WA Volumes &amp; Revenues'!E52</f>
        <v>1036796</v>
      </c>
      <c r="E53" s="467">
        <f>'Rates in Detail'!J50</f>
        <v>0.12530999999999998</v>
      </c>
      <c r="F53" s="467">
        <f>'Rates in Detail'!L50+'Rates in Detail'!P50+'Rates in Detail'!S50+'Rates in Detail'!U50</f>
        <v>8.26E-3</v>
      </c>
      <c r="G53" s="467">
        <f t="shared" si="1"/>
        <v>0.13356999999999997</v>
      </c>
      <c r="H53" s="468">
        <f t="shared" si="2"/>
        <v>138485</v>
      </c>
      <c r="I53" s="153"/>
      <c r="J53" s="294"/>
      <c r="K53" s="468"/>
      <c r="L53" s="469"/>
      <c r="M53" s="470">
        <v>1</v>
      </c>
      <c r="N53" s="265"/>
      <c r="O53" s="472">
        <f t="shared" ref="O53:O57" si="14">IFERROR(ROUND(($N$52*(D53/SUM($D$52:$D$57)))/D53,5),0)</f>
        <v>0</v>
      </c>
      <c r="P53" s="470">
        <v>1</v>
      </c>
      <c r="Q53" s="265"/>
      <c r="R53" s="472">
        <f t="shared" ref="R53:R57" si="15">IFERROR(ROUND(($Q$52*(D53/SUM($D$52:$D$57)))/D53,5),0)</f>
        <v>0</v>
      </c>
    </row>
    <row r="54" spans="1:18" x14ac:dyDescent="0.3">
      <c r="A54" s="85">
        <f t="shared" si="0"/>
        <v>46</v>
      </c>
      <c r="B54" s="709"/>
      <c r="C54" s="710" t="s">
        <v>6</v>
      </c>
      <c r="D54" s="473">
        <f>'WA Volumes &amp; Revenues'!E53</f>
        <v>937215</v>
      </c>
      <c r="E54" s="467">
        <f>'Rates in Detail'!J51</f>
        <v>9.6100000000000005E-2</v>
      </c>
      <c r="F54" s="467">
        <f>'Rates in Detail'!L51+'Rates in Detail'!P51+'Rates in Detail'!S51+'Rates in Detail'!U51</f>
        <v>6.3400000000000001E-3</v>
      </c>
      <c r="G54" s="467">
        <f t="shared" si="1"/>
        <v>0.10244</v>
      </c>
      <c r="H54" s="468">
        <f t="shared" si="2"/>
        <v>96008</v>
      </c>
      <c r="I54" s="153"/>
      <c r="J54" s="294"/>
      <c r="K54" s="468"/>
      <c r="L54" s="469"/>
      <c r="M54" s="470">
        <v>1</v>
      </c>
      <c r="N54" s="265"/>
      <c r="O54" s="472">
        <f t="shared" si="14"/>
        <v>0</v>
      </c>
      <c r="P54" s="470">
        <v>1</v>
      </c>
      <c r="Q54" s="265"/>
      <c r="R54" s="472">
        <f t="shared" si="15"/>
        <v>0</v>
      </c>
    </row>
    <row r="55" spans="1:18" x14ac:dyDescent="0.3">
      <c r="A55" s="85">
        <f t="shared" si="0"/>
        <v>47</v>
      </c>
      <c r="B55" s="709"/>
      <c r="C55" s="710" t="s">
        <v>7</v>
      </c>
      <c r="D55" s="473">
        <f>'WA Volumes &amp; Revenues'!E54</f>
        <v>2390318</v>
      </c>
      <c r="E55" s="467">
        <f>'Rates in Detail'!J52</f>
        <v>7.6880000000000018E-2</v>
      </c>
      <c r="F55" s="467">
        <f>'Rates in Detail'!L52+'Rates in Detail'!P52+'Rates in Detail'!S52+'Rates in Detail'!U52</f>
        <v>5.0699999999999999E-3</v>
      </c>
      <c r="G55" s="467">
        <f t="shared" si="1"/>
        <v>8.1950000000000023E-2</v>
      </c>
      <c r="H55" s="468">
        <f t="shared" si="2"/>
        <v>195887</v>
      </c>
      <c r="I55" s="153"/>
      <c r="J55" s="294"/>
      <c r="K55" s="468"/>
      <c r="L55" s="469"/>
      <c r="M55" s="470">
        <v>1</v>
      </c>
      <c r="N55" s="265"/>
      <c r="O55" s="472">
        <f t="shared" si="14"/>
        <v>0</v>
      </c>
      <c r="P55" s="470">
        <v>1</v>
      </c>
      <c r="Q55" s="265"/>
      <c r="R55" s="472">
        <f t="shared" si="15"/>
        <v>0</v>
      </c>
    </row>
    <row r="56" spans="1:18" x14ac:dyDescent="0.3">
      <c r="A56" s="85">
        <f t="shared" si="0"/>
        <v>48</v>
      </c>
      <c r="B56" s="709"/>
      <c r="C56" s="710" t="s">
        <v>8</v>
      </c>
      <c r="D56" s="473">
        <f>'WA Volumes &amp; Revenues'!E55</f>
        <v>1492257</v>
      </c>
      <c r="E56" s="467">
        <f>'Rates in Detail'!J53</f>
        <v>5.1250000000000004E-2</v>
      </c>
      <c r="F56" s="467">
        <f>'Rates in Detail'!L53+'Rates in Detail'!P53+'Rates in Detail'!S53+'Rates in Detail'!U53</f>
        <v>3.3800000000000002E-3</v>
      </c>
      <c r="G56" s="467">
        <f t="shared" si="1"/>
        <v>5.4630000000000005E-2</v>
      </c>
      <c r="H56" s="468">
        <f t="shared" si="2"/>
        <v>81522</v>
      </c>
      <c r="I56" s="153"/>
      <c r="J56" s="294"/>
      <c r="K56" s="468"/>
      <c r="L56" s="469"/>
      <c r="M56" s="470">
        <v>1</v>
      </c>
      <c r="N56" s="265"/>
      <c r="O56" s="472">
        <f t="shared" si="14"/>
        <v>0</v>
      </c>
      <c r="P56" s="470">
        <v>1</v>
      </c>
      <c r="Q56" s="265"/>
      <c r="R56" s="472">
        <f t="shared" si="15"/>
        <v>0</v>
      </c>
    </row>
    <row r="57" spans="1:18" x14ac:dyDescent="0.3">
      <c r="A57" s="85">
        <f t="shared" si="0"/>
        <v>49</v>
      </c>
      <c r="B57" s="707"/>
      <c r="C57" s="711" t="s">
        <v>9</v>
      </c>
      <c r="D57" s="460">
        <f>'WA Volumes &amp; Revenues'!E56</f>
        <v>0</v>
      </c>
      <c r="E57" s="457">
        <f>'Rates in Detail'!J54</f>
        <v>1.9220000000000001E-2</v>
      </c>
      <c r="F57" s="457">
        <f>'Rates in Detail'!L54+'Rates in Detail'!P54+'Rates in Detail'!S54+'Rates in Detail'!U54</f>
        <v>1.2700000000000001E-3</v>
      </c>
      <c r="G57" s="457">
        <f t="shared" si="1"/>
        <v>2.0490000000000001E-2</v>
      </c>
      <c r="H57" s="461">
        <f t="shared" si="2"/>
        <v>0</v>
      </c>
      <c r="I57" s="462"/>
      <c r="J57" s="359"/>
      <c r="K57" s="461"/>
      <c r="L57" s="456"/>
      <c r="M57" s="458">
        <v>1</v>
      </c>
      <c r="N57" s="459"/>
      <c r="O57" s="464">
        <f t="shared" si="14"/>
        <v>0</v>
      </c>
      <c r="P57" s="458">
        <v>1</v>
      </c>
      <c r="Q57" s="459"/>
      <c r="R57" s="464">
        <f t="shared" si="15"/>
        <v>0</v>
      </c>
    </row>
    <row r="58" spans="1:18" x14ac:dyDescent="0.3">
      <c r="A58" s="85">
        <f t="shared" si="0"/>
        <v>50</v>
      </c>
      <c r="B58" s="709" t="str">
        <f>'WA Volumes &amp; Revenues'!B57</f>
        <v>42C Interr Sales</v>
      </c>
      <c r="C58" s="710" t="s">
        <v>4</v>
      </c>
      <c r="D58" s="473">
        <f>'WA Volumes &amp; Revenues'!E57</f>
        <v>240000</v>
      </c>
      <c r="E58" s="467">
        <f>'Rates in Detail'!J55</f>
        <v>0.42349000000000003</v>
      </c>
      <c r="F58" s="467">
        <f>'Rates in Detail'!L55+'Rates in Detail'!P55+'Rates in Detail'!S55+'Rates in Detail'!U55</f>
        <v>1.7940000000000001E-2</v>
      </c>
      <c r="G58" s="467">
        <f t="shared" si="1"/>
        <v>0.44143000000000004</v>
      </c>
      <c r="H58" s="468">
        <f t="shared" si="2"/>
        <v>105943</v>
      </c>
      <c r="I58" s="153">
        <f>'WA Volumes &amp; Revenues'!N57</f>
        <v>1300</v>
      </c>
      <c r="J58" s="294">
        <f>'WA Volumes &amp; Revenues'!H57</f>
        <v>2</v>
      </c>
      <c r="K58" s="468">
        <f>ROUND((I58*J58*12)+H58+H59+H60+H61+H62+H63,0)</f>
        <v>425552</v>
      </c>
      <c r="L58" s="469"/>
      <c r="M58" s="470">
        <v>1</v>
      </c>
      <c r="N58" s="474">
        <f>ROUND(+$M$12*(($K58*M58)/M$86),0)</f>
        <v>0</v>
      </c>
      <c r="O58" s="472">
        <f>IFERROR(ROUND(($N$58*(D58/SUM($D$58:$D$63)))/D58,5),0)</f>
        <v>0</v>
      </c>
      <c r="P58" s="470">
        <v>1</v>
      </c>
      <c r="Q58" s="474">
        <f>ROUND(+$P$12*(($K58*P58)/P$86),0)</f>
        <v>0</v>
      </c>
      <c r="R58" s="472">
        <f>IFERROR(ROUND(($Q$58*(D58/SUM($D$58:$D$63)))/D58,5),0)</f>
        <v>0</v>
      </c>
    </row>
    <row r="59" spans="1:18" x14ac:dyDescent="0.3">
      <c r="A59" s="85">
        <f t="shared" si="0"/>
        <v>51</v>
      </c>
      <c r="B59" s="709"/>
      <c r="C59" s="710" t="s">
        <v>5</v>
      </c>
      <c r="D59" s="473">
        <f>'WA Volumes &amp; Revenues'!E58</f>
        <v>467511</v>
      </c>
      <c r="E59" s="467">
        <f>'Rates in Detail'!J56</f>
        <v>0.40679999999999994</v>
      </c>
      <c r="F59" s="467">
        <f>'Rates in Detail'!L56+'Rates in Detail'!P56+'Rates in Detail'!S56+'Rates in Detail'!U56</f>
        <v>1.6060000000000001E-2</v>
      </c>
      <c r="G59" s="467">
        <f t="shared" si="1"/>
        <v>0.42285999999999996</v>
      </c>
      <c r="H59" s="468">
        <f t="shared" si="2"/>
        <v>197692</v>
      </c>
      <c r="I59" s="153"/>
      <c r="J59" s="294"/>
      <c r="K59" s="468"/>
      <c r="L59" s="469"/>
      <c r="M59" s="470">
        <v>1</v>
      </c>
      <c r="N59" s="265"/>
      <c r="O59" s="472">
        <f>IFERROR(ROUND(($N$58*(D59/SUM($D$58:$D$63)))/D59,5),0)</f>
        <v>0</v>
      </c>
      <c r="P59" s="470">
        <v>1</v>
      </c>
      <c r="Q59" s="265"/>
      <c r="R59" s="472">
        <f t="shared" ref="R59:R62" si="16">IFERROR(ROUND(($Q$58*(D59/SUM($D$58:$D$63)))/D59,5),0)</f>
        <v>0</v>
      </c>
    </row>
    <row r="60" spans="1:18" x14ac:dyDescent="0.3">
      <c r="A60" s="85">
        <f t="shared" si="0"/>
        <v>52</v>
      </c>
      <c r="B60" s="709"/>
      <c r="C60" s="710" t="s">
        <v>6</v>
      </c>
      <c r="D60" s="473">
        <f>'WA Volumes &amp; Revenues'!E59</f>
        <v>218004</v>
      </c>
      <c r="E60" s="467">
        <f>'Rates in Detail'!J57</f>
        <v>0.37361</v>
      </c>
      <c r="F60" s="467">
        <f>'Rates in Detail'!L57+'Rates in Detail'!P57+'Rates in Detail'!S57+'Rates in Detail'!U57</f>
        <v>1.231E-2</v>
      </c>
      <c r="G60" s="467">
        <f t="shared" si="1"/>
        <v>0.38591999999999999</v>
      </c>
      <c r="H60" s="468">
        <f t="shared" si="2"/>
        <v>84132</v>
      </c>
      <c r="I60" s="153"/>
      <c r="J60" s="294"/>
      <c r="K60" s="468"/>
      <c r="L60" s="469"/>
      <c r="M60" s="470">
        <v>1</v>
      </c>
      <c r="N60" s="265"/>
      <c r="O60" s="472">
        <f t="shared" ref="O60:O63" si="17">IFERROR(ROUND(($N$58*(D60/SUM($D$58:$D$63)))/D60,5),0)</f>
        <v>0</v>
      </c>
      <c r="P60" s="470">
        <v>1</v>
      </c>
      <c r="Q60" s="265"/>
      <c r="R60" s="472">
        <f t="shared" si="16"/>
        <v>0</v>
      </c>
    </row>
    <row r="61" spans="1:18" x14ac:dyDescent="0.3">
      <c r="A61" s="85">
        <f t="shared" si="0"/>
        <v>53</v>
      </c>
      <c r="B61" s="709"/>
      <c r="C61" s="710" t="s">
        <v>7</v>
      </c>
      <c r="D61" s="473">
        <f>'WA Volumes &amp; Revenues'!E60</f>
        <v>18208</v>
      </c>
      <c r="E61" s="467">
        <f>'Rates in Detail'!J58</f>
        <v>0.35180000000000006</v>
      </c>
      <c r="F61" s="467">
        <f>'Rates in Detail'!L58+'Rates in Detail'!P58+'Rates in Detail'!S58+'Rates in Detail'!U58</f>
        <v>9.8499999999999994E-3</v>
      </c>
      <c r="G61" s="467">
        <f t="shared" si="1"/>
        <v>0.36165000000000008</v>
      </c>
      <c r="H61" s="468">
        <f t="shared" si="2"/>
        <v>6585</v>
      </c>
      <c r="I61" s="153"/>
      <c r="J61" s="294"/>
      <c r="K61" s="468"/>
      <c r="L61" s="469"/>
      <c r="M61" s="470">
        <v>1</v>
      </c>
      <c r="N61" s="265"/>
      <c r="O61" s="472">
        <f t="shared" si="17"/>
        <v>0</v>
      </c>
      <c r="P61" s="470">
        <v>1</v>
      </c>
      <c r="Q61" s="265"/>
      <c r="R61" s="472">
        <f t="shared" si="16"/>
        <v>0</v>
      </c>
    </row>
    <row r="62" spans="1:18" x14ac:dyDescent="0.3">
      <c r="A62" s="85">
        <f t="shared" si="0"/>
        <v>54</v>
      </c>
      <c r="B62" s="709"/>
      <c r="C62" s="710" t="s">
        <v>8</v>
      </c>
      <c r="D62" s="473">
        <f>'WA Volumes &amp; Revenues'!E61</f>
        <v>0</v>
      </c>
      <c r="E62" s="467">
        <f>'Rates in Detail'!J59</f>
        <v>0.32268999999999998</v>
      </c>
      <c r="F62" s="467">
        <f>'Rates in Detail'!L59+'Rates in Detail'!P59+'Rates in Detail'!S59+'Rates in Detail'!U59</f>
        <v>6.5799999999999999E-3</v>
      </c>
      <c r="G62" s="467">
        <f t="shared" si="1"/>
        <v>0.32926999999999995</v>
      </c>
      <c r="H62" s="468">
        <f t="shared" si="2"/>
        <v>0</v>
      </c>
      <c r="I62" s="153"/>
      <c r="J62" s="294"/>
      <c r="K62" s="468"/>
      <c r="L62" s="469"/>
      <c r="M62" s="470">
        <v>1</v>
      </c>
      <c r="N62" s="265"/>
      <c r="O62" s="472">
        <f t="shared" si="17"/>
        <v>0</v>
      </c>
      <c r="P62" s="470">
        <v>1</v>
      </c>
      <c r="Q62" s="265"/>
      <c r="R62" s="472">
        <f t="shared" si="16"/>
        <v>0</v>
      </c>
    </row>
    <row r="63" spans="1:18" x14ac:dyDescent="0.3">
      <c r="A63" s="85">
        <f t="shared" si="0"/>
        <v>55</v>
      </c>
      <c r="B63" s="707"/>
      <c r="C63" s="711" t="s">
        <v>9</v>
      </c>
      <c r="D63" s="460">
        <f>'WA Volumes &amp; Revenues'!E62</f>
        <v>0</v>
      </c>
      <c r="E63" s="457">
        <f>'Rates in Detail'!J60</f>
        <v>0.28632000000000002</v>
      </c>
      <c r="F63" s="457">
        <f>'Rates in Detail'!L60+'Rates in Detail'!P60+'Rates in Detail'!S60+'Rates in Detail'!U60</f>
        <v>2.4600000000000004E-3</v>
      </c>
      <c r="G63" s="457">
        <f t="shared" si="1"/>
        <v>0.28878000000000004</v>
      </c>
      <c r="H63" s="461">
        <f t="shared" si="2"/>
        <v>0</v>
      </c>
      <c r="I63" s="462"/>
      <c r="J63" s="359"/>
      <c r="K63" s="461"/>
      <c r="L63" s="456"/>
      <c r="M63" s="458">
        <v>1</v>
      </c>
      <c r="N63" s="459"/>
      <c r="O63" s="464">
        <f t="shared" si="17"/>
        <v>0</v>
      </c>
      <c r="P63" s="458">
        <v>1</v>
      </c>
      <c r="Q63" s="459"/>
      <c r="R63" s="464">
        <f>IFERROR(ROUND(($Q$58*(D63/SUM($D$58:$D$63)))/D63,5),0)</f>
        <v>0</v>
      </c>
    </row>
    <row r="64" spans="1:18" x14ac:dyDescent="0.3">
      <c r="A64" s="85">
        <f t="shared" si="0"/>
        <v>56</v>
      </c>
      <c r="B64" s="709" t="str">
        <f>'WA Volumes &amp; Revenues'!B63</f>
        <v>42I Interr Sales</v>
      </c>
      <c r="C64" s="710" t="s">
        <v>4</v>
      </c>
      <c r="D64" s="473">
        <f>'WA Volumes &amp; Revenues'!E63</f>
        <v>156740</v>
      </c>
      <c r="E64" s="467">
        <f>'Rates in Detail'!J61</f>
        <v>0.4161399999999999</v>
      </c>
      <c r="F64" s="467">
        <f>'Rates in Detail'!L61+'Rates in Detail'!P61+'Rates in Detail'!S61+'Rates in Detail'!U61</f>
        <v>1.321E-2</v>
      </c>
      <c r="G64" s="467">
        <f t="shared" si="1"/>
        <v>0.4293499999999999</v>
      </c>
      <c r="H64" s="468">
        <f t="shared" si="2"/>
        <v>67296</v>
      </c>
      <c r="I64" s="153">
        <f>'WA Volumes &amp; Revenues'!N63</f>
        <v>1300</v>
      </c>
      <c r="J64" s="294">
        <f>'WA Volumes &amp; Revenues'!H63</f>
        <v>1.9166666666666701</v>
      </c>
      <c r="K64" s="468">
        <f>ROUND((I64*J64*12)+H64+H65+H66+H67+H68+H69,0)</f>
        <v>162998</v>
      </c>
      <c r="L64" s="469"/>
      <c r="M64" s="470">
        <v>1</v>
      </c>
      <c r="N64" s="474">
        <f>ROUND(+$M$12*(($K64*M64)/M$86),0)</f>
        <v>0</v>
      </c>
      <c r="O64" s="472">
        <f>IFERROR(ROUND(($N$64*(D64/SUM($D$64:$D$69)))/D64,5),0)</f>
        <v>0</v>
      </c>
      <c r="P64" s="470">
        <v>1</v>
      </c>
      <c r="Q64" s="474">
        <f>ROUND(+$P$12*(($K64*P64)/P$86),0)</f>
        <v>0</v>
      </c>
      <c r="R64" s="472">
        <f>IFERROR(ROUND(($Q$64*(D64/SUM($D$64:$D$69)))/D64,5),0)</f>
        <v>0</v>
      </c>
    </row>
    <row r="65" spans="1:18" x14ac:dyDescent="0.3">
      <c r="A65" s="85">
        <f t="shared" si="0"/>
        <v>57</v>
      </c>
      <c r="B65" s="709"/>
      <c r="C65" s="710" t="s">
        <v>5</v>
      </c>
      <c r="D65" s="473">
        <f>'WA Volumes &amp; Revenues'!E64</f>
        <v>159690</v>
      </c>
      <c r="E65" s="467">
        <f>'Rates in Detail'!J62</f>
        <v>0.40022999999999992</v>
      </c>
      <c r="F65" s="467">
        <f>'Rates in Detail'!L62+'Rates in Detail'!P62+'Rates in Detail'!S62+'Rates in Detail'!U62</f>
        <v>1.183E-2</v>
      </c>
      <c r="G65" s="467">
        <f t="shared" si="1"/>
        <v>0.41205999999999993</v>
      </c>
      <c r="H65" s="468">
        <f t="shared" si="2"/>
        <v>65802</v>
      </c>
      <c r="I65" s="153"/>
      <c r="J65" s="294"/>
      <c r="K65" s="468"/>
      <c r="L65" s="469"/>
      <c r="M65" s="470">
        <v>1</v>
      </c>
      <c r="N65" s="265"/>
      <c r="O65" s="472">
        <f t="shared" ref="O65:O69" si="18">IFERROR(ROUND(($N$64*(D65/SUM($D$64:$D$69)))/D65,5),0)</f>
        <v>0</v>
      </c>
      <c r="P65" s="470">
        <v>1</v>
      </c>
      <c r="Q65" s="265"/>
      <c r="R65" s="472">
        <f t="shared" ref="R65:R69" si="19">IFERROR(ROUND(($Q$64*(D65/SUM($D$64:$D$69)))/D65,5),0)</f>
        <v>0</v>
      </c>
    </row>
    <row r="66" spans="1:18" x14ac:dyDescent="0.3">
      <c r="A66" s="85">
        <f t="shared" si="0"/>
        <v>58</v>
      </c>
      <c r="B66" s="709"/>
      <c r="C66" s="710" t="s">
        <v>6</v>
      </c>
      <c r="D66" s="473">
        <f>'WA Volumes &amp; Revenues'!E65</f>
        <v>0</v>
      </c>
      <c r="E66" s="467">
        <f>'Rates in Detail'!J63</f>
        <v>0.36857999999999996</v>
      </c>
      <c r="F66" s="467">
        <f>'Rates in Detail'!L63+'Rates in Detail'!P63+'Rates in Detail'!S63+'Rates in Detail'!U63</f>
        <v>9.0699999999999999E-3</v>
      </c>
      <c r="G66" s="467">
        <f t="shared" si="1"/>
        <v>0.37764999999999999</v>
      </c>
      <c r="H66" s="468">
        <f t="shared" si="2"/>
        <v>0</v>
      </c>
      <c r="I66" s="153"/>
      <c r="J66" s="294"/>
      <c r="K66" s="468"/>
      <c r="L66" s="469"/>
      <c r="M66" s="470">
        <v>1</v>
      </c>
      <c r="N66" s="265"/>
      <c r="O66" s="472">
        <f t="shared" si="18"/>
        <v>0</v>
      </c>
      <c r="P66" s="470">
        <v>1</v>
      </c>
      <c r="Q66" s="265"/>
      <c r="R66" s="472">
        <f t="shared" si="19"/>
        <v>0</v>
      </c>
    </row>
    <row r="67" spans="1:18" x14ac:dyDescent="0.3">
      <c r="A67" s="85">
        <f t="shared" si="0"/>
        <v>59</v>
      </c>
      <c r="B67" s="709"/>
      <c r="C67" s="710" t="s">
        <v>7</v>
      </c>
      <c r="D67" s="473">
        <f>'WA Volumes &amp; Revenues'!E66</f>
        <v>0</v>
      </c>
      <c r="E67" s="467">
        <f>'Rates in Detail'!J64</f>
        <v>0.34777000000000002</v>
      </c>
      <c r="F67" s="467">
        <f>'Rates in Detail'!L64+'Rates in Detail'!P64+'Rates in Detail'!S64+'Rates in Detail'!U64</f>
        <v>7.2600000000000008E-3</v>
      </c>
      <c r="G67" s="467">
        <f t="shared" si="1"/>
        <v>0.35503000000000001</v>
      </c>
      <c r="H67" s="468">
        <f t="shared" si="2"/>
        <v>0</v>
      </c>
      <c r="I67" s="153"/>
      <c r="J67" s="294"/>
      <c r="K67" s="468"/>
      <c r="L67" s="469"/>
      <c r="M67" s="470">
        <v>1</v>
      </c>
      <c r="N67" s="265"/>
      <c r="O67" s="472">
        <f t="shared" si="18"/>
        <v>0</v>
      </c>
      <c r="P67" s="470">
        <v>1</v>
      </c>
      <c r="Q67" s="265"/>
      <c r="R67" s="472">
        <f t="shared" si="19"/>
        <v>0</v>
      </c>
    </row>
    <row r="68" spans="1:18" x14ac:dyDescent="0.3">
      <c r="A68" s="85">
        <f t="shared" si="0"/>
        <v>60</v>
      </c>
      <c r="B68" s="709"/>
      <c r="C68" s="710" t="s">
        <v>8</v>
      </c>
      <c r="D68" s="473">
        <f>'WA Volumes &amp; Revenues'!E67</f>
        <v>0</v>
      </c>
      <c r="E68" s="467">
        <f>'Rates in Detail'!J65</f>
        <v>0.32002000000000003</v>
      </c>
      <c r="F68" s="467">
        <f>'Rates in Detail'!L65+'Rates in Detail'!P65+'Rates in Detail'!S65+'Rates in Detail'!U65</f>
        <v>4.8300000000000001E-3</v>
      </c>
      <c r="G68" s="467">
        <f t="shared" si="1"/>
        <v>0.32485000000000003</v>
      </c>
      <c r="H68" s="468">
        <f t="shared" si="2"/>
        <v>0</v>
      </c>
      <c r="I68" s="153"/>
      <c r="J68" s="294"/>
      <c r="K68" s="468"/>
      <c r="L68" s="469"/>
      <c r="M68" s="470">
        <v>1</v>
      </c>
      <c r="N68" s="265"/>
      <c r="O68" s="472">
        <f t="shared" si="18"/>
        <v>0</v>
      </c>
      <c r="P68" s="470">
        <v>1</v>
      </c>
      <c r="Q68" s="265"/>
      <c r="R68" s="472">
        <f t="shared" si="19"/>
        <v>0</v>
      </c>
    </row>
    <row r="69" spans="1:18" x14ac:dyDescent="0.3">
      <c r="A69" s="85">
        <f t="shared" si="0"/>
        <v>61</v>
      </c>
      <c r="B69" s="707"/>
      <c r="C69" s="711" t="s">
        <v>9</v>
      </c>
      <c r="D69" s="460">
        <f>'WA Volumes &amp; Revenues'!E68</f>
        <v>0</v>
      </c>
      <c r="E69" s="457">
        <f>'Rates in Detail'!J66</f>
        <v>0.2853</v>
      </c>
      <c r="F69" s="457">
        <f>'Rates in Detail'!L66+'Rates in Detail'!P66+'Rates in Detail'!S66+'Rates in Detail'!U66</f>
        <v>1.8100000000000002E-3</v>
      </c>
      <c r="G69" s="457">
        <f t="shared" si="1"/>
        <v>0.28710999999999998</v>
      </c>
      <c r="H69" s="461">
        <f t="shared" si="2"/>
        <v>0</v>
      </c>
      <c r="I69" s="462"/>
      <c r="J69" s="359"/>
      <c r="K69" s="461"/>
      <c r="L69" s="456"/>
      <c r="M69" s="458">
        <v>1</v>
      </c>
      <c r="N69" s="459"/>
      <c r="O69" s="464">
        <f t="shared" si="18"/>
        <v>0</v>
      </c>
      <c r="P69" s="458">
        <v>1</v>
      </c>
      <c r="Q69" s="459"/>
      <c r="R69" s="464">
        <f t="shared" si="19"/>
        <v>0</v>
      </c>
    </row>
    <row r="70" spans="1:18" x14ac:dyDescent="0.3">
      <c r="A70" s="85">
        <f t="shared" si="0"/>
        <v>62</v>
      </c>
      <c r="B70" s="709" t="str">
        <f>'WA Volumes &amp; Revenues'!B69</f>
        <v>42C Inter Transpt</v>
      </c>
      <c r="C70" s="710" t="s">
        <v>4</v>
      </c>
      <c r="D70" s="473">
        <f>'WA Volumes &amp; Revenues'!E69</f>
        <v>0</v>
      </c>
      <c r="E70" s="467">
        <f>'Rates in Detail'!J67</f>
        <v>0.13459999999999997</v>
      </c>
      <c r="F70" s="467">
        <f>'Rates in Detail'!L67+'Rates in Detail'!P67+'Rates in Detail'!S67+'Rates in Detail'!U67</f>
        <v>5.3899999999999998E-3</v>
      </c>
      <c r="G70" s="467">
        <f t="shared" si="1"/>
        <v>0.13998999999999998</v>
      </c>
      <c r="H70" s="468">
        <f t="shared" si="2"/>
        <v>0</v>
      </c>
      <c r="I70" s="153">
        <f>'WA Volumes &amp; Revenues'!N69</f>
        <v>1550</v>
      </c>
      <c r="J70" s="294">
        <f>'WA Volumes &amp; Revenues'!H69</f>
        <v>0</v>
      </c>
      <c r="K70" s="468">
        <f>ROUND((I70*J70*12)+H70+H71+H72+H73+H74+H75,0)</f>
        <v>0</v>
      </c>
      <c r="L70" s="469"/>
      <c r="M70" s="470">
        <v>1</v>
      </c>
      <c r="N70" s="474">
        <f>ROUND(+$M$12*(($K70*M70)/M$86),0)</f>
        <v>0</v>
      </c>
      <c r="O70" s="472">
        <f>IFERROR(ROUND(($N$70*(D70/SUM($D$70:$D$75)))/D70,5),0)</f>
        <v>0</v>
      </c>
      <c r="P70" s="470">
        <v>1</v>
      </c>
      <c r="Q70" s="474">
        <f>ROUND(+$P$12*(($K70*P70)/P$86),0)</f>
        <v>0</v>
      </c>
      <c r="R70" s="472">
        <f>IFERROR(ROUND(($Q$70*(D70/SUM($D$70:$D$75)))/D70,5),0)</f>
        <v>0</v>
      </c>
    </row>
    <row r="71" spans="1:18" x14ac:dyDescent="0.3">
      <c r="A71" s="85">
        <f t="shared" si="0"/>
        <v>63</v>
      </c>
      <c r="B71" s="709"/>
      <c r="C71" s="710" t="s">
        <v>5</v>
      </c>
      <c r="D71" s="473">
        <f>'WA Volumes &amp; Revenues'!E70</f>
        <v>0</v>
      </c>
      <c r="E71" s="467">
        <f>'Rates in Detail'!J68</f>
        <v>0.12048999999999999</v>
      </c>
      <c r="F71" s="467">
        <f>'Rates in Detail'!L68+'Rates in Detail'!P68+'Rates in Detail'!S68+'Rates in Detail'!U68</f>
        <v>4.8300000000000001E-3</v>
      </c>
      <c r="G71" s="467">
        <f t="shared" si="1"/>
        <v>0.12531999999999999</v>
      </c>
      <c r="H71" s="468">
        <f t="shared" si="2"/>
        <v>0</v>
      </c>
      <c r="I71" s="153"/>
      <c r="J71" s="294"/>
      <c r="K71" s="468"/>
      <c r="L71" s="469"/>
      <c r="M71" s="470">
        <v>1</v>
      </c>
      <c r="N71" s="265"/>
      <c r="O71" s="472">
        <f t="shared" ref="O71:O75" si="20">IFERROR(ROUND(($N$70*(D71/SUM($D$70:$D$75)))/D71,5),0)</f>
        <v>0</v>
      </c>
      <c r="P71" s="470">
        <v>1</v>
      </c>
      <c r="Q71" s="265"/>
      <c r="R71" s="472">
        <f t="shared" ref="R71:R75" si="21">IFERROR(ROUND(($Q$70*(D71/SUM($D$70:$D$75)))/D71,5),0)</f>
        <v>0</v>
      </c>
    </row>
    <row r="72" spans="1:18" x14ac:dyDescent="0.3">
      <c r="A72" s="85">
        <f t="shared" si="0"/>
        <v>64</v>
      </c>
      <c r="B72" s="709"/>
      <c r="C72" s="710" t="s">
        <v>6</v>
      </c>
      <c r="D72" s="473">
        <f>'WA Volumes &amp; Revenues'!E71</f>
        <v>0</v>
      </c>
      <c r="E72" s="467">
        <f>'Rates in Detail'!J69</f>
        <v>9.2380000000000004E-2</v>
      </c>
      <c r="F72" s="467">
        <f>'Rates in Detail'!L69+'Rates in Detail'!P69+'Rates in Detail'!S69+'Rates in Detail'!U69</f>
        <v>3.7099999999999998E-3</v>
      </c>
      <c r="G72" s="467">
        <f t="shared" si="1"/>
        <v>9.6090000000000009E-2</v>
      </c>
      <c r="H72" s="468">
        <f t="shared" si="2"/>
        <v>0</v>
      </c>
      <c r="I72" s="153"/>
      <c r="J72" s="294"/>
      <c r="K72" s="468"/>
      <c r="L72" s="469"/>
      <c r="M72" s="470">
        <v>1</v>
      </c>
      <c r="N72" s="265"/>
      <c r="O72" s="472">
        <f t="shared" si="20"/>
        <v>0</v>
      </c>
      <c r="P72" s="470">
        <v>1</v>
      </c>
      <c r="Q72" s="265"/>
      <c r="R72" s="472">
        <f t="shared" si="21"/>
        <v>0</v>
      </c>
    </row>
    <row r="73" spans="1:18" x14ac:dyDescent="0.3">
      <c r="A73" s="85">
        <f t="shared" si="0"/>
        <v>65</v>
      </c>
      <c r="B73" s="709"/>
      <c r="C73" s="710" t="s">
        <v>7</v>
      </c>
      <c r="D73" s="473">
        <f>'WA Volumes &amp; Revenues'!E72</f>
        <v>0</v>
      </c>
      <c r="E73" s="467">
        <f>'Rates in Detail'!J70</f>
        <v>7.392E-2</v>
      </c>
      <c r="F73" s="467">
        <f>'Rates in Detail'!L70+'Rates in Detail'!P70+'Rates in Detail'!S70+'Rates in Detail'!U70</f>
        <v>2.96E-3</v>
      </c>
      <c r="G73" s="467">
        <f t="shared" si="1"/>
        <v>7.6880000000000004E-2</v>
      </c>
      <c r="H73" s="468">
        <f t="shared" si="2"/>
        <v>0</v>
      </c>
      <c r="I73" s="153"/>
      <c r="J73" s="294"/>
      <c r="K73" s="468"/>
      <c r="L73" s="469"/>
      <c r="M73" s="470">
        <v>1</v>
      </c>
      <c r="N73" s="265"/>
      <c r="O73" s="472">
        <f t="shared" si="20"/>
        <v>0</v>
      </c>
      <c r="P73" s="470">
        <v>1</v>
      </c>
      <c r="Q73" s="265"/>
      <c r="R73" s="472">
        <f t="shared" si="21"/>
        <v>0</v>
      </c>
    </row>
    <row r="74" spans="1:18" x14ac:dyDescent="0.3">
      <c r="A74" s="85">
        <f t="shared" si="0"/>
        <v>66</v>
      </c>
      <c r="B74" s="709"/>
      <c r="C74" s="710" t="s">
        <v>8</v>
      </c>
      <c r="D74" s="473">
        <f>'WA Volumes &amp; Revenues'!E73</f>
        <v>0</v>
      </c>
      <c r="E74" s="467">
        <f>'Rates in Detail'!J71</f>
        <v>4.929E-2</v>
      </c>
      <c r="F74" s="467">
        <f>'Rates in Detail'!L71+'Rates in Detail'!P71+'Rates in Detail'!S71+'Rates in Detail'!U71</f>
        <v>1.98E-3</v>
      </c>
      <c r="G74" s="467">
        <f t="shared" si="1"/>
        <v>5.1270000000000003E-2</v>
      </c>
      <c r="H74" s="468">
        <f t="shared" si="2"/>
        <v>0</v>
      </c>
      <c r="I74" s="153"/>
      <c r="J74" s="294"/>
      <c r="K74" s="468"/>
      <c r="L74" s="469"/>
      <c r="M74" s="470">
        <v>1</v>
      </c>
      <c r="N74" s="265"/>
      <c r="O74" s="472">
        <f t="shared" si="20"/>
        <v>0</v>
      </c>
      <c r="P74" s="470">
        <v>1</v>
      </c>
      <c r="Q74" s="265"/>
      <c r="R74" s="472">
        <f t="shared" si="21"/>
        <v>0</v>
      </c>
    </row>
    <row r="75" spans="1:18" x14ac:dyDescent="0.3">
      <c r="A75" s="85">
        <f t="shared" si="0"/>
        <v>67</v>
      </c>
      <c r="B75" s="707"/>
      <c r="C75" s="711" t="s">
        <v>9</v>
      </c>
      <c r="D75" s="460">
        <f>'WA Volumes &amp; Revenues'!E74</f>
        <v>0</v>
      </c>
      <c r="E75" s="457">
        <f>'Rates in Detail'!J72</f>
        <v>1.8460000000000001E-2</v>
      </c>
      <c r="F75" s="457">
        <f>'Rates in Detail'!L72+'Rates in Detail'!P72+'Rates in Detail'!S72+'Rates in Detail'!U72</f>
        <v>7.3999999999999999E-4</v>
      </c>
      <c r="G75" s="457">
        <f t="shared" si="1"/>
        <v>1.9200000000000002E-2</v>
      </c>
      <c r="H75" s="461">
        <f t="shared" si="2"/>
        <v>0</v>
      </c>
      <c r="I75" s="462"/>
      <c r="J75" s="359"/>
      <c r="K75" s="461"/>
      <c r="L75" s="456"/>
      <c r="M75" s="458">
        <v>1</v>
      </c>
      <c r="N75" s="459"/>
      <c r="O75" s="464">
        <f t="shared" si="20"/>
        <v>0</v>
      </c>
      <c r="P75" s="458">
        <v>1</v>
      </c>
      <c r="Q75" s="459"/>
      <c r="R75" s="464">
        <f t="shared" si="21"/>
        <v>0</v>
      </c>
    </row>
    <row r="76" spans="1:18" x14ac:dyDescent="0.3">
      <c r="A76" s="85">
        <f t="shared" si="0"/>
        <v>68</v>
      </c>
      <c r="B76" s="709" t="str">
        <f>'WA Volumes &amp; Revenues'!B75</f>
        <v>42I Inter Transpt</v>
      </c>
      <c r="C76" s="710" t="s">
        <v>4</v>
      </c>
      <c r="D76" s="473">
        <f>'WA Volumes &amp; Revenues'!E75</f>
        <v>844078</v>
      </c>
      <c r="E76" s="475">
        <f>'Rates in Detail'!J73</f>
        <v>0.13459999999999997</v>
      </c>
      <c r="F76" s="475">
        <f>'Rates in Detail'!L73+'Rates in Detail'!P73+'Rates in Detail'!S73+'Rates in Detail'!U73</f>
        <v>7.7699999999999991E-3</v>
      </c>
      <c r="G76" s="475">
        <f t="shared" si="1"/>
        <v>0.14236999999999997</v>
      </c>
      <c r="H76" s="468">
        <f t="shared" si="2"/>
        <v>120171</v>
      </c>
      <c r="I76" s="153">
        <f>'WA Volumes &amp; Revenues'!N75</f>
        <v>1550</v>
      </c>
      <c r="J76" s="294">
        <f>'WA Volumes &amp; Revenues'!H75</f>
        <v>7</v>
      </c>
      <c r="K76" s="468">
        <f>ROUND((I76*J76*12)+H76+H77+H78+H79+H80+H81,0)</f>
        <v>868714</v>
      </c>
      <c r="L76" s="476"/>
      <c r="M76" s="470">
        <v>1</v>
      </c>
      <c r="N76" s="474">
        <f>ROUND(+$M$12*(($K76*M76)/M$86),0)</f>
        <v>0</v>
      </c>
      <c r="O76" s="472">
        <f>IFERROR(ROUND(($N$76*(D76/SUM($D$76:$D$81)))/D76,5),0)</f>
        <v>0</v>
      </c>
      <c r="P76" s="470">
        <v>1</v>
      </c>
      <c r="Q76" s="474">
        <f>ROUND(+$P$12*(($K76*P76)/P$86),0)</f>
        <v>0</v>
      </c>
      <c r="R76" s="472">
        <f>IFERROR(ROUND(($Q$76*(D76/SUM($D$76:$D$81)))/D76,5),0)</f>
        <v>0</v>
      </c>
    </row>
    <row r="77" spans="1:18" x14ac:dyDescent="0.3">
      <c r="A77" s="85">
        <f t="shared" si="0"/>
        <v>69</v>
      </c>
      <c r="B77" s="709"/>
      <c r="C77" s="710" t="s">
        <v>5</v>
      </c>
      <c r="D77" s="473">
        <f>'WA Volumes &amp; Revenues'!E76</f>
        <v>1445175</v>
      </c>
      <c r="E77" s="475">
        <f>'Rates in Detail'!J74</f>
        <v>0.12048999999999999</v>
      </c>
      <c r="F77" s="475">
        <f>'Rates in Detail'!L74+'Rates in Detail'!P74+'Rates in Detail'!S74+'Rates in Detail'!U74</f>
        <v>6.9500000000000013E-3</v>
      </c>
      <c r="G77" s="475">
        <f t="shared" si="1"/>
        <v>0.12744</v>
      </c>
      <c r="H77" s="468">
        <f t="shared" si="2"/>
        <v>184173</v>
      </c>
      <c r="I77" s="153"/>
      <c r="J77" s="294"/>
      <c r="K77" s="468"/>
      <c r="L77" s="476"/>
      <c r="M77" s="470">
        <v>1</v>
      </c>
      <c r="N77" s="265"/>
      <c r="O77" s="472">
        <f t="shared" ref="O77:O81" si="22">IFERROR(ROUND(($N$76*(D77/SUM($D$76:$D$81)))/D77,5),0)</f>
        <v>0</v>
      </c>
      <c r="P77" s="470">
        <v>1</v>
      </c>
      <c r="Q77" s="265"/>
      <c r="R77" s="472">
        <f t="shared" ref="R77:R81" si="23">IFERROR(ROUND(($Q$76*(D77/SUM($D$76:$D$81)))/D77,5),0)</f>
        <v>0</v>
      </c>
    </row>
    <row r="78" spans="1:18" x14ac:dyDescent="0.3">
      <c r="A78" s="85">
        <f t="shared" si="0"/>
        <v>70</v>
      </c>
      <c r="B78" s="709"/>
      <c r="C78" s="710" t="s">
        <v>6</v>
      </c>
      <c r="D78" s="473">
        <f>'WA Volumes &amp; Revenues'!E77</f>
        <v>1034978</v>
      </c>
      <c r="E78" s="475">
        <f>'Rates in Detail'!J75</f>
        <v>9.2380000000000004E-2</v>
      </c>
      <c r="F78" s="475">
        <f>'Rates in Detail'!L75+'Rates in Detail'!P75+'Rates in Detail'!S75+'Rates in Detail'!U75</f>
        <v>5.3299999999999997E-3</v>
      </c>
      <c r="G78" s="475">
        <f t="shared" si="1"/>
        <v>9.7710000000000005E-2</v>
      </c>
      <c r="H78" s="468">
        <f t="shared" si="2"/>
        <v>101128</v>
      </c>
      <c r="I78" s="153"/>
      <c r="J78" s="294"/>
      <c r="K78" s="468"/>
      <c r="L78" s="476"/>
      <c r="M78" s="470">
        <v>1</v>
      </c>
      <c r="N78" s="265"/>
      <c r="O78" s="472">
        <f t="shared" si="22"/>
        <v>0</v>
      </c>
      <c r="P78" s="470">
        <v>1</v>
      </c>
      <c r="Q78" s="265"/>
      <c r="R78" s="472">
        <f t="shared" si="23"/>
        <v>0</v>
      </c>
    </row>
    <row r="79" spans="1:18" x14ac:dyDescent="0.3">
      <c r="A79" s="85">
        <f t="shared" si="0"/>
        <v>71</v>
      </c>
      <c r="B79" s="709"/>
      <c r="C79" s="710" t="s">
        <v>7</v>
      </c>
      <c r="D79" s="473">
        <f>'WA Volumes &amp; Revenues'!E78</f>
        <v>3359916</v>
      </c>
      <c r="E79" s="475">
        <f>'Rates in Detail'!J76</f>
        <v>7.392E-2</v>
      </c>
      <c r="F79" s="475">
        <f>'Rates in Detail'!L76+'Rates in Detail'!P76+'Rates in Detail'!S76+'Rates in Detail'!U76</f>
        <v>4.2699999999999995E-3</v>
      </c>
      <c r="G79" s="475">
        <f t="shared" si="1"/>
        <v>7.8189999999999996E-2</v>
      </c>
      <c r="H79" s="468">
        <f t="shared" si="2"/>
        <v>262712</v>
      </c>
      <c r="I79" s="153"/>
      <c r="J79" s="294"/>
      <c r="K79" s="468"/>
      <c r="L79" s="476"/>
      <c r="M79" s="470">
        <v>1</v>
      </c>
      <c r="N79" s="265"/>
      <c r="O79" s="472">
        <f t="shared" si="22"/>
        <v>0</v>
      </c>
      <c r="P79" s="470">
        <v>1</v>
      </c>
      <c r="Q79" s="265"/>
      <c r="R79" s="472">
        <f t="shared" si="23"/>
        <v>0</v>
      </c>
    </row>
    <row r="80" spans="1:18" x14ac:dyDescent="0.3">
      <c r="A80" s="85">
        <f t="shared" si="0"/>
        <v>72</v>
      </c>
      <c r="B80" s="709"/>
      <c r="C80" s="710" t="s">
        <v>8</v>
      </c>
      <c r="D80" s="473">
        <f>'WA Volumes &amp; Revenues'!E79</f>
        <v>1349120</v>
      </c>
      <c r="E80" s="475">
        <f>'Rates in Detail'!J77</f>
        <v>4.929E-2</v>
      </c>
      <c r="F80" s="475">
        <f>'Rates in Detail'!L77+'Rates in Detail'!P77+'Rates in Detail'!S77+'Rates in Detail'!U77</f>
        <v>2.8400000000000001E-3</v>
      </c>
      <c r="G80" s="475">
        <f t="shared" si="1"/>
        <v>5.2130000000000003E-2</v>
      </c>
      <c r="H80" s="468">
        <f t="shared" si="2"/>
        <v>70330</v>
      </c>
      <c r="I80" s="153"/>
      <c r="J80" s="294"/>
      <c r="K80" s="468"/>
      <c r="L80" s="476"/>
      <c r="M80" s="470">
        <v>1</v>
      </c>
      <c r="N80" s="265"/>
      <c r="O80" s="472">
        <f t="shared" si="22"/>
        <v>0</v>
      </c>
      <c r="P80" s="470">
        <v>1</v>
      </c>
      <c r="Q80" s="265"/>
      <c r="R80" s="472">
        <f t="shared" si="23"/>
        <v>0</v>
      </c>
    </row>
    <row r="81" spans="1:18" x14ac:dyDescent="0.3">
      <c r="A81" s="85">
        <f t="shared" si="0"/>
        <v>73</v>
      </c>
      <c r="B81" s="707"/>
      <c r="C81" s="711" t="s">
        <v>9</v>
      </c>
      <c r="D81" s="460">
        <f>'WA Volumes &amp; Revenues'!E80</f>
        <v>0</v>
      </c>
      <c r="E81" s="477">
        <f>'Rates in Detail'!J78</f>
        <v>1.8460000000000001E-2</v>
      </c>
      <c r="F81" s="477">
        <f>'Rates in Detail'!L78+'Rates in Detail'!P78+'Rates in Detail'!S78+'Rates in Detail'!U78</f>
        <v>1.0699999999999998E-3</v>
      </c>
      <c r="G81" s="477">
        <f t="shared" ref="G81:G84" si="24">E81+F81</f>
        <v>1.9529999999999999E-2</v>
      </c>
      <c r="H81" s="461">
        <f t="shared" ref="H81:H84" si="25">ROUND(G81*D81,0)</f>
        <v>0</v>
      </c>
      <c r="I81" s="462"/>
      <c r="J81" s="359"/>
      <c r="K81" s="461"/>
      <c r="L81" s="478"/>
      <c r="M81" s="458">
        <v>1</v>
      </c>
      <c r="N81" s="459"/>
      <c r="O81" s="464">
        <f t="shared" si="22"/>
        <v>0</v>
      </c>
      <c r="P81" s="458">
        <v>1</v>
      </c>
      <c r="Q81" s="459"/>
      <c r="R81" s="464">
        <f t="shared" si="23"/>
        <v>0</v>
      </c>
    </row>
    <row r="82" spans="1:18" x14ac:dyDescent="0.3">
      <c r="A82" s="85">
        <f t="shared" si="0"/>
        <v>74</v>
      </c>
      <c r="B82" s="707" t="str">
        <f>'WA Volumes &amp; Revenues'!B81</f>
        <v>43 Firm Transpt</v>
      </c>
      <c r="C82" s="707" t="s">
        <v>270</v>
      </c>
      <c r="D82" s="460">
        <f>'WA Volumes &amp; Revenues'!E81</f>
        <v>0</v>
      </c>
      <c r="E82" s="479">
        <f>'Rates in Detail'!J79</f>
        <v>4.919999999999999E-3</v>
      </c>
      <c r="F82" s="479">
        <f>'Rates in Detail'!L79+'Rates in Detail'!P79+'Rates in Detail'!S79+'Rates in Detail'!U79</f>
        <v>2.0000000000000002E-5</v>
      </c>
      <c r="G82" s="479">
        <f t="shared" si="24"/>
        <v>4.9399999999999991E-3</v>
      </c>
      <c r="H82" s="461">
        <f t="shared" si="25"/>
        <v>0</v>
      </c>
      <c r="I82" s="462">
        <f>'WA Volumes &amp; Revenues'!N81</f>
        <v>38000</v>
      </c>
      <c r="J82" s="359">
        <f>'WA Volumes &amp; Revenues'!H81</f>
        <v>0</v>
      </c>
      <c r="K82" s="461">
        <f>ROUND(H82+(I82*J82*12),0)</f>
        <v>0</v>
      </c>
      <c r="L82" s="480"/>
      <c r="M82" s="481">
        <v>1</v>
      </c>
      <c r="N82" s="459">
        <f>ROUND(+$M$12*(($K82*M82)/M$86),0)</f>
        <v>0</v>
      </c>
      <c r="O82" s="464">
        <f t="shared" ref="O82:O84" si="26">IFERROR(ROUND(N82/D82,5),0)</f>
        <v>0</v>
      </c>
      <c r="P82" s="481">
        <v>1</v>
      </c>
      <c r="Q82" s="459">
        <f>ROUND(+$P$12*(($K82*P82)/P$86),0)</f>
        <v>0</v>
      </c>
      <c r="R82" s="464">
        <f t="shared" ref="R82:R84" si="27">IFERROR(ROUND(Q82/$D82,5),0)</f>
        <v>0</v>
      </c>
    </row>
    <row r="83" spans="1:18" x14ac:dyDescent="0.3">
      <c r="A83" s="85">
        <f t="shared" si="0"/>
        <v>75</v>
      </c>
      <c r="B83" s="708" t="str">
        <f>'WA Volumes &amp; Revenues'!B82</f>
        <v>43 Interr Transpt</v>
      </c>
      <c r="C83" s="708" t="s">
        <v>270</v>
      </c>
      <c r="D83" s="359">
        <f>'WA Volumes &amp; Revenues'!E82</f>
        <v>0</v>
      </c>
      <c r="E83" s="477">
        <f>'Rates in Detail'!J80</f>
        <v>4.919999999999999E-3</v>
      </c>
      <c r="F83" s="457">
        <f>'Rates in Detail'!L80+'Rates in Detail'!P80+'Rates in Detail'!S80+'Rates in Detail'!U80</f>
        <v>2.0000000000000002E-5</v>
      </c>
      <c r="G83" s="457">
        <f t="shared" si="24"/>
        <v>4.9399999999999991E-3</v>
      </c>
      <c r="H83" s="461">
        <f t="shared" si="25"/>
        <v>0</v>
      </c>
      <c r="I83" s="462">
        <f>'WA Volumes &amp; Revenues'!N82</f>
        <v>38000</v>
      </c>
      <c r="J83" s="359">
        <f>'WA Volumes &amp; Revenues'!H82</f>
        <v>0</v>
      </c>
      <c r="K83" s="462">
        <f t="shared" ref="K83:K84" si="28">ROUND((I83*J83*12)+H83,0)</f>
        <v>0</v>
      </c>
      <c r="L83" s="478"/>
      <c r="M83" s="481">
        <v>1</v>
      </c>
      <c r="N83" s="459">
        <f t="shared" ref="N83:N84" si="29">ROUND(+$M$12*(($K83*M83)/M$86),0)</f>
        <v>0</v>
      </c>
      <c r="O83" s="464">
        <f t="shared" si="26"/>
        <v>0</v>
      </c>
      <c r="P83" s="481">
        <v>1</v>
      </c>
      <c r="Q83" s="459">
        <f>ROUND(+$P$12*(($K83*P83)/P$86),0)</f>
        <v>0</v>
      </c>
      <c r="R83" s="464">
        <f t="shared" si="27"/>
        <v>0</v>
      </c>
    </row>
    <row r="84" spans="1:18" x14ac:dyDescent="0.3">
      <c r="A84" s="85">
        <f t="shared" si="0"/>
        <v>76</v>
      </c>
      <c r="B84" s="708" t="str">
        <f>'WA Volumes &amp; Revenues'!B83</f>
        <v>Special Contract</v>
      </c>
      <c r="C84" s="708" t="s">
        <v>270</v>
      </c>
      <c r="D84" s="359">
        <f>'WA Volumes &amp; Revenues'!E83</f>
        <v>2895114</v>
      </c>
      <c r="E84" s="477">
        <f>'Rates in Detail'!J81</f>
        <v>0</v>
      </c>
      <c r="F84" s="477">
        <f>'Rates in Detail'!L81+'Rates in Detail'!P81+'Rates in Detail'!S81+'Rates in Detail'!U81</f>
        <v>0</v>
      </c>
      <c r="G84" s="477">
        <f t="shared" si="24"/>
        <v>0</v>
      </c>
      <c r="H84" s="461">
        <f t="shared" si="25"/>
        <v>0</v>
      </c>
      <c r="I84" s="462">
        <f>'WA Volumes &amp; Revenues'!N83</f>
        <v>0</v>
      </c>
      <c r="J84" s="359">
        <f>'WA Volumes &amp; Revenues'!H83</f>
        <v>1</v>
      </c>
      <c r="K84" s="462">
        <f t="shared" si="28"/>
        <v>0</v>
      </c>
      <c r="L84" s="478"/>
      <c r="M84" s="481">
        <v>1</v>
      </c>
      <c r="N84" s="459">
        <f t="shared" si="29"/>
        <v>0</v>
      </c>
      <c r="O84" s="464">
        <f t="shared" si="26"/>
        <v>0</v>
      </c>
      <c r="P84" s="481">
        <v>1</v>
      </c>
      <c r="Q84" s="459">
        <f>ROUND(+$P$12*(($K84*P84)/P$86),0)</f>
        <v>0</v>
      </c>
      <c r="R84" s="464">
        <f t="shared" si="27"/>
        <v>0</v>
      </c>
    </row>
    <row r="85" spans="1:18" x14ac:dyDescent="0.3">
      <c r="A85" s="85">
        <f t="shared" si="0"/>
        <v>77</v>
      </c>
      <c r="E85" s="482"/>
      <c r="F85" s="482"/>
      <c r="G85" s="482"/>
      <c r="H85" s="483"/>
      <c r="K85" s="483"/>
      <c r="M85" s="484"/>
      <c r="P85" s="484"/>
    </row>
    <row r="86" spans="1:18" x14ac:dyDescent="0.3">
      <c r="A86" s="85">
        <f t="shared" si="0"/>
        <v>78</v>
      </c>
      <c r="B86" s="59" t="s">
        <v>175</v>
      </c>
      <c r="C86" s="59"/>
      <c r="D86" s="719">
        <f>SUM(D16:D84)</f>
        <v>103032055.6009268</v>
      </c>
      <c r="E86" s="720"/>
      <c r="F86" s="720"/>
      <c r="G86" s="720"/>
      <c r="H86" s="603">
        <f>SUM(H16:H84)</f>
        <v>75789005</v>
      </c>
      <c r="I86" s="719"/>
      <c r="J86" s="719">
        <f>SUM(J17:J82)</f>
        <v>88428.750000000015</v>
      </c>
      <c r="K86" s="603">
        <f>SUM(K16:K84)</f>
        <v>86608298.861159995</v>
      </c>
      <c r="L86" s="721"/>
      <c r="M86" s="722">
        <f>ROUND(($K16*M16)+($K17*M17)+($K18*M18)+($K19*M19)+(K20*M20)+($K21*M21)+($K22*M22)+($K26*M26)+(K24*M24)+(K28*M28)+($K$30*M30)+($K32*M32)+($K34*M34)+($K40*M40)+($K46*M46)+($K52*M52)+($K$58*M58)+($K64*M64)+(K70*M70)+($K82*M82)+(K76*M76)+($K83*M83)+($K84*M84),0)</f>
        <v>86608299</v>
      </c>
      <c r="N86" s="723">
        <f>SUM(N16:N85)</f>
        <v>0</v>
      </c>
      <c r="O86" s="59"/>
      <c r="P86" s="722">
        <f>ROUND(($K16*P16)+($K17*P17)+($K18*P18)+($K19*P19)+(K20*P20)+($K21*P21)+($K22*P22)+($K26*P26)+(K24*P24)+(K28*P28)+($K$30*P30)+($K32*P32)+($K34*P34)+($K40*P40)+($K46*P46)+($K52*P52)+($K$58*P58)+($K64*P64)+(K70*P70)+($K82*P82)+(K76*P76)+($K83*P83)+($K84*P84),0)</f>
        <v>86608299</v>
      </c>
      <c r="Q86" s="723">
        <f>SUM(Q16:Q85)</f>
        <v>0</v>
      </c>
      <c r="R86" s="59"/>
    </row>
    <row r="87" spans="1:18" x14ac:dyDescent="0.3">
      <c r="A87" s="85">
        <f t="shared" si="0"/>
        <v>79</v>
      </c>
      <c r="B87" s="485"/>
      <c r="H87" s="486"/>
      <c r="K87" s="425"/>
      <c r="L87" s="426"/>
      <c r="M87" s="431"/>
      <c r="N87" s="259"/>
      <c r="P87" s="431"/>
      <c r="Q87" s="259"/>
    </row>
    <row r="88" spans="1:18" x14ac:dyDescent="0.3">
      <c r="A88" s="85">
        <f t="shared" si="0"/>
        <v>80</v>
      </c>
      <c r="B88" s="167" t="s">
        <v>77</v>
      </c>
      <c r="E88" s="55"/>
      <c r="F88" s="55"/>
      <c r="G88" s="55"/>
      <c r="I88" s="55"/>
      <c r="K88" s="425"/>
      <c r="L88" s="55"/>
      <c r="M88" s="55"/>
      <c r="P88" s="55"/>
    </row>
    <row r="89" spans="1:18" x14ac:dyDescent="0.3">
      <c r="A89" s="85">
        <f t="shared" si="0"/>
        <v>81</v>
      </c>
      <c r="B89" s="748" t="s">
        <v>78</v>
      </c>
      <c r="C89" s="749"/>
      <c r="D89" s="749"/>
      <c r="E89" s="749"/>
      <c r="F89" s="749"/>
      <c r="G89" s="749"/>
      <c r="H89" s="749"/>
      <c r="I89" s="749"/>
      <c r="J89" s="749"/>
      <c r="K89" s="749"/>
      <c r="L89" s="749"/>
      <c r="M89" s="749"/>
      <c r="N89" s="749"/>
      <c r="O89" s="750"/>
      <c r="P89" s="749"/>
      <c r="Q89" s="749"/>
      <c r="R89" s="750"/>
    </row>
    <row r="90" spans="1:18" x14ac:dyDescent="0.3">
      <c r="A90" s="85">
        <f t="shared" si="0"/>
        <v>82</v>
      </c>
      <c r="B90" s="167" t="s">
        <v>92</v>
      </c>
      <c r="L90" s="55"/>
      <c r="M90" s="55"/>
      <c r="O90" s="139"/>
      <c r="P90" s="55"/>
      <c r="R90" s="139"/>
    </row>
    <row r="91" spans="1:18" x14ac:dyDescent="0.3">
      <c r="A91" s="85">
        <f t="shared" ref="A91:A93" si="30">+A90+1</f>
        <v>83</v>
      </c>
      <c r="B91" s="748" t="s">
        <v>93</v>
      </c>
      <c r="C91" s="749"/>
      <c r="D91" s="749"/>
      <c r="E91" s="749"/>
      <c r="F91" s="749"/>
      <c r="G91" s="749"/>
      <c r="H91" s="749"/>
      <c r="I91" s="749"/>
      <c r="J91" s="749"/>
      <c r="K91" s="749"/>
      <c r="L91" s="749"/>
      <c r="M91" s="749"/>
      <c r="N91" s="749"/>
      <c r="O91" s="750"/>
      <c r="P91" s="749"/>
      <c r="Q91" s="749"/>
      <c r="R91" s="750"/>
    </row>
    <row r="92" spans="1:18" x14ac:dyDescent="0.3">
      <c r="A92" s="85">
        <f t="shared" si="30"/>
        <v>84</v>
      </c>
      <c r="M92" s="484"/>
      <c r="P92" s="484"/>
    </row>
    <row r="93" spans="1:18" x14ac:dyDescent="0.3">
      <c r="A93" s="85">
        <f t="shared" si="30"/>
        <v>85</v>
      </c>
      <c r="B93" s="55" t="s">
        <v>81</v>
      </c>
      <c r="M93" s="484"/>
      <c r="P93" s="484"/>
    </row>
    <row r="94" spans="1:18" x14ac:dyDescent="0.3">
      <c r="A94" s="85"/>
    </row>
    <row r="97" spans="2:17" x14ac:dyDescent="0.3">
      <c r="N97" s="487"/>
      <c r="Q97" s="487"/>
    </row>
    <row r="98" spans="2:17" x14ac:dyDescent="0.3">
      <c r="B98" s="54"/>
      <c r="C98" s="54"/>
      <c r="D98" s="54"/>
      <c r="E98" s="54"/>
      <c r="F98" s="54"/>
      <c r="G98" s="54"/>
      <c r="H98" s="54"/>
      <c r="I98" s="54"/>
      <c r="J98" s="54"/>
      <c r="K98" s="54"/>
      <c r="L98" s="54"/>
      <c r="N98" s="488"/>
      <c r="Q98" s="488"/>
    </row>
    <row r="99" spans="2:17" x14ac:dyDescent="0.3">
      <c r="B99" s="54"/>
      <c r="C99" s="54"/>
      <c r="D99" s="54"/>
      <c r="E99" s="54"/>
      <c r="F99" s="54"/>
      <c r="G99" s="54"/>
      <c r="H99" s="54"/>
      <c r="I99" s="54"/>
      <c r="J99" s="54"/>
      <c r="K99" s="54"/>
      <c r="L99" s="54"/>
      <c r="N99" s="295"/>
      <c r="Q99" s="295"/>
    </row>
    <row r="100" spans="2:17" x14ac:dyDescent="0.3">
      <c r="B100" s="54"/>
      <c r="C100" s="54"/>
      <c r="D100" s="54"/>
      <c r="E100" s="54"/>
      <c r="F100" s="54"/>
      <c r="G100" s="54"/>
      <c r="H100" s="54"/>
      <c r="I100" s="54"/>
      <c r="J100" s="54"/>
      <c r="K100" s="54"/>
      <c r="L100" s="54"/>
      <c r="N100" s="295"/>
      <c r="Q100" s="295"/>
    </row>
    <row r="101" spans="2:17" x14ac:dyDescent="0.3">
      <c r="B101" s="54"/>
      <c r="C101" s="54"/>
      <c r="D101" s="54"/>
      <c r="E101" s="54"/>
      <c r="F101" s="54"/>
      <c r="G101" s="54"/>
      <c r="H101" s="54"/>
      <c r="I101" s="54"/>
      <c r="J101" s="54"/>
      <c r="K101" s="54"/>
      <c r="L101" s="54"/>
      <c r="N101" s="487"/>
      <c r="Q101" s="487"/>
    </row>
    <row r="102" spans="2:17" x14ac:dyDescent="0.3">
      <c r="B102" s="54"/>
      <c r="C102" s="54"/>
      <c r="D102" s="54"/>
      <c r="E102" s="54"/>
      <c r="F102" s="54"/>
      <c r="G102" s="54"/>
      <c r="H102" s="54"/>
      <c r="I102" s="54"/>
      <c r="J102" s="54"/>
      <c r="K102" s="54"/>
      <c r="L102" s="54"/>
      <c r="N102" s="322"/>
      <c r="Q102" s="322"/>
    </row>
    <row r="104" spans="2:17" x14ac:dyDescent="0.3">
      <c r="B104" s="54"/>
      <c r="C104" s="54"/>
      <c r="D104" s="54"/>
      <c r="E104" s="54"/>
      <c r="F104" s="54"/>
      <c r="G104" s="54"/>
      <c r="H104" s="54"/>
      <c r="I104" s="54"/>
      <c r="J104" s="54"/>
      <c r="K104" s="54"/>
      <c r="L104" s="54"/>
      <c r="N104" s="487"/>
      <c r="Q104" s="487"/>
    </row>
    <row r="105" spans="2:17" x14ac:dyDescent="0.3">
      <c r="B105" s="54"/>
      <c r="C105" s="54"/>
      <c r="D105" s="54"/>
      <c r="E105" s="54"/>
      <c r="F105" s="54"/>
      <c r="G105" s="54"/>
      <c r="H105" s="54"/>
      <c r="I105" s="54"/>
      <c r="J105" s="54"/>
      <c r="K105" s="54"/>
      <c r="L105" s="54"/>
      <c r="N105" s="322"/>
      <c r="Q105" s="322"/>
    </row>
    <row r="106" spans="2:17" x14ac:dyDescent="0.3">
      <c r="B106" s="54"/>
      <c r="C106" s="54"/>
      <c r="D106" s="54"/>
      <c r="E106" s="54"/>
      <c r="F106" s="54"/>
      <c r="G106" s="54"/>
      <c r="H106" s="54"/>
      <c r="I106" s="54"/>
      <c r="J106" s="54"/>
      <c r="K106" s="54"/>
      <c r="L106" s="54"/>
      <c r="N106" s="322"/>
      <c r="Q106" s="322"/>
    </row>
    <row r="107" spans="2:17" x14ac:dyDescent="0.3">
      <c r="B107" s="54"/>
      <c r="C107" s="54"/>
      <c r="D107" s="54"/>
      <c r="E107" s="54"/>
      <c r="F107" s="54"/>
      <c r="G107" s="54"/>
      <c r="H107" s="54"/>
      <c r="I107" s="54"/>
      <c r="J107" s="54"/>
      <c r="K107" s="54"/>
      <c r="L107" s="54"/>
      <c r="N107" s="322"/>
      <c r="Q107" s="322"/>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10"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workbookViewId="0"/>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6" width="14.796875" style="55" customWidth="1"/>
    <col min="7" max="7" width="2.796875" style="55" customWidth="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0"/>
      <c r="W2" s="261" t="s">
        <v>111</v>
      </c>
      <c r="X2" s="262" t="s">
        <v>112</v>
      </c>
      <c r="Y2" s="262" t="s">
        <v>96</v>
      </c>
      <c r="Z2" s="1096" t="s">
        <v>439</v>
      </c>
      <c r="AB2" s="261" t="s">
        <v>111</v>
      </c>
      <c r="AC2" s="262" t="s">
        <v>112</v>
      </c>
      <c r="AD2" s="263" t="s">
        <v>96</v>
      </c>
      <c r="AF2" s="261" t="s">
        <v>111</v>
      </c>
      <c r="AG2" s="262" t="s">
        <v>112</v>
      </c>
      <c r="AH2" s="263" t="s">
        <v>96</v>
      </c>
      <c r="AK2" s="144"/>
      <c r="AM2" s="261" t="s">
        <v>111</v>
      </c>
      <c r="AN2" s="262" t="s">
        <v>112</v>
      </c>
      <c r="AO2" s="263" t="s">
        <v>96</v>
      </c>
      <c r="AQ2" s="1849" t="s">
        <v>267</v>
      </c>
      <c r="AR2" s="1850"/>
    </row>
    <row r="3" spans="1:52" x14ac:dyDescent="0.3">
      <c r="A3" s="138" t="str">
        <f>+'WA Volumes &amp; Revenues'!A3</f>
        <v>Test Year Ending September 30, 2020</v>
      </c>
      <c r="E3" s="139"/>
      <c r="F3" s="139"/>
      <c r="W3" s="264">
        <f>SUM(W14:W19)+W22+W28+W31+W37+W44+W51+W58+W65+W72+W79+W93+W94+W25+W34+W86+W95+W96</f>
        <v>37287357.418864518</v>
      </c>
      <c r="X3" s="265">
        <f>SUM(X14:X19)+X22+X28+X31+X37+X44+X51+X58+X65+X72+X79+X93+X94+X25+X34+X86+X95+X96</f>
        <v>10678018</v>
      </c>
      <c r="Y3" s="265">
        <f>SUM(Y14:Y19)+Y22+Y28+Y31+Y37+Y44+Y51+Y58+Y65+Y72+Y79+Y93+Y94+Y25+Y34+Y86+Y95+Y96</f>
        <v>141275.86116</v>
      </c>
      <c r="Z3" s="266">
        <f>SUM(Z14:Z19)+Z22+Z28+Z31+Z37+Z44+Z51+Z58+Z65+Z72+Z79+Z93+Z94+Z25+Z34+Z86+Z95+Z96</f>
        <v>1255256.7800419014</v>
      </c>
      <c r="AB3" s="264">
        <f>SUM(AB14:AB19)+AB22+AB28+AB31+AB37+AB44+AB51+AB58+AB65+AB72+AB79+AB93+AB94+AB25+AB34+AB86+AB95+AB96</f>
        <v>42749621.99653203</v>
      </c>
      <c r="AC3" s="265">
        <f>SUM(AC14:AC19)+AC22+AC28+AC31+AC37+AC44+AC51+AC58+AC65+AC72+AC79+AC93+AC94+AC25+AC34+AC86+AC95+AC96</f>
        <v>10678018</v>
      </c>
      <c r="AD3" s="266">
        <f>SUM(AD14:AD19)+AD22+AD28+AD31+AD37+AD44+AD51+AD58+AD65+AD72+AD79+AD93+AD94+AD25+AD34+AD86+AD95+AD96</f>
        <v>141275.86116</v>
      </c>
      <c r="AF3" s="264">
        <f t="shared" ref="AF3:AH3" si="0">SUM(AF14:AF19)+AF22+AF28+AF31+AF37+AF44+AF51+AF58+AF65+AF72+AF79+AF93+AF94+AF25+AF34+AF86+AF95+AF96</f>
        <v>5462264.5776675073</v>
      </c>
      <c r="AG3" s="265">
        <f t="shared" si="0"/>
        <v>0</v>
      </c>
      <c r="AH3" s="266">
        <f t="shared" si="0"/>
        <v>0</v>
      </c>
      <c r="AK3" s="265"/>
      <c r="AM3" s="264">
        <f t="shared" ref="AM3:AO3" si="1">SUM(AM14:AM19)+AM22+AM28+AM31+AM37+AM44+AM51+AM58+AM65+AM72+AM79+AM93+AM94+AM25+AM34+AM86+AM95+AM96</f>
        <v>-462278.66210878297</v>
      </c>
      <c r="AN3" s="265">
        <f t="shared" si="1"/>
        <v>0</v>
      </c>
      <c r="AO3" s="266">
        <f t="shared" si="1"/>
        <v>0</v>
      </c>
      <c r="AQ3" s="55" t="s">
        <v>97</v>
      </c>
      <c r="AR3" s="267">
        <f>AF3</f>
        <v>5462264.5776675073</v>
      </c>
    </row>
    <row r="4" spans="1:52" x14ac:dyDescent="0.3">
      <c r="A4" s="138" t="s">
        <v>605</v>
      </c>
      <c r="D4" s="139"/>
      <c r="E4" s="139"/>
      <c r="F4" s="139"/>
      <c r="G4" s="139"/>
      <c r="H4" s="139"/>
      <c r="J4" s="139"/>
      <c r="K4" s="139"/>
      <c r="L4" s="139"/>
      <c r="Q4" s="139"/>
      <c r="V4" s="139"/>
      <c r="W4" s="268"/>
      <c r="X4" s="54"/>
      <c r="Y4" s="54"/>
      <c r="Z4" s="1097" t="s">
        <v>76</v>
      </c>
      <c r="AA4" s="139"/>
      <c r="AB4" s="268"/>
      <c r="AC4" s="54"/>
      <c r="AD4" s="269" t="s">
        <v>76</v>
      </c>
      <c r="AE4" s="139"/>
      <c r="AF4" s="268"/>
      <c r="AG4" s="54"/>
      <c r="AH4" s="269" t="s">
        <v>76</v>
      </c>
      <c r="AI4" s="139"/>
      <c r="AJ4" s="139"/>
      <c r="AK4" s="144"/>
      <c r="AL4" s="139"/>
      <c r="AM4" s="268"/>
      <c r="AN4" s="54"/>
      <c r="AO4" s="269" t="s">
        <v>76</v>
      </c>
      <c r="AP4" s="139"/>
      <c r="AQ4" s="55" t="s">
        <v>98</v>
      </c>
      <c r="AR4" s="267">
        <f>AG3</f>
        <v>0</v>
      </c>
    </row>
    <row r="5" spans="1:52" ht="13.5" thickBot="1" x14ac:dyDescent="0.35">
      <c r="E5" s="139"/>
      <c r="F5" s="139"/>
      <c r="W5" s="548"/>
      <c r="X5" s="549"/>
      <c r="Y5" s="549"/>
      <c r="Z5" s="1098">
        <f>SUM(W3:Z3)</f>
        <v>49361908.060066424</v>
      </c>
      <c r="AB5" s="270"/>
      <c r="AC5" s="271"/>
      <c r="AD5" s="272">
        <f>SUM(AB3:AD3)</f>
        <v>53568915.857692033</v>
      </c>
      <c r="AF5" s="270"/>
      <c r="AG5" s="271"/>
      <c r="AH5" s="272">
        <f>SUM(AF3:AH3)</f>
        <v>5462264.5776675073</v>
      </c>
      <c r="AK5" s="265"/>
      <c r="AM5" s="270"/>
      <c r="AN5" s="271"/>
      <c r="AO5" s="272">
        <f>SUM(AM3:AO3)</f>
        <v>-462278.66210878297</v>
      </c>
      <c r="AQ5" s="55" t="s">
        <v>99</v>
      </c>
      <c r="AR5" s="267">
        <f>AH3</f>
        <v>0</v>
      </c>
    </row>
    <row r="6" spans="1:52" ht="13.5" thickBot="1" x14ac:dyDescent="0.35">
      <c r="E6" s="139"/>
      <c r="F6" s="139"/>
      <c r="W6" s="54"/>
      <c r="X6" s="54"/>
      <c r="Y6" s="265"/>
      <c r="Z6" s="1093" t="s">
        <v>438</v>
      </c>
      <c r="AB6" s="265"/>
      <c r="AC6" s="54"/>
      <c r="AD6" s="265"/>
      <c r="AF6" s="54"/>
      <c r="AG6" s="54"/>
      <c r="AH6" s="265"/>
      <c r="AK6" s="265"/>
      <c r="AM6" s="54"/>
      <c r="AN6" s="54"/>
      <c r="AO6" s="265"/>
      <c r="AR6" s="267"/>
    </row>
    <row r="7" spans="1:52" ht="13.5" thickBot="1" x14ac:dyDescent="0.35">
      <c r="E7" s="512"/>
      <c r="F7" s="512"/>
      <c r="H7" s="1851" t="s">
        <v>118</v>
      </c>
      <c r="I7" s="1852"/>
      <c r="K7" s="1851" t="s">
        <v>120</v>
      </c>
      <c r="L7" s="1853"/>
      <c r="M7" s="1853"/>
      <c r="N7" s="1853"/>
      <c r="O7" s="1853"/>
      <c r="P7" s="1852"/>
      <c r="R7" s="1851" t="s">
        <v>119</v>
      </c>
      <c r="S7" s="1853"/>
      <c r="T7" s="1853"/>
      <c r="U7" s="1852"/>
      <c r="AD7" s="275"/>
      <c r="AO7" s="275"/>
      <c r="AQ7" s="55" t="s">
        <v>100</v>
      </c>
      <c r="AR7" s="276">
        <f>SUM(AR3:AR5)</f>
        <v>5462264.5776675073</v>
      </c>
      <c r="AU7" s="1101"/>
    </row>
    <row r="8" spans="1:52" x14ac:dyDescent="0.3">
      <c r="A8" s="85">
        <v>1</v>
      </c>
      <c r="D8" s="141"/>
      <c r="E8" s="512" t="s">
        <v>599</v>
      </c>
      <c r="F8" s="512" t="str">
        <f>E8</f>
        <v>UG-200994</v>
      </c>
      <c r="G8" s="141"/>
      <c r="H8" s="147"/>
      <c r="I8" s="292"/>
      <c r="J8" s="141"/>
      <c r="K8" s="324" t="s">
        <v>17</v>
      </c>
      <c r="L8" s="325" t="s">
        <v>20</v>
      </c>
      <c r="M8" s="325" t="s">
        <v>17</v>
      </c>
      <c r="N8" s="325" t="s">
        <v>20</v>
      </c>
      <c r="O8" s="325" t="s">
        <v>17</v>
      </c>
      <c r="P8" s="326" t="s">
        <v>20</v>
      </c>
      <c r="Q8" s="141"/>
      <c r="R8" s="140"/>
      <c r="S8" s="277"/>
      <c r="T8" s="277"/>
      <c r="U8" s="278"/>
      <c r="V8" s="141"/>
      <c r="W8" s="1854" t="s">
        <v>121</v>
      </c>
      <c r="X8" s="1854"/>
      <c r="Y8" s="1854"/>
      <c r="Z8" s="1854"/>
      <c r="AA8" s="144"/>
      <c r="AB8" s="273"/>
      <c r="AC8" s="274" t="s">
        <v>234</v>
      </c>
      <c r="AD8" s="273"/>
      <c r="AE8" s="141"/>
      <c r="AG8" s="787" t="s">
        <v>122</v>
      </c>
      <c r="AI8" s="141"/>
      <c r="AJ8" s="416"/>
      <c r="AL8" s="141"/>
      <c r="AM8" s="273"/>
      <c r="AN8" s="274" t="s">
        <v>385</v>
      </c>
      <c r="AO8" s="273"/>
      <c r="AP8" s="141"/>
      <c r="AQ8" s="55" t="s">
        <v>101</v>
      </c>
      <c r="AR8" s="267"/>
      <c r="AU8" s="468"/>
      <c r="AV8" s="288"/>
    </row>
    <row r="9" spans="1:52" ht="13.5" thickBot="1" x14ac:dyDescent="0.35">
      <c r="A9" s="85">
        <f>+A8+1</f>
        <v>2</v>
      </c>
      <c r="D9" s="142"/>
      <c r="E9" s="143" t="s">
        <v>173</v>
      </c>
      <c r="F9" s="143" t="s">
        <v>173</v>
      </c>
      <c r="G9" s="142"/>
      <c r="H9" s="417" t="s">
        <v>115</v>
      </c>
      <c r="I9" s="972" t="str">
        <f>E8</f>
        <v>UG-200994</v>
      </c>
      <c r="J9" s="142"/>
      <c r="K9" s="327" t="str">
        <f>H9</f>
        <v>CURRENT</v>
      </c>
      <c r="L9" s="491" t="str">
        <f>E8</f>
        <v>UG-200994</v>
      </c>
      <c r="M9" s="142" t="str">
        <f>K9</f>
        <v>CURRENT</v>
      </c>
      <c r="N9" s="491" t="str">
        <f>E8</f>
        <v>UG-200994</v>
      </c>
      <c r="O9" s="142" t="str">
        <f>K9</f>
        <v>CURRENT</v>
      </c>
      <c r="P9" s="972" t="str">
        <f>E8</f>
        <v>UG-200994</v>
      </c>
      <c r="Q9" s="142"/>
      <c r="R9" s="973" t="str">
        <f>E8</f>
        <v>UG-200994</v>
      </c>
      <c r="S9" s="974" t="str">
        <f>R9</f>
        <v>UG-200994</v>
      </c>
      <c r="T9" s="974" t="str">
        <f>S9</f>
        <v>UG-200994</v>
      </c>
      <c r="U9" s="975" t="str">
        <f>T9</f>
        <v>UG-200994</v>
      </c>
      <c r="V9" s="142"/>
      <c r="W9" s="273"/>
      <c r="X9" s="273"/>
      <c r="Y9" s="273"/>
      <c r="Z9" s="273"/>
      <c r="AA9" s="144"/>
      <c r="AB9" s="273"/>
      <c r="AC9" s="1100" t="s">
        <v>441</v>
      </c>
      <c r="AD9" s="273"/>
      <c r="AE9" s="142"/>
      <c r="AF9" s="273"/>
      <c r="AG9" s="1100" t="s">
        <v>441</v>
      </c>
      <c r="AH9" s="273"/>
      <c r="AI9" s="142"/>
      <c r="AJ9" s="142"/>
      <c r="AK9" s="273"/>
      <c r="AL9" s="142"/>
      <c r="AM9" s="273"/>
      <c r="AN9" s="274"/>
      <c r="AO9" s="273"/>
      <c r="AP9" s="142"/>
      <c r="AQ9" s="596" t="s">
        <v>395</v>
      </c>
      <c r="AR9" s="267">
        <f>AO5</f>
        <v>-462278.66210878297</v>
      </c>
      <c r="AU9" s="588"/>
      <c r="AV9" s="288"/>
    </row>
    <row r="10" spans="1:52" ht="15" thickBot="1" x14ac:dyDescent="0.5">
      <c r="A10" s="85">
        <f t="shared" ref="A10:A73" si="2">+A9+1</f>
        <v>3</v>
      </c>
      <c r="D10" s="144"/>
      <c r="E10" s="58" t="s">
        <v>87</v>
      </c>
      <c r="F10" s="58" t="s">
        <v>87</v>
      </c>
      <c r="G10" s="144"/>
      <c r="H10" s="417" t="s">
        <v>102</v>
      </c>
      <c r="I10" s="767" t="s">
        <v>102</v>
      </c>
      <c r="J10" s="144"/>
      <c r="K10" s="284" t="s">
        <v>80</v>
      </c>
      <c r="L10" s="85" t="s">
        <v>80</v>
      </c>
      <c r="M10" s="144" t="s">
        <v>361</v>
      </c>
      <c r="N10" s="85" t="s">
        <v>361</v>
      </c>
      <c r="O10" s="144" t="s">
        <v>106</v>
      </c>
      <c r="P10" s="767" t="s">
        <v>106</v>
      </c>
      <c r="Q10" s="144"/>
      <c r="R10" s="279" t="s">
        <v>107</v>
      </c>
      <c r="S10" s="273" t="s">
        <v>107</v>
      </c>
      <c r="T10" s="273" t="s">
        <v>116</v>
      </c>
      <c r="U10" s="280" t="s">
        <v>68</v>
      </c>
      <c r="V10" s="144"/>
      <c r="W10" s="1846" t="s">
        <v>113</v>
      </c>
      <c r="X10" s="1847"/>
      <c r="Y10" s="1847"/>
      <c r="Z10" s="1848"/>
      <c r="AA10" s="142"/>
      <c r="AB10" s="1846" t="s">
        <v>114</v>
      </c>
      <c r="AC10" s="1847"/>
      <c r="AD10" s="1848"/>
      <c r="AE10" s="144"/>
      <c r="AF10" s="1846" t="s">
        <v>104</v>
      </c>
      <c r="AG10" s="1847"/>
      <c r="AH10" s="1848"/>
      <c r="AI10" s="144"/>
      <c r="AJ10" s="57" t="s">
        <v>131</v>
      </c>
      <c r="AK10" s="57" t="s">
        <v>111</v>
      </c>
      <c r="AL10" s="144"/>
      <c r="AM10" s="1846" t="s">
        <v>114</v>
      </c>
      <c r="AN10" s="1847"/>
      <c r="AO10" s="1848"/>
      <c r="AP10" s="144"/>
      <c r="AQ10" s="59" t="s">
        <v>88</v>
      </c>
      <c r="AR10" s="276">
        <f>AR7+AR9</f>
        <v>4999985.9155587247</v>
      </c>
      <c r="AU10" s="1126"/>
      <c r="AV10" s="1127"/>
      <c r="AW10" s="605"/>
      <c r="AX10" s="605"/>
      <c r="AY10" s="605"/>
      <c r="AZ10" s="605"/>
    </row>
    <row r="11" spans="1:52" s="56" customFormat="1" ht="13.5" thickBot="1" x14ac:dyDescent="0.35">
      <c r="A11" s="85">
        <f t="shared" si="2"/>
        <v>4</v>
      </c>
      <c r="B11" s="146"/>
      <c r="C11" s="146"/>
      <c r="D11" s="144"/>
      <c r="E11" s="171" t="s">
        <v>95</v>
      </c>
      <c r="F11" s="1095" t="s">
        <v>391</v>
      </c>
      <c r="G11" s="144"/>
      <c r="H11" s="420" t="s">
        <v>103</v>
      </c>
      <c r="I11" s="768" t="s">
        <v>103</v>
      </c>
      <c r="J11" s="144"/>
      <c r="K11" s="328" t="s">
        <v>69</v>
      </c>
      <c r="L11" s="353" t="s">
        <v>69</v>
      </c>
      <c r="M11" s="329" t="s">
        <v>69</v>
      </c>
      <c r="N11" s="353" t="s">
        <v>69</v>
      </c>
      <c r="O11" s="329" t="s">
        <v>69</v>
      </c>
      <c r="P11" s="768" t="s">
        <v>69</v>
      </c>
      <c r="Q11" s="144"/>
      <c r="R11" s="281" t="s">
        <v>108</v>
      </c>
      <c r="S11" s="282" t="s">
        <v>110</v>
      </c>
      <c r="T11" s="282" t="s">
        <v>73</v>
      </c>
      <c r="U11" s="283" t="s">
        <v>109</v>
      </c>
      <c r="V11" s="144"/>
      <c r="W11" s="284" t="s">
        <v>111</v>
      </c>
      <c r="X11" s="144" t="s">
        <v>112</v>
      </c>
      <c r="Y11" s="262" t="s">
        <v>96</v>
      </c>
      <c r="Z11" s="269" t="s">
        <v>439</v>
      </c>
      <c r="AA11" s="57"/>
      <c r="AB11" s="284" t="s">
        <v>111</v>
      </c>
      <c r="AC11" s="144" t="s">
        <v>112</v>
      </c>
      <c r="AD11" s="269" t="s">
        <v>96</v>
      </c>
      <c r="AE11" s="144"/>
      <c r="AF11" s="284" t="s">
        <v>111</v>
      </c>
      <c r="AG11" s="144" t="s">
        <v>112</v>
      </c>
      <c r="AH11" s="269" t="s">
        <v>96</v>
      </c>
      <c r="AI11" s="144"/>
      <c r="AJ11" s="57" t="s">
        <v>27</v>
      </c>
      <c r="AK11" s="57" t="s">
        <v>27</v>
      </c>
      <c r="AL11" s="144"/>
      <c r="AM11" s="261" t="s">
        <v>111</v>
      </c>
      <c r="AN11" s="262" t="s">
        <v>112</v>
      </c>
      <c r="AO11" s="263" t="s">
        <v>96</v>
      </c>
      <c r="AP11" s="144"/>
      <c r="AQ11" s="273"/>
      <c r="AR11" s="273"/>
      <c r="AS11" s="144"/>
      <c r="AU11" s="588"/>
      <c r="AV11" s="288"/>
    </row>
    <row r="12" spans="1:52" s="56" customFormat="1" ht="14.5" x14ac:dyDescent="0.45">
      <c r="A12" s="85">
        <f t="shared" si="2"/>
        <v>5</v>
      </c>
      <c r="B12" s="55"/>
      <c r="C12" s="55"/>
      <c r="D12" s="57"/>
      <c r="E12" s="149"/>
      <c r="F12" s="149"/>
      <c r="G12" s="57"/>
      <c r="H12" s="150"/>
      <c r="I12" s="595"/>
      <c r="J12" s="57"/>
      <c r="K12" s="330"/>
      <c r="L12" s="331"/>
      <c r="M12" s="331"/>
      <c r="N12" s="331"/>
      <c r="O12" s="331"/>
      <c r="P12" s="332"/>
      <c r="Q12" s="57"/>
      <c r="R12" s="285"/>
      <c r="S12" s="145"/>
      <c r="T12" s="145"/>
      <c r="U12" s="286"/>
      <c r="V12" s="57"/>
      <c r="W12" s="150"/>
      <c r="Z12" s="148"/>
      <c r="AB12" s="150"/>
      <c r="AD12" s="148"/>
      <c r="AE12" s="57"/>
      <c r="AF12" s="150"/>
      <c r="AH12" s="148"/>
      <c r="AI12" s="57"/>
      <c r="AJ12" s="57" t="s">
        <v>123</v>
      </c>
      <c r="AK12" s="57" t="s">
        <v>123</v>
      </c>
      <c r="AL12" s="57"/>
      <c r="AM12" s="150"/>
      <c r="AO12" s="148"/>
      <c r="AP12" s="57"/>
      <c r="AQ12" s="144"/>
      <c r="AR12" s="287">
        <f>'Rate Spread SETTLEMENT'!D21</f>
        <v>5000000</v>
      </c>
      <c r="AS12" s="288" t="s">
        <v>152</v>
      </c>
      <c r="AU12" s="1126"/>
      <c r="AV12" s="1127"/>
      <c r="AW12" s="606"/>
      <c r="AX12" s="606"/>
      <c r="AY12" s="606"/>
      <c r="AZ12" s="606"/>
    </row>
    <row r="13" spans="1:52" s="56" customFormat="1" ht="13.5" thickBot="1" x14ac:dyDescent="0.35">
      <c r="A13" s="85">
        <f t="shared" si="2"/>
        <v>6</v>
      </c>
      <c r="B13" s="755" t="s">
        <v>2</v>
      </c>
      <c r="C13" s="755" t="s">
        <v>3</v>
      </c>
      <c r="D13" s="289"/>
      <c r="E13" s="289" t="s">
        <v>35</v>
      </c>
      <c r="F13" s="289" t="s">
        <v>36</v>
      </c>
      <c r="G13" s="289"/>
      <c r="H13" s="290" t="s">
        <v>13</v>
      </c>
      <c r="I13" s="291" t="s">
        <v>37</v>
      </c>
      <c r="J13" s="289"/>
      <c r="K13" s="290" t="s">
        <v>38</v>
      </c>
      <c r="L13" s="289" t="s">
        <v>39</v>
      </c>
      <c r="M13" s="289" t="s">
        <v>40</v>
      </c>
      <c r="N13" s="289" t="s">
        <v>41</v>
      </c>
      <c r="O13" s="289" t="s">
        <v>42</v>
      </c>
      <c r="P13" s="291" t="s">
        <v>124</v>
      </c>
      <c r="Q13" s="289"/>
      <c r="R13" s="290" t="s">
        <v>125</v>
      </c>
      <c r="S13" s="289" t="s">
        <v>43</v>
      </c>
      <c r="T13" s="289" t="s">
        <v>126</v>
      </c>
      <c r="U13" s="291" t="s">
        <v>127</v>
      </c>
      <c r="V13" s="57"/>
      <c r="W13" s="147" t="s">
        <v>128</v>
      </c>
      <c r="X13" s="57" t="s">
        <v>129</v>
      </c>
      <c r="Y13" s="57" t="s">
        <v>130</v>
      </c>
      <c r="Z13" s="292" t="s">
        <v>86</v>
      </c>
      <c r="AA13" s="57"/>
      <c r="AB13" s="147" t="s">
        <v>89</v>
      </c>
      <c r="AC13" s="57" t="s">
        <v>90</v>
      </c>
      <c r="AD13" s="292" t="s">
        <v>91</v>
      </c>
      <c r="AE13" s="57"/>
      <c r="AF13" s="147" t="s">
        <v>180</v>
      </c>
      <c r="AG13" s="57" t="s">
        <v>224</v>
      </c>
      <c r="AH13" s="292" t="s">
        <v>219</v>
      </c>
      <c r="AI13" s="57"/>
      <c r="AJ13" s="57" t="s">
        <v>122</v>
      </c>
      <c r="AK13" s="57" t="s">
        <v>122</v>
      </c>
      <c r="AL13" s="57"/>
      <c r="AM13" s="147" t="s">
        <v>225</v>
      </c>
      <c r="AN13" s="57" t="s">
        <v>226</v>
      </c>
      <c r="AO13" s="292" t="s">
        <v>227</v>
      </c>
      <c r="AP13" s="57"/>
      <c r="AR13" s="908">
        <f>AR12-AR10</f>
        <v>14.084441275335848</v>
      </c>
      <c r="AS13" s="288" t="s">
        <v>162</v>
      </c>
      <c r="AT13" s="909"/>
      <c r="AU13" s="1128"/>
      <c r="AV13" s="602"/>
    </row>
    <row r="14" spans="1:52" ht="13" customHeight="1" x14ac:dyDescent="0.3">
      <c r="A14" s="85">
        <f t="shared" si="2"/>
        <v>7</v>
      </c>
      <c r="B14" s="707" t="str">
        <f>'WA Volumes &amp; Revenues'!B15</f>
        <v>1R</v>
      </c>
      <c r="C14" s="707" t="s">
        <v>270</v>
      </c>
      <c r="D14" s="153"/>
      <c r="E14" s="756">
        <f>ROUND('Rates in Detail'!L13,5)</f>
        <v>0.11114</v>
      </c>
      <c r="F14" s="122">
        <f>'Allocation = % of Margin'!AD14</f>
        <v>-9.1000000000000004E-3</v>
      </c>
      <c r="G14" s="153"/>
      <c r="H14" s="363">
        <f>ROUND('Rates in Detail'!N13,5)</f>
        <v>0.67652999999999996</v>
      </c>
      <c r="I14" s="757">
        <f>H14+E14</f>
        <v>0.78766999999999998</v>
      </c>
      <c r="J14" s="153"/>
      <c r="K14" s="154">
        <f>'WA Volumes &amp; Revenues'!O15</f>
        <v>5.5</v>
      </c>
      <c r="L14" s="155">
        <f>'WA Volumes &amp; Revenues'!N15</f>
        <v>5.5</v>
      </c>
      <c r="M14" s="121">
        <f>'Rates in Detail'!AR13</f>
        <v>0</v>
      </c>
      <c r="N14" s="121">
        <f>'Rates in Detail'!AS13</f>
        <v>0</v>
      </c>
      <c r="O14" s="121">
        <f>'Rates in Detail'!AT13</f>
        <v>0</v>
      </c>
      <c r="P14" s="758">
        <f>'Rates in Detail'!AU13</f>
        <v>0</v>
      </c>
      <c r="Q14" s="153"/>
      <c r="R14" s="293">
        <f>'WA Volumes &amp; Revenues'!E15</f>
        <v>214704.20066131229</v>
      </c>
      <c r="S14" s="294"/>
      <c r="T14" s="295">
        <f>'WA Volumes &amp; Revenues'!H15</f>
        <v>911</v>
      </c>
      <c r="U14" s="296">
        <f>'WA Volumes &amp; Revenues'!I15</f>
        <v>19.639970000000002</v>
      </c>
      <c r="V14" s="153"/>
      <c r="W14" s="297">
        <f>(H14*R14)</f>
        <v>145253.83287339759</v>
      </c>
      <c r="X14" s="298">
        <f>(K14*T14*12)</f>
        <v>60126</v>
      </c>
      <c r="Y14" s="298">
        <f t="shared" ref="Y14:Y21" si="3">(S14*(M14+O14))*12</f>
        <v>0</v>
      </c>
      <c r="Z14" s="299">
        <f>'Rate Spread SETTLEMENT'!E$15-SUM(W14:Y14)</f>
        <v>3255.2992440185044</v>
      </c>
      <c r="AA14" s="300"/>
      <c r="AB14" s="297">
        <f t="shared" ref="AB14:AB21" si="4">(I14*R14)</f>
        <v>169116.05773489585</v>
      </c>
      <c r="AC14" s="298">
        <f t="shared" ref="AC14:AC21" si="5">(L14*T14*12)</f>
        <v>60126</v>
      </c>
      <c r="AD14" s="299">
        <f t="shared" ref="AD14:AD21" si="6">(S14*(N14+P14))*12</f>
        <v>0</v>
      </c>
      <c r="AE14" s="300"/>
      <c r="AF14" s="297">
        <f t="shared" ref="AF14:AG21" si="7">AB14-W14</f>
        <v>23862.224861498253</v>
      </c>
      <c r="AG14" s="298">
        <f t="shared" si="7"/>
        <v>0</v>
      </c>
      <c r="AH14" s="299">
        <f t="shared" ref="AH14" si="8">AD14-Y14</f>
        <v>0</v>
      </c>
      <c r="AI14" s="300"/>
      <c r="AJ14" s="333"/>
      <c r="AK14" s="334"/>
      <c r="AL14" s="300"/>
      <c r="AM14" s="297">
        <f t="shared" ref="AM14:AM21" si="9">(F14*R14)</f>
        <v>-1953.8082260179419</v>
      </c>
      <c r="AN14" s="298">
        <v>0</v>
      </c>
      <c r="AO14" s="299">
        <f t="shared" ref="AO14" si="10">(AE14*(Y14+AB14))*12</f>
        <v>0</v>
      </c>
      <c r="AP14" s="300"/>
      <c r="AQ14" s="1845" t="s">
        <v>163</v>
      </c>
      <c r="AR14" s="1845"/>
      <c r="AS14" s="1845"/>
    </row>
    <row r="15" spans="1:52" x14ac:dyDescent="0.3">
      <c r="A15" s="85">
        <f t="shared" si="2"/>
        <v>8</v>
      </c>
      <c r="B15" s="708" t="str">
        <f>'WA Volumes &amp; Revenues'!B16</f>
        <v>1C</v>
      </c>
      <c r="C15" s="708" t="s">
        <v>270</v>
      </c>
      <c r="D15" s="156"/>
      <c r="E15" s="122">
        <f>ROUND('Rates in Detail'!L14,5)</f>
        <v>9.2410000000000006E-2</v>
      </c>
      <c r="F15" s="122">
        <f>'Allocation = % of Margin'!AD15</f>
        <v>-7.5599999999999999E-3</v>
      </c>
      <c r="G15" s="156"/>
      <c r="H15" s="363">
        <f>ROUND('Rates in Detail'!N14,5)</f>
        <v>0.73148999999999997</v>
      </c>
      <c r="I15" s="757">
        <f>H15+E15</f>
        <v>0.82389999999999997</v>
      </c>
      <c r="J15" s="156"/>
      <c r="K15" s="154">
        <f>'WA Volumes &amp; Revenues'!O16</f>
        <v>7</v>
      </c>
      <c r="L15" s="155">
        <f>'WA Volumes &amp; Revenues'!N16</f>
        <v>7</v>
      </c>
      <c r="M15" s="121">
        <f>'Rates in Detail'!AR14</f>
        <v>0</v>
      </c>
      <c r="N15" s="121">
        <f>'Rates in Detail'!AS14</f>
        <v>0</v>
      </c>
      <c r="O15" s="121">
        <f>'Rates in Detail'!AT14</f>
        <v>0</v>
      </c>
      <c r="P15" s="758">
        <f>'Rates in Detail'!AU14</f>
        <v>0</v>
      </c>
      <c r="Q15" s="156"/>
      <c r="R15" s="293">
        <f>'WA Volumes &amp; Revenues'!E16</f>
        <v>46539.057144390383</v>
      </c>
      <c r="S15" s="294"/>
      <c r="T15" s="295">
        <f>'WA Volumes &amp; Revenues'!H16</f>
        <v>34</v>
      </c>
      <c r="U15" s="296">
        <f>'WA Volumes &amp; Revenues'!I16</f>
        <v>114.06632</v>
      </c>
      <c r="V15" s="156"/>
      <c r="W15" s="301">
        <f>(H15*R15)</f>
        <v>34042.854910550122</v>
      </c>
      <c r="X15" s="302">
        <f>(K15*T15*12)</f>
        <v>2856</v>
      </c>
      <c r="Y15" s="302">
        <f t="shared" si="3"/>
        <v>0</v>
      </c>
      <c r="Z15" s="303">
        <f>'Rate Spread SETTLEMENT'!F$15-SUM(W15:Y15)</f>
        <v>705.52591135216062</v>
      </c>
      <c r="AA15" s="304"/>
      <c r="AB15" s="301">
        <f>(I15*R15)</f>
        <v>38343.529181263235</v>
      </c>
      <c r="AC15" s="302">
        <f>(L15*T15*12)</f>
        <v>2856</v>
      </c>
      <c r="AD15" s="303">
        <f>(S15*(N15+P15))*12</f>
        <v>0</v>
      </c>
      <c r="AE15" s="304"/>
      <c r="AF15" s="301">
        <f t="shared" si="7"/>
        <v>4300.6742707131125</v>
      </c>
      <c r="AG15" s="302">
        <f t="shared" si="7"/>
        <v>0</v>
      </c>
      <c r="AH15" s="303">
        <f t="shared" ref="AH15:AH21" si="11">AD15-Y15</f>
        <v>0</v>
      </c>
      <c r="AI15" s="304"/>
      <c r="AJ15" s="333"/>
      <c r="AK15" s="334"/>
      <c r="AL15" s="304"/>
      <c r="AM15" s="301">
        <f>(F15*R15)</f>
        <v>-351.83527201159131</v>
      </c>
      <c r="AN15" s="302">
        <v>0</v>
      </c>
      <c r="AO15" s="303">
        <f t="shared" ref="AO15:AO21" si="12">(AE15*(Y15+AB15))*12</f>
        <v>0</v>
      </c>
      <c r="AP15" s="304"/>
      <c r="AQ15" s="305"/>
      <c r="AR15" s="305"/>
      <c r="AS15" s="304"/>
    </row>
    <row r="16" spans="1:52" x14ac:dyDescent="0.3">
      <c r="A16" s="85">
        <f t="shared" si="2"/>
        <v>9</v>
      </c>
      <c r="B16" s="708" t="str">
        <f>'WA Volumes &amp; Revenues'!B17</f>
        <v>2R</v>
      </c>
      <c r="C16" s="708" t="s">
        <v>270</v>
      </c>
      <c r="D16" s="156"/>
      <c r="E16" s="756">
        <f>ROUND('Rates in Detail'!L15,5)</f>
        <v>7.034E-2</v>
      </c>
      <c r="F16" s="756">
        <f>'Allocation = % of Margin'!AD16</f>
        <v>-5.7600000000000004E-3</v>
      </c>
      <c r="G16" s="156"/>
      <c r="H16" s="363">
        <f>ROUND('Rates in Detail'!N15,5)</f>
        <v>0.45816000000000001</v>
      </c>
      <c r="I16" s="757">
        <f t="shared" ref="I16:I77" si="13">H16+E16</f>
        <v>0.52849999999999997</v>
      </c>
      <c r="J16" s="156"/>
      <c r="K16" s="154">
        <f>'WA Volumes &amp; Revenues'!O17</f>
        <v>8</v>
      </c>
      <c r="L16" s="155">
        <f>'WA Volumes &amp; Revenues'!N17</f>
        <v>8</v>
      </c>
      <c r="M16" s="121">
        <f>'Rates in Detail'!AR15</f>
        <v>0</v>
      </c>
      <c r="N16" s="121">
        <f>'Rates in Detail'!AS15</f>
        <v>0</v>
      </c>
      <c r="O16" s="121">
        <f>'Rates in Detail'!AT15</f>
        <v>0</v>
      </c>
      <c r="P16" s="758">
        <f>'Rates in Detail'!AU15</f>
        <v>0</v>
      </c>
      <c r="Q16" s="156"/>
      <c r="R16" s="293">
        <f>'WA Volumes &amp; Revenues'!E17</f>
        <v>54953515.785084128</v>
      </c>
      <c r="S16" s="306"/>
      <c r="T16" s="295">
        <f>'WA Volumes &amp; Revenues'!H17</f>
        <v>81119</v>
      </c>
      <c r="U16" s="296">
        <f>'WA Volumes &amp; Revenues'!I17</f>
        <v>56.453600000000002</v>
      </c>
      <c r="V16" s="156"/>
      <c r="W16" s="301">
        <f t="shared" ref="W16:W21" si="14">(H16*R16)</f>
        <v>25177502.792094145</v>
      </c>
      <c r="X16" s="302">
        <f t="shared" ref="X16:X18" si="15">(K16*T16*12)</f>
        <v>7787424</v>
      </c>
      <c r="Y16" s="302">
        <f t="shared" si="3"/>
        <v>0</v>
      </c>
      <c r="Z16" s="303">
        <f>'Rate Spread SETTLEMENT'!G$15-SUM(W16:Y16)</f>
        <v>833172.79760340229</v>
      </c>
      <c r="AA16" s="304"/>
      <c r="AB16" s="301">
        <f t="shared" si="4"/>
        <v>29042933.092416961</v>
      </c>
      <c r="AC16" s="302">
        <f t="shared" si="5"/>
        <v>7787424</v>
      </c>
      <c r="AD16" s="303">
        <f t="shared" si="6"/>
        <v>0</v>
      </c>
      <c r="AE16" s="304"/>
      <c r="AF16" s="301">
        <f t="shared" si="7"/>
        <v>3865430.3003228158</v>
      </c>
      <c r="AG16" s="302">
        <f t="shared" si="7"/>
        <v>0</v>
      </c>
      <c r="AH16" s="303">
        <f t="shared" si="11"/>
        <v>0</v>
      </c>
      <c r="AI16" s="304"/>
      <c r="AJ16" s="333">
        <f>SUM(AF16:AH16)/SUM(W16:Y16)</f>
        <v>0.11725887713027919</v>
      </c>
      <c r="AK16" s="334">
        <f t="shared" ref="AK16:AK41" si="16">SUM(AF16)/SUM(W16)</f>
        <v>0.15352715208660722</v>
      </c>
      <c r="AL16" s="304"/>
      <c r="AM16" s="301">
        <f t="shared" si="9"/>
        <v>-316532.25092208461</v>
      </c>
      <c r="AN16" s="302">
        <v>0</v>
      </c>
      <c r="AO16" s="303">
        <f t="shared" si="12"/>
        <v>0</v>
      </c>
      <c r="AP16" s="304"/>
      <c r="AQ16" s="305"/>
      <c r="AR16" s="49"/>
      <c r="AS16" s="304"/>
    </row>
    <row r="17" spans="1:45" x14ac:dyDescent="0.3">
      <c r="A17" s="85">
        <f t="shared" si="2"/>
        <v>10</v>
      </c>
      <c r="B17" s="708" t="str">
        <f>'WA Volumes &amp; Revenues'!B18</f>
        <v>3 CFS</v>
      </c>
      <c r="C17" s="708" t="s">
        <v>270</v>
      </c>
      <c r="D17" s="156"/>
      <c r="E17" s="122">
        <f>ROUND('Rates in Detail'!L16,5)</f>
        <v>6.3159999999999994E-2</v>
      </c>
      <c r="F17" s="122">
        <f>'Allocation = % of Margin'!AD17</f>
        <v>-5.1700000000000001E-3</v>
      </c>
      <c r="G17" s="156"/>
      <c r="H17" s="363">
        <f>ROUND('Rates in Detail'!N16,5)</f>
        <v>0.44368000000000002</v>
      </c>
      <c r="I17" s="757">
        <f t="shared" si="13"/>
        <v>0.50683999999999996</v>
      </c>
      <c r="J17" s="156"/>
      <c r="K17" s="154">
        <f>'WA Volumes &amp; Revenues'!O18</f>
        <v>22</v>
      </c>
      <c r="L17" s="155">
        <f>'WA Volumes &amp; Revenues'!N18</f>
        <v>22</v>
      </c>
      <c r="M17" s="121">
        <f>'Rates in Detail'!AR16</f>
        <v>0</v>
      </c>
      <c r="N17" s="121">
        <f>'Rates in Detail'!AS16</f>
        <v>0</v>
      </c>
      <c r="O17" s="121">
        <f>'Rates in Detail'!AT16</f>
        <v>0</v>
      </c>
      <c r="P17" s="758">
        <f>'Rates in Detail'!AU16</f>
        <v>0</v>
      </c>
      <c r="Q17" s="156"/>
      <c r="R17" s="293">
        <f>'WA Volumes &amp; Revenues'!E18</f>
        <v>17867210.60654201</v>
      </c>
      <c r="S17" s="306"/>
      <c r="T17" s="295">
        <f>'WA Volumes &amp; Revenues'!H18</f>
        <v>6318</v>
      </c>
      <c r="U17" s="296">
        <f>'WA Volumes &amp; Revenues'!I18</f>
        <v>235.66542999999999</v>
      </c>
      <c r="V17" s="156"/>
      <c r="W17" s="301">
        <f t="shared" si="14"/>
        <v>7927324.0019105589</v>
      </c>
      <c r="X17" s="302">
        <f t="shared" si="15"/>
        <v>1667952</v>
      </c>
      <c r="Y17" s="302">
        <f t="shared" si="3"/>
        <v>0</v>
      </c>
      <c r="Z17" s="303">
        <f>'Rate Spread SETTLEMENT'!H$15-SUM(W17:Y17)</f>
        <v>270892.06692284904</v>
      </c>
      <c r="AA17" s="304"/>
      <c r="AB17" s="301">
        <f t="shared" si="4"/>
        <v>9055817.023819752</v>
      </c>
      <c r="AC17" s="302">
        <f t="shared" si="5"/>
        <v>1667952</v>
      </c>
      <c r="AD17" s="303">
        <f t="shared" si="6"/>
        <v>0</v>
      </c>
      <c r="AE17" s="304"/>
      <c r="AF17" s="301">
        <f t="shared" si="7"/>
        <v>1128493.0219091931</v>
      </c>
      <c r="AG17" s="302">
        <f t="shared" si="7"/>
        <v>0</v>
      </c>
      <c r="AH17" s="303">
        <f t="shared" si="11"/>
        <v>0</v>
      </c>
      <c r="AI17" s="304"/>
      <c r="AJ17" s="333">
        <f>SUM(AF17:AH17)/SUM(W17:Y17)</f>
        <v>0.11760922996738121</v>
      </c>
      <c r="AK17" s="334">
        <f t="shared" si="16"/>
        <v>0.14235485034258924</v>
      </c>
      <c r="AL17" s="304"/>
      <c r="AM17" s="301">
        <f t="shared" si="9"/>
        <v>-92373.478835822199</v>
      </c>
      <c r="AN17" s="302">
        <v>0</v>
      </c>
      <c r="AO17" s="303">
        <f t="shared" si="12"/>
        <v>0</v>
      </c>
      <c r="AP17" s="304"/>
      <c r="AQ17" s="305"/>
      <c r="AR17" s="305"/>
      <c r="AS17" s="304"/>
    </row>
    <row r="18" spans="1:45" x14ac:dyDescent="0.3">
      <c r="A18" s="85">
        <f t="shared" si="2"/>
        <v>11</v>
      </c>
      <c r="B18" s="708" t="str">
        <f>'WA Volumes &amp; Revenues'!B19</f>
        <v>3 IFS</v>
      </c>
      <c r="C18" s="708" t="s">
        <v>270</v>
      </c>
      <c r="D18" s="156"/>
      <c r="E18" s="122">
        <f>ROUND('Rates in Detail'!L17,5)</f>
        <v>5.7209999999999997E-2</v>
      </c>
      <c r="F18" s="122">
        <f>'Allocation = % of Margin'!AD18</f>
        <v>-4.6899999999999997E-3</v>
      </c>
      <c r="G18" s="156"/>
      <c r="H18" s="363">
        <f>ROUND('Rates in Detail'!N17,5)</f>
        <v>0.46249000000000001</v>
      </c>
      <c r="I18" s="757">
        <f t="shared" si="13"/>
        <v>0.51970000000000005</v>
      </c>
      <c r="J18" s="156"/>
      <c r="K18" s="154">
        <f>'WA Volumes &amp; Revenues'!O19</f>
        <v>22</v>
      </c>
      <c r="L18" s="155">
        <f>'WA Volumes &amp; Revenues'!N19</f>
        <v>22</v>
      </c>
      <c r="M18" s="121">
        <f>'Rates in Detail'!AR17</f>
        <v>0</v>
      </c>
      <c r="N18" s="121">
        <f>'Rates in Detail'!AS17</f>
        <v>0</v>
      </c>
      <c r="O18" s="121">
        <f>'Rates in Detail'!AT17</f>
        <v>0</v>
      </c>
      <c r="P18" s="758">
        <f>'Rates in Detail'!AU17</f>
        <v>0</v>
      </c>
      <c r="Q18" s="156"/>
      <c r="R18" s="293">
        <f>'WA Volumes &amp; Revenues'!E19</f>
        <v>283651.99999999994</v>
      </c>
      <c r="S18" s="306"/>
      <c r="T18" s="295">
        <f>'WA Volumes &amp; Revenues'!H19</f>
        <v>24.25</v>
      </c>
      <c r="U18" s="296">
        <f>'WA Volumes &amp; Revenues'!I19</f>
        <v>974.74914000000001</v>
      </c>
      <c r="V18" s="156"/>
      <c r="W18" s="301">
        <f t="shared" si="14"/>
        <v>131186.21347999998</v>
      </c>
      <c r="X18" s="302">
        <f t="shared" si="15"/>
        <v>6402</v>
      </c>
      <c r="Y18" s="302">
        <f t="shared" si="3"/>
        <v>0</v>
      </c>
      <c r="Z18" s="303">
        <f>'Rate Spread SETTLEMENT'!I$15-SUM(W18:Y18)</f>
        <v>4300.5115719015885</v>
      </c>
      <c r="AA18" s="304"/>
      <c r="AB18" s="301">
        <f t="shared" si="4"/>
        <v>147413.94439999998</v>
      </c>
      <c r="AC18" s="302">
        <f t="shared" si="5"/>
        <v>6402</v>
      </c>
      <c r="AD18" s="303">
        <f t="shared" si="6"/>
        <v>0</v>
      </c>
      <c r="AE18" s="304"/>
      <c r="AF18" s="301">
        <f t="shared" si="7"/>
        <v>16227.730920000002</v>
      </c>
      <c r="AG18" s="302">
        <f t="shared" si="7"/>
        <v>0</v>
      </c>
      <c r="AH18" s="303">
        <f t="shared" si="11"/>
        <v>0</v>
      </c>
      <c r="AI18" s="304"/>
      <c r="AJ18" s="333">
        <f>SUM(AF18:AH18)/SUM(W18:Y18)</f>
        <v>0.11794419383429881</v>
      </c>
      <c r="AK18" s="334">
        <f t="shared" si="16"/>
        <v>0.12369997189128418</v>
      </c>
      <c r="AL18" s="304"/>
      <c r="AM18" s="301">
        <f t="shared" si="9"/>
        <v>-1330.3278799999996</v>
      </c>
      <c r="AN18" s="302">
        <v>0</v>
      </c>
      <c r="AO18" s="303">
        <f t="shared" si="12"/>
        <v>0</v>
      </c>
      <c r="AP18" s="304"/>
      <c r="AQ18" s="305"/>
      <c r="AR18" s="305"/>
      <c r="AS18" s="304"/>
    </row>
    <row r="19" spans="1:45" x14ac:dyDescent="0.3">
      <c r="A19" s="85">
        <f t="shared" si="2"/>
        <v>12</v>
      </c>
      <c r="B19" s="708" t="str">
        <f>'WA Volumes &amp; Revenues'!B20</f>
        <v>27R</v>
      </c>
      <c r="C19" s="708" t="s">
        <v>270</v>
      </c>
      <c r="D19" s="156"/>
      <c r="E19" s="122">
        <f>ROUND('Rates in Detail'!L18,5)</f>
        <v>5.006E-2</v>
      </c>
      <c r="F19" s="122">
        <f>'Allocation = % of Margin'!AD19</f>
        <v>-4.1000000000000003E-3</v>
      </c>
      <c r="G19" s="156"/>
      <c r="H19" s="363">
        <f>ROUND('Rates in Detail'!N18,5)</f>
        <v>0.24088000000000001</v>
      </c>
      <c r="I19" s="757">
        <f t="shared" si="13"/>
        <v>0.29094000000000003</v>
      </c>
      <c r="J19" s="156"/>
      <c r="K19" s="154">
        <f>'WA Volumes &amp; Revenues'!O20</f>
        <v>9</v>
      </c>
      <c r="L19" s="155">
        <f>'WA Volumes &amp; Revenues'!N20</f>
        <v>9</v>
      </c>
      <c r="M19" s="121">
        <f>'Rates in Detail'!AR18</f>
        <v>0</v>
      </c>
      <c r="N19" s="121">
        <f>'Rates in Detail'!AS18</f>
        <v>0</v>
      </c>
      <c r="O19" s="121">
        <f>'Rates in Detail'!AT18</f>
        <v>0</v>
      </c>
      <c r="P19" s="758">
        <f>'Rates in Detail'!AU18</f>
        <v>0</v>
      </c>
      <c r="Q19" s="156"/>
      <c r="R19" s="293">
        <f>'WA Volumes &amp; Revenues'!E20</f>
        <v>461371.76933137607</v>
      </c>
      <c r="S19" s="306"/>
      <c r="T19" s="295">
        <f>'WA Volumes &amp; Revenues'!H20</f>
        <v>776</v>
      </c>
      <c r="U19" s="296">
        <f>'WA Volumes &amp; Revenues'!I20</f>
        <v>49.545940000000002</v>
      </c>
      <c r="V19" s="156"/>
      <c r="W19" s="301">
        <f t="shared" si="14"/>
        <v>111135.23179654188</v>
      </c>
      <c r="X19" s="302">
        <f>(K19*T19*12)</f>
        <v>83808</v>
      </c>
      <c r="Y19" s="302">
        <f t="shared" si="3"/>
        <v>0</v>
      </c>
      <c r="Z19" s="303">
        <f>'Rate Spread SETTLEMENT'!J$15-SUM(W19:Y19)</f>
        <v>6994.9725814764388</v>
      </c>
      <c r="AA19" s="304"/>
      <c r="AB19" s="301">
        <f t="shared" si="4"/>
        <v>134231.50256927058</v>
      </c>
      <c r="AC19" s="302">
        <f t="shared" si="5"/>
        <v>83808</v>
      </c>
      <c r="AD19" s="303">
        <f t="shared" si="6"/>
        <v>0</v>
      </c>
      <c r="AE19" s="304"/>
      <c r="AF19" s="301">
        <f t="shared" si="7"/>
        <v>23096.270772728705</v>
      </c>
      <c r="AG19" s="302">
        <f t="shared" si="7"/>
        <v>0</v>
      </c>
      <c r="AH19" s="303">
        <f t="shared" si="11"/>
        <v>0</v>
      </c>
      <c r="AI19" s="304"/>
      <c r="AJ19" s="333">
        <f>SUM(AF19:AH19)/SUM(W19:Y19)</f>
        <v>0.11847690509631949</v>
      </c>
      <c r="AK19" s="334">
        <f t="shared" si="16"/>
        <v>0.20782132181999352</v>
      </c>
      <c r="AL19" s="304"/>
      <c r="AM19" s="301">
        <f t="shared" si="9"/>
        <v>-1891.6242542586419</v>
      </c>
      <c r="AN19" s="302">
        <v>0</v>
      </c>
      <c r="AO19" s="303">
        <f t="shared" si="12"/>
        <v>0</v>
      </c>
      <c r="AP19" s="304"/>
      <c r="AQ19" s="305"/>
      <c r="AR19" s="305"/>
      <c r="AS19" s="304"/>
    </row>
    <row r="20" spans="1:45" x14ac:dyDescent="0.3">
      <c r="A20" s="85">
        <f t="shared" si="2"/>
        <v>13</v>
      </c>
      <c r="B20" s="717" t="str">
        <f>'WA Volumes &amp; Revenues'!B21</f>
        <v>41C Firm Sales</v>
      </c>
      <c r="C20" s="710" t="s">
        <v>4</v>
      </c>
      <c r="D20" s="156"/>
      <c r="E20" s="121">
        <f>ROUND('Rates in Detail'!L19,5)</f>
        <v>5.0160000000000003E-2</v>
      </c>
      <c r="F20" s="121">
        <f>'Allocation = % of Margin'!AD20</f>
        <v>-4.1099999999999999E-3</v>
      </c>
      <c r="G20" s="156"/>
      <c r="H20" s="368">
        <f>ROUND('Rates in Detail'!N19,5)</f>
        <v>0.34473999999999999</v>
      </c>
      <c r="I20" s="758">
        <f t="shared" si="13"/>
        <v>0.39489999999999997</v>
      </c>
      <c r="J20" s="156"/>
      <c r="K20" s="154">
        <f>'WA Volumes &amp; Revenues'!O21</f>
        <v>250</v>
      </c>
      <c r="L20" s="155">
        <f>'WA Volumes &amp; Revenues'!N21</f>
        <v>250</v>
      </c>
      <c r="M20" s="121">
        <f>'Rates in Detail'!AR19</f>
        <v>0</v>
      </c>
      <c r="N20" s="121">
        <f>'Rates in Detail'!AS19</f>
        <v>0</v>
      </c>
      <c r="O20" s="121">
        <f>'Rates in Detail'!AT19</f>
        <v>0</v>
      </c>
      <c r="P20" s="758">
        <f>'Rates in Detail'!AU19</f>
        <v>0</v>
      </c>
      <c r="Q20" s="156"/>
      <c r="R20" s="293">
        <f>'WA Volumes &amp; Revenues'!E21</f>
        <v>1777065.1510316674</v>
      </c>
      <c r="S20" s="306"/>
      <c r="T20" s="295">
        <f>'WA Volumes &amp; Revenues'!H21</f>
        <v>91</v>
      </c>
      <c r="U20" s="296">
        <f>'WA Volumes &amp; Revenues'!I21</f>
        <v>3436</v>
      </c>
      <c r="V20" s="156"/>
      <c r="W20" s="308">
        <f t="shared" si="14"/>
        <v>612625.44016665698</v>
      </c>
      <c r="X20" s="304">
        <f t="shared" ref="X20:X21" si="17">(K20*T20*12)</f>
        <v>273000</v>
      </c>
      <c r="Y20" s="304">
        <f t="shared" si="3"/>
        <v>0</v>
      </c>
      <c r="Z20" s="309"/>
      <c r="AA20" s="304"/>
      <c r="AB20" s="308">
        <f t="shared" si="4"/>
        <v>701763.02814240544</v>
      </c>
      <c r="AC20" s="304">
        <f t="shared" si="5"/>
        <v>273000</v>
      </c>
      <c r="AD20" s="309">
        <f t="shared" si="6"/>
        <v>0</v>
      </c>
      <c r="AE20" s="304"/>
      <c r="AF20" s="308">
        <f t="shared" si="7"/>
        <v>89137.587975748465</v>
      </c>
      <c r="AG20" s="304">
        <f t="shared" si="7"/>
        <v>0</v>
      </c>
      <c r="AH20" s="309">
        <f t="shared" si="11"/>
        <v>0</v>
      </c>
      <c r="AI20" s="304"/>
      <c r="AJ20" s="333"/>
      <c r="AK20" s="335">
        <f t="shared" si="16"/>
        <v>0.14550095724313983</v>
      </c>
      <c r="AL20" s="304"/>
      <c r="AM20" s="308">
        <f t="shared" si="9"/>
        <v>-7303.7377707401529</v>
      </c>
      <c r="AN20" s="304">
        <v>0</v>
      </c>
      <c r="AO20" s="309">
        <f t="shared" si="12"/>
        <v>0</v>
      </c>
      <c r="AP20" s="304"/>
      <c r="AQ20" s="305"/>
      <c r="AR20" s="305"/>
      <c r="AS20" s="304"/>
    </row>
    <row r="21" spans="1:45" x14ac:dyDescent="0.3">
      <c r="A21" s="85">
        <f t="shared" si="2"/>
        <v>14</v>
      </c>
      <c r="B21" s="709"/>
      <c r="C21" s="710" t="s">
        <v>5</v>
      </c>
      <c r="D21" s="156"/>
      <c r="E21" s="121">
        <f>ROUND('Rates in Detail'!L20,5)</f>
        <v>4.4200000000000003E-2</v>
      </c>
      <c r="F21" s="121">
        <f>'Allocation = % of Margin'!AD21</f>
        <v>-3.62E-3</v>
      </c>
      <c r="G21" s="156"/>
      <c r="H21" s="368">
        <f>ROUND('Rates in Detail'!N20,5)</f>
        <v>0.30376999999999998</v>
      </c>
      <c r="I21" s="758">
        <f t="shared" si="13"/>
        <v>0.34797</v>
      </c>
      <c r="J21" s="156"/>
      <c r="K21" s="154"/>
      <c r="L21" s="155"/>
      <c r="M21" s="156"/>
      <c r="N21" s="156"/>
      <c r="O21" s="156"/>
      <c r="P21" s="157"/>
      <c r="Q21" s="156"/>
      <c r="R21" s="293">
        <f>'WA Volumes &amp; Revenues'!E22</f>
        <v>1974656.4658023661</v>
      </c>
      <c r="S21" s="306"/>
      <c r="T21" s="295"/>
      <c r="U21" s="296"/>
      <c r="V21" s="156"/>
      <c r="W21" s="308">
        <f t="shared" si="14"/>
        <v>599841.39461678476</v>
      </c>
      <c r="X21" s="304">
        <f t="shared" si="17"/>
        <v>0</v>
      </c>
      <c r="Y21" s="304">
        <f t="shared" si="3"/>
        <v>0</v>
      </c>
      <c r="Z21" s="309"/>
      <c r="AA21" s="304"/>
      <c r="AB21" s="308">
        <f t="shared" si="4"/>
        <v>687121.21040524938</v>
      </c>
      <c r="AC21" s="304">
        <f t="shared" si="5"/>
        <v>0</v>
      </c>
      <c r="AD21" s="309">
        <f t="shared" si="6"/>
        <v>0</v>
      </c>
      <c r="AE21" s="304"/>
      <c r="AF21" s="308">
        <f t="shared" si="7"/>
        <v>87279.815788464621</v>
      </c>
      <c r="AG21" s="304">
        <f t="shared" si="7"/>
        <v>0</v>
      </c>
      <c r="AH21" s="309">
        <f t="shared" si="11"/>
        <v>0</v>
      </c>
      <c r="AI21" s="304"/>
      <c r="AJ21" s="333"/>
      <c r="AK21" s="335">
        <f t="shared" si="16"/>
        <v>0.14550482272772169</v>
      </c>
      <c r="AL21" s="304"/>
      <c r="AM21" s="308">
        <f t="shared" si="9"/>
        <v>-7148.2564062045658</v>
      </c>
      <c r="AN21" s="304">
        <v>0</v>
      </c>
      <c r="AO21" s="309">
        <f t="shared" si="12"/>
        <v>0</v>
      </c>
      <c r="AP21" s="304"/>
      <c r="AQ21" s="305"/>
      <c r="AR21" s="305"/>
      <c r="AS21" s="304"/>
    </row>
    <row r="22" spans="1:45" x14ac:dyDescent="0.3">
      <c r="A22" s="85">
        <f t="shared" si="2"/>
        <v>15</v>
      </c>
      <c r="B22" s="707"/>
      <c r="C22" s="726" t="s">
        <v>76</v>
      </c>
      <c r="D22" s="152"/>
      <c r="E22" s="122"/>
      <c r="F22" s="122"/>
      <c r="G22" s="152"/>
      <c r="H22" s="363"/>
      <c r="I22" s="757"/>
      <c r="J22" s="156"/>
      <c r="K22" s="154"/>
      <c r="L22" s="155"/>
      <c r="M22" s="156"/>
      <c r="N22" s="156"/>
      <c r="O22" s="156"/>
      <c r="P22" s="157"/>
      <c r="Q22" s="156"/>
      <c r="R22" s="293"/>
      <c r="S22" s="306"/>
      <c r="T22" s="295"/>
      <c r="U22" s="296"/>
      <c r="V22" s="156"/>
      <c r="W22" s="310">
        <f>SUM(W20:W21)</f>
        <v>1212466.8347834419</v>
      </c>
      <c r="X22" s="311">
        <f t="shared" ref="X22:Y22" si="18">SUM(X20:X21)</f>
        <v>273000</v>
      </c>
      <c r="Y22" s="311">
        <f t="shared" si="18"/>
        <v>0</v>
      </c>
      <c r="Z22" s="312">
        <f>'Rate Spread SETTLEMENT'!K$15-SUM(W22:Y22)</f>
        <v>56881.34053159412</v>
      </c>
      <c r="AA22" s="304"/>
      <c r="AB22" s="310">
        <f>SUM(AB20:AB21)</f>
        <v>1388884.2385476548</v>
      </c>
      <c r="AC22" s="311">
        <f t="shared" ref="AC22:AD22" si="19">SUM(AC20:AC21)</f>
        <v>273000</v>
      </c>
      <c r="AD22" s="312">
        <f t="shared" si="19"/>
        <v>0</v>
      </c>
      <c r="AE22" s="304"/>
      <c r="AF22" s="310">
        <f>SUM(AF20:AF21)</f>
        <v>176417.40376421309</v>
      </c>
      <c r="AG22" s="311">
        <f t="shared" ref="AG22:AH22" si="20">SUM(AG20:AG21)</f>
        <v>0</v>
      </c>
      <c r="AH22" s="312">
        <f t="shared" si="20"/>
        <v>0</v>
      </c>
      <c r="AI22" s="304"/>
      <c r="AJ22" s="333">
        <f>SUM(AF22:AH22)/SUM(W22:Y22)</f>
        <v>0.11876226357482564</v>
      </c>
      <c r="AK22" s="334">
        <f t="shared" si="16"/>
        <v>0.14550286960692241</v>
      </c>
      <c r="AL22" s="304"/>
      <c r="AM22" s="310">
        <f>SUM(AM20:AM21)</f>
        <v>-14451.994176944718</v>
      </c>
      <c r="AN22" s="311">
        <f t="shared" ref="AN22:AO22" si="21">SUM(AN20:AN21)</f>
        <v>0</v>
      </c>
      <c r="AO22" s="312">
        <f t="shared" si="21"/>
        <v>0</v>
      </c>
      <c r="AP22" s="304"/>
      <c r="AQ22" s="305"/>
      <c r="AR22" s="305"/>
      <c r="AS22" s="304"/>
    </row>
    <row r="23" spans="1:45" x14ac:dyDescent="0.3">
      <c r="A23" s="85">
        <f t="shared" si="2"/>
        <v>16</v>
      </c>
      <c r="B23" s="717" t="str">
        <f>'WA Volumes &amp; Revenues'!B23</f>
        <v>41I Firm Sales</v>
      </c>
      <c r="C23" s="710" t="s">
        <v>4</v>
      </c>
      <c r="D23" s="156"/>
      <c r="E23" s="121">
        <f>ROUND('Rates in Detail'!L21,5)</f>
        <v>2.3040000000000001E-2</v>
      </c>
      <c r="F23" s="121">
        <f>'Allocation = % of Margin'!AD22</f>
        <v>-3.9100000000000003E-3</v>
      </c>
      <c r="G23" s="156"/>
      <c r="H23" s="368">
        <f>ROUND('Rates in Detail'!N21,5)</f>
        <v>0.34416000000000002</v>
      </c>
      <c r="I23" s="758">
        <f t="shared" si="13"/>
        <v>0.36720000000000003</v>
      </c>
      <c r="J23" s="156"/>
      <c r="K23" s="154">
        <f>'WA Volumes &amp; Revenues'!O23</f>
        <v>250</v>
      </c>
      <c r="L23" s="155">
        <f>'WA Volumes &amp; Revenues'!N23</f>
        <v>250</v>
      </c>
      <c r="M23" s="121">
        <f>'Rates in Detail'!AR21</f>
        <v>0</v>
      </c>
      <c r="N23" s="121">
        <f>'Rates in Detail'!AS21</f>
        <v>0</v>
      </c>
      <c r="O23" s="121">
        <f>'Rates in Detail'!AT21</f>
        <v>0</v>
      </c>
      <c r="P23" s="758">
        <f>'Rates in Detail'!AU21</f>
        <v>0</v>
      </c>
      <c r="Q23" s="156"/>
      <c r="R23" s="293">
        <f>'WA Volumes &amp; Revenues'!E23</f>
        <v>392890.20000000007</v>
      </c>
      <c r="S23" s="306"/>
      <c r="T23" s="295">
        <f>'WA Volumes &amp; Revenues'!H23</f>
        <v>17.833333333333332</v>
      </c>
      <c r="U23" s="296">
        <f>'WA Volumes &amp; Revenues'!I23</f>
        <v>4741</v>
      </c>
      <c r="V23" s="156"/>
      <c r="W23" s="308">
        <f t="shared" ref="W23:W24" si="22">(H23*R23)</f>
        <v>135217.09123200004</v>
      </c>
      <c r="X23" s="304">
        <f t="shared" ref="X23:X24" si="23">(K23*T23*12)</f>
        <v>53500</v>
      </c>
      <c r="Y23" s="304">
        <f>(S23*(M23+O23))*12</f>
        <v>0</v>
      </c>
      <c r="Z23" s="309"/>
      <c r="AA23" s="304"/>
      <c r="AB23" s="308">
        <f>(I23*R23)</f>
        <v>144269.28144000005</v>
      </c>
      <c r="AC23" s="304">
        <f>(L23*T23*12)</f>
        <v>53500</v>
      </c>
      <c r="AD23" s="309">
        <f>(S23*(N23+P23))*12</f>
        <v>0</v>
      </c>
      <c r="AE23" s="304"/>
      <c r="AF23" s="308">
        <f>AB23-W23</f>
        <v>9052.1902080000145</v>
      </c>
      <c r="AG23" s="304">
        <f>AC23-X23</f>
        <v>0</v>
      </c>
      <c r="AH23" s="309">
        <f t="shared" ref="AH23:AH24" si="24">AD23-Y23</f>
        <v>0</v>
      </c>
      <c r="AI23" s="304"/>
      <c r="AJ23" s="333"/>
      <c r="AK23" s="335">
        <f t="shared" si="16"/>
        <v>6.6945606694560761E-2</v>
      </c>
      <c r="AL23" s="304"/>
      <c r="AM23" s="308">
        <f>(F23*R23)</f>
        <v>-1536.2006820000004</v>
      </c>
      <c r="AN23" s="304">
        <v>0</v>
      </c>
      <c r="AO23" s="309">
        <f t="shared" ref="AO23:AO24" si="25">(AE23*(Y23+AB23))*12</f>
        <v>0</v>
      </c>
      <c r="AP23" s="304"/>
      <c r="AQ23" s="305"/>
      <c r="AR23" s="305"/>
      <c r="AS23" s="304"/>
    </row>
    <row r="24" spans="1:45" x14ac:dyDescent="0.3">
      <c r="A24" s="85">
        <f t="shared" si="2"/>
        <v>17</v>
      </c>
      <c r="B24" s="709"/>
      <c r="C24" s="710" t="s">
        <v>5</v>
      </c>
      <c r="D24" s="156"/>
      <c r="E24" s="121">
        <f>ROUND('Rates in Detail'!L22,5)</f>
        <v>2.0299999999999999E-2</v>
      </c>
      <c r="F24" s="121">
        <f>'Allocation = % of Margin'!AD23</f>
        <v>-3.4399999999999999E-3</v>
      </c>
      <c r="G24" s="156"/>
      <c r="H24" s="368">
        <f>ROUND('Rates in Detail'!N22,5)</f>
        <v>0.30325000000000002</v>
      </c>
      <c r="I24" s="758">
        <f t="shared" si="13"/>
        <v>0.32355</v>
      </c>
      <c r="J24" s="156"/>
      <c r="K24" s="154"/>
      <c r="L24" s="155"/>
      <c r="M24" s="156"/>
      <c r="N24" s="156"/>
      <c r="O24" s="156"/>
      <c r="P24" s="157"/>
      <c r="Q24" s="156"/>
      <c r="R24" s="293">
        <f>'WA Volumes &amp; Revenues'!E24</f>
        <v>621650.00000000012</v>
      </c>
      <c r="S24" s="306"/>
      <c r="T24" s="295"/>
      <c r="U24" s="296"/>
      <c r="V24" s="156"/>
      <c r="W24" s="308">
        <f t="shared" si="22"/>
        <v>188515.36250000005</v>
      </c>
      <c r="X24" s="304">
        <f t="shared" si="23"/>
        <v>0</v>
      </c>
      <c r="Y24" s="304">
        <f>(S24*(M24+O24))*12</f>
        <v>0</v>
      </c>
      <c r="Z24" s="309"/>
      <c r="AA24" s="304"/>
      <c r="AB24" s="308">
        <f>(I24*R24)</f>
        <v>201134.85750000004</v>
      </c>
      <c r="AC24" s="304">
        <f>(L24*T24*12)</f>
        <v>0</v>
      </c>
      <c r="AD24" s="309">
        <f>(S24*(N24+P24))*12</f>
        <v>0</v>
      </c>
      <c r="AE24" s="304"/>
      <c r="AF24" s="308">
        <f>AB24-W24</f>
        <v>12619.494999999995</v>
      </c>
      <c r="AG24" s="304">
        <f>AC24-X24</f>
        <v>0</v>
      </c>
      <c r="AH24" s="309">
        <f t="shared" si="24"/>
        <v>0</v>
      </c>
      <c r="AI24" s="304"/>
      <c r="AJ24" s="333"/>
      <c r="AK24" s="335">
        <f t="shared" si="16"/>
        <v>6.6941467436108779E-2</v>
      </c>
      <c r="AL24" s="304"/>
      <c r="AM24" s="308">
        <f>(F24*R24)</f>
        <v>-2138.4760000000006</v>
      </c>
      <c r="AN24" s="304">
        <v>0</v>
      </c>
      <c r="AO24" s="309">
        <f t="shared" si="25"/>
        <v>0</v>
      </c>
      <c r="AP24" s="304"/>
      <c r="AQ24" s="305"/>
      <c r="AR24" s="305"/>
      <c r="AS24" s="304"/>
    </row>
    <row r="25" spans="1:45" x14ac:dyDescent="0.3">
      <c r="A25" s="85">
        <f t="shared" si="2"/>
        <v>18</v>
      </c>
      <c r="B25" s="707"/>
      <c r="C25" s="726" t="s">
        <v>76</v>
      </c>
      <c r="D25" s="152"/>
      <c r="E25" s="122"/>
      <c r="F25" s="122"/>
      <c r="G25" s="152"/>
      <c r="H25" s="363"/>
      <c r="I25" s="757"/>
      <c r="J25" s="156"/>
      <c r="K25" s="154"/>
      <c r="L25" s="155"/>
      <c r="M25" s="156"/>
      <c r="N25" s="156"/>
      <c r="O25" s="156"/>
      <c r="P25" s="157"/>
      <c r="Q25" s="156"/>
      <c r="R25" s="293"/>
      <c r="S25" s="306"/>
      <c r="T25" s="295"/>
      <c r="U25" s="296"/>
      <c r="V25" s="156"/>
      <c r="W25" s="310">
        <f>SUM(W23:W24)</f>
        <v>323732.45373200008</v>
      </c>
      <c r="X25" s="311">
        <f t="shared" ref="X25:Y25" si="26">SUM(X23:X24)</f>
        <v>53500</v>
      </c>
      <c r="Y25" s="311">
        <f t="shared" si="26"/>
        <v>0</v>
      </c>
      <c r="Z25" s="312">
        <f>'Rate Spread SETTLEMENT'!L$15-SUM(W25:Y25)</f>
        <v>15381.826735899318</v>
      </c>
      <c r="AA25" s="304"/>
      <c r="AB25" s="310">
        <f>SUM(AB23:AB24)</f>
        <v>345404.13894000009</v>
      </c>
      <c r="AC25" s="311">
        <f t="shared" ref="AC25:AD25" si="27">SUM(AC23:AC24)</f>
        <v>53500</v>
      </c>
      <c r="AD25" s="312">
        <f t="shared" si="27"/>
        <v>0</v>
      </c>
      <c r="AE25" s="304"/>
      <c r="AF25" s="310">
        <f>SUM(AF23:AF24)</f>
        <v>21671.68520800001</v>
      </c>
      <c r="AG25" s="311">
        <f t="shared" ref="AG25:AH25" si="28">SUM(AG23:AG24)</f>
        <v>0</v>
      </c>
      <c r="AH25" s="312">
        <f t="shared" si="28"/>
        <v>0</v>
      </c>
      <c r="AI25" s="304"/>
      <c r="AJ25" s="333">
        <f>SUM(AF25:AH25)/SUM(W25:Y25)</f>
        <v>5.7449153681237562E-2</v>
      </c>
      <c r="AK25" s="334">
        <f t="shared" si="16"/>
        <v>6.6943196328227206E-2</v>
      </c>
      <c r="AL25" s="304"/>
      <c r="AM25" s="310">
        <f>SUM(AM23:AM24)</f>
        <v>-3674.6766820000012</v>
      </c>
      <c r="AN25" s="311">
        <f t="shared" ref="AN25:AO25" si="29">SUM(AN23:AN24)</f>
        <v>0</v>
      </c>
      <c r="AO25" s="312">
        <f t="shared" si="29"/>
        <v>0</v>
      </c>
      <c r="AP25" s="304"/>
      <c r="AQ25" s="305"/>
      <c r="AR25" s="305"/>
      <c r="AS25" s="304"/>
    </row>
    <row r="26" spans="1:45" x14ac:dyDescent="0.3">
      <c r="A26" s="85">
        <f t="shared" si="2"/>
        <v>19</v>
      </c>
      <c r="B26" s="709" t="str">
        <f>'WA Volumes &amp; Revenues'!B25</f>
        <v>41C Interr Sales</v>
      </c>
      <c r="C26" s="710" t="s">
        <v>4</v>
      </c>
      <c r="D26" s="156"/>
      <c r="E26" s="121">
        <f>ROUND('Rates in Detail'!L23,5)</f>
        <v>3.6089999999999997E-2</v>
      </c>
      <c r="F26" s="121">
        <f>'Allocation = % of Margin'!AD24</f>
        <v>-3.2200000000000002E-3</v>
      </c>
      <c r="G26" s="156"/>
      <c r="H26" s="368">
        <f>ROUND('Rates in Detail'!N23,5)</f>
        <v>0.34372999999999998</v>
      </c>
      <c r="I26" s="758">
        <f t="shared" si="13"/>
        <v>0.37981999999999999</v>
      </c>
      <c r="J26" s="156"/>
      <c r="K26" s="154">
        <f>'WA Volumes &amp; Revenues'!O25</f>
        <v>250</v>
      </c>
      <c r="L26" s="155">
        <f>'WA Volumes &amp; Revenues'!N25</f>
        <v>250</v>
      </c>
      <c r="M26" s="121">
        <f>'Rates in Detail'!AR23</f>
        <v>0</v>
      </c>
      <c r="N26" s="121">
        <f>'Rates in Detail'!AS23</f>
        <v>0</v>
      </c>
      <c r="O26" s="121">
        <f>'Rates in Detail'!AT23</f>
        <v>0</v>
      </c>
      <c r="P26" s="758">
        <f>'Rates in Detail'!AU23</f>
        <v>0</v>
      </c>
      <c r="Q26" s="156"/>
      <c r="R26" s="293">
        <f>'WA Volumes &amp; Revenues'!E25</f>
        <v>0</v>
      </c>
      <c r="S26" s="306"/>
      <c r="T26" s="295">
        <f>'WA Volumes &amp; Revenues'!H25</f>
        <v>0</v>
      </c>
      <c r="U26" s="296">
        <f>'WA Volumes &amp; Revenues'!I25</f>
        <v>0</v>
      </c>
      <c r="V26" s="156"/>
      <c r="W26" s="308">
        <f t="shared" ref="W26:W27" si="30">(H26*R26)</f>
        <v>0</v>
      </c>
      <c r="X26" s="304">
        <f t="shared" ref="X26:X27" si="31">(K26*T26*12)</f>
        <v>0</v>
      </c>
      <c r="Y26" s="304">
        <f>(S26*(M26+O26))*12</f>
        <v>0</v>
      </c>
      <c r="Z26" s="309"/>
      <c r="AA26" s="304"/>
      <c r="AB26" s="308">
        <f>(I26*R26)</f>
        <v>0</v>
      </c>
      <c r="AC26" s="304">
        <f>(L26*T26*12)</f>
        <v>0</v>
      </c>
      <c r="AD26" s="309">
        <f>(S26*(N26+P26))*12</f>
        <v>0</v>
      </c>
      <c r="AE26" s="304"/>
      <c r="AF26" s="308">
        <f>AB26-W26</f>
        <v>0</v>
      </c>
      <c r="AG26" s="304">
        <f>AC26-X26</f>
        <v>0</v>
      </c>
      <c r="AH26" s="309">
        <f t="shared" ref="AH26:AH27" si="32">AD26-Y26</f>
        <v>0</v>
      </c>
      <c r="AI26" s="304"/>
      <c r="AJ26" s="333"/>
      <c r="AK26" s="335" t="e">
        <f t="shared" si="16"/>
        <v>#DIV/0!</v>
      </c>
      <c r="AL26" s="304"/>
      <c r="AM26" s="308">
        <f>(F26*R26)</f>
        <v>0</v>
      </c>
      <c r="AN26" s="304">
        <v>0</v>
      </c>
      <c r="AO26" s="309">
        <f t="shared" ref="AO26:AO27" si="33">(AE26*(Y26+AB26))*12</f>
        <v>0</v>
      </c>
      <c r="AP26" s="304"/>
      <c r="AQ26" s="305"/>
      <c r="AR26" s="305"/>
      <c r="AS26" s="304"/>
    </row>
    <row r="27" spans="1:45" x14ac:dyDescent="0.3">
      <c r="A27" s="85">
        <f t="shared" si="2"/>
        <v>20</v>
      </c>
      <c r="B27" s="709"/>
      <c r="C27" s="710" t="s">
        <v>5</v>
      </c>
      <c r="D27" s="156"/>
      <c r="E27" s="121">
        <f>ROUND('Rates in Detail'!L24,5)</f>
        <v>3.1800000000000002E-2</v>
      </c>
      <c r="F27" s="121">
        <f>'Allocation = % of Margin'!AD25</f>
        <v>-2.8400000000000001E-3</v>
      </c>
      <c r="G27" s="156"/>
      <c r="H27" s="368">
        <f>ROUND('Rates in Detail'!N24,5)</f>
        <v>0.30285000000000001</v>
      </c>
      <c r="I27" s="758">
        <f t="shared" si="13"/>
        <v>0.33465</v>
      </c>
      <c r="J27" s="156"/>
      <c r="K27" s="154"/>
      <c r="L27" s="155"/>
      <c r="M27" s="156"/>
      <c r="N27" s="156"/>
      <c r="O27" s="156"/>
      <c r="P27" s="157"/>
      <c r="Q27" s="156"/>
      <c r="R27" s="293">
        <f>'WA Volumes &amp; Revenues'!E26</f>
        <v>0</v>
      </c>
      <c r="S27" s="306"/>
      <c r="T27" s="295"/>
      <c r="U27" s="296"/>
      <c r="V27" s="156"/>
      <c r="W27" s="308">
        <f t="shared" si="30"/>
        <v>0</v>
      </c>
      <c r="X27" s="304">
        <f t="shared" si="31"/>
        <v>0</v>
      </c>
      <c r="Y27" s="304">
        <f>(S27*(M27+O27))*12</f>
        <v>0</v>
      </c>
      <c r="Z27" s="309"/>
      <c r="AA27" s="304"/>
      <c r="AB27" s="308">
        <f>(I27*R27)</f>
        <v>0</v>
      </c>
      <c r="AC27" s="304">
        <f>(L27*T27*12)</f>
        <v>0</v>
      </c>
      <c r="AD27" s="309">
        <f>(S27*(N27+P27))*12</f>
        <v>0</v>
      </c>
      <c r="AE27" s="304"/>
      <c r="AF27" s="308">
        <f>AB27-W27</f>
        <v>0</v>
      </c>
      <c r="AG27" s="304">
        <f>AC27-X27</f>
        <v>0</v>
      </c>
      <c r="AH27" s="309">
        <f t="shared" si="32"/>
        <v>0</v>
      </c>
      <c r="AI27" s="304"/>
      <c r="AJ27" s="333"/>
      <c r="AK27" s="335" t="e">
        <f t="shared" si="16"/>
        <v>#DIV/0!</v>
      </c>
      <c r="AL27" s="304"/>
      <c r="AM27" s="308">
        <f>(F27*R27)</f>
        <v>0</v>
      </c>
      <c r="AN27" s="304">
        <v>0</v>
      </c>
      <c r="AO27" s="309">
        <f t="shared" si="33"/>
        <v>0</v>
      </c>
      <c r="AP27" s="304"/>
      <c r="AQ27" s="305"/>
      <c r="AR27" s="305"/>
      <c r="AS27" s="304"/>
    </row>
    <row r="28" spans="1:45" x14ac:dyDescent="0.3">
      <c r="A28" s="85">
        <f t="shared" si="2"/>
        <v>21</v>
      </c>
      <c r="B28" s="707"/>
      <c r="C28" s="726" t="s">
        <v>76</v>
      </c>
      <c r="D28" s="152"/>
      <c r="E28" s="122"/>
      <c r="F28" s="122"/>
      <c r="G28" s="152"/>
      <c r="H28" s="363"/>
      <c r="I28" s="757"/>
      <c r="J28" s="156"/>
      <c r="K28" s="154"/>
      <c r="L28" s="155"/>
      <c r="M28" s="156"/>
      <c r="N28" s="156"/>
      <c r="O28" s="156"/>
      <c r="P28" s="157"/>
      <c r="Q28" s="156"/>
      <c r="R28" s="293"/>
      <c r="S28" s="306"/>
      <c r="T28" s="295"/>
      <c r="U28" s="296"/>
      <c r="V28" s="156"/>
      <c r="W28" s="310">
        <f>SUM(W26:W27)</f>
        <v>0</v>
      </c>
      <c r="X28" s="311">
        <f t="shared" ref="X28:Y28" si="34">SUM(X26:X27)</f>
        <v>0</v>
      </c>
      <c r="Y28" s="311">
        <f t="shared" si="34"/>
        <v>0</v>
      </c>
      <c r="Z28" s="312">
        <f>'Rate Spread SETTLEMENT'!M$15-SUM(W28:Y28)</f>
        <v>0</v>
      </c>
      <c r="AA28" s="304"/>
      <c r="AB28" s="310">
        <f>SUM(AB26:AB27)</f>
        <v>0</v>
      </c>
      <c r="AC28" s="311">
        <f t="shared" ref="AC28:AD28" si="35">SUM(AC26:AC27)</f>
        <v>0</v>
      </c>
      <c r="AD28" s="312">
        <f t="shared" si="35"/>
        <v>0</v>
      </c>
      <c r="AE28" s="304"/>
      <c r="AF28" s="310">
        <f>SUM(AF26:AF27)</f>
        <v>0</v>
      </c>
      <c r="AG28" s="311">
        <f t="shared" ref="AG28:AH28" si="36">SUM(AG26:AG27)</f>
        <v>0</v>
      </c>
      <c r="AH28" s="312">
        <f t="shared" si="36"/>
        <v>0</v>
      </c>
      <c r="AI28" s="304"/>
      <c r="AJ28" s="333" t="e">
        <f>SUM(AF28:AH28)/SUM(W28:Y28)</f>
        <v>#DIV/0!</v>
      </c>
      <c r="AK28" s="334" t="e">
        <f t="shared" si="16"/>
        <v>#DIV/0!</v>
      </c>
      <c r="AL28" s="304"/>
      <c r="AM28" s="310">
        <f>SUM(AM26:AM27)</f>
        <v>0</v>
      </c>
      <c r="AN28" s="311">
        <f t="shared" ref="AN28:AO28" si="37">SUM(AN26:AN27)</f>
        <v>0</v>
      </c>
      <c r="AO28" s="312">
        <f t="shared" si="37"/>
        <v>0</v>
      </c>
      <c r="AP28" s="304"/>
      <c r="AQ28" s="305"/>
      <c r="AR28" s="305"/>
      <c r="AS28" s="304"/>
    </row>
    <row r="29" spans="1:45" x14ac:dyDescent="0.3">
      <c r="A29" s="85">
        <f t="shared" si="2"/>
        <v>22</v>
      </c>
      <c r="B29" s="709" t="str">
        <f>'WA Volumes &amp; Revenues'!B27</f>
        <v>41I Interr Sales</v>
      </c>
      <c r="C29" s="710" t="s">
        <v>4</v>
      </c>
      <c r="D29" s="156"/>
      <c r="E29" s="121">
        <f>ROUND('Rates in Detail'!L25,5)</f>
        <v>1.576E-2</v>
      </c>
      <c r="F29" s="121">
        <f>'Allocation = % of Margin'!AD26</f>
        <v>-3.2200000000000002E-3</v>
      </c>
      <c r="G29" s="156"/>
      <c r="H29" s="368">
        <f>ROUND('Rates in Detail'!N25,5)</f>
        <v>0.34372999999999998</v>
      </c>
      <c r="I29" s="758">
        <f t="shared" si="13"/>
        <v>0.35948999999999998</v>
      </c>
      <c r="J29" s="156"/>
      <c r="K29" s="154">
        <f>'WA Volumes &amp; Revenues'!O27</f>
        <v>250</v>
      </c>
      <c r="L29" s="155">
        <f>'WA Volumes &amp; Revenues'!N27</f>
        <v>250</v>
      </c>
      <c r="M29" s="121">
        <f>'Rates in Detail'!AR25</f>
        <v>0</v>
      </c>
      <c r="N29" s="121">
        <f>'Rates in Detail'!AS25</f>
        <v>0</v>
      </c>
      <c r="O29" s="121">
        <f>'Rates in Detail'!AT25</f>
        <v>0</v>
      </c>
      <c r="P29" s="758">
        <f>'Rates in Detail'!AU25</f>
        <v>0</v>
      </c>
      <c r="Q29" s="156"/>
      <c r="R29" s="293">
        <f>'WA Volumes &amp; Revenues'!E27</f>
        <v>0</v>
      </c>
      <c r="S29" s="306"/>
      <c r="T29" s="295">
        <f>'WA Volumes &amp; Revenues'!H27</f>
        <v>0</v>
      </c>
      <c r="U29" s="296">
        <f>'WA Volumes &amp; Revenues'!I27</f>
        <v>0</v>
      </c>
      <c r="V29" s="156"/>
      <c r="W29" s="308">
        <f t="shared" ref="W29:W30" si="38">(H29*R29)</f>
        <v>0</v>
      </c>
      <c r="X29" s="304">
        <f t="shared" ref="X29:X30" si="39">(K29*T29*12)</f>
        <v>0</v>
      </c>
      <c r="Y29" s="304">
        <f>(S29*(M29+O29))*12</f>
        <v>0</v>
      </c>
      <c r="Z29" s="309"/>
      <c r="AA29" s="304"/>
      <c r="AB29" s="308">
        <f>(I29*R29)</f>
        <v>0</v>
      </c>
      <c r="AC29" s="304">
        <f>(L29*T29*12)</f>
        <v>0</v>
      </c>
      <c r="AD29" s="309">
        <f>(S29*(N29+P29))*12</f>
        <v>0</v>
      </c>
      <c r="AE29" s="304"/>
      <c r="AF29" s="308">
        <f>AB29-W29</f>
        <v>0</v>
      </c>
      <c r="AG29" s="304">
        <f>AC29-X29</f>
        <v>0</v>
      </c>
      <c r="AH29" s="309">
        <f t="shared" ref="AH29:AH30" si="40">AD29-Y29</f>
        <v>0</v>
      </c>
      <c r="AI29" s="304"/>
      <c r="AJ29" s="333"/>
      <c r="AK29" s="335" t="e">
        <f t="shared" si="16"/>
        <v>#DIV/0!</v>
      </c>
      <c r="AL29" s="304"/>
      <c r="AM29" s="308">
        <f>(F29*R29)</f>
        <v>0</v>
      </c>
      <c r="AN29" s="304">
        <v>0</v>
      </c>
      <c r="AO29" s="309">
        <f t="shared" ref="AO29:AO30" si="41">(AE29*(Y29+AB29))*12</f>
        <v>0</v>
      </c>
      <c r="AP29" s="304"/>
      <c r="AQ29" s="305"/>
      <c r="AR29" s="305"/>
      <c r="AS29" s="304"/>
    </row>
    <row r="30" spans="1:45" x14ac:dyDescent="0.3">
      <c r="A30" s="85">
        <f t="shared" si="2"/>
        <v>23</v>
      </c>
      <c r="B30" s="709"/>
      <c r="C30" s="710" t="s">
        <v>5</v>
      </c>
      <c r="D30" s="156"/>
      <c r="E30" s="121">
        <f>ROUND('Rates in Detail'!L26,5)</f>
        <v>1.388E-2</v>
      </c>
      <c r="F30" s="121">
        <f>'Allocation = % of Margin'!AD27</f>
        <v>-2.8400000000000001E-3</v>
      </c>
      <c r="G30" s="156"/>
      <c r="H30" s="368">
        <f>ROUND('Rates in Detail'!N26,5)</f>
        <v>0.30285000000000001</v>
      </c>
      <c r="I30" s="758">
        <f t="shared" si="13"/>
        <v>0.31673000000000001</v>
      </c>
      <c r="J30" s="156"/>
      <c r="K30" s="154"/>
      <c r="L30" s="155"/>
      <c r="M30" s="156"/>
      <c r="N30" s="156"/>
      <c r="O30" s="156"/>
      <c r="P30" s="157"/>
      <c r="Q30" s="156"/>
      <c r="R30" s="293">
        <f>'WA Volumes &amp; Revenues'!E28</f>
        <v>0</v>
      </c>
      <c r="S30" s="306"/>
      <c r="T30" s="295"/>
      <c r="U30" s="296"/>
      <c r="V30" s="156"/>
      <c r="W30" s="308">
        <f t="shared" si="38"/>
        <v>0</v>
      </c>
      <c r="X30" s="304">
        <f t="shared" si="39"/>
        <v>0</v>
      </c>
      <c r="Y30" s="304">
        <f>(S30*(M30+O30))*12</f>
        <v>0</v>
      </c>
      <c r="Z30" s="309"/>
      <c r="AA30" s="304"/>
      <c r="AB30" s="308">
        <f>(I30*R30)</f>
        <v>0</v>
      </c>
      <c r="AC30" s="304">
        <f>(L30*T30*12)</f>
        <v>0</v>
      </c>
      <c r="AD30" s="309">
        <f>(S30*(N30+P30))*12</f>
        <v>0</v>
      </c>
      <c r="AE30" s="304"/>
      <c r="AF30" s="308">
        <f>AB30-W30</f>
        <v>0</v>
      </c>
      <c r="AG30" s="304">
        <f>AC30-X30</f>
        <v>0</v>
      </c>
      <c r="AH30" s="309">
        <f t="shared" si="40"/>
        <v>0</v>
      </c>
      <c r="AI30" s="304"/>
      <c r="AJ30" s="333"/>
      <c r="AK30" s="335" t="e">
        <f t="shared" si="16"/>
        <v>#DIV/0!</v>
      </c>
      <c r="AL30" s="304"/>
      <c r="AM30" s="308">
        <f>(F30*R30)</f>
        <v>0</v>
      </c>
      <c r="AN30" s="304">
        <v>0</v>
      </c>
      <c r="AO30" s="309">
        <f t="shared" si="41"/>
        <v>0</v>
      </c>
      <c r="AP30" s="304"/>
      <c r="AQ30" s="305"/>
      <c r="AR30" s="305"/>
      <c r="AS30" s="304"/>
    </row>
    <row r="31" spans="1:45" x14ac:dyDescent="0.3">
      <c r="A31" s="85">
        <f t="shared" si="2"/>
        <v>24</v>
      </c>
      <c r="B31" s="707"/>
      <c r="C31" s="726" t="s">
        <v>76</v>
      </c>
      <c r="D31" s="152"/>
      <c r="E31" s="122"/>
      <c r="F31" s="122"/>
      <c r="G31" s="152"/>
      <c r="H31" s="363"/>
      <c r="I31" s="757"/>
      <c r="J31" s="156"/>
      <c r="K31" s="154"/>
      <c r="L31" s="155"/>
      <c r="M31" s="156"/>
      <c r="N31" s="156"/>
      <c r="O31" s="156"/>
      <c r="P31" s="157"/>
      <c r="Q31" s="156"/>
      <c r="R31" s="293"/>
      <c r="S31" s="306"/>
      <c r="T31" s="295"/>
      <c r="U31" s="296"/>
      <c r="V31" s="156"/>
      <c r="W31" s="310">
        <f>SUM(W29:W30)</f>
        <v>0</v>
      </c>
      <c r="X31" s="311">
        <f t="shared" ref="X31:Y31" si="42">SUM(X29:X30)</f>
        <v>0</v>
      </c>
      <c r="Y31" s="311">
        <f t="shared" si="42"/>
        <v>0</v>
      </c>
      <c r="Z31" s="312">
        <f>'Rate Spread SETTLEMENT'!N$15-SUM(W31:Y31)</f>
        <v>0</v>
      </c>
      <c r="AA31" s="304"/>
      <c r="AB31" s="310">
        <f>SUM(AB29:AB30)</f>
        <v>0</v>
      </c>
      <c r="AC31" s="311">
        <f t="shared" ref="AC31:AD31" si="43">SUM(AC29:AC30)</f>
        <v>0</v>
      </c>
      <c r="AD31" s="312">
        <f t="shared" si="43"/>
        <v>0</v>
      </c>
      <c r="AE31" s="304"/>
      <c r="AF31" s="310">
        <f>SUM(AF29:AF30)</f>
        <v>0</v>
      </c>
      <c r="AG31" s="311">
        <f t="shared" ref="AG31:AH31" si="44">SUM(AG29:AG30)</f>
        <v>0</v>
      </c>
      <c r="AH31" s="312">
        <f t="shared" si="44"/>
        <v>0</v>
      </c>
      <c r="AI31" s="304"/>
      <c r="AJ31" s="333" t="e">
        <f>SUM(AF31:AH31)/SUM(W31:Y31)</f>
        <v>#DIV/0!</v>
      </c>
      <c r="AK31" s="334" t="e">
        <f t="shared" si="16"/>
        <v>#DIV/0!</v>
      </c>
      <c r="AL31" s="304"/>
      <c r="AM31" s="310">
        <f>SUM(AM29:AM30)</f>
        <v>0</v>
      </c>
      <c r="AN31" s="311">
        <f t="shared" ref="AN31:AO31" si="45">SUM(AN29:AN30)</f>
        <v>0</v>
      </c>
      <c r="AO31" s="312">
        <f t="shared" si="45"/>
        <v>0</v>
      </c>
      <c r="AP31" s="304"/>
      <c r="AQ31" s="305"/>
      <c r="AR31" s="305"/>
      <c r="AS31" s="304"/>
    </row>
    <row r="32" spans="1:45" x14ac:dyDescent="0.3">
      <c r="A32" s="85">
        <f t="shared" si="2"/>
        <v>25</v>
      </c>
      <c r="B32" s="709" t="str">
        <f>'WA Volumes &amp; Revenues'!B29</f>
        <v>41C Firm Transpt</v>
      </c>
      <c r="C32" s="710" t="s">
        <v>4</v>
      </c>
      <c r="D32" s="156"/>
      <c r="E32" s="121">
        <f>ROUND('Rates in Detail'!L27,5)</f>
        <v>2.562E-2</v>
      </c>
      <c r="F32" s="121">
        <f>'Allocation = % of Margin'!AD28</f>
        <v>-4.3499999999999997E-3</v>
      </c>
      <c r="G32" s="156"/>
      <c r="H32" s="368">
        <f>ROUND('Rates in Detail'!N27,5)</f>
        <v>0.34791</v>
      </c>
      <c r="I32" s="758">
        <f t="shared" si="13"/>
        <v>0.37352999999999997</v>
      </c>
      <c r="J32" s="156"/>
      <c r="K32" s="154">
        <f>'WA Volumes &amp; Revenues'!O29</f>
        <v>500</v>
      </c>
      <c r="L32" s="155">
        <f>'WA Volumes &amp; Revenues'!N29</f>
        <v>500</v>
      </c>
      <c r="M32" s="121">
        <f>'Rates in Detail'!AR27</f>
        <v>0</v>
      </c>
      <c r="N32" s="121">
        <f>'Rates in Detail'!AS27</f>
        <v>0</v>
      </c>
      <c r="O32" s="121">
        <f>'Rates in Detail'!AT27</f>
        <v>0</v>
      </c>
      <c r="P32" s="758">
        <f>'Rates in Detail'!AU27</f>
        <v>0</v>
      </c>
      <c r="Q32" s="156"/>
      <c r="R32" s="293">
        <f>'WA Volumes &amp; Revenues'!E29</f>
        <v>168721</v>
      </c>
      <c r="S32" s="306"/>
      <c r="T32" s="295">
        <f>'WA Volumes &amp; Revenues'!H29</f>
        <v>7.916666666666667</v>
      </c>
      <c r="U32" s="296">
        <f>'WA Volumes &amp; Revenues'!I29</f>
        <v>4648</v>
      </c>
      <c r="V32" s="156"/>
      <c r="W32" s="308">
        <f t="shared" ref="W32:W33" si="46">(H32*R32)</f>
        <v>58699.723109999999</v>
      </c>
      <c r="X32" s="304">
        <f t="shared" ref="X32:X33" si="47">(K32*T32*12)</f>
        <v>47500</v>
      </c>
      <c r="Y32" s="304">
        <f>(S32*(M32+O32))*12</f>
        <v>0</v>
      </c>
      <c r="Z32" s="309"/>
      <c r="AA32" s="304"/>
      <c r="AB32" s="308">
        <f>(I32*R32)</f>
        <v>63022.355129999996</v>
      </c>
      <c r="AC32" s="304">
        <f>(L32*T32*12)</f>
        <v>47500</v>
      </c>
      <c r="AD32" s="309">
        <f>(S32*(N32+P32))*12</f>
        <v>0</v>
      </c>
      <c r="AE32" s="304"/>
      <c r="AF32" s="308">
        <f>AB32-W32</f>
        <v>4322.6320199999973</v>
      </c>
      <c r="AG32" s="304">
        <f>AC32-X32</f>
        <v>0</v>
      </c>
      <c r="AH32" s="309">
        <f t="shared" ref="AH32:AH33" si="48">AD32-Y32</f>
        <v>0</v>
      </c>
      <c r="AI32" s="304"/>
      <c r="AJ32" s="333"/>
      <c r="AK32" s="335">
        <f t="shared" si="16"/>
        <v>7.3639734414072566E-2</v>
      </c>
      <c r="AL32" s="304"/>
      <c r="AM32" s="308">
        <f>(F32*R32)</f>
        <v>-733.93634999999995</v>
      </c>
      <c r="AN32" s="304">
        <v>0</v>
      </c>
      <c r="AO32" s="309">
        <f t="shared" ref="AO32:AO33" si="49">(AE32*(Y32+AB32))*12</f>
        <v>0</v>
      </c>
      <c r="AP32" s="304"/>
      <c r="AQ32" s="305"/>
      <c r="AR32" s="305"/>
      <c r="AS32" s="304"/>
    </row>
    <row r="33" spans="1:45" x14ac:dyDescent="0.3">
      <c r="A33" s="85">
        <f t="shared" si="2"/>
        <v>26</v>
      </c>
      <c r="B33" s="709"/>
      <c r="C33" s="710" t="s">
        <v>5</v>
      </c>
      <c r="D33" s="156"/>
      <c r="E33" s="121">
        <f>ROUND('Rates in Detail'!L28,5)</f>
        <v>2.257E-2</v>
      </c>
      <c r="F33" s="121">
        <f>'Allocation = % of Margin'!AD29</f>
        <v>-3.8300000000000001E-3</v>
      </c>
      <c r="G33" s="156"/>
      <c r="H33" s="368">
        <f>ROUND('Rates in Detail'!N28,5)</f>
        <v>0.30653000000000002</v>
      </c>
      <c r="I33" s="758">
        <f t="shared" si="13"/>
        <v>0.3291</v>
      </c>
      <c r="J33" s="156"/>
      <c r="K33" s="154"/>
      <c r="L33" s="155"/>
      <c r="M33" s="156"/>
      <c r="N33" s="156"/>
      <c r="O33" s="156"/>
      <c r="P33" s="157"/>
      <c r="Q33" s="156"/>
      <c r="R33" s="293">
        <f>'WA Volumes &amp; Revenues'!E30</f>
        <v>272866</v>
      </c>
      <c r="S33" s="306"/>
      <c r="T33" s="295"/>
      <c r="U33" s="296"/>
      <c r="V33" s="156"/>
      <c r="W33" s="308">
        <f t="shared" si="46"/>
        <v>83641.614980000013</v>
      </c>
      <c r="X33" s="304">
        <f t="shared" si="47"/>
        <v>0</v>
      </c>
      <c r="Y33" s="304">
        <f>(S33*(M33+O33))*12</f>
        <v>0</v>
      </c>
      <c r="Z33" s="309"/>
      <c r="AA33" s="304"/>
      <c r="AB33" s="308">
        <f>(I33*R33)</f>
        <v>89800.200599999996</v>
      </c>
      <c r="AC33" s="304">
        <f>(L33*T33*12)</f>
        <v>0</v>
      </c>
      <c r="AD33" s="309">
        <f>(S33*(N33+P33))*12</f>
        <v>0</v>
      </c>
      <c r="AE33" s="304"/>
      <c r="AF33" s="308">
        <f>AB33-W33</f>
        <v>6158.5856199999835</v>
      </c>
      <c r="AG33" s="304">
        <f>AC33-X33</f>
        <v>0</v>
      </c>
      <c r="AH33" s="309">
        <f t="shared" si="48"/>
        <v>0</v>
      </c>
      <c r="AI33" s="304"/>
      <c r="AJ33" s="333"/>
      <c r="AK33" s="335">
        <f t="shared" si="16"/>
        <v>7.3630639741623774E-2</v>
      </c>
      <c r="AL33" s="304"/>
      <c r="AM33" s="308">
        <f>(F33*R33)</f>
        <v>-1045.0767800000001</v>
      </c>
      <c r="AN33" s="304">
        <v>0</v>
      </c>
      <c r="AO33" s="309">
        <f t="shared" si="49"/>
        <v>0</v>
      </c>
      <c r="AP33" s="304"/>
      <c r="AQ33" s="305"/>
      <c r="AR33" s="305"/>
      <c r="AS33" s="304"/>
    </row>
    <row r="34" spans="1:45" x14ac:dyDescent="0.3">
      <c r="A34" s="85">
        <f t="shared" si="2"/>
        <v>27</v>
      </c>
      <c r="B34" s="707"/>
      <c r="C34" s="726" t="s">
        <v>76</v>
      </c>
      <c r="D34" s="152"/>
      <c r="E34" s="122"/>
      <c r="F34" s="122"/>
      <c r="G34" s="152"/>
      <c r="H34" s="363"/>
      <c r="I34" s="757"/>
      <c r="J34" s="156"/>
      <c r="K34" s="154"/>
      <c r="L34" s="155"/>
      <c r="M34" s="156"/>
      <c r="N34" s="156"/>
      <c r="O34" s="156"/>
      <c r="P34" s="157"/>
      <c r="Q34" s="156"/>
      <c r="R34" s="293"/>
      <c r="S34" s="306"/>
      <c r="T34" s="295"/>
      <c r="U34" s="296"/>
      <c r="V34" s="156"/>
      <c r="W34" s="310">
        <f>SUM(W32:W33)</f>
        <v>142341.33809</v>
      </c>
      <c r="X34" s="311">
        <f t="shared" ref="X34:Y34" si="50">SUM(X32:X33)</f>
        <v>47500</v>
      </c>
      <c r="Y34" s="311">
        <f t="shared" si="50"/>
        <v>0</v>
      </c>
      <c r="Z34" s="312">
        <f>'Rate Spread SETTLEMENT'!O$15-SUM(W34:Y34)</f>
        <v>0</v>
      </c>
      <c r="AA34" s="304"/>
      <c r="AB34" s="310">
        <f>SUM(AB32:AB33)</f>
        <v>152822.55572999999</v>
      </c>
      <c r="AC34" s="311">
        <f t="shared" ref="AC34:AD34" si="51">SUM(AC32:AC33)</f>
        <v>47500</v>
      </c>
      <c r="AD34" s="312">
        <f t="shared" si="51"/>
        <v>0</v>
      </c>
      <c r="AE34" s="304"/>
      <c r="AF34" s="310">
        <f>SUM(AF32:AF33)</f>
        <v>10481.217639999981</v>
      </c>
      <c r="AG34" s="311">
        <f t="shared" ref="AG34:AH34" si="52">SUM(AG32:AG33)</f>
        <v>0</v>
      </c>
      <c r="AH34" s="312">
        <f t="shared" si="52"/>
        <v>0</v>
      </c>
      <c r="AI34" s="304"/>
      <c r="AJ34" s="333">
        <f>SUM(AF34:AH34)/SUM(W34:Y34)</f>
        <v>5.5210407519520555E-2</v>
      </c>
      <c r="AK34" s="334">
        <f t="shared" si="16"/>
        <v>7.3634390266676328E-2</v>
      </c>
      <c r="AL34" s="304"/>
      <c r="AM34" s="310">
        <f>SUM(AM32:AM33)</f>
        <v>-1779.01313</v>
      </c>
      <c r="AN34" s="311">
        <f t="shared" ref="AN34:AO34" si="53">SUM(AN32:AN33)</f>
        <v>0</v>
      </c>
      <c r="AO34" s="312">
        <f t="shared" si="53"/>
        <v>0</v>
      </c>
      <c r="AP34" s="304"/>
      <c r="AQ34" s="305"/>
      <c r="AR34" s="305"/>
      <c r="AS34" s="304"/>
    </row>
    <row r="35" spans="1:45" x14ac:dyDescent="0.3">
      <c r="A35" s="85">
        <f t="shared" si="2"/>
        <v>28</v>
      </c>
      <c r="B35" s="709" t="str">
        <f>'WA Volumes &amp; Revenues'!B31</f>
        <v>41I Firm Transpt</v>
      </c>
      <c r="C35" s="710" t="s">
        <v>4</v>
      </c>
      <c r="D35" s="156"/>
      <c r="E35" s="121">
        <f>ROUND('Rates in Detail'!L29,5)</f>
        <v>1.5949999999999999E-2</v>
      </c>
      <c r="F35" s="121">
        <f>'Allocation = % of Margin'!AD30</f>
        <v>-3.2599999999999999E-3</v>
      </c>
      <c r="G35" s="156"/>
      <c r="H35" s="368">
        <f>ROUND('Rates in Detail'!N29,5)</f>
        <v>0.34791</v>
      </c>
      <c r="I35" s="758">
        <f t="shared" si="13"/>
        <v>0.36386000000000002</v>
      </c>
      <c r="J35" s="156"/>
      <c r="K35" s="154">
        <f>'WA Volumes &amp; Revenues'!O31</f>
        <v>500</v>
      </c>
      <c r="L35" s="155">
        <f>'WA Volumes &amp; Revenues'!N31</f>
        <v>500</v>
      </c>
      <c r="M35" s="121">
        <f>'Rates in Detail'!AR29</f>
        <v>0</v>
      </c>
      <c r="N35" s="121">
        <f>'Rates in Detail'!AS29</f>
        <v>0</v>
      </c>
      <c r="O35" s="121">
        <f>'Rates in Detail'!AT29</f>
        <v>0</v>
      </c>
      <c r="P35" s="758">
        <f>'Rates in Detail'!AU29</f>
        <v>0</v>
      </c>
      <c r="Q35" s="156"/>
      <c r="R35" s="293">
        <f>'WA Volumes &amp; Revenues'!E31</f>
        <v>0</v>
      </c>
      <c r="S35" s="306"/>
      <c r="T35" s="295">
        <f>'WA Volumes &amp; Revenues'!H31</f>
        <v>0</v>
      </c>
      <c r="U35" s="296">
        <f>'WA Volumes &amp; Revenues'!I31</f>
        <v>0</v>
      </c>
      <c r="V35" s="156"/>
      <c r="W35" s="308">
        <f t="shared" ref="W35:W36" si="54">(H35*R35)</f>
        <v>0</v>
      </c>
      <c r="X35" s="304">
        <f t="shared" ref="X35:X36" si="55">(K35*T35*12)</f>
        <v>0</v>
      </c>
      <c r="Y35" s="304">
        <f>(S35*(M35+O35))*12</f>
        <v>0</v>
      </c>
      <c r="Z35" s="309"/>
      <c r="AA35" s="304"/>
      <c r="AB35" s="308">
        <f>(I35*R35)</f>
        <v>0</v>
      </c>
      <c r="AC35" s="304">
        <f>(L35*T35*12)</f>
        <v>0</v>
      </c>
      <c r="AD35" s="309">
        <f>(S35*(N35+P35))*12</f>
        <v>0</v>
      </c>
      <c r="AE35" s="304"/>
      <c r="AF35" s="308">
        <f>AB35-W35</f>
        <v>0</v>
      </c>
      <c r="AG35" s="304">
        <f>AC35-X35</f>
        <v>0</v>
      </c>
      <c r="AH35" s="309">
        <f t="shared" ref="AH35:AH36" si="56">AD35-Y35</f>
        <v>0</v>
      </c>
      <c r="AI35" s="304"/>
      <c r="AJ35" s="333"/>
      <c r="AK35" s="335" t="e">
        <f t="shared" si="16"/>
        <v>#DIV/0!</v>
      </c>
      <c r="AL35" s="304"/>
      <c r="AM35" s="308">
        <f>(F35*R35)</f>
        <v>0</v>
      </c>
      <c r="AN35" s="304">
        <v>0</v>
      </c>
      <c r="AO35" s="309">
        <f t="shared" ref="AO35:AO36" si="57">(AE35*(Y35+AB35))*12</f>
        <v>0</v>
      </c>
      <c r="AP35" s="304"/>
      <c r="AQ35" s="305"/>
      <c r="AR35" s="305"/>
      <c r="AS35" s="304"/>
    </row>
    <row r="36" spans="1:45" x14ac:dyDescent="0.3">
      <c r="A36" s="85">
        <f t="shared" si="2"/>
        <v>29</v>
      </c>
      <c r="B36" s="709"/>
      <c r="C36" s="710" t="s">
        <v>5</v>
      </c>
      <c r="D36" s="156"/>
      <c r="E36" s="121">
        <f>ROUND('Rates in Detail'!L30,5)</f>
        <v>1.405E-2</v>
      </c>
      <c r="F36" s="121">
        <f>'Allocation = % of Margin'!AD31</f>
        <v>-2.8700000000000002E-3</v>
      </c>
      <c r="G36" s="156"/>
      <c r="H36" s="368">
        <f>ROUND('Rates in Detail'!N30,5)</f>
        <v>0.30653000000000002</v>
      </c>
      <c r="I36" s="758">
        <f t="shared" si="13"/>
        <v>0.32058000000000003</v>
      </c>
      <c r="J36" s="156"/>
      <c r="K36" s="268"/>
      <c r="L36" s="54"/>
      <c r="M36" s="156"/>
      <c r="N36" s="156"/>
      <c r="O36" s="156"/>
      <c r="P36" s="157"/>
      <c r="Q36" s="156"/>
      <c r="R36" s="293">
        <f>'WA Volumes &amp; Revenues'!E32</f>
        <v>0</v>
      </c>
      <c r="S36" s="306"/>
      <c r="T36" s="295"/>
      <c r="U36" s="296"/>
      <c r="V36" s="156"/>
      <c r="W36" s="308">
        <f t="shared" si="54"/>
        <v>0</v>
      </c>
      <c r="X36" s="304">
        <f t="shared" si="55"/>
        <v>0</v>
      </c>
      <c r="Y36" s="304">
        <f>(S36*(M36+O36))*12</f>
        <v>0</v>
      </c>
      <c r="Z36" s="309"/>
      <c r="AA36" s="304"/>
      <c r="AB36" s="308">
        <f>(I36*R36)</f>
        <v>0</v>
      </c>
      <c r="AC36" s="304">
        <f>(L36*T36*12)</f>
        <v>0</v>
      </c>
      <c r="AD36" s="309">
        <f>(S36*(N36+P36))*12</f>
        <v>0</v>
      </c>
      <c r="AE36" s="304"/>
      <c r="AF36" s="308">
        <f>AB36-W36</f>
        <v>0</v>
      </c>
      <c r="AG36" s="304">
        <f>AC36-X36</f>
        <v>0</v>
      </c>
      <c r="AH36" s="309">
        <f t="shared" si="56"/>
        <v>0</v>
      </c>
      <c r="AI36" s="304"/>
      <c r="AJ36" s="333"/>
      <c r="AK36" s="335" t="e">
        <f t="shared" si="16"/>
        <v>#DIV/0!</v>
      </c>
      <c r="AL36" s="304"/>
      <c r="AM36" s="308">
        <f>(F36*R36)</f>
        <v>0</v>
      </c>
      <c r="AN36" s="304">
        <v>0</v>
      </c>
      <c r="AO36" s="309">
        <f t="shared" si="57"/>
        <v>0</v>
      </c>
      <c r="AP36" s="304"/>
      <c r="AQ36" s="305"/>
      <c r="AR36" s="305"/>
      <c r="AS36" s="304"/>
    </row>
    <row r="37" spans="1:45" x14ac:dyDescent="0.3">
      <c r="A37" s="85">
        <f t="shared" si="2"/>
        <v>30</v>
      </c>
      <c r="B37" s="707"/>
      <c r="C37" s="726" t="s">
        <v>76</v>
      </c>
      <c r="D37" s="152"/>
      <c r="E37" s="122"/>
      <c r="F37" s="122"/>
      <c r="G37" s="152"/>
      <c r="H37" s="363"/>
      <c r="I37" s="757"/>
      <c r="J37" s="156"/>
      <c r="K37" s="268"/>
      <c r="L37" s="54"/>
      <c r="M37" s="156"/>
      <c r="N37" s="156"/>
      <c r="O37" s="156"/>
      <c r="P37" s="157"/>
      <c r="Q37" s="156"/>
      <c r="R37" s="293"/>
      <c r="S37" s="306"/>
      <c r="T37" s="295"/>
      <c r="U37" s="296"/>
      <c r="V37" s="156"/>
      <c r="W37" s="310">
        <f>SUM(W35:W36)</f>
        <v>0</v>
      </c>
      <c r="X37" s="311">
        <f t="shared" ref="X37:Y37" si="58">SUM(X35:X36)</f>
        <v>0</v>
      </c>
      <c r="Y37" s="311">
        <f t="shared" si="58"/>
        <v>0</v>
      </c>
      <c r="Z37" s="312">
        <f>'Rate Spread SETTLEMENT'!P$15-SUM(W37:Y37)</f>
        <v>0</v>
      </c>
      <c r="AA37" s="304"/>
      <c r="AB37" s="310">
        <f>SUM(AB35:AB36)</f>
        <v>0</v>
      </c>
      <c r="AC37" s="311">
        <f t="shared" ref="AC37:AD37" si="59">SUM(AC35:AC36)</f>
        <v>0</v>
      </c>
      <c r="AD37" s="312">
        <f t="shared" si="59"/>
        <v>0</v>
      </c>
      <c r="AE37" s="304"/>
      <c r="AF37" s="310">
        <f>SUM(AF35:AF36)</f>
        <v>0</v>
      </c>
      <c r="AG37" s="311">
        <f t="shared" ref="AG37:AH37" si="60">SUM(AG35:AG36)</f>
        <v>0</v>
      </c>
      <c r="AH37" s="312">
        <f t="shared" si="60"/>
        <v>0</v>
      </c>
      <c r="AI37" s="304"/>
      <c r="AJ37" s="333" t="e">
        <f>SUM(AF37:AH37)/SUM(W37:Y37)</f>
        <v>#DIV/0!</v>
      </c>
      <c r="AK37" s="334" t="e">
        <f t="shared" si="16"/>
        <v>#DIV/0!</v>
      </c>
      <c r="AL37" s="304"/>
      <c r="AM37" s="310">
        <f>SUM(AM35:AM36)</f>
        <v>0</v>
      </c>
      <c r="AN37" s="311">
        <f t="shared" ref="AN37:AO37" si="61">SUM(AN35:AN36)</f>
        <v>0</v>
      </c>
      <c r="AO37" s="312">
        <f t="shared" si="61"/>
        <v>0</v>
      </c>
      <c r="AP37" s="304"/>
      <c r="AQ37" s="305"/>
      <c r="AR37" s="305"/>
      <c r="AS37" s="304"/>
    </row>
    <row r="38" spans="1:45" x14ac:dyDescent="0.3">
      <c r="A38" s="85">
        <f t="shared" si="2"/>
        <v>31</v>
      </c>
      <c r="B38" s="709" t="str">
        <f>'WA Volumes &amp; Revenues'!B33</f>
        <v>42C Firm Sales</v>
      </c>
      <c r="C38" s="710" t="s">
        <v>4</v>
      </c>
      <c r="D38" s="156"/>
      <c r="E38" s="121">
        <f>ROUND('Rates in Detail'!L31,5)</f>
        <v>3.7769999999999998E-2</v>
      </c>
      <c r="F38" s="121">
        <f>'Allocation = % of Margin'!AD32</f>
        <v>-3.0899999999999999E-3</v>
      </c>
      <c r="G38" s="156"/>
      <c r="H38" s="368">
        <f>ROUND('Rates in Detail'!N31,5)</f>
        <v>0.15246000000000001</v>
      </c>
      <c r="I38" s="758">
        <f t="shared" si="13"/>
        <v>0.19023000000000001</v>
      </c>
      <c r="J38" s="156"/>
      <c r="K38" s="154">
        <f>'WA Volumes &amp; Revenues'!O33</f>
        <v>1300</v>
      </c>
      <c r="L38" s="155">
        <f>'WA Volumes &amp; Revenues'!N33</f>
        <v>1300</v>
      </c>
      <c r="M38" s="121">
        <f>'Rates in Detail'!AR31</f>
        <v>0.15748000000000001</v>
      </c>
      <c r="N38" s="121">
        <f>'Rates in Detail'!AS31</f>
        <v>0.15748000000000001</v>
      </c>
      <c r="O38" s="121">
        <f>'Rates in Detail'!AT31</f>
        <v>0.20415</v>
      </c>
      <c r="P38" s="758">
        <f>'Rates in Detail'!AU31</f>
        <v>0.20415</v>
      </c>
      <c r="Q38" s="156"/>
      <c r="R38" s="293">
        <f>'WA Volumes &amp; Revenues'!E33</f>
        <v>350769.66174469434</v>
      </c>
      <c r="S38" s="306">
        <v>6761</v>
      </c>
      <c r="T38" s="295">
        <f>'WA Volumes &amp; Revenues'!H33</f>
        <v>5</v>
      </c>
      <c r="U38" s="296">
        <f>'WA Volumes &amp; Revenues'!I33</f>
        <v>11949</v>
      </c>
      <c r="V38" s="156"/>
      <c r="W38" s="308">
        <f t="shared" ref="W38:W43" si="62">(H38*R38)</f>
        <v>53478.342629596104</v>
      </c>
      <c r="X38" s="304">
        <f t="shared" ref="X38:X43" si="63">(K38*T38*12)</f>
        <v>78000</v>
      </c>
      <c r="Y38" s="304">
        <f t="shared" ref="Y38:Y43" si="64">(S38*(M38+O38))*12</f>
        <v>29339.765160000003</v>
      </c>
      <c r="Z38" s="309"/>
      <c r="AA38" s="304"/>
      <c r="AB38" s="308">
        <f t="shared" ref="AB38:AB43" si="65">(I38*R38)</f>
        <v>66726.912753693206</v>
      </c>
      <c r="AC38" s="304">
        <f t="shared" ref="AC38:AC43" si="66">(L38*T38*12)</f>
        <v>78000</v>
      </c>
      <c r="AD38" s="309">
        <f t="shared" ref="AD38:AD43" si="67">(S38*(N38+P38))*12</f>
        <v>29339.765160000003</v>
      </c>
      <c r="AE38" s="304"/>
      <c r="AF38" s="308">
        <f t="shared" ref="AF38:AG43" si="68">AB38-W38</f>
        <v>13248.570124097103</v>
      </c>
      <c r="AG38" s="304">
        <f t="shared" si="68"/>
        <v>0</v>
      </c>
      <c r="AH38" s="309">
        <f t="shared" ref="AH38:AH43" si="69">AD38-Y38</f>
        <v>0</v>
      </c>
      <c r="AI38" s="304"/>
      <c r="AJ38" s="333"/>
      <c r="AK38" s="335">
        <f t="shared" si="16"/>
        <v>0.24773711137347496</v>
      </c>
      <c r="AL38" s="304"/>
      <c r="AM38" s="308">
        <f t="shared" ref="AM38:AM43" si="70">(F38*R38)</f>
        <v>-1083.8782547911055</v>
      </c>
      <c r="AN38" s="304">
        <v>0</v>
      </c>
      <c r="AO38" s="309">
        <f t="shared" ref="AO38:AO43" si="71">(AE38*(Y38+AB38))*12</f>
        <v>0</v>
      </c>
      <c r="AP38" s="304"/>
      <c r="AQ38" s="305"/>
      <c r="AR38" s="305"/>
      <c r="AS38" s="304"/>
    </row>
    <row r="39" spans="1:45" x14ac:dyDescent="0.3">
      <c r="A39" s="85">
        <f t="shared" si="2"/>
        <v>32</v>
      </c>
      <c r="B39" s="709"/>
      <c r="C39" s="710" t="s">
        <v>5</v>
      </c>
      <c r="D39" s="156"/>
      <c r="E39" s="121">
        <f>ROUND('Rates in Detail'!L32,5)</f>
        <v>3.381E-2</v>
      </c>
      <c r="F39" s="121">
        <f>'Allocation = % of Margin'!AD33</f>
        <v>-2.7699999999999999E-3</v>
      </c>
      <c r="G39" s="156"/>
      <c r="H39" s="368">
        <f>ROUND('Rates in Detail'!N32,5)</f>
        <v>0.13647000000000001</v>
      </c>
      <c r="I39" s="758">
        <f t="shared" si="13"/>
        <v>0.17028000000000001</v>
      </c>
      <c r="J39" s="156"/>
      <c r="K39" s="154"/>
      <c r="L39" s="155"/>
      <c r="M39" s="121"/>
      <c r="N39" s="121"/>
      <c r="O39" s="121"/>
      <c r="P39" s="758"/>
      <c r="Q39" s="156"/>
      <c r="R39" s="293">
        <f>'WA Volumes &amp; Revenues'!E34</f>
        <v>303088.75426472601</v>
      </c>
      <c r="S39" s="306"/>
      <c r="T39" s="295"/>
      <c r="U39" s="296"/>
      <c r="V39" s="156"/>
      <c r="W39" s="308">
        <f t="shared" si="62"/>
        <v>41362.522294507158</v>
      </c>
      <c r="X39" s="304">
        <f t="shared" si="63"/>
        <v>0</v>
      </c>
      <c r="Y39" s="304">
        <f t="shared" si="64"/>
        <v>0</v>
      </c>
      <c r="Z39" s="309"/>
      <c r="AA39" s="304"/>
      <c r="AB39" s="308">
        <f t="shared" si="65"/>
        <v>51609.953076197547</v>
      </c>
      <c r="AC39" s="304">
        <f t="shared" si="66"/>
        <v>0</v>
      </c>
      <c r="AD39" s="309">
        <f t="shared" si="67"/>
        <v>0</v>
      </c>
      <c r="AE39" s="304"/>
      <c r="AF39" s="308">
        <f t="shared" si="68"/>
        <v>10247.430781690389</v>
      </c>
      <c r="AG39" s="304">
        <f t="shared" si="68"/>
        <v>0</v>
      </c>
      <c r="AH39" s="309">
        <f t="shared" si="69"/>
        <v>0</v>
      </c>
      <c r="AI39" s="304"/>
      <c r="AJ39" s="333"/>
      <c r="AK39" s="335">
        <f t="shared" si="16"/>
        <v>0.24774675752912736</v>
      </c>
      <c r="AL39" s="304"/>
      <c r="AM39" s="308">
        <f t="shared" si="70"/>
        <v>-839.55584931329099</v>
      </c>
      <c r="AN39" s="304">
        <v>0</v>
      </c>
      <c r="AO39" s="309">
        <f t="shared" si="71"/>
        <v>0</v>
      </c>
      <c r="AP39" s="304"/>
      <c r="AQ39" s="305"/>
      <c r="AR39" s="305"/>
      <c r="AS39" s="304"/>
    </row>
    <row r="40" spans="1:45" x14ac:dyDescent="0.3">
      <c r="A40" s="85">
        <f t="shared" si="2"/>
        <v>33</v>
      </c>
      <c r="B40" s="709"/>
      <c r="C40" s="710" t="s">
        <v>6</v>
      </c>
      <c r="D40" s="156"/>
      <c r="E40" s="121">
        <f>ROUND('Rates in Detail'!L33,5)</f>
        <v>2.5930000000000002E-2</v>
      </c>
      <c r="F40" s="121">
        <f>'Allocation = % of Margin'!AD34</f>
        <v>-2.1199999999999999E-3</v>
      </c>
      <c r="G40" s="156"/>
      <c r="H40" s="368">
        <f>ROUND('Rates in Detail'!N33,5)</f>
        <v>0.10467</v>
      </c>
      <c r="I40" s="758">
        <f t="shared" si="13"/>
        <v>0.13059999999999999</v>
      </c>
      <c r="J40" s="156"/>
      <c r="K40" s="727"/>
      <c r="L40" s="367"/>
      <c r="M40" s="121"/>
      <c r="N40" s="121"/>
      <c r="O40" s="121"/>
      <c r="P40" s="758"/>
      <c r="Q40" s="156"/>
      <c r="R40" s="293">
        <f>'WA Volumes &amp; Revenues'!E35</f>
        <v>59441.942130257296</v>
      </c>
      <c r="S40" s="306"/>
      <c r="T40" s="295"/>
      <c r="U40" s="296"/>
      <c r="V40" s="156"/>
      <c r="W40" s="308">
        <f t="shared" si="62"/>
        <v>6221.788082774031</v>
      </c>
      <c r="X40" s="304">
        <f t="shared" si="63"/>
        <v>0</v>
      </c>
      <c r="Y40" s="304">
        <f t="shared" si="64"/>
        <v>0</v>
      </c>
      <c r="Z40" s="309"/>
      <c r="AA40" s="304"/>
      <c r="AB40" s="308">
        <f t="shared" si="65"/>
        <v>7763.1176422116023</v>
      </c>
      <c r="AC40" s="304">
        <f t="shared" si="66"/>
        <v>0</v>
      </c>
      <c r="AD40" s="309">
        <f t="shared" si="67"/>
        <v>0</v>
      </c>
      <c r="AE40" s="304"/>
      <c r="AF40" s="308">
        <f t="shared" si="68"/>
        <v>1541.3295594375713</v>
      </c>
      <c r="AG40" s="304">
        <f t="shared" si="68"/>
        <v>0</v>
      </c>
      <c r="AH40" s="309">
        <f t="shared" si="69"/>
        <v>0</v>
      </c>
      <c r="AI40" s="304"/>
      <c r="AJ40" s="333"/>
      <c r="AK40" s="335">
        <f t="shared" si="16"/>
        <v>0.24773096398203875</v>
      </c>
      <c r="AL40" s="304"/>
      <c r="AM40" s="308">
        <f t="shared" si="70"/>
        <v>-126.01691731614547</v>
      </c>
      <c r="AN40" s="304">
        <v>0</v>
      </c>
      <c r="AO40" s="309">
        <f t="shared" si="71"/>
        <v>0</v>
      </c>
      <c r="AP40" s="304"/>
      <c r="AQ40" s="305"/>
      <c r="AR40" s="305"/>
      <c r="AS40" s="304"/>
    </row>
    <row r="41" spans="1:45" x14ac:dyDescent="0.3">
      <c r="A41" s="85">
        <f t="shared" si="2"/>
        <v>34</v>
      </c>
      <c r="B41" s="709"/>
      <c r="C41" s="710" t="s">
        <v>7</v>
      </c>
      <c r="D41" s="156"/>
      <c r="E41" s="121">
        <f>ROUND('Rates in Detail'!L34,5)</f>
        <v>2.0740000000000001E-2</v>
      </c>
      <c r="F41" s="121">
        <f>'Allocation = % of Margin'!AD35</f>
        <v>-1.6999999999999999E-3</v>
      </c>
      <c r="G41" s="156"/>
      <c r="H41" s="368">
        <f>ROUND('Rates in Detail'!N34,5)</f>
        <v>8.3729999999999999E-2</v>
      </c>
      <c r="I41" s="758">
        <f t="shared" si="13"/>
        <v>0.10447000000000001</v>
      </c>
      <c r="J41" s="156"/>
      <c r="K41" s="154"/>
      <c r="L41" s="155"/>
      <c r="M41" s="121"/>
      <c r="N41" s="121"/>
      <c r="O41" s="121"/>
      <c r="P41" s="758"/>
      <c r="Q41" s="156"/>
      <c r="R41" s="293">
        <f>'WA Volumes &amp; Revenues'!E36</f>
        <v>3614.6071898605187</v>
      </c>
      <c r="S41" s="306"/>
      <c r="T41" s="295"/>
      <c r="U41" s="296"/>
      <c r="V41" s="156"/>
      <c r="W41" s="308">
        <f t="shared" si="62"/>
        <v>302.65106000702121</v>
      </c>
      <c r="X41" s="304">
        <f t="shared" si="63"/>
        <v>0</v>
      </c>
      <c r="Y41" s="304">
        <f t="shared" si="64"/>
        <v>0</v>
      </c>
      <c r="Z41" s="309"/>
      <c r="AA41" s="304"/>
      <c r="AB41" s="308">
        <f t="shared" si="65"/>
        <v>377.61801312472841</v>
      </c>
      <c r="AC41" s="304">
        <f t="shared" si="66"/>
        <v>0</v>
      </c>
      <c r="AD41" s="309">
        <f t="shared" si="67"/>
        <v>0</v>
      </c>
      <c r="AE41" s="304"/>
      <c r="AF41" s="308">
        <f t="shared" si="68"/>
        <v>74.966953117707192</v>
      </c>
      <c r="AG41" s="304">
        <f t="shared" si="68"/>
        <v>0</v>
      </c>
      <c r="AH41" s="309">
        <f t="shared" si="69"/>
        <v>0</v>
      </c>
      <c r="AI41" s="304"/>
      <c r="AJ41" s="333"/>
      <c r="AK41" s="335">
        <f t="shared" si="16"/>
        <v>0.24770094350889776</v>
      </c>
      <c r="AL41" s="304"/>
      <c r="AM41" s="308">
        <f t="shared" si="70"/>
        <v>-6.1448322227628811</v>
      </c>
      <c r="AN41" s="304">
        <v>0</v>
      </c>
      <c r="AO41" s="309">
        <f t="shared" si="71"/>
        <v>0</v>
      </c>
      <c r="AP41" s="304"/>
      <c r="AQ41" s="305"/>
      <c r="AR41" s="305"/>
      <c r="AS41" s="304"/>
    </row>
    <row r="42" spans="1:45" x14ac:dyDescent="0.3">
      <c r="A42" s="85">
        <f t="shared" si="2"/>
        <v>35</v>
      </c>
      <c r="B42" s="709"/>
      <c r="C42" s="710" t="s">
        <v>8</v>
      </c>
      <c r="D42" s="156"/>
      <c r="E42" s="121">
        <f>ROUND('Rates in Detail'!L35,5)</f>
        <v>1.383E-2</v>
      </c>
      <c r="F42" s="121">
        <f>'Allocation = % of Margin'!AD36</f>
        <v>-1.1299999999999999E-3</v>
      </c>
      <c r="G42" s="156"/>
      <c r="H42" s="368">
        <f>ROUND('Rates in Detail'!N35,5)</f>
        <v>5.5809999999999998E-2</v>
      </c>
      <c r="I42" s="758">
        <f t="shared" si="13"/>
        <v>6.9639999999999994E-2</v>
      </c>
      <c r="J42" s="156"/>
      <c r="K42" s="154"/>
      <c r="L42" s="155"/>
      <c r="M42" s="121"/>
      <c r="N42" s="121"/>
      <c r="O42" s="121"/>
      <c r="P42" s="758"/>
      <c r="Q42" s="156"/>
      <c r="R42" s="293">
        <f>'WA Volumes &amp; Revenues'!E37</f>
        <v>0</v>
      </c>
      <c r="S42" s="306"/>
      <c r="T42" s="295"/>
      <c r="U42" s="296"/>
      <c r="V42" s="156"/>
      <c r="W42" s="308">
        <f t="shared" si="62"/>
        <v>0</v>
      </c>
      <c r="X42" s="304">
        <f t="shared" si="63"/>
        <v>0</v>
      </c>
      <c r="Y42" s="304">
        <f t="shared" si="64"/>
        <v>0</v>
      </c>
      <c r="Z42" s="309"/>
      <c r="AA42" s="304"/>
      <c r="AB42" s="308">
        <f t="shared" si="65"/>
        <v>0</v>
      </c>
      <c r="AC42" s="304">
        <f t="shared" si="66"/>
        <v>0</v>
      </c>
      <c r="AD42" s="309">
        <f t="shared" si="67"/>
        <v>0</v>
      </c>
      <c r="AE42" s="304"/>
      <c r="AF42" s="308">
        <f t="shared" si="68"/>
        <v>0</v>
      </c>
      <c r="AG42" s="304">
        <f t="shared" si="68"/>
        <v>0</v>
      </c>
      <c r="AH42" s="309">
        <f t="shared" si="69"/>
        <v>0</v>
      </c>
      <c r="AI42" s="304"/>
      <c r="AJ42" s="333"/>
      <c r="AK42" s="335">
        <f>AK41</f>
        <v>0.24770094350889776</v>
      </c>
      <c r="AL42" s="304"/>
      <c r="AM42" s="308">
        <f t="shared" si="70"/>
        <v>0</v>
      </c>
      <c r="AN42" s="304">
        <v>0</v>
      </c>
      <c r="AO42" s="309">
        <f t="shared" si="71"/>
        <v>0</v>
      </c>
      <c r="AP42" s="304"/>
      <c r="AQ42" s="305"/>
      <c r="AR42" s="305"/>
      <c r="AS42" s="304"/>
    </row>
    <row r="43" spans="1:45" x14ac:dyDescent="0.3">
      <c r="A43" s="85">
        <f t="shared" si="2"/>
        <v>36</v>
      </c>
      <c r="B43" s="709"/>
      <c r="C43" s="710" t="s">
        <v>9</v>
      </c>
      <c r="D43" s="156"/>
      <c r="E43" s="121">
        <f>ROUND('Rates in Detail'!L36,5)</f>
        <v>5.1799999999999997E-3</v>
      </c>
      <c r="F43" s="121">
        <f>'Allocation = % of Margin'!AD37</f>
        <v>-4.2000000000000002E-4</v>
      </c>
      <c r="G43" s="156"/>
      <c r="H43" s="368">
        <f>ROUND('Rates in Detail'!N36,5)</f>
        <v>2.0920000000000001E-2</v>
      </c>
      <c r="I43" s="758">
        <f t="shared" si="13"/>
        <v>2.6100000000000002E-2</v>
      </c>
      <c r="J43" s="156"/>
      <c r="K43" s="727"/>
      <c r="L43" s="367"/>
      <c r="M43" s="121"/>
      <c r="N43" s="121"/>
      <c r="O43" s="121"/>
      <c r="P43" s="758"/>
      <c r="Q43" s="156"/>
      <c r="R43" s="293">
        <f>'WA Volumes &amp; Revenues'!E38</f>
        <v>0</v>
      </c>
      <c r="S43" s="306"/>
      <c r="T43" s="295"/>
      <c r="U43" s="296"/>
      <c r="V43" s="156"/>
      <c r="W43" s="308">
        <f t="shared" si="62"/>
        <v>0</v>
      </c>
      <c r="X43" s="304">
        <f t="shared" si="63"/>
        <v>0</v>
      </c>
      <c r="Y43" s="304">
        <f t="shared" si="64"/>
        <v>0</v>
      </c>
      <c r="Z43" s="309"/>
      <c r="AA43" s="304"/>
      <c r="AB43" s="308">
        <f t="shared" si="65"/>
        <v>0</v>
      </c>
      <c r="AC43" s="304">
        <f t="shared" si="66"/>
        <v>0</v>
      </c>
      <c r="AD43" s="309">
        <f t="shared" si="67"/>
        <v>0</v>
      </c>
      <c r="AE43" s="304"/>
      <c r="AF43" s="308">
        <f t="shared" si="68"/>
        <v>0</v>
      </c>
      <c r="AG43" s="304">
        <f t="shared" si="68"/>
        <v>0</v>
      </c>
      <c r="AH43" s="309">
        <f t="shared" si="69"/>
        <v>0</v>
      </c>
      <c r="AI43" s="304"/>
      <c r="AJ43" s="333"/>
      <c r="AK43" s="335">
        <f>AK42</f>
        <v>0.24770094350889776</v>
      </c>
      <c r="AL43" s="304"/>
      <c r="AM43" s="308">
        <f t="shared" si="70"/>
        <v>0</v>
      </c>
      <c r="AN43" s="304">
        <v>0</v>
      </c>
      <c r="AO43" s="309">
        <f t="shared" si="71"/>
        <v>0</v>
      </c>
      <c r="AP43" s="304"/>
      <c r="AQ43" s="305"/>
      <c r="AR43" s="305"/>
      <c r="AS43" s="304"/>
    </row>
    <row r="44" spans="1:45" x14ac:dyDescent="0.3">
      <c r="A44" s="85">
        <f t="shared" si="2"/>
        <v>37</v>
      </c>
      <c r="B44" s="707"/>
      <c r="C44" s="726" t="s">
        <v>76</v>
      </c>
      <c r="D44" s="152"/>
      <c r="E44" s="122"/>
      <c r="F44" s="122"/>
      <c r="G44" s="152"/>
      <c r="H44" s="363"/>
      <c r="I44" s="757"/>
      <c r="J44" s="156"/>
      <c r="K44" s="727"/>
      <c r="L44" s="367"/>
      <c r="M44" s="121"/>
      <c r="N44" s="121"/>
      <c r="O44" s="121"/>
      <c r="P44" s="758"/>
      <c r="Q44" s="156"/>
      <c r="R44" s="293"/>
      <c r="S44" s="306"/>
      <c r="T44" s="295"/>
      <c r="U44" s="296"/>
      <c r="V44" s="156"/>
      <c r="W44" s="310">
        <f>SUM(W38:W43)</f>
        <v>101365.3040668843</v>
      </c>
      <c r="X44" s="311">
        <f>SUM(X38:X43)</f>
        <v>78000</v>
      </c>
      <c r="Y44" s="311">
        <f>SUM(Y38:Y43)</f>
        <v>29339.765160000003</v>
      </c>
      <c r="Z44" s="312">
        <f>'Rate Spread SETTLEMENT'!Q$15-SUM(W44:Y44)</f>
        <v>10869.531612934952</v>
      </c>
      <c r="AA44" s="304"/>
      <c r="AB44" s="310">
        <f>SUM(AB38:AB43)</f>
        <v>126477.60148522707</v>
      </c>
      <c r="AC44" s="311">
        <f>SUM(AC38:AC43)</f>
        <v>78000</v>
      </c>
      <c r="AD44" s="312">
        <f>SUM(AD38:AD43)</f>
        <v>29339.765160000003</v>
      </c>
      <c r="AE44" s="304"/>
      <c r="AF44" s="310">
        <f>SUM(AF38:AF43)</f>
        <v>25112.297418342769</v>
      </c>
      <c r="AG44" s="311">
        <f>SUM(AG38:AG43)</f>
        <v>0</v>
      </c>
      <c r="AH44" s="312">
        <f>SUM(AH38:AH43)</f>
        <v>0</v>
      </c>
      <c r="AI44" s="304"/>
      <c r="AJ44" s="333">
        <f>SUM(AF44:AH44)/SUM(W44:Y44)</f>
        <v>0.1203243290226126</v>
      </c>
      <c r="AK44" s="334">
        <f>SUM(AF44)/SUM(W44)</f>
        <v>0.24774056221222218</v>
      </c>
      <c r="AL44" s="304"/>
      <c r="AM44" s="310">
        <f>SUM(AM38:AM43)</f>
        <v>-2055.595853643305</v>
      </c>
      <c r="AN44" s="311">
        <f>SUM(AN38:AN43)</f>
        <v>0</v>
      </c>
      <c r="AO44" s="312">
        <f>SUM(AO38:AO43)</f>
        <v>0</v>
      </c>
      <c r="AP44" s="304"/>
      <c r="AQ44" s="305"/>
      <c r="AR44" s="305"/>
      <c r="AS44" s="304"/>
    </row>
    <row r="45" spans="1:45" x14ac:dyDescent="0.3">
      <c r="A45" s="85">
        <f t="shared" si="2"/>
        <v>38</v>
      </c>
      <c r="B45" s="709" t="str">
        <f>'WA Volumes &amp; Revenues'!B39</f>
        <v>42I Firm Sales</v>
      </c>
      <c r="C45" s="710" t="s">
        <v>4</v>
      </c>
      <c r="D45" s="156"/>
      <c r="E45" s="121">
        <f>ROUND('Rates in Detail'!L37,5)</f>
        <v>1.6219999999999998E-2</v>
      </c>
      <c r="F45" s="121">
        <f>'Allocation = % of Margin'!AD38</f>
        <v>-2.7499999999999998E-3</v>
      </c>
      <c r="G45" s="156"/>
      <c r="H45" s="368">
        <f>ROUND('Rates in Detail'!N37,5)</f>
        <v>0.14721000000000001</v>
      </c>
      <c r="I45" s="758">
        <f t="shared" si="13"/>
        <v>0.16343000000000002</v>
      </c>
      <c r="J45" s="156"/>
      <c r="K45" s="154">
        <f>'WA Volumes &amp; Revenues'!O39</f>
        <v>1300</v>
      </c>
      <c r="L45" s="155">
        <f>'WA Volumes &amp; Revenues'!N39</f>
        <v>1300</v>
      </c>
      <c r="M45" s="121">
        <f>'Rates in Detail'!AR37</f>
        <v>0.15748000000000001</v>
      </c>
      <c r="N45" s="121">
        <f>'Rates in Detail'!AS37</f>
        <v>0.15748000000000001</v>
      </c>
      <c r="O45" s="121">
        <f>'Rates in Detail'!AT37</f>
        <v>0.20415</v>
      </c>
      <c r="P45" s="758">
        <f>'Rates in Detail'!AU37</f>
        <v>0.20415</v>
      </c>
      <c r="Q45" s="156"/>
      <c r="R45" s="293">
        <f>'WA Volumes &amp; Revenues'!E39</f>
        <v>1093724.2000000002</v>
      </c>
      <c r="S45" s="306">
        <v>9556</v>
      </c>
      <c r="T45" s="295">
        <f>'WA Volumes &amp; Revenues'!H39</f>
        <v>11.916666666666666</v>
      </c>
      <c r="U45" s="296">
        <f>'WA Volumes &amp; Revenues'!I39</f>
        <v>12869</v>
      </c>
      <c r="V45" s="156"/>
      <c r="W45" s="308">
        <f t="shared" ref="W45:W50" si="72">(H45*R45)</f>
        <v>161007.13948200003</v>
      </c>
      <c r="X45" s="304">
        <f t="shared" ref="X45:X50" si="73">(K45*T45*12)</f>
        <v>185900</v>
      </c>
      <c r="Y45" s="304">
        <f t="shared" ref="Y45:Y50" si="74">(S45*(M45+O45))*12</f>
        <v>41468.835359999997</v>
      </c>
      <c r="Z45" s="309"/>
      <c r="AA45" s="304"/>
      <c r="AB45" s="308">
        <f t="shared" ref="AB45:AB50" si="75">(I45*R45)</f>
        <v>178747.34600600007</v>
      </c>
      <c r="AC45" s="304">
        <f t="shared" ref="AC45:AC50" si="76">(L45*T45*12)</f>
        <v>185900</v>
      </c>
      <c r="AD45" s="309">
        <f t="shared" ref="AD45:AD50" si="77">(S45*(N45+P45))*12</f>
        <v>41468.835359999997</v>
      </c>
      <c r="AE45" s="304"/>
      <c r="AF45" s="308">
        <f t="shared" ref="AF45:AG50" si="78">AB45-W45</f>
        <v>17740.206524000037</v>
      </c>
      <c r="AG45" s="304">
        <f t="shared" si="78"/>
        <v>0</v>
      </c>
      <c r="AH45" s="309">
        <f t="shared" ref="AH45:AH50" si="79">AD45-Y45</f>
        <v>0</v>
      </c>
      <c r="AI45" s="304"/>
      <c r="AJ45" s="333"/>
      <c r="AK45" s="335">
        <f>SUM(AF45)/SUM(W45)</f>
        <v>0.11018273215134863</v>
      </c>
      <c r="AL45" s="304"/>
      <c r="AM45" s="308">
        <f t="shared" ref="AM45:AM50" si="80">(F45*R45)</f>
        <v>-3007.7415500000002</v>
      </c>
      <c r="AN45" s="304">
        <v>0</v>
      </c>
      <c r="AO45" s="309">
        <f t="shared" ref="AO45:AO50" si="81">(AE45*(Y45+AB45))*12</f>
        <v>0</v>
      </c>
      <c r="AP45" s="304"/>
      <c r="AQ45" s="305"/>
      <c r="AR45" s="305"/>
      <c r="AS45" s="304"/>
    </row>
    <row r="46" spans="1:45" x14ac:dyDescent="0.3">
      <c r="A46" s="85">
        <f t="shared" si="2"/>
        <v>39</v>
      </c>
      <c r="B46" s="709"/>
      <c r="C46" s="710" t="s">
        <v>5</v>
      </c>
      <c r="D46" s="156"/>
      <c r="E46" s="121">
        <f>ROUND('Rates in Detail'!L38,5)</f>
        <v>1.452E-2</v>
      </c>
      <c r="F46" s="121">
        <f>'Allocation = % of Margin'!AD39</f>
        <v>-2.4599999999999999E-3</v>
      </c>
      <c r="G46" s="156"/>
      <c r="H46" s="368">
        <f>ROUND('Rates in Detail'!N38,5)</f>
        <v>0.13177</v>
      </c>
      <c r="I46" s="758">
        <f t="shared" si="13"/>
        <v>0.14629</v>
      </c>
      <c r="J46" s="156"/>
      <c r="K46" s="154"/>
      <c r="L46" s="155"/>
      <c r="M46" s="121"/>
      <c r="N46" s="121"/>
      <c r="O46" s="121"/>
      <c r="P46" s="758"/>
      <c r="Q46" s="156"/>
      <c r="R46" s="293">
        <f>'WA Volumes &amp; Revenues'!E40</f>
        <v>655939.80000000005</v>
      </c>
      <c r="S46" s="306"/>
      <c r="T46" s="295"/>
      <c r="U46" s="296"/>
      <c r="V46" s="156"/>
      <c r="W46" s="308">
        <f t="shared" si="72"/>
        <v>86433.187446000011</v>
      </c>
      <c r="X46" s="304">
        <f t="shared" si="73"/>
        <v>0</v>
      </c>
      <c r="Y46" s="304">
        <f t="shared" si="74"/>
        <v>0</v>
      </c>
      <c r="Z46" s="309"/>
      <c r="AA46" s="304"/>
      <c r="AB46" s="308">
        <f t="shared" si="75"/>
        <v>95957.433342000004</v>
      </c>
      <c r="AC46" s="304">
        <f t="shared" si="76"/>
        <v>0</v>
      </c>
      <c r="AD46" s="309">
        <f t="shared" si="77"/>
        <v>0</v>
      </c>
      <c r="AE46" s="304"/>
      <c r="AF46" s="308">
        <f t="shared" si="78"/>
        <v>9524.2458959999931</v>
      </c>
      <c r="AG46" s="304">
        <f t="shared" si="78"/>
        <v>0</v>
      </c>
      <c r="AH46" s="309">
        <f t="shared" si="79"/>
        <v>0</v>
      </c>
      <c r="AI46" s="304"/>
      <c r="AJ46" s="333"/>
      <c r="AK46" s="335">
        <f>SUM(AF46)/SUM(W46)</f>
        <v>0.11019200121423683</v>
      </c>
      <c r="AL46" s="304"/>
      <c r="AM46" s="308">
        <f t="shared" si="80"/>
        <v>-1613.6119080000001</v>
      </c>
      <c r="AN46" s="304">
        <v>0</v>
      </c>
      <c r="AO46" s="309">
        <f t="shared" si="81"/>
        <v>0</v>
      </c>
      <c r="AP46" s="304"/>
      <c r="AQ46" s="305"/>
      <c r="AR46" s="305"/>
      <c r="AS46" s="304"/>
    </row>
    <row r="47" spans="1:45" x14ac:dyDescent="0.3">
      <c r="A47" s="85">
        <f t="shared" si="2"/>
        <v>40</v>
      </c>
      <c r="B47" s="709"/>
      <c r="C47" s="710" t="s">
        <v>6</v>
      </c>
      <c r="D47" s="156"/>
      <c r="E47" s="121">
        <f>ROUND('Rates in Detail'!L39,5)</f>
        <v>1.1129999999999999E-2</v>
      </c>
      <c r="F47" s="121">
        <f>'Allocation = % of Margin'!AD40</f>
        <v>-1.89E-3</v>
      </c>
      <c r="G47" s="156"/>
      <c r="H47" s="368">
        <f>ROUND('Rates in Detail'!N39,5)</f>
        <v>0.10105</v>
      </c>
      <c r="I47" s="758">
        <f t="shared" si="13"/>
        <v>0.11218</v>
      </c>
      <c r="J47" s="156"/>
      <c r="K47" s="154"/>
      <c r="L47" s="155"/>
      <c r="M47" s="121"/>
      <c r="N47" s="121"/>
      <c r="O47" s="121"/>
      <c r="P47" s="758"/>
      <c r="Q47" s="156"/>
      <c r="R47" s="293">
        <f>'WA Volumes &amp; Revenues'!E41</f>
        <v>81241.3</v>
      </c>
      <c r="S47" s="306"/>
      <c r="T47" s="295"/>
      <c r="U47" s="296"/>
      <c r="V47" s="156"/>
      <c r="W47" s="308">
        <f t="shared" si="72"/>
        <v>8209.4333650000008</v>
      </c>
      <c r="X47" s="304">
        <f t="shared" si="73"/>
        <v>0</v>
      </c>
      <c r="Y47" s="304">
        <f t="shared" si="74"/>
        <v>0</v>
      </c>
      <c r="Z47" s="309"/>
      <c r="AA47" s="304"/>
      <c r="AB47" s="308">
        <f t="shared" si="75"/>
        <v>9113.649034</v>
      </c>
      <c r="AC47" s="304">
        <f t="shared" si="76"/>
        <v>0</v>
      </c>
      <c r="AD47" s="309">
        <f t="shared" si="77"/>
        <v>0</v>
      </c>
      <c r="AE47" s="304"/>
      <c r="AF47" s="308">
        <f t="shared" si="78"/>
        <v>904.21566899999925</v>
      </c>
      <c r="AG47" s="304">
        <f t="shared" si="78"/>
        <v>0</v>
      </c>
      <c r="AH47" s="309">
        <f t="shared" si="79"/>
        <v>0</v>
      </c>
      <c r="AI47" s="304"/>
      <c r="AJ47" s="333"/>
      <c r="AK47" s="335">
        <f>SUM(AF47)/SUM(W47)</f>
        <v>0.11014349332013844</v>
      </c>
      <c r="AL47" s="304"/>
      <c r="AM47" s="308">
        <f t="shared" si="80"/>
        <v>-153.54605699999999</v>
      </c>
      <c r="AN47" s="304">
        <v>0</v>
      </c>
      <c r="AO47" s="309">
        <f t="shared" si="81"/>
        <v>0</v>
      </c>
      <c r="AP47" s="304"/>
      <c r="AQ47" s="305"/>
      <c r="AR47" s="305"/>
      <c r="AS47" s="304"/>
    </row>
    <row r="48" spans="1:45" x14ac:dyDescent="0.3">
      <c r="A48" s="85">
        <f t="shared" si="2"/>
        <v>41</v>
      </c>
      <c r="B48" s="709"/>
      <c r="C48" s="710" t="s">
        <v>7</v>
      </c>
      <c r="D48" s="156"/>
      <c r="E48" s="121">
        <f>ROUND('Rates in Detail'!L40,5)</f>
        <v>8.9099999999999995E-3</v>
      </c>
      <c r="F48" s="121">
        <f>'Allocation = % of Margin'!AD41</f>
        <v>-1.5100000000000001E-3</v>
      </c>
      <c r="G48" s="156"/>
      <c r="H48" s="368">
        <f>ROUND('Rates in Detail'!N40,5)</f>
        <v>8.0839999999999995E-2</v>
      </c>
      <c r="I48" s="758">
        <f t="shared" si="13"/>
        <v>8.9749999999999996E-2</v>
      </c>
      <c r="J48" s="156"/>
      <c r="K48" s="154"/>
      <c r="L48" s="155"/>
      <c r="M48" s="121"/>
      <c r="N48" s="121"/>
      <c r="O48" s="121"/>
      <c r="P48" s="758"/>
      <c r="Q48" s="156"/>
      <c r="R48" s="293">
        <f>'WA Volumes &amp; Revenues'!E42</f>
        <v>9320.1</v>
      </c>
      <c r="S48" s="306"/>
      <c r="T48" s="295"/>
      <c r="U48" s="296"/>
      <c r="V48" s="156"/>
      <c r="W48" s="308">
        <f t="shared" si="72"/>
        <v>753.43688399999996</v>
      </c>
      <c r="X48" s="304">
        <f t="shared" si="73"/>
        <v>0</v>
      </c>
      <c r="Y48" s="304">
        <f t="shared" si="74"/>
        <v>0</v>
      </c>
      <c r="Z48" s="309"/>
      <c r="AA48" s="304"/>
      <c r="AB48" s="308">
        <f t="shared" si="75"/>
        <v>836.47897499999999</v>
      </c>
      <c r="AC48" s="304">
        <f t="shared" si="76"/>
        <v>0</v>
      </c>
      <c r="AD48" s="309">
        <f t="shared" si="77"/>
        <v>0</v>
      </c>
      <c r="AE48" s="304"/>
      <c r="AF48" s="308">
        <f t="shared" si="78"/>
        <v>83.042091000000028</v>
      </c>
      <c r="AG48" s="304">
        <f t="shared" si="78"/>
        <v>0</v>
      </c>
      <c r="AH48" s="309">
        <f t="shared" si="79"/>
        <v>0</v>
      </c>
      <c r="AI48" s="304"/>
      <c r="AJ48" s="333"/>
      <c r="AK48" s="335">
        <f>SUM(AF48)/SUM(W48)</f>
        <v>0.11021771400296887</v>
      </c>
      <c r="AL48" s="304"/>
      <c r="AM48" s="308">
        <f t="shared" si="80"/>
        <v>-14.073351000000001</v>
      </c>
      <c r="AN48" s="304">
        <v>0</v>
      </c>
      <c r="AO48" s="309">
        <f t="shared" si="81"/>
        <v>0</v>
      </c>
      <c r="AP48" s="304"/>
      <c r="AQ48" s="305"/>
      <c r="AR48" s="305"/>
      <c r="AS48" s="304"/>
    </row>
    <row r="49" spans="1:45" x14ac:dyDescent="0.3">
      <c r="A49" s="85">
        <f t="shared" si="2"/>
        <v>42</v>
      </c>
      <c r="B49" s="709"/>
      <c r="C49" s="710" t="s">
        <v>8</v>
      </c>
      <c r="D49" s="156"/>
      <c r="E49" s="121">
        <f>ROUND('Rates in Detail'!L41,5)</f>
        <v>5.94E-3</v>
      </c>
      <c r="F49" s="121">
        <f>'Allocation = % of Margin'!AD42</f>
        <v>-1.01E-3</v>
      </c>
      <c r="G49" s="156"/>
      <c r="H49" s="368">
        <f>ROUND('Rates in Detail'!N41,5)</f>
        <v>5.391E-2</v>
      </c>
      <c r="I49" s="758">
        <f t="shared" si="13"/>
        <v>5.985E-2</v>
      </c>
      <c r="J49" s="156"/>
      <c r="K49" s="154"/>
      <c r="L49" s="155"/>
      <c r="M49" s="121"/>
      <c r="N49" s="121"/>
      <c r="O49" s="121"/>
      <c r="P49" s="758"/>
      <c r="Q49" s="156"/>
      <c r="R49" s="293">
        <f>'WA Volumes &amp; Revenues'!E43</f>
        <v>0</v>
      </c>
      <c r="S49" s="306"/>
      <c r="T49" s="295"/>
      <c r="U49" s="296"/>
      <c r="V49" s="156"/>
      <c r="W49" s="308">
        <f t="shared" si="72"/>
        <v>0</v>
      </c>
      <c r="X49" s="304">
        <f t="shared" si="73"/>
        <v>0</v>
      </c>
      <c r="Y49" s="304">
        <f t="shared" si="74"/>
        <v>0</v>
      </c>
      <c r="Z49" s="309"/>
      <c r="AA49" s="304"/>
      <c r="AB49" s="308">
        <f t="shared" si="75"/>
        <v>0</v>
      </c>
      <c r="AC49" s="304">
        <f t="shared" si="76"/>
        <v>0</v>
      </c>
      <c r="AD49" s="309">
        <f t="shared" si="77"/>
        <v>0</v>
      </c>
      <c r="AE49" s="304"/>
      <c r="AF49" s="308">
        <f t="shared" si="78"/>
        <v>0</v>
      </c>
      <c r="AG49" s="304">
        <f t="shared" si="78"/>
        <v>0</v>
      </c>
      <c r="AH49" s="309">
        <f t="shared" si="79"/>
        <v>0</v>
      </c>
      <c r="AI49" s="304"/>
      <c r="AJ49" s="333"/>
      <c r="AK49" s="335">
        <f>AK48</f>
        <v>0.11021771400296887</v>
      </c>
      <c r="AL49" s="304"/>
      <c r="AM49" s="308">
        <f t="shared" si="80"/>
        <v>0</v>
      </c>
      <c r="AN49" s="304">
        <v>0</v>
      </c>
      <c r="AO49" s="309">
        <f t="shared" si="81"/>
        <v>0</v>
      </c>
      <c r="AP49" s="304"/>
      <c r="AQ49" s="305"/>
      <c r="AR49" s="305"/>
      <c r="AS49" s="304"/>
    </row>
    <row r="50" spans="1:45" x14ac:dyDescent="0.3">
      <c r="A50" s="85">
        <f t="shared" si="2"/>
        <v>43</v>
      </c>
      <c r="B50" s="709"/>
      <c r="C50" s="710" t="s">
        <v>9</v>
      </c>
      <c r="D50" s="156"/>
      <c r="E50" s="121">
        <f>ROUND('Rates in Detail'!L42,5)</f>
        <v>2.2300000000000002E-3</v>
      </c>
      <c r="F50" s="121">
        <f>'Allocation = % of Margin'!AD43</f>
        <v>-3.8000000000000002E-4</v>
      </c>
      <c r="G50" s="156"/>
      <c r="H50" s="368">
        <f>ROUND('Rates in Detail'!N42,5)</f>
        <v>2.0199999999999999E-2</v>
      </c>
      <c r="I50" s="758">
        <f t="shared" si="13"/>
        <v>2.2429999999999999E-2</v>
      </c>
      <c r="J50" s="156"/>
      <c r="K50" s="154"/>
      <c r="L50" s="155"/>
      <c r="M50" s="121"/>
      <c r="N50" s="121"/>
      <c r="O50" s="121"/>
      <c r="P50" s="758"/>
      <c r="Q50" s="156"/>
      <c r="R50" s="293">
        <f>'WA Volumes &amp; Revenues'!E44</f>
        <v>0</v>
      </c>
      <c r="S50" s="306"/>
      <c r="T50" s="295"/>
      <c r="U50" s="296"/>
      <c r="V50" s="156"/>
      <c r="W50" s="308">
        <f t="shared" si="72"/>
        <v>0</v>
      </c>
      <c r="X50" s="304">
        <f t="shared" si="73"/>
        <v>0</v>
      </c>
      <c r="Y50" s="304">
        <f t="shared" si="74"/>
        <v>0</v>
      </c>
      <c r="Z50" s="309"/>
      <c r="AA50" s="304"/>
      <c r="AB50" s="308">
        <f t="shared" si="75"/>
        <v>0</v>
      </c>
      <c r="AC50" s="304">
        <f t="shared" si="76"/>
        <v>0</v>
      </c>
      <c r="AD50" s="309">
        <f t="shared" si="77"/>
        <v>0</v>
      </c>
      <c r="AE50" s="304"/>
      <c r="AF50" s="308">
        <f t="shared" si="78"/>
        <v>0</v>
      </c>
      <c r="AG50" s="304">
        <f t="shared" si="78"/>
        <v>0</v>
      </c>
      <c r="AH50" s="309">
        <f t="shared" si="79"/>
        <v>0</v>
      </c>
      <c r="AI50" s="304"/>
      <c r="AJ50" s="333"/>
      <c r="AK50" s="335">
        <f>AK49</f>
        <v>0.11021771400296887</v>
      </c>
      <c r="AL50" s="304"/>
      <c r="AM50" s="308">
        <f t="shared" si="80"/>
        <v>0</v>
      </c>
      <c r="AN50" s="304">
        <v>0</v>
      </c>
      <c r="AO50" s="309">
        <f t="shared" si="81"/>
        <v>0</v>
      </c>
      <c r="AP50" s="304"/>
      <c r="AQ50" s="305"/>
      <c r="AR50" s="305"/>
      <c r="AS50" s="304"/>
    </row>
    <row r="51" spans="1:45" x14ac:dyDescent="0.3">
      <c r="A51" s="85">
        <f t="shared" si="2"/>
        <v>44</v>
      </c>
      <c r="B51" s="707"/>
      <c r="C51" s="726" t="s">
        <v>76</v>
      </c>
      <c r="D51" s="152"/>
      <c r="E51" s="122"/>
      <c r="F51" s="122"/>
      <c r="G51" s="152"/>
      <c r="H51" s="363"/>
      <c r="I51" s="757"/>
      <c r="J51" s="156"/>
      <c r="K51" s="154"/>
      <c r="L51" s="155"/>
      <c r="M51" s="121"/>
      <c r="N51" s="121"/>
      <c r="O51" s="121"/>
      <c r="P51" s="758"/>
      <c r="Q51" s="156"/>
      <c r="R51" s="293"/>
      <c r="S51" s="306"/>
      <c r="T51" s="295"/>
      <c r="U51" s="296"/>
      <c r="V51" s="156"/>
      <c r="W51" s="310">
        <f>SUM(W45:W50)</f>
        <v>256403.19717700002</v>
      </c>
      <c r="X51" s="311">
        <f>SUM(X45:X50)</f>
        <v>185900</v>
      </c>
      <c r="Y51" s="311">
        <f>SUM(Y45:Y50)</f>
        <v>41468.835359999997</v>
      </c>
      <c r="Z51" s="312">
        <f>'Rate Spread SETTLEMENT'!R$15-SUM(W51:Y51)</f>
        <v>27900.346800891217</v>
      </c>
      <c r="AA51" s="304"/>
      <c r="AB51" s="310">
        <f>SUM(AB45:AB50)</f>
        <v>284654.90735700005</v>
      </c>
      <c r="AC51" s="311">
        <f>SUM(AC45:AC50)</f>
        <v>185900</v>
      </c>
      <c r="AD51" s="312">
        <f>SUM(AD45:AD50)</f>
        <v>41468.835359999997</v>
      </c>
      <c r="AE51" s="304"/>
      <c r="AF51" s="310">
        <f>SUM(AF45:AF50)</f>
        <v>28251.710180000027</v>
      </c>
      <c r="AG51" s="311">
        <f>SUM(AG45:AG50)</f>
        <v>0</v>
      </c>
      <c r="AH51" s="312">
        <f>SUM(AH45:AH50)</f>
        <v>0</v>
      </c>
      <c r="AI51" s="304"/>
      <c r="AJ51" s="333">
        <f>SUM(AF51:AH51)/SUM(W51:Y51)</f>
        <v>5.8398808281335014E-2</v>
      </c>
      <c r="AK51" s="334">
        <f t="shared" ref="AK51:AK56" si="82">SUM(AF51)/SUM(W51)</f>
        <v>0.11018470319813263</v>
      </c>
      <c r="AL51" s="304"/>
      <c r="AM51" s="310">
        <f>SUM(AM45:AM50)</f>
        <v>-4788.9728660000001</v>
      </c>
      <c r="AN51" s="311">
        <f>SUM(AN45:AN50)</f>
        <v>0</v>
      </c>
      <c r="AO51" s="312">
        <f>SUM(AO45:AO50)</f>
        <v>0</v>
      </c>
      <c r="AP51" s="304"/>
      <c r="AQ51" s="305"/>
      <c r="AR51" s="305"/>
      <c r="AS51" s="304"/>
    </row>
    <row r="52" spans="1:45" x14ac:dyDescent="0.3">
      <c r="A52" s="85">
        <f t="shared" si="2"/>
        <v>45</v>
      </c>
      <c r="B52" s="709" t="str">
        <f>'WA Volumes &amp; Revenues'!B45</f>
        <v>42C Firm Transpt</v>
      </c>
      <c r="C52" s="710" t="s">
        <v>4</v>
      </c>
      <c r="D52" s="156"/>
      <c r="E52" s="121">
        <f>ROUND('Rates in Detail'!L43,5)</f>
        <v>1.295E-2</v>
      </c>
      <c r="F52" s="121">
        <f>'Allocation = % of Margin'!AD44</f>
        <v>-1.75E-3</v>
      </c>
      <c r="G52" s="156"/>
      <c r="H52" s="368">
        <f>ROUND('Rates in Detail'!N43,5)</f>
        <v>0.13791999999999999</v>
      </c>
      <c r="I52" s="758">
        <f t="shared" si="13"/>
        <v>0.15086999999999998</v>
      </c>
      <c r="J52" s="156"/>
      <c r="K52" s="154">
        <f>'WA Volumes &amp; Revenues'!O45</f>
        <v>1550</v>
      </c>
      <c r="L52" s="155">
        <f>'WA Volumes &amp; Revenues'!N45</f>
        <v>1550</v>
      </c>
      <c r="M52" s="121">
        <f>'Rates in Detail'!AR43</f>
        <v>0.15748000000000001</v>
      </c>
      <c r="N52" s="121">
        <f>'Rates in Detail'!AS43</f>
        <v>0.15748000000000001</v>
      </c>
      <c r="O52" s="121">
        <f>'Rates in Detail'!AT43</f>
        <v>0</v>
      </c>
      <c r="P52" s="758">
        <f>'Rates in Detail'!AU43</f>
        <v>0</v>
      </c>
      <c r="Q52" s="156"/>
      <c r="R52" s="293">
        <f>'WA Volumes &amp; Revenues'!E45</f>
        <v>480000</v>
      </c>
      <c r="S52" s="306">
        <v>10479</v>
      </c>
      <c r="T52" s="295">
        <f>'WA Volumes &amp; Revenues'!H45</f>
        <v>4</v>
      </c>
      <c r="U52" s="296">
        <f>'WA Volumes &amp; Revenues'!I45</f>
        <v>51470</v>
      </c>
      <c r="V52" s="156"/>
      <c r="W52" s="308">
        <f t="shared" ref="W52:W57" si="83">(H52*R52)</f>
        <v>66201.599999999991</v>
      </c>
      <c r="X52" s="304">
        <f t="shared" ref="X52:X57" si="84">(K52*T52*12)</f>
        <v>74400</v>
      </c>
      <c r="Y52" s="304">
        <f t="shared" ref="Y52:Y57" si="85">(S52*(M52+O52))*12</f>
        <v>19802.795040000001</v>
      </c>
      <c r="Z52" s="309"/>
      <c r="AA52" s="304"/>
      <c r="AB52" s="308">
        <f t="shared" ref="AB52:AB57" si="86">(I52*R52)</f>
        <v>72417.599999999991</v>
      </c>
      <c r="AC52" s="304">
        <f t="shared" ref="AC52:AC57" si="87">(L52*T52*12)</f>
        <v>74400</v>
      </c>
      <c r="AD52" s="309">
        <f t="shared" ref="AD52:AD57" si="88">(S52*(N52+P52))*12</f>
        <v>19802.795040000001</v>
      </c>
      <c r="AE52" s="304"/>
      <c r="AF52" s="308">
        <f t="shared" ref="AF52:AG57" si="89">AB52-W52</f>
        <v>6216</v>
      </c>
      <c r="AG52" s="304">
        <f t="shared" si="89"/>
        <v>0</v>
      </c>
      <c r="AH52" s="309">
        <f t="shared" ref="AH52:AH57" si="90">AD52-Y52</f>
        <v>0</v>
      </c>
      <c r="AI52" s="304"/>
      <c r="AJ52" s="333"/>
      <c r="AK52" s="335">
        <f t="shared" si="82"/>
        <v>9.3895011600928086E-2</v>
      </c>
      <c r="AL52" s="304"/>
      <c r="AM52" s="308">
        <f t="shared" ref="AM52:AM57" si="91">(F52*R52)</f>
        <v>-840</v>
      </c>
      <c r="AN52" s="304">
        <v>0</v>
      </c>
      <c r="AO52" s="309">
        <f t="shared" ref="AO52:AO57" si="92">(AE52*(Y52+AB52))*12</f>
        <v>0</v>
      </c>
      <c r="AP52" s="304"/>
      <c r="AQ52" s="305"/>
      <c r="AR52" s="305"/>
      <c r="AS52" s="304"/>
    </row>
    <row r="53" spans="1:45" x14ac:dyDescent="0.3">
      <c r="A53" s="85">
        <f t="shared" si="2"/>
        <v>46</v>
      </c>
      <c r="B53" s="709"/>
      <c r="C53" s="710" t="s">
        <v>5</v>
      </c>
      <c r="D53" s="156"/>
      <c r="E53" s="121">
        <f>ROUND('Rates in Detail'!L44,5)</f>
        <v>1.159E-2</v>
      </c>
      <c r="F53" s="121">
        <f>'Allocation = % of Margin'!AD45</f>
        <v>-1.57E-3</v>
      </c>
      <c r="G53" s="156"/>
      <c r="H53" s="368">
        <f>ROUND('Rates in Detail'!N44,5)</f>
        <v>0.12347</v>
      </c>
      <c r="I53" s="758">
        <f t="shared" si="13"/>
        <v>0.13505999999999999</v>
      </c>
      <c r="J53" s="156"/>
      <c r="K53" s="154"/>
      <c r="L53" s="155"/>
      <c r="M53" s="121"/>
      <c r="N53" s="121"/>
      <c r="O53" s="121"/>
      <c r="P53" s="758"/>
      <c r="Q53" s="156"/>
      <c r="R53" s="293">
        <f>'WA Volumes &amp; Revenues'!E46</f>
        <v>807846</v>
      </c>
      <c r="S53" s="306"/>
      <c r="T53" s="295"/>
      <c r="U53" s="296"/>
      <c r="V53" s="156"/>
      <c r="W53" s="308">
        <f t="shared" si="83"/>
        <v>99744.745620000002</v>
      </c>
      <c r="X53" s="304">
        <f t="shared" si="84"/>
        <v>0</v>
      </c>
      <c r="Y53" s="304">
        <f t="shared" si="85"/>
        <v>0</v>
      </c>
      <c r="Z53" s="309"/>
      <c r="AA53" s="304"/>
      <c r="AB53" s="308">
        <f t="shared" si="86"/>
        <v>109107.68075999999</v>
      </c>
      <c r="AC53" s="304">
        <f t="shared" si="87"/>
        <v>0</v>
      </c>
      <c r="AD53" s="309">
        <f t="shared" si="88"/>
        <v>0</v>
      </c>
      <c r="AE53" s="304"/>
      <c r="AF53" s="308">
        <f t="shared" si="89"/>
        <v>9362.9351399999869</v>
      </c>
      <c r="AG53" s="304">
        <f t="shared" si="89"/>
        <v>0</v>
      </c>
      <c r="AH53" s="309">
        <f t="shared" si="90"/>
        <v>0</v>
      </c>
      <c r="AI53" s="304"/>
      <c r="AJ53" s="333"/>
      <c r="AK53" s="335">
        <f t="shared" si="82"/>
        <v>9.3868956021705544E-2</v>
      </c>
      <c r="AL53" s="304"/>
      <c r="AM53" s="308">
        <f t="shared" si="91"/>
        <v>-1268.3182200000001</v>
      </c>
      <c r="AN53" s="304">
        <v>0</v>
      </c>
      <c r="AO53" s="309">
        <f t="shared" si="92"/>
        <v>0</v>
      </c>
      <c r="AP53" s="304"/>
      <c r="AQ53" s="305"/>
      <c r="AR53" s="305"/>
      <c r="AS53" s="304"/>
    </row>
    <row r="54" spans="1:45" x14ac:dyDescent="0.3">
      <c r="A54" s="85">
        <f t="shared" si="2"/>
        <v>47</v>
      </c>
      <c r="B54" s="709"/>
      <c r="C54" s="710" t="s">
        <v>6</v>
      </c>
      <c r="D54" s="156"/>
      <c r="E54" s="121">
        <f>ROUND('Rates in Detail'!L45,5)</f>
        <v>8.8900000000000003E-3</v>
      </c>
      <c r="F54" s="121">
        <f>'Allocation = % of Margin'!AD46</f>
        <v>-1.1999999999999999E-3</v>
      </c>
      <c r="G54" s="156"/>
      <c r="H54" s="368">
        <f>ROUND('Rates in Detail'!N45,5)</f>
        <v>9.4670000000000004E-2</v>
      </c>
      <c r="I54" s="758">
        <f t="shared" si="13"/>
        <v>0.10356</v>
      </c>
      <c r="J54" s="156"/>
      <c r="K54" s="154"/>
      <c r="L54" s="155"/>
      <c r="M54" s="121"/>
      <c r="N54" s="121"/>
      <c r="O54" s="121"/>
      <c r="P54" s="758"/>
      <c r="Q54" s="156"/>
      <c r="R54" s="293">
        <f>'WA Volumes &amp; Revenues'!E47</f>
        <v>583779</v>
      </c>
      <c r="S54" s="306"/>
      <c r="T54" s="295"/>
      <c r="U54" s="296"/>
      <c r="V54" s="156"/>
      <c r="W54" s="308">
        <f t="shared" si="83"/>
        <v>55266.357930000006</v>
      </c>
      <c r="X54" s="304">
        <f t="shared" si="84"/>
        <v>0</v>
      </c>
      <c r="Y54" s="304">
        <f t="shared" si="85"/>
        <v>0</v>
      </c>
      <c r="Z54" s="309"/>
      <c r="AA54" s="304"/>
      <c r="AB54" s="308">
        <f t="shared" si="86"/>
        <v>60456.15324</v>
      </c>
      <c r="AC54" s="304">
        <f t="shared" si="87"/>
        <v>0</v>
      </c>
      <c r="AD54" s="309">
        <f t="shared" si="88"/>
        <v>0</v>
      </c>
      <c r="AE54" s="304"/>
      <c r="AF54" s="308">
        <f t="shared" si="89"/>
        <v>5189.7953099999941</v>
      </c>
      <c r="AG54" s="304">
        <f t="shared" si="89"/>
        <v>0</v>
      </c>
      <c r="AH54" s="309">
        <f t="shared" si="90"/>
        <v>0</v>
      </c>
      <c r="AI54" s="304"/>
      <c r="AJ54" s="333"/>
      <c r="AK54" s="335">
        <f t="shared" si="82"/>
        <v>9.3905144185063794E-2</v>
      </c>
      <c r="AL54" s="304"/>
      <c r="AM54" s="308">
        <f t="shared" si="91"/>
        <v>-700.5347999999999</v>
      </c>
      <c r="AN54" s="304">
        <v>0</v>
      </c>
      <c r="AO54" s="309">
        <f t="shared" si="92"/>
        <v>0</v>
      </c>
      <c r="AP54" s="304"/>
      <c r="AQ54" s="305"/>
      <c r="AR54" s="305"/>
      <c r="AS54" s="304"/>
    </row>
    <row r="55" spans="1:45" x14ac:dyDescent="0.3">
      <c r="A55" s="85">
        <f t="shared" si="2"/>
        <v>48</v>
      </c>
      <c r="B55" s="709"/>
      <c r="C55" s="710" t="s">
        <v>7</v>
      </c>
      <c r="D55" s="156"/>
      <c r="E55" s="121">
        <f>ROUND('Rates in Detail'!L46,5)</f>
        <v>7.11E-3</v>
      </c>
      <c r="F55" s="121">
        <f>'Allocation = % of Margin'!AD47</f>
        <v>-9.6000000000000002E-4</v>
      </c>
      <c r="G55" s="156"/>
      <c r="H55" s="368">
        <f>ROUND('Rates in Detail'!N46,5)</f>
        <v>7.5749999999999998E-2</v>
      </c>
      <c r="I55" s="758">
        <f t="shared" si="13"/>
        <v>8.2860000000000003E-2</v>
      </c>
      <c r="J55" s="156"/>
      <c r="K55" s="154"/>
      <c r="L55" s="155"/>
      <c r="M55" s="121"/>
      <c r="N55" s="121"/>
      <c r="O55" s="121"/>
      <c r="P55" s="758"/>
      <c r="Q55" s="156"/>
      <c r="R55" s="293">
        <f>'WA Volumes &amp; Revenues'!E48</f>
        <v>598933</v>
      </c>
      <c r="S55" s="306"/>
      <c r="T55" s="295"/>
      <c r="U55" s="296"/>
      <c r="V55" s="156"/>
      <c r="W55" s="308">
        <f t="shared" si="83"/>
        <v>45369.174749999998</v>
      </c>
      <c r="X55" s="304">
        <f t="shared" si="84"/>
        <v>0</v>
      </c>
      <c r="Y55" s="304">
        <f t="shared" si="85"/>
        <v>0</v>
      </c>
      <c r="Z55" s="309"/>
      <c r="AA55" s="304"/>
      <c r="AB55" s="308">
        <f t="shared" si="86"/>
        <v>49627.588380000001</v>
      </c>
      <c r="AC55" s="304">
        <f t="shared" si="87"/>
        <v>0</v>
      </c>
      <c r="AD55" s="309">
        <f t="shared" si="88"/>
        <v>0</v>
      </c>
      <c r="AE55" s="304"/>
      <c r="AF55" s="308">
        <f t="shared" si="89"/>
        <v>4258.4136300000027</v>
      </c>
      <c r="AG55" s="304">
        <f t="shared" si="89"/>
        <v>0</v>
      </c>
      <c r="AH55" s="309">
        <f t="shared" si="90"/>
        <v>0</v>
      </c>
      <c r="AI55" s="304"/>
      <c r="AJ55" s="333"/>
      <c r="AK55" s="335">
        <f t="shared" si="82"/>
        <v>9.3861386138613931E-2</v>
      </c>
      <c r="AL55" s="304"/>
      <c r="AM55" s="308">
        <f t="shared" si="91"/>
        <v>-574.97568000000001</v>
      </c>
      <c r="AN55" s="304">
        <v>0</v>
      </c>
      <c r="AO55" s="309">
        <f t="shared" si="92"/>
        <v>0</v>
      </c>
      <c r="AP55" s="304"/>
      <c r="AQ55" s="305"/>
      <c r="AR55" s="305"/>
      <c r="AS55" s="304"/>
    </row>
    <row r="56" spans="1:45" x14ac:dyDescent="0.3">
      <c r="A56" s="85">
        <f t="shared" si="2"/>
        <v>49</v>
      </c>
      <c r="B56" s="709"/>
      <c r="C56" s="710" t="s">
        <v>8</v>
      </c>
      <c r="D56" s="156"/>
      <c r="E56" s="121">
        <f>ROUND('Rates in Detail'!L47,5)</f>
        <v>4.7400000000000003E-3</v>
      </c>
      <c r="F56" s="121">
        <f>'Allocation = % of Margin'!AD48</f>
        <v>-6.4000000000000005E-4</v>
      </c>
      <c r="G56" s="156"/>
      <c r="H56" s="368">
        <f>ROUND('Rates in Detail'!N47,5)</f>
        <v>5.0500000000000003E-2</v>
      </c>
      <c r="I56" s="758">
        <f t="shared" si="13"/>
        <v>5.5240000000000004E-2</v>
      </c>
      <c r="J56" s="156"/>
      <c r="K56" s="154"/>
      <c r="L56" s="155"/>
      <c r="M56" s="121"/>
      <c r="N56" s="121"/>
      <c r="O56" s="121"/>
      <c r="P56" s="758"/>
      <c r="Q56" s="156"/>
      <c r="R56" s="293">
        <f>'WA Volumes &amp; Revenues'!E49</f>
        <v>0</v>
      </c>
      <c r="S56" s="306"/>
      <c r="T56" s="295"/>
      <c r="U56" s="296"/>
      <c r="V56" s="156"/>
      <c r="W56" s="308">
        <f t="shared" si="83"/>
        <v>0</v>
      </c>
      <c r="X56" s="304">
        <f t="shared" si="84"/>
        <v>0</v>
      </c>
      <c r="Y56" s="304">
        <f t="shared" si="85"/>
        <v>0</v>
      </c>
      <c r="Z56" s="309"/>
      <c r="AA56" s="304"/>
      <c r="AB56" s="308">
        <f t="shared" si="86"/>
        <v>0</v>
      </c>
      <c r="AC56" s="304">
        <f t="shared" si="87"/>
        <v>0</v>
      </c>
      <c r="AD56" s="309">
        <f t="shared" si="88"/>
        <v>0</v>
      </c>
      <c r="AE56" s="304"/>
      <c r="AF56" s="308">
        <f t="shared" si="89"/>
        <v>0</v>
      </c>
      <c r="AG56" s="304">
        <f t="shared" si="89"/>
        <v>0</v>
      </c>
      <c r="AH56" s="309">
        <f t="shared" si="90"/>
        <v>0</v>
      </c>
      <c r="AI56" s="304"/>
      <c r="AJ56" s="333"/>
      <c r="AK56" s="335" t="e">
        <f t="shared" si="82"/>
        <v>#DIV/0!</v>
      </c>
      <c r="AL56" s="304"/>
      <c r="AM56" s="308">
        <f t="shared" si="91"/>
        <v>0</v>
      </c>
      <c r="AN56" s="304">
        <v>0</v>
      </c>
      <c r="AO56" s="309">
        <f t="shared" si="92"/>
        <v>0</v>
      </c>
      <c r="AP56" s="304"/>
      <c r="AQ56" s="305"/>
      <c r="AR56" s="305"/>
      <c r="AS56" s="304"/>
    </row>
    <row r="57" spans="1:45" x14ac:dyDescent="0.3">
      <c r="A57" s="85">
        <f t="shared" si="2"/>
        <v>50</v>
      </c>
      <c r="B57" s="709"/>
      <c r="C57" s="710" t="s">
        <v>9</v>
      </c>
      <c r="D57" s="156"/>
      <c r="E57" s="121">
        <f>ROUND('Rates in Detail'!L48,5)</f>
        <v>1.7799999999999999E-3</v>
      </c>
      <c r="F57" s="121">
        <f>'Allocation = % of Margin'!AD49</f>
        <v>-2.4000000000000001E-4</v>
      </c>
      <c r="G57" s="156"/>
      <c r="H57" s="368">
        <f>ROUND('Rates in Detail'!N48,5)</f>
        <v>1.8929999999999999E-2</v>
      </c>
      <c r="I57" s="758">
        <f t="shared" si="13"/>
        <v>2.0709999999999999E-2</v>
      </c>
      <c r="J57" s="156"/>
      <c r="K57" s="154"/>
      <c r="L57" s="155"/>
      <c r="M57" s="121"/>
      <c r="N57" s="121"/>
      <c r="O57" s="121"/>
      <c r="P57" s="758"/>
      <c r="Q57" s="156"/>
      <c r="R57" s="293">
        <f>'WA Volumes &amp; Revenues'!E50</f>
        <v>0</v>
      </c>
      <c r="S57" s="306"/>
      <c r="T57" s="295"/>
      <c r="U57" s="296"/>
      <c r="V57" s="156"/>
      <c r="W57" s="308">
        <f t="shared" si="83"/>
        <v>0</v>
      </c>
      <c r="X57" s="304">
        <f t="shared" si="84"/>
        <v>0</v>
      </c>
      <c r="Y57" s="304">
        <f t="shared" si="85"/>
        <v>0</v>
      </c>
      <c r="Z57" s="309"/>
      <c r="AA57" s="304"/>
      <c r="AB57" s="308">
        <f t="shared" si="86"/>
        <v>0</v>
      </c>
      <c r="AC57" s="304">
        <f t="shared" si="87"/>
        <v>0</v>
      </c>
      <c r="AD57" s="309">
        <f t="shared" si="88"/>
        <v>0</v>
      </c>
      <c r="AE57" s="304"/>
      <c r="AF57" s="308">
        <f t="shared" si="89"/>
        <v>0</v>
      </c>
      <c r="AG57" s="304">
        <f t="shared" si="89"/>
        <v>0</v>
      </c>
      <c r="AH57" s="309">
        <f t="shared" si="90"/>
        <v>0</v>
      </c>
      <c r="AI57" s="304"/>
      <c r="AJ57" s="333"/>
      <c r="AK57" s="335" t="e">
        <f>AK56</f>
        <v>#DIV/0!</v>
      </c>
      <c r="AL57" s="304"/>
      <c r="AM57" s="308">
        <f t="shared" si="91"/>
        <v>0</v>
      </c>
      <c r="AN57" s="304">
        <v>0</v>
      </c>
      <c r="AO57" s="309">
        <f t="shared" si="92"/>
        <v>0</v>
      </c>
      <c r="AP57" s="304"/>
      <c r="AQ57" s="313"/>
      <c r="AR57" s="305"/>
      <c r="AS57" s="304"/>
    </row>
    <row r="58" spans="1:45" x14ac:dyDescent="0.3">
      <c r="A58" s="85">
        <f t="shared" si="2"/>
        <v>51</v>
      </c>
      <c r="B58" s="707"/>
      <c r="C58" s="726" t="s">
        <v>76</v>
      </c>
      <c r="D58" s="152"/>
      <c r="E58" s="122"/>
      <c r="F58" s="122"/>
      <c r="G58" s="152"/>
      <c r="H58" s="363"/>
      <c r="I58" s="757"/>
      <c r="J58" s="156"/>
      <c r="K58" s="154"/>
      <c r="L58" s="155"/>
      <c r="M58" s="121"/>
      <c r="N58" s="121"/>
      <c r="O58" s="121"/>
      <c r="P58" s="758"/>
      <c r="Q58" s="156"/>
      <c r="R58" s="293"/>
      <c r="S58" s="306"/>
      <c r="T58" s="295"/>
      <c r="U58" s="296"/>
      <c r="V58" s="156"/>
      <c r="W58" s="310">
        <f>SUM(W52:W57)</f>
        <v>266581.87829999998</v>
      </c>
      <c r="X58" s="311">
        <f>SUM(X52:X57)</f>
        <v>74400</v>
      </c>
      <c r="Y58" s="311">
        <f>SUM(Y52:Y57)</f>
        <v>19802.795040000001</v>
      </c>
      <c r="Z58" s="312">
        <f>'Rate Spread SETTLEMENT'!S$15-SUM(W58:Y58)</f>
        <v>0</v>
      </c>
      <c r="AA58" s="304"/>
      <c r="AB58" s="310">
        <f>SUM(AB52:AB57)</f>
        <v>291609.02237999998</v>
      </c>
      <c r="AC58" s="311">
        <f>SUM(AC52:AC57)</f>
        <v>74400</v>
      </c>
      <c r="AD58" s="312">
        <f>SUM(AD52:AD57)</f>
        <v>19802.795040000001</v>
      </c>
      <c r="AE58" s="304"/>
      <c r="AF58" s="310">
        <f>SUM(AF52:AF57)</f>
        <v>25027.144079999984</v>
      </c>
      <c r="AG58" s="311">
        <f>SUM(AG52:AG57)</f>
        <v>0</v>
      </c>
      <c r="AH58" s="312">
        <f>SUM(AH52:AH57)</f>
        <v>0</v>
      </c>
      <c r="AI58" s="304"/>
      <c r="AJ58" s="333">
        <f>SUM(AF58:AH58)/SUM(W58:Y58)</f>
        <v>6.9368645425840036E-2</v>
      </c>
      <c r="AK58" s="334">
        <f t="shared" ref="AK58:AK70" si="93">SUM(AF58)/SUM(W58)</f>
        <v>9.3881640566113395E-2</v>
      </c>
      <c r="AL58" s="304"/>
      <c r="AM58" s="310">
        <f>SUM(AM52:AM57)</f>
        <v>-3383.8287</v>
      </c>
      <c r="AN58" s="311">
        <f>SUM(AN52:AN57)</f>
        <v>0</v>
      </c>
      <c r="AO58" s="312">
        <f>SUM(AO52:AO57)</f>
        <v>0</v>
      </c>
      <c r="AP58" s="304"/>
      <c r="AQ58" s="305"/>
      <c r="AR58" s="305"/>
      <c r="AS58" s="304"/>
    </row>
    <row r="59" spans="1:45" x14ac:dyDescent="0.3">
      <c r="A59" s="85">
        <f t="shared" si="2"/>
        <v>52</v>
      </c>
      <c r="B59" s="709" t="str">
        <f>'WA Volumes &amp; Revenues'!B51</f>
        <v>42I Firm Transpt</v>
      </c>
      <c r="C59" s="710" t="s">
        <v>4</v>
      </c>
      <c r="D59" s="156"/>
      <c r="E59" s="121">
        <f>ROUND('Rates in Detail'!L49,5)</f>
        <v>1.044E-2</v>
      </c>
      <c r="F59" s="121">
        <f>'Allocation = % of Margin'!AD50</f>
        <v>-1.7700000000000001E-3</v>
      </c>
      <c r="G59" s="156"/>
      <c r="H59" s="368">
        <f>ROUND('Rates in Detail'!N49,5)</f>
        <v>0.13941000000000001</v>
      </c>
      <c r="I59" s="758">
        <f t="shared" si="13"/>
        <v>0.14985000000000001</v>
      </c>
      <c r="J59" s="156"/>
      <c r="K59" s="154">
        <f>'WA Volumes &amp; Revenues'!O51</f>
        <v>1550</v>
      </c>
      <c r="L59" s="155">
        <f>'WA Volumes &amp; Revenues'!N51</f>
        <v>1550</v>
      </c>
      <c r="M59" s="121">
        <f>'Rates in Detail'!AR49</f>
        <v>0.15748000000000001</v>
      </c>
      <c r="N59" s="121">
        <f>'Rates in Detail'!AS49</f>
        <v>0.15748000000000001</v>
      </c>
      <c r="O59" s="121">
        <f>'Rates in Detail'!AT49</f>
        <v>0</v>
      </c>
      <c r="P59" s="758">
        <f>'Rates in Detail'!AU49</f>
        <v>0</v>
      </c>
      <c r="Q59" s="156"/>
      <c r="R59" s="293">
        <f>'WA Volumes &amp; Revenues'!E51</f>
        <v>924395</v>
      </c>
      <c r="S59" s="306">
        <v>26810</v>
      </c>
      <c r="T59" s="295">
        <f>'WA Volumes &amp; Revenues'!H51</f>
        <v>8.9166666666666661</v>
      </c>
      <c r="U59" s="296">
        <f>'WA Volumes &amp; Revenues'!I51</f>
        <v>63374</v>
      </c>
      <c r="V59" s="156"/>
      <c r="W59" s="308">
        <f t="shared" ref="W59:W64" si="94">(H59*R59)</f>
        <v>128869.90695</v>
      </c>
      <c r="X59" s="304">
        <f t="shared" ref="X59:X64" si="95">(K59*T59*12)</f>
        <v>165850</v>
      </c>
      <c r="Y59" s="304">
        <f t="shared" ref="Y59:Y64" si="96">(S59*(M59+O59))*12</f>
        <v>50664.465600000003</v>
      </c>
      <c r="Z59" s="309"/>
      <c r="AA59" s="304"/>
      <c r="AB59" s="308">
        <f t="shared" ref="AB59:AB64" si="97">(I59*R59)</f>
        <v>138520.59075</v>
      </c>
      <c r="AC59" s="304">
        <f t="shared" ref="AC59:AC64" si="98">(L59*T59*12)</f>
        <v>165850</v>
      </c>
      <c r="AD59" s="309">
        <f t="shared" ref="AD59:AD64" si="99">(S59*(N59+P59))*12</f>
        <v>50664.465600000003</v>
      </c>
      <c r="AE59" s="304"/>
      <c r="AF59" s="308">
        <f t="shared" ref="AF59:AG64" si="100">AB59-W59</f>
        <v>9650.6837999999989</v>
      </c>
      <c r="AG59" s="304">
        <f t="shared" si="100"/>
        <v>0</v>
      </c>
      <c r="AH59" s="309">
        <f t="shared" ref="AH59:AH64" si="101">AD59-Y59</f>
        <v>0</v>
      </c>
      <c r="AI59" s="304"/>
      <c r="AJ59" s="333"/>
      <c r="AK59" s="335">
        <f t="shared" si="93"/>
        <v>7.4887023886378301E-2</v>
      </c>
      <c r="AL59" s="304"/>
      <c r="AM59" s="308">
        <f t="shared" ref="AM59:AM64" si="102">(F59*R59)</f>
        <v>-1636.1791500000002</v>
      </c>
      <c r="AN59" s="304">
        <v>0</v>
      </c>
      <c r="AO59" s="309">
        <f t="shared" ref="AO59:AO64" si="103">(AE59*(Y59+AB59))*12</f>
        <v>0</v>
      </c>
      <c r="AP59" s="304"/>
      <c r="AQ59" s="305"/>
      <c r="AR59" s="305"/>
      <c r="AS59" s="304"/>
    </row>
    <row r="60" spans="1:45" x14ac:dyDescent="0.3">
      <c r="A60" s="85">
        <f t="shared" si="2"/>
        <v>53</v>
      </c>
      <c r="B60" s="709"/>
      <c r="C60" s="710" t="s">
        <v>5</v>
      </c>
      <c r="D60" s="156"/>
      <c r="E60" s="121">
        <f>ROUND('Rates in Detail'!L50,5)</f>
        <v>9.3500000000000007E-3</v>
      </c>
      <c r="F60" s="121">
        <f>'Allocation = % of Margin'!AD51</f>
        <v>-1.5900000000000001E-3</v>
      </c>
      <c r="G60" s="156"/>
      <c r="H60" s="368">
        <f>ROUND('Rates in Detail'!N50,5)</f>
        <v>0.12479</v>
      </c>
      <c r="I60" s="758">
        <f t="shared" si="13"/>
        <v>0.13414000000000001</v>
      </c>
      <c r="J60" s="156"/>
      <c r="K60" s="154"/>
      <c r="L60" s="155"/>
      <c r="M60" s="121"/>
      <c r="N60" s="121"/>
      <c r="O60" s="121"/>
      <c r="P60" s="758"/>
      <c r="Q60" s="156"/>
      <c r="R60" s="293">
        <f>'WA Volumes &amp; Revenues'!E52</f>
        <v>1036796</v>
      </c>
      <c r="S60" s="306"/>
      <c r="T60" s="295"/>
      <c r="U60" s="296"/>
      <c r="V60" s="156"/>
      <c r="W60" s="308">
        <f t="shared" si="94"/>
        <v>129381.77284000001</v>
      </c>
      <c r="X60" s="304">
        <f t="shared" si="95"/>
        <v>0</v>
      </c>
      <c r="Y60" s="304">
        <f t="shared" si="96"/>
        <v>0</v>
      </c>
      <c r="Z60" s="309"/>
      <c r="AA60" s="304"/>
      <c r="AB60" s="308">
        <f t="shared" si="97"/>
        <v>139075.81544000001</v>
      </c>
      <c r="AC60" s="304">
        <f t="shared" si="98"/>
        <v>0</v>
      </c>
      <c r="AD60" s="309">
        <f t="shared" si="99"/>
        <v>0</v>
      </c>
      <c r="AE60" s="304"/>
      <c r="AF60" s="308">
        <f t="shared" si="100"/>
        <v>9694.0426000000007</v>
      </c>
      <c r="AG60" s="304">
        <f t="shared" si="100"/>
        <v>0</v>
      </c>
      <c r="AH60" s="309">
        <f t="shared" si="101"/>
        <v>0</v>
      </c>
      <c r="AI60" s="304"/>
      <c r="AJ60" s="333"/>
      <c r="AK60" s="335">
        <f t="shared" si="93"/>
        <v>7.4925875470790937E-2</v>
      </c>
      <c r="AL60" s="304"/>
      <c r="AM60" s="308">
        <f t="shared" si="102"/>
        <v>-1648.5056400000001</v>
      </c>
      <c r="AN60" s="304">
        <v>0</v>
      </c>
      <c r="AO60" s="309">
        <f t="shared" si="103"/>
        <v>0</v>
      </c>
      <c r="AP60" s="304"/>
      <c r="AQ60" s="305"/>
      <c r="AR60" s="305"/>
      <c r="AS60" s="304"/>
    </row>
    <row r="61" spans="1:45" x14ac:dyDescent="0.3">
      <c r="A61" s="85">
        <f t="shared" si="2"/>
        <v>54</v>
      </c>
      <c r="B61" s="709"/>
      <c r="C61" s="710" t="s">
        <v>6</v>
      </c>
      <c r="D61" s="156"/>
      <c r="E61" s="121">
        <f>ROUND('Rates in Detail'!L51,5)</f>
        <v>7.1700000000000002E-3</v>
      </c>
      <c r="F61" s="121">
        <f>'Allocation = % of Margin'!AD52</f>
        <v>-1.2199999999999999E-3</v>
      </c>
      <c r="G61" s="156"/>
      <c r="H61" s="368">
        <f>ROUND('Rates in Detail'!N51,5)</f>
        <v>9.5689999999999997E-2</v>
      </c>
      <c r="I61" s="758">
        <f t="shared" si="13"/>
        <v>0.10285999999999999</v>
      </c>
      <c r="J61" s="156"/>
      <c r="K61" s="154"/>
      <c r="L61" s="155"/>
      <c r="M61" s="121"/>
      <c r="N61" s="121"/>
      <c r="O61" s="121"/>
      <c r="P61" s="758"/>
      <c r="Q61" s="156"/>
      <c r="R61" s="293">
        <f>'WA Volumes &amp; Revenues'!E53</f>
        <v>937215</v>
      </c>
      <c r="S61" s="306"/>
      <c r="T61" s="295"/>
      <c r="U61" s="296"/>
      <c r="V61" s="156"/>
      <c r="W61" s="308">
        <f t="shared" si="94"/>
        <v>89682.10334999999</v>
      </c>
      <c r="X61" s="304">
        <f t="shared" si="95"/>
        <v>0</v>
      </c>
      <c r="Y61" s="304">
        <f t="shared" si="96"/>
        <v>0</v>
      </c>
      <c r="Z61" s="309"/>
      <c r="AA61" s="304"/>
      <c r="AB61" s="308">
        <f t="shared" si="97"/>
        <v>96401.934899999993</v>
      </c>
      <c r="AC61" s="304">
        <f t="shared" si="98"/>
        <v>0</v>
      </c>
      <c r="AD61" s="309">
        <f t="shared" si="99"/>
        <v>0</v>
      </c>
      <c r="AE61" s="304"/>
      <c r="AF61" s="308">
        <f t="shared" si="100"/>
        <v>6719.8315500000026</v>
      </c>
      <c r="AG61" s="304">
        <f t="shared" si="100"/>
        <v>0</v>
      </c>
      <c r="AH61" s="309">
        <f t="shared" si="101"/>
        <v>0</v>
      </c>
      <c r="AI61" s="304"/>
      <c r="AJ61" s="333"/>
      <c r="AK61" s="335">
        <f t="shared" si="93"/>
        <v>7.4929459713658733E-2</v>
      </c>
      <c r="AL61" s="304"/>
      <c r="AM61" s="308">
        <f t="shared" si="102"/>
        <v>-1143.4023</v>
      </c>
      <c r="AN61" s="304">
        <v>0</v>
      </c>
      <c r="AO61" s="309">
        <f t="shared" si="103"/>
        <v>0</v>
      </c>
      <c r="AP61" s="304"/>
      <c r="AQ61" s="305"/>
      <c r="AR61" s="305"/>
      <c r="AS61" s="304"/>
    </row>
    <row r="62" spans="1:45" x14ac:dyDescent="0.3">
      <c r="A62" s="85">
        <f t="shared" si="2"/>
        <v>55</v>
      </c>
      <c r="B62" s="709"/>
      <c r="C62" s="710" t="s">
        <v>7</v>
      </c>
      <c r="D62" s="156"/>
      <c r="E62" s="121">
        <f>ROUND('Rates in Detail'!L52,5)</f>
        <v>5.7299999999999999E-3</v>
      </c>
      <c r="F62" s="121">
        <f>'Allocation = % of Margin'!AD53</f>
        <v>-9.7000000000000005E-4</v>
      </c>
      <c r="G62" s="156"/>
      <c r="H62" s="368">
        <f>ROUND('Rates in Detail'!N52,5)</f>
        <v>7.6560000000000003E-2</v>
      </c>
      <c r="I62" s="758">
        <f t="shared" si="13"/>
        <v>8.2290000000000002E-2</v>
      </c>
      <c r="J62" s="156"/>
      <c r="K62" s="154"/>
      <c r="L62" s="155"/>
      <c r="M62" s="121"/>
      <c r="N62" s="121"/>
      <c r="O62" s="121"/>
      <c r="P62" s="758"/>
      <c r="Q62" s="156"/>
      <c r="R62" s="293">
        <f>'WA Volumes &amp; Revenues'!E54</f>
        <v>2390318</v>
      </c>
      <c r="S62" s="306"/>
      <c r="T62" s="295"/>
      <c r="U62" s="296"/>
      <c r="V62" s="156"/>
      <c r="W62" s="308">
        <f t="shared" si="94"/>
        <v>183002.74608000001</v>
      </c>
      <c r="X62" s="304">
        <f t="shared" si="95"/>
        <v>0</v>
      </c>
      <c r="Y62" s="304">
        <f t="shared" si="96"/>
        <v>0</v>
      </c>
      <c r="Z62" s="309"/>
      <c r="AA62" s="304"/>
      <c r="AB62" s="308">
        <f t="shared" si="97"/>
        <v>196699.26822</v>
      </c>
      <c r="AC62" s="304">
        <f t="shared" si="98"/>
        <v>0</v>
      </c>
      <c r="AD62" s="309">
        <f t="shared" si="99"/>
        <v>0</v>
      </c>
      <c r="AE62" s="304"/>
      <c r="AF62" s="308">
        <f t="shared" si="100"/>
        <v>13696.522139999986</v>
      </c>
      <c r="AG62" s="304">
        <f t="shared" si="100"/>
        <v>0</v>
      </c>
      <c r="AH62" s="309">
        <f t="shared" si="101"/>
        <v>0</v>
      </c>
      <c r="AI62" s="304"/>
      <c r="AJ62" s="333"/>
      <c r="AK62" s="335">
        <f t="shared" si="93"/>
        <v>7.4843260188087693E-2</v>
      </c>
      <c r="AL62" s="304"/>
      <c r="AM62" s="308">
        <f t="shared" si="102"/>
        <v>-2318.6084599999999</v>
      </c>
      <c r="AN62" s="304">
        <v>0</v>
      </c>
      <c r="AO62" s="309">
        <f t="shared" si="103"/>
        <v>0</v>
      </c>
      <c r="AP62" s="304"/>
      <c r="AQ62" s="305"/>
      <c r="AR62" s="305"/>
      <c r="AS62" s="304"/>
    </row>
    <row r="63" spans="1:45" x14ac:dyDescent="0.3">
      <c r="A63" s="85">
        <f t="shared" si="2"/>
        <v>56</v>
      </c>
      <c r="B63" s="709"/>
      <c r="C63" s="710" t="s">
        <v>8</v>
      </c>
      <c r="D63" s="156"/>
      <c r="E63" s="121">
        <f>ROUND('Rates in Detail'!L53,5)</f>
        <v>3.82E-3</v>
      </c>
      <c r="F63" s="121">
        <f>'Allocation = % of Margin'!AD54</f>
        <v>-6.4999999999999997E-4</v>
      </c>
      <c r="G63" s="156"/>
      <c r="H63" s="368">
        <f>ROUND('Rates in Detail'!N53,5)</f>
        <v>5.1040000000000002E-2</v>
      </c>
      <c r="I63" s="758">
        <f t="shared" si="13"/>
        <v>5.4859999999999999E-2</v>
      </c>
      <c r="J63" s="156"/>
      <c r="K63" s="154"/>
      <c r="L63" s="155"/>
      <c r="M63" s="121"/>
      <c r="N63" s="121"/>
      <c r="O63" s="121"/>
      <c r="P63" s="758"/>
      <c r="Q63" s="156"/>
      <c r="R63" s="293">
        <f>'WA Volumes &amp; Revenues'!E55</f>
        <v>1492257</v>
      </c>
      <c r="S63" s="306"/>
      <c r="T63" s="295"/>
      <c r="U63" s="296"/>
      <c r="V63" s="156"/>
      <c r="W63" s="308">
        <f t="shared" si="94"/>
        <v>76164.797279999999</v>
      </c>
      <c r="X63" s="304">
        <f t="shared" si="95"/>
        <v>0</v>
      </c>
      <c r="Y63" s="304">
        <f t="shared" si="96"/>
        <v>0</v>
      </c>
      <c r="Z63" s="309"/>
      <c r="AA63" s="304"/>
      <c r="AB63" s="308">
        <f t="shared" si="97"/>
        <v>81865.219020000004</v>
      </c>
      <c r="AC63" s="304">
        <f t="shared" si="98"/>
        <v>0</v>
      </c>
      <c r="AD63" s="309">
        <f t="shared" si="99"/>
        <v>0</v>
      </c>
      <c r="AE63" s="304"/>
      <c r="AF63" s="308">
        <f t="shared" si="100"/>
        <v>5700.4217400000052</v>
      </c>
      <c r="AG63" s="304">
        <f t="shared" si="100"/>
        <v>0</v>
      </c>
      <c r="AH63" s="309">
        <f t="shared" si="101"/>
        <v>0</v>
      </c>
      <c r="AI63" s="304"/>
      <c r="AJ63" s="333"/>
      <c r="AK63" s="335">
        <f t="shared" si="93"/>
        <v>7.4843260188087846E-2</v>
      </c>
      <c r="AL63" s="304"/>
      <c r="AM63" s="308">
        <f t="shared" si="102"/>
        <v>-969.96704999999997</v>
      </c>
      <c r="AN63" s="304">
        <v>0</v>
      </c>
      <c r="AO63" s="309">
        <f t="shared" si="103"/>
        <v>0</v>
      </c>
      <c r="AP63" s="304"/>
      <c r="AQ63" s="305"/>
      <c r="AR63" s="305"/>
      <c r="AS63" s="304"/>
    </row>
    <row r="64" spans="1:45" x14ac:dyDescent="0.3">
      <c r="A64" s="85">
        <f t="shared" si="2"/>
        <v>57</v>
      </c>
      <c r="B64" s="709"/>
      <c r="C64" s="710" t="s">
        <v>9</v>
      </c>
      <c r="D64" s="156"/>
      <c r="E64" s="121">
        <f>ROUND('Rates in Detail'!L54,5)</f>
        <v>1.4300000000000001E-3</v>
      </c>
      <c r="F64" s="121">
        <f>'Allocation = % of Margin'!AD55</f>
        <v>-2.4000000000000001E-4</v>
      </c>
      <c r="G64" s="156"/>
      <c r="H64" s="368">
        <f>ROUND('Rates in Detail'!N54,5)</f>
        <v>1.9140000000000001E-2</v>
      </c>
      <c r="I64" s="758">
        <f t="shared" si="13"/>
        <v>2.0570000000000001E-2</v>
      </c>
      <c r="J64" s="156"/>
      <c r="K64" s="154"/>
      <c r="L64" s="155"/>
      <c r="M64" s="121"/>
      <c r="N64" s="121"/>
      <c r="O64" s="121"/>
      <c r="P64" s="758"/>
      <c r="Q64" s="156"/>
      <c r="R64" s="293">
        <f>'WA Volumes &amp; Revenues'!E56</f>
        <v>0</v>
      </c>
      <c r="S64" s="306"/>
      <c r="T64" s="295"/>
      <c r="U64" s="296"/>
      <c r="V64" s="156"/>
      <c r="W64" s="308">
        <f t="shared" si="94"/>
        <v>0</v>
      </c>
      <c r="X64" s="304">
        <f t="shared" si="95"/>
        <v>0</v>
      </c>
      <c r="Y64" s="304">
        <f t="shared" si="96"/>
        <v>0</v>
      </c>
      <c r="Z64" s="309"/>
      <c r="AA64" s="304"/>
      <c r="AB64" s="308">
        <f t="shared" si="97"/>
        <v>0</v>
      </c>
      <c r="AC64" s="304">
        <f t="shared" si="98"/>
        <v>0</v>
      </c>
      <c r="AD64" s="309">
        <f t="shared" si="99"/>
        <v>0</v>
      </c>
      <c r="AE64" s="304"/>
      <c r="AF64" s="308">
        <f t="shared" si="100"/>
        <v>0</v>
      </c>
      <c r="AG64" s="304">
        <f t="shared" si="100"/>
        <v>0</v>
      </c>
      <c r="AH64" s="309">
        <f t="shared" si="101"/>
        <v>0</v>
      </c>
      <c r="AI64" s="304"/>
      <c r="AJ64" s="333"/>
      <c r="AK64" s="335" t="e">
        <f t="shared" si="93"/>
        <v>#DIV/0!</v>
      </c>
      <c r="AL64" s="304"/>
      <c r="AM64" s="308">
        <f t="shared" si="102"/>
        <v>0</v>
      </c>
      <c r="AN64" s="304">
        <v>0</v>
      </c>
      <c r="AO64" s="309">
        <f t="shared" si="103"/>
        <v>0</v>
      </c>
      <c r="AP64" s="304"/>
      <c r="AQ64" s="305"/>
      <c r="AR64" s="305"/>
      <c r="AS64" s="304"/>
    </row>
    <row r="65" spans="1:45" x14ac:dyDescent="0.3">
      <c r="A65" s="85">
        <f t="shared" si="2"/>
        <v>58</v>
      </c>
      <c r="B65" s="707"/>
      <c r="C65" s="726" t="s">
        <v>76</v>
      </c>
      <c r="D65" s="152"/>
      <c r="E65" s="122"/>
      <c r="F65" s="122"/>
      <c r="G65" s="152"/>
      <c r="H65" s="363"/>
      <c r="I65" s="757"/>
      <c r="J65" s="156"/>
      <c r="K65" s="154"/>
      <c r="L65" s="155"/>
      <c r="M65" s="121"/>
      <c r="N65" s="121"/>
      <c r="O65" s="121"/>
      <c r="P65" s="758"/>
      <c r="Q65" s="156"/>
      <c r="R65" s="293"/>
      <c r="S65" s="306"/>
      <c r="T65" s="295"/>
      <c r="U65" s="296"/>
      <c r="V65" s="156"/>
      <c r="W65" s="310">
        <f>SUM(W59:W64)</f>
        <v>607101.32649999997</v>
      </c>
      <c r="X65" s="311">
        <f>SUM(X59:X64)</f>
        <v>165850</v>
      </c>
      <c r="Y65" s="311">
        <f>SUM(Y59:Y64)</f>
        <v>50664.465600000003</v>
      </c>
      <c r="Z65" s="312">
        <f>'Rate Spread SETTLEMENT'!T$15-SUM(W65:Y65)</f>
        <v>0</v>
      </c>
      <c r="AA65" s="304"/>
      <c r="AB65" s="310">
        <f>SUM(AB59:AB64)</f>
        <v>652562.82832999993</v>
      </c>
      <c r="AC65" s="311">
        <f>SUM(AC59:AC64)</f>
        <v>165850</v>
      </c>
      <c r="AD65" s="312">
        <f>SUM(AD59:AD64)</f>
        <v>50664.465600000003</v>
      </c>
      <c r="AE65" s="304"/>
      <c r="AF65" s="310">
        <f>SUM(AF59:AF64)</f>
        <v>45461.501829999994</v>
      </c>
      <c r="AG65" s="311">
        <f>SUM(AG59:AG64)</f>
        <v>0</v>
      </c>
      <c r="AH65" s="312">
        <f>SUM(AH59:AH64)</f>
        <v>0</v>
      </c>
      <c r="AI65" s="304"/>
      <c r="AJ65" s="333">
        <f>SUM(AF65:AH65)/SUM(W65:Y65)</f>
        <v>5.519746253782401E-2</v>
      </c>
      <c r="AK65" s="334">
        <f t="shared" si="93"/>
        <v>7.4882889965156407E-2</v>
      </c>
      <c r="AL65" s="304"/>
      <c r="AM65" s="310">
        <f>SUM(AM59:AM64)</f>
        <v>-7716.6626000000006</v>
      </c>
      <c r="AN65" s="311">
        <f>SUM(AN59:AN64)</f>
        <v>0</v>
      </c>
      <c r="AO65" s="312">
        <f>SUM(AO59:AO64)</f>
        <v>0</v>
      </c>
      <c r="AP65" s="304"/>
      <c r="AQ65" s="305"/>
      <c r="AR65" s="305"/>
      <c r="AS65" s="304"/>
    </row>
    <row r="66" spans="1:45" x14ac:dyDescent="0.3">
      <c r="A66" s="85">
        <f t="shared" si="2"/>
        <v>59</v>
      </c>
      <c r="B66" s="709" t="str">
        <f>'WA Volumes &amp; Revenues'!B57</f>
        <v>42C Interr Sales</v>
      </c>
      <c r="C66" s="710" t="s">
        <v>4</v>
      </c>
      <c r="D66" s="156"/>
      <c r="E66" s="121">
        <f>ROUND('Rates in Detail'!L55,5)</f>
        <v>2.2440000000000002E-2</v>
      </c>
      <c r="F66" s="121">
        <f>'Allocation = % of Margin'!AD56</f>
        <v>-1.8400000000000001E-3</v>
      </c>
      <c r="G66" s="156"/>
      <c r="H66" s="368">
        <f>ROUND('Rates in Detail'!N55,5)</f>
        <v>0.13682</v>
      </c>
      <c r="I66" s="758">
        <f t="shared" si="13"/>
        <v>0.15926000000000001</v>
      </c>
      <c r="J66" s="156"/>
      <c r="K66" s="154">
        <f>'WA Volumes &amp; Revenues'!O57</f>
        <v>1300</v>
      </c>
      <c r="L66" s="155">
        <f>'WA Volumes &amp; Revenues'!N57</f>
        <v>1300</v>
      </c>
      <c r="M66" s="121">
        <f>'Rates in Detail'!AR55</f>
        <v>0</v>
      </c>
      <c r="N66" s="121">
        <f>'Rates in Detail'!AS55</f>
        <v>0</v>
      </c>
      <c r="O66" s="121">
        <f>'Rates in Detail'!AT55</f>
        <v>0</v>
      </c>
      <c r="P66" s="758">
        <f>'Rates in Detail'!AU55</f>
        <v>0</v>
      </c>
      <c r="Q66" s="156"/>
      <c r="R66" s="293">
        <f>'WA Volumes &amp; Revenues'!E57</f>
        <v>240000</v>
      </c>
      <c r="S66" s="306">
        <v>4620</v>
      </c>
      <c r="T66" s="295">
        <f>'WA Volumes &amp; Revenues'!H57</f>
        <v>2</v>
      </c>
      <c r="U66" s="296">
        <f>'WA Volumes &amp; Revenues'!I57</f>
        <v>39322</v>
      </c>
      <c r="V66" s="156"/>
      <c r="W66" s="308">
        <f t="shared" ref="W66:W71" si="104">(H66*R66)</f>
        <v>32836.800000000003</v>
      </c>
      <c r="X66" s="304">
        <f t="shared" ref="X66:X71" si="105">(K66*T66*12)</f>
        <v>31200</v>
      </c>
      <c r="Y66" s="304">
        <f t="shared" ref="Y66:Y71" si="106">(S66*(M66+O66))*12</f>
        <v>0</v>
      </c>
      <c r="Z66" s="309"/>
      <c r="AA66" s="304"/>
      <c r="AB66" s="308">
        <f t="shared" ref="AB66:AB71" si="107">(I66*R66)</f>
        <v>38222.400000000001</v>
      </c>
      <c r="AC66" s="304">
        <f t="shared" ref="AC66:AC71" si="108">(L66*T66*12)</f>
        <v>31200</v>
      </c>
      <c r="AD66" s="309">
        <f t="shared" ref="AD66:AD71" si="109">(S66*(N66+P66))*12</f>
        <v>0</v>
      </c>
      <c r="AE66" s="304"/>
      <c r="AF66" s="308">
        <f t="shared" ref="AF66:AG71" si="110">AB66-W66</f>
        <v>5385.5999999999985</v>
      </c>
      <c r="AG66" s="304">
        <f t="shared" si="110"/>
        <v>0</v>
      </c>
      <c r="AH66" s="309">
        <f t="shared" ref="AH66:AH71" si="111">AD66-Y66</f>
        <v>0</v>
      </c>
      <c r="AI66" s="304"/>
      <c r="AJ66" s="333"/>
      <c r="AK66" s="335">
        <f t="shared" si="93"/>
        <v>0.16401110948691705</v>
      </c>
      <c r="AL66" s="304"/>
      <c r="AM66" s="308">
        <f t="shared" ref="AM66:AM71" si="112">(F66*R66)</f>
        <v>-441.6</v>
      </c>
      <c r="AN66" s="304">
        <v>0</v>
      </c>
      <c r="AO66" s="309">
        <f t="shared" ref="AO66:AO71" si="113">(AE66*(Y66+AB66))*12</f>
        <v>0</v>
      </c>
      <c r="AP66" s="304"/>
      <c r="AQ66" s="305"/>
      <c r="AR66" s="305"/>
      <c r="AS66" s="304"/>
    </row>
    <row r="67" spans="1:45" x14ac:dyDescent="0.3">
      <c r="A67" s="85">
        <f t="shared" si="2"/>
        <v>60</v>
      </c>
      <c r="B67" s="709"/>
      <c r="C67" s="710" t="s">
        <v>5</v>
      </c>
      <c r="D67" s="156"/>
      <c r="E67" s="121">
        <f>ROUND('Rates in Detail'!L56,5)</f>
        <v>2.009E-2</v>
      </c>
      <c r="F67" s="121">
        <f>'Allocation = % of Margin'!AD57</f>
        <v>-1.64E-3</v>
      </c>
      <c r="G67" s="156"/>
      <c r="H67" s="368">
        <f>ROUND('Rates in Detail'!N56,5)</f>
        <v>0.12247</v>
      </c>
      <c r="I67" s="758">
        <f t="shared" si="13"/>
        <v>0.14255999999999999</v>
      </c>
      <c r="J67" s="156"/>
      <c r="K67" s="727"/>
      <c r="L67" s="367"/>
      <c r="M67" s="121"/>
      <c r="N67" s="121"/>
      <c r="O67" s="121"/>
      <c r="P67" s="758"/>
      <c r="Q67" s="156"/>
      <c r="R67" s="293">
        <f>'WA Volumes &amp; Revenues'!E58</f>
        <v>467511</v>
      </c>
      <c r="S67" s="306"/>
      <c r="T67" s="295"/>
      <c r="U67" s="296"/>
      <c r="V67" s="156"/>
      <c r="W67" s="308">
        <f t="shared" si="104"/>
        <v>57256.072169999999</v>
      </c>
      <c r="X67" s="304">
        <f t="shared" si="105"/>
        <v>0</v>
      </c>
      <c r="Y67" s="304">
        <f t="shared" si="106"/>
        <v>0</v>
      </c>
      <c r="Z67" s="309"/>
      <c r="AA67" s="304"/>
      <c r="AB67" s="308">
        <f t="shared" si="107"/>
        <v>66648.368159999998</v>
      </c>
      <c r="AC67" s="304">
        <f t="shared" si="108"/>
        <v>0</v>
      </c>
      <c r="AD67" s="309">
        <f t="shared" si="109"/>
        <v>0</v>
      </c>
      <c r="AE67" s="304"/>
      <c r="AF67" s="308">
        <f t="shared" si="110"/>
        <v>9392.2959899999987</v>
      </c>
      <c r="AG67" s="304">
        <f t="shared" si="110"/>
        <v>0</v>
      </c>
      <c r="AH67" s="309">
        <f t="shared" si="111"/>
        <v>0</v>
      </c>
      <c r="AI67" s="304"/>
      <c r="AJ67" s="333"/>
      <c r="AK67" s="335">
        <f t="shared" si="93"/>
        <v>0.16404017310361718</v>
      </c>
      <c r="AL67" s="304"/>
      <c r="AM67" s="308">
        <f t="shared" si="112"/>
        <v>-766.71803999999997</v>
      </c>
      <c r="AN67" s="304">
        <v>0</v>
      </c>
      <c r="AO67" s="309">
        <f t="shared" si="113"/>
        <v>0</v>
      </c>
      <c r="AP67" s="304"/>
      <c r="AQ67" s="305"/>
      <c r="AR67" s="305"/>
      <c r="AS67" s="304"/>
    </row>
    <row r="68" spans="1:45" x14ac:dyDescent="0.3">
      <c r="A68" s="85">
        <f t="shared" si="2"/>
        <v>61</v>
      </c>
      <c r="B68" s="709"/>
      <c r="C68" s="710" t="s">
        <v>6</v>
      </c>
      <c r="D68" s="156"/>
      <c r="E68" s="121">
        <f>ROUND('Rates in Detail'!L57,5)</f>
        <v>1.54E-2</v>
      </c>
      <c r="F68" s="121">
        <f>'Allocation = % of Margin'!AD58</f>
        <v>-1.2600000000000001E-3</v>
      </c>
      <c r="G68" s="156"/>
      <c r="H68" s="368">
        <f>ROUND('Rates in Detail'!N57,5)</f>
        <v>9.3909999999999993E-2</v>
      </c>
      <c r="I68" s="758">
        <f t="shared" si="13"/>
        <v>0.10930999999999999</v>
      </c>
      <c r="J68" s="156"/>
      <c r="K68" s="154"/>
      <c r="L68" s="155"/>
      <c r="M68" s="121"/>
      <c r="N68" s="121"/>
      <c r="O68" s="121"/>
      <c r="P68" s="758"/>
      <c r="Q68" s="156"/>
      <c r="R68" s="293">
        <f>'WA Volumes &amp; Revenues'!E59</f>
        <v>218004</v>
      </c>
      <c r="S68" s="306"/>
      <c r="T68" s="295"/>
      <c r="U68" s="296"/>
      <c r="V68" s="156"/>
      <c r="W68" s="308">
        <f t="shared" si="104"/>
        <v>20472.755639999999</v>
      </c>
      <c r="X68" s="304">
        <f t="shared" si="105"/>
        <v>0</v>
      </c>
      <c r="Y68" s="304">
        <f t="shared" si="106"/>
        <v>0</v>
      </c>
      <c r="Z68" s="309"/>
      <c r="AA68" s="304"/>
      <c r="AB68" s="308">
        <f t="shared" si="107"/>
        <v>23830.017239999997</v>
      </c>
      <c r="AC68" s="304">
        <f t="shared" si="108"/>
        <v>0</v>
      </c>
      <c r="AD68" s="309">
        <f t="shared" si="109"/>
        <v>0</v>
      </c>
      <c r="AE68" s="304"/>
      <c r="AF68" s="308">
        <f t="shared" si="110"/>
        <v>3357.261599999998</v>
      </c>
      <c r="AG68" s="304">
        <f t="shared" si="110"/>
        <v>0</v>
      </c>
      <c r="AH68" s="309">
        <f t="shared" si="111"/>
        <v>0</v>
      </c>
      <c r="AI68" s="304"/>
      <c r="AJ68" s="333"/>
      <c r="AK68" s="335">
        <f t="shared" si="93"/>
        <v>0.16398679586838452</v>
      </c>
      <c r="AL68" s="304"/>
      <c r="AM68" s="308">
        <f t="shared" si="112"/>
        <v>-274.68504000000001</v>
      </c>
      <c r="AN68" s="304">
        <v>0</v>
      </c>
      <c r="AO68" s="309">
        <f t="shared" si="113"/>
        <v>0</v>
      </c>
      <c r="AP68" s="304"/>
      <c r="AQ68" s="305"/>
      <c r="AR68" s="305"/>
      <c r="AS68" s="304"/>
    </row>
    <row r="69" spans="1:45" x14ac:dyDescent="0.3">
      <c r="A69" s="85">
        <f t="shared" si="2"/>
        <v>62</v>
      </c>
      <c r="B69" s="709"/>
      <c r="C69" s="710" t="s">
        <v>7</v>
      </c>
      <c r="D69" s="156"/>
      <c r="E69" s="121">
        <f>ROUND('Rates in Detail'!L58,5)</f>
        <v>1.2319999999999999E-2</v>
      </c>
      <c r="F69" s="121">
        <f>'Allocation = % of Margin'!AD59</f>
        <v>-1.01E-3</v>
      </c>
      <c r="G69" s="156"/>
      <c r="H69" s="368">
        <f>ROUND('Rates in Detail'!N58,5)</f>
        <v>7.5130000000000002E-2</v>
      </c>
      <c r="I69" s="758">
        <f t="shared" si="13"/>
        <v>8.745E-2</v>
      </c>
      <c r="J69" s="156"/>
      <c r="K69" s="154"/>
      <c r="L69" s="155"/>
      <c r="M69" s="121"/>
      <c r="N69" s="121"/>
      <c r="O69" s="121"/>
      <c r="P69" s="758"/>
      <c r="Q69" s="156"/>
      <c r="R69" s="293">
        <f>'WA Volumes &amp; Revenues'!E60</f>
        <v>18208</v>
      </c>
      <c r="S69" s="306"/>
      <c r="T69" s="295"/>
      <c r="U69" s="296"/>
      <c r="V69" s="156"/>
      <c r="W69" s="308">
        <f t="shared" si="104"/>
        <v>1367.96704</v>
      </c>
      <c r="X69" s="304">
        <f t="shared" si="105"/>
        <v>0</v>
      </c>
      <c r="Y69" s="304">
        <f t="shared" si="106"/>
        <v>0</v>
      </c>
      <c r="Z69" s="309"/>
      <c r="AA69" s="304"/>
      <c r="AB69" s="308">
        <f t="shared" si="107"/>
        <v>1592.2896000000001</v>
      </c>
      <c r="AC69" s="304">
        <f t="shared" si="108"/>
        <v>0</v>
      </c>
      <c r="AD69" s="309">
        <f t="shared" si="109"/>
        <v>0</v>
      </c>
      <c r="AE69" s="304"/>
      <c r="AF69" s="308">
        <f t="shared" si="110"/>
        <v>224.32256000000007</v>
      </c>
      <c r="AG69" s="304">
        <f t="shared" si="110"/>
        <v>0</v>
      </c>
      <c r="AH69" s="309">
        <f t="shared" si="111"/>
        <v>0</v>
      </c>
      <c r="AI69" s="304"/>
      <c r="AJ69" s="333"/>
      <c r="AK69" s="335">
        <f t="shared" si="93"/>
        <v>0.16398243045388</v>
      </c>
      <c r="AL69" s="304"/>
      <c r="AM69" s="308">
        <f t="shared" si="112"/>
        <v>-18.390080000000001</v>
      </c>
      <c r="AN69" s="304">
        <v>0</v>
      </c>
      <c r="AO69" s="309">
        <f t="shared" si="113"/>
        <v>0</v>
      </c>
      <c r="AP69" s="304"/>
      <c r="AQ69" s="305"/>
      <c r="AR69" s="305"/>
      <c r="AS69" s="304"/>
    </row>
    <row r="70" spans="1:45" x14ac:dyDescent="0.3">
      <c r="A70" s="85">
        <f t="shared" si="2"/>
        <v>63</v>
      </c>
      <c r="B70" s="709"/>
      <c r="C70" s="710" t="s">
        <v>8</v>
      </c>
      <c r="D70" s="156"/>
      <c r="E70" s="121">
        <f>ROUND('Rates in Detail'!L59,5)</f>
        <v>8.2199999999999999E-3</v>
      </c>
      <c r="F70" s="121">
        <f>'Allocation = % of Margin'!AD60</f>
        <v>-6.7000000000000002E-4</v>
      </c>
      <c r="G70" s="156"/>
      <c r="H70" s="368">
        <f>ROUND('Rates in Detail'!N59,5)</f>
        <v>5.0090000000000003E-2</v>
      </c>
      <c r="I70" s="758">
        <f t="shared" si="13"/>
        <v>5.8310000000000001E-2</v>
      </c>
      <c r="J70" s="156"/>
      <c r="K70" s="154"/>
      <c r="L70" s="155"/>
      <c r="M70" s="121"/>
      <c r="N70" s="121"/>
      <c r="O70" s="121"/>
      <c r="P70" s="758"/>
      <c r="Q70" s="156"/>
      <c r="R70" s="293">
        <f>'WA Volumes &amp; Revenues'!E61</f>
        <v>0</v>
      </c>
      <c r="S70" s="306"/>
      <c r="T70" s="295"/>
      <c r="U70" s="296"/>
      <c r="V70" s="156"/>
      <c r="W70" s="308">
        <f t="shared" si="104"/>
        <v>0</v>
      </c>
      <c r="X70" s="304">
        <f t="shared" si="105"/>
        <v>0</v>
      </c>
      <c r="Y70" s="304">
        <f t="shared" si="106"/>
        <v>0</v>
      </c>
      <c r="Z70" s="309"/>
      <c r="AA70" s="304"/>
      <c r="AB70" s="308">
        <f t="shared" si="107"/>
        <v>0</v>
      </c>
      <c r="AC70" s="304">
        <f t="shared" si="108"/>
        <v>0</v>
      </c>
      <c r="AD70" s="309">
        <f t="shared" si="109"/>
        <v>0</v>
      </c>
      <c r="AE70" s="304"/>
      <c r="AF70" s="308">
        <f t="shared" si="110"/>
        <v>0</v>
      </c>
      <c r="AG70" s="304">
        <f t="shared" si="110"/>
        <v>0</v>
      </c>
      <c r="AH70" s="309">
        <f t="shared" si="111"/>
        <v>0</v>
      </c>
      <c r="AI70" s="304"/>
      <c r="AJ70" s="333"/>
      <c r="AK70" s="335" t="e">
        <f t="shared" si="93"/>
        <v>#DIV/0!</v>
      </c>
      <c r="AL70" s="304"/>
      <c r="AM70" s="308">
        <f t="shared" si="112"/>
        <v>0</v>
      </c>
      <c r="AN70" s="304">
        <v>0</v>
      </c>
      <c r="AO70" s="309">
        <f t="shared" si="113"/>
        <v>0</v>
      </c>
      <c r="AP70" s="304"/>
      <c r="AQ70" s="305"/>
      <c r="AR70" s="305"/>
      <c r="AS70" s="304"/>
    </row>
    <row r="71" spans="1:45" x14ac:dyDescent="0.3">
      <c r="A71" s="85">
        <f t="shared" si="2"/>
        <v>64</v>
      </c>
      <c r="B71" s="709"/>
      <c r="C71" s="710" t="s">
        <v>9</v>
      </c>
      <c r="D71" s="156"/>
      <c r="E71" s="121">
        <f>ROUND('Rates in Detail'!L60,5)</f>
        <v>3.0799999999999998E-3</v>
      </c>
      <c r="F71" s="121">
        <f>'Allocation = % of Margin'!AD61</f>
        <v>-2.5000000000000001E-4</v>
      </c>
      <c r="G71" s="156"/>
      <c r="H71" s="368">
        <f>ROUND('Rates in Detail'!N60,5)</f>
        <v>1.8790000000000001E-2</v>
      </c>
      <c r="I71" s="758">
        <f t="shared" si="13"/>
        <v>2.1870000000000001E-2</v>
      </c>
      <c r="J71" s="156"/>
      <c r="K71" s="154"/>
      <c r="L71" s="155"/>
      <c r="M71" s="121"/>
      <c r="N71" s="121"/>
      <c r="O71" s="121"/>
      <c r="P71" s="758"/>
      <c r="Q71" s="156"/>
      <c r="R71" s="293">
        <f>'WA Volumes &amp; Revenues'!E62</f>
        <v>0</v>
      </c>
      <c r="S71" s="306"/>
      <c r="T71" s="295"/>
      <c r="U71" s="296"/>
      <c r="V71" s="156"/>
      <c r="W71" s="308">
        <f t="shared" si="104"/>
        <v>0</v>
      </c>
      <c r="X71" s="304">
        <f t="shared" si="105"/>
        <v>0</v>
      </c>
      <c r="Y71" s="304">
        <f t="shared" si="106"/>
        <v>0</v>
      </c>
      <c r="Z71" s="309"/>
      <c r="AA71" s="304"/>
      <c r="AB71" s="308">
        <f t="shared" si="107"/>
        <v>0</v>
      </c>
      <c r="AC71" s="304">
        <f t="shared" si="108"/>
        <v>0</v>
      </c>
      <c r="AD71" s="309">
        <f t="shared" si="109"/>
        <v>0</v>
      </c>
      <c r="AE71" s="304"/>
      <c r="AF71" s="308">
        <f t="shared" si="110"/>
        <v>0</v>
      </c>
      <c r="AG71" s="304">
        <f t="shared" si="110"/>
        <v>0</v>
      </c>
      <c r="AH71" s="309">
        <f t="shared" si="111"/>
        <v>0</v>
      </c>
      <c r="AI71" s="304"/>
      <c r="AJ71" s="333"/>
      <c r="AK71" s="335" t="e">
        <f>AK70</f>
        <v>#DIV/0!</v>
      </c>
      <c r="AL71" s="304"/>
      <c r="AM71" s="308">
        <f t="shared" si="112"/>
        <v>0</v>
      </c>
      <c r="AN71" s="304">
        <v>0</v>
      </c>
      <c r="AO71" s="309">
        <f t="shared" si="113"/>
        <v>0</v>
      </c>
      <c r="AP71" s="304"/>
      <c r="AQ71" s="305"/>
      <c r="AR71" s="305"/>
      <c r="AS71" s="304"/>
    </row>
    <row r="72" spans="1:45" x14ac:dyDescent="0.3">
      <c r="A72" s="85">
        <f t="shared" si="2"/>
        <v>65</v>
      </c>
      <c r="B72" s="707"/>
      <c r="C72" s="726" t="s">
        <v>76</v>
      </c>
      <c r="D72" s="152"/>
      <c r="E72" s="122"/>
      <c r="F72" s="122"/>
      <c r="G72" s="152"/>
      <c r="H72" s="363"/>
      <c r="I72" s="757"/>
      <c r="J72" s="156"/>
      <c r="K72" s="154"/>
      <c r="L72" s="155"/>
      <c r="M72" s="121"/>
      <c r="N72" s="121"/>
      <c r="O72" s="121"/>
      <c r="P72" s="758"/>
      <c r="Q72" s="156"/>
      <c r="R72" s="293"/>
      <c r="S72" s="306"/>
      <c r="T72" s="295"/>
      <c r="U72" s="296"/>
      <c r="V72" s="156"/>
      <c r="W72" s="310">
        <f>SUM(W66:W71)</f>
        <v>111933.59485000001</v>
      </c>
      <c r="X72" s="311">
        <f>SUM(X66:X71)</f>
        <v>31200</v>
      </c>
      <c r="Y72" s="311">
        <f>SUM(Y66:Y71)</f>
        <v>0</v>
      </c>
      <c r="Z72" s="312">
        <f>'Rate Spread SETTLEMENT'!U$15-SUM(W72:Y72)</f>
        <v>17379.017029589973</v>
      </c>
      <c r="AA72" s="304"/>
      <c r="AB72" s="310">
        <f>SUM(AB66:AB71)</f>
        <v>130293.07500000001</v>
      </c>
      <c r="AC72" s="311">
        <f>SUM(AC66:AC71)</f>
        <v>31200</v>
      </c>
      <c r="AD72" s="312">
        <f>SUM(AD66:AD71)</f>
        <v>0</v>
      </c>
      <c r="AE72" s="304"/>
      <c r="AF72" s="310">
        <f>SUM(AF66:AF71)</f>
        <v>18359.480149999996</v>
      </c>
      <c r="AG72" s="311">
        <f>SUM(AG66:AG71)</f>
        <v>0</v>
      </c>
      <c r="AH72" s="312">
        <f>SUM(AH66:AH71)</f>
        <v>0</v>
      </c>
      <c r="AI72" s="304"/>
      <c r="AJ72" s="333">
        <f>SUM(AF72:AH72)/SUM(W72:Y72)</f>
        <v>0.12826814116727955</v>
      </c>
      <c r="AK72" s="334">
        <f t="shared" ref="AK72:AK77" si="114">SUM(AF72)/SUM(W72)</f>
        <v>0.16402117858006054</v>
      </c>
      <c r="AL72" s="304"/>
      <c r="AM72" s="310">
        <f>SUM(AM66:AM71)</f>
        <v>-1501.3931600000001</v>
      </c>
      <c r="AN72" s="311">
        <f>SUM(AN66:AN71)</f>
        <v>0</v>
      </c>
      <c r="AO72" s="312">
        <f>SUM(AO66:AO71)</f>
        <v>0</v>
      </c>
      <c r="AP72" s="304"/>
      <c r="AQ72" s="314"/>
      <c r="AR72" s="305"/>
      <c r="AS72" s="304"/>
    </row>
    <row r="73" spans="1:45" x14ac:dyDescent="0.3">
      <c r="A73" s="85">
        <f t="shared" si="2"/>
        <v>66</v>
      </c>
      <c r="B73" s="709" t="str">
        <f>'WA Volumes &amp; Revenues'!B63</f>
        <v>42I Interr Sales</v>
      </c>
      <c r="C73" s="710" t="s">
        <v>4</v>
      </c>
      <c r="D73" s="156"/>
      <c r="E73" s="121">
        <f>ROUND('Rates in Detail'!L61,5)</f>
        <v>1.495E-2</v>
      </c>
      <c r="F73" s="121">
        <f>'Allocation = % of Margin'!AD62</f>
        <v>-2.5400000000000002E-3</v>
      </c>
      <c r="G73" s="156"/>
      <c r="H73" s="368">
        <f>ROUND('Rates in Detail'!N61,5)</f>
        <v>0.14584</v>
      </c>
      <c r="I73" s="758">
        <f t="shared" si="13"/>
        <v>0.16078999999999999</v>
      </c>
      <c r="J73" s="156"/>
      <c r="K73" s="154">
        <f>'WA Volumes &amp; Revenues'!O63</f>
        <v>1300</v>
      </c>
      <c r="L73" s="155">
        <f>'WA Volumes &amp; Revenues'!N63</f>
        <v>1300</v>
      </c>
      <c r="M73" s="121">
        <f>'Rates in Detail'!AR61</f>
        <v>0</v>
      </c>
      <c r="N73" s="121">
        <f>'Rates in Detail'!AS61</f>
        <v>0</v>
      </c>
      <c r="O73" s="121">
        <f>'Rates in Detail'!AT61</f>
        <v>0</v>
      </c>
      <c r="P73" s="758">
        <f>'Rates in Detail'!AU61</f>
        <v>0</v>
      </c>
      <c r="Q73" s="156"/>
      <c r="R73" s="293">
        <f>'WA Volumes &amp; Revenues'!E63</f>
        <v>156740</v>
      </c>
      <c r="S73" s="306">
        <v>2934</v>
      </c>
      <c r="T73" s="295">
        <f>'WA Volumes &amp; Revenues'!H63</f>
        <v>1.9166666666666701</v>
      </c>
      <c r="U73" s="296">
        <f>'WA Volumes &amp; Revenues'!I63</f>
        <v>13758</v>
      </c>
      <c r="V73" s="156"/>
      <c r="W73" s="308">
        <f t="shared" ref="W73:W78" si="115">(H73*R73)</f>
        <v>22858.961599999999</v>
      </c>
      <c r="X73" s="304">
        <f t="shared" ref="X73:X78" si="116">(K73*T73*12)</f>
        <v>29900.000000000051</v>
      </c>
      <c r="Y73" s="304">
        <f t="shared" ref="Y73:Y78" si="117">(S73*(M73+O73))*12</f>
        <v>0</v>
      </c>
      <c r="Z73" s="309"/>
      <c r="AA73" s="304"/>
      <c r="AB73" s="308">
        <f t="shared" ref="AB73:AB78" si="118">(I73*R73)</f>
        <v>25202.224599999998</v>
      </c>
      <c r="AC73" s="304">
        <f t="shared" ref="AC73:AC78" si="119">(L73*T73*12)</f>
        <v>29900.000000000051</v>
      </c>
      <c r="AD73" s="309">
        <f t="shared" ref="AD73:AD78" si="120">(S73*(N73+P73))*12</f>
        <v>0</v>
      </c>
      <c r="AE73" s="304"/>
      <c r="AF73" s="308">
        <f t="shared" ref="AF73:AG78" si="121">AB73-W73</f>
        <v>2343.262999999999</v>
      </c>
      <c r="AG73" s="304">
        <f t="shared" si="121"/>
        <v>0</v>
      </c>
      <c r="AH73" s="309">
        <f t="shared" ref="AH73:AH78" si="122">AD73-Y73</f>
        <v>0</v>
      </c>
      <c r="AI73" s="304"/>
      <c r="AJ73" s="333"/>
      <c r="AK73" s="335">
        <f t="shared" si="114"/>
        <v>0.10250959956116289</v>
      </c>
      <c r="AL73" s="304"/>
      <c r="AM73" s="308">
        <f t="shared" ref="AM73:AM78" si="123">(F73*R73)</f>
        <v>-398.11960000000005</v>
      </c>
      <c r="AN73" s="304">
        <v>0</v>
      </c>
      <c r="AO73" s="309">
        <f t="shared" ref="AO73:AO78" si="124">(AE73*(Y73+AB73))*12</f>
        <v>0</v>
      </c>
      <c r="AP73" s="304"/>
      <c r="AQ73" s="305"/>
      <c r="AR73" s="305"/>
      <c r="AS73" s="304"/>
    </row>
    <row r="74" spans="1:45" x14ac:dyDescent="0.3">
      <c r="A74" s="85">
        <f t="shared" ref="A74:A102" si="125">+A73+1</f>
        <v>67</v>
      </c>
      <c r="B74" s="709"/>
      <c r="C74" s="710" t="s">
        <v>5</v>
      </c>
      <c r="D74" s="156"/>
      <c r="E74" s="121">
        <f>ROUND('Rates in Detail'!L62,5)</f>
        <v>1.338E-2</v>
      </c>
      <c r="F74" s="121">
        <f>'Allocation = % of Margin'!AD63</f>
        <v>-2.2699999999999999E-3</v>
      </c>
      <c r="G74" s="156"/>
      <c r="H74" s="368">
        <f>ROUND('Rates in Detail'!N62,5)</f>
        <v>0.13055</v>
      </c>
      <c r="I74" s="758">
        <f t="shared" si="13"/>
        <v>0.14393</v>
      </c>
      <c r="J74" s="156"/>
      <c r="K74" s="154"/>
      <c r="L74" s="155"/>
      <c r="M74" s="121"/>
      <c r="N74" s="121"/>
      <c r="O74" s="121"/>
      <c r="P74" s="758"/>
      <c r="Q74" s="156"/>
      <c r="R74" s="293">
        <f>'WA Volumes &amp; Revenues'!E64</f>
        <v>159690</v>
      </c>
      <c r="S74" s="306"/>
      <c r="T74" s="295"/>
      <c r="U74" s="296"/>
      <c r="V74" s="156"/>
      <c r="W74" s="308">
        <f t="shared" si="115"/>
        <v>20847.529500000001</v>
      </c>
      <c r="X74" s="304">
        <f t="shared" si="116"/>
        <v>0</v>
      </c>
      <c r="Y74" s="304">
        <f t="shared" si="117"/>
        <v>0</v>
      </c>
      <c r="Z74" s="309"/>
      <c r="AA74" s="304"/>
      <c r="AB74" s="308">
        <f t="shared" si="118"/>
        <v>22984.181700000001</v>
      </c>
      <c r="AC74" s="304">
        <f t="shared" si="119"/>
        <v>0</v>
      </c>
      <c r="AD74" s="309">
        <f t="shared" si="120"/>
        <v>0</v>
      </c>
      <c r="AE74" s="304"/>
      <c r="AF74" s="308">
        <f t="shared" si="121"/>
        <v>2136.6522000000004</v>
      </c>
      <c r="AG74" s="304">
        <f t="shared" si="121"/>
        <v>0</v>
      </c>
      <c r="AH74" s="309">
        <f t="shared" si="122"/>
        <v>0</v>
      </c>
      <c r="AI74" s="304"/>
      <c r="AJ74" s="333"/>
      <c r="AK74" s="335">
        <f t="shared" si="114"/>
        <v>0.10248946763692074</v>
      </c>
      <c r="AL74" s="304"/>
      <c r="AM74" s="308">
        <f t="shared" si="123"/>
        <v>-362.49629999999996</v>
      </c>
      <c r="AN74" s="304">
        <v>0</v>
      </c>
      <c r="AO74" s="309">
        <f t="shared" si="124"/>
        <v>0</v>
      </c>
      <c r="AP74" s="304"/>
      <c r="AQ74" s="305"/>
      <c r="AR74" s="305"/>
      <c r="AS74" s="304"/>
    </row>
    <row r="75" spans="1:45" x14ac:dyDescent="0.3">
      <c r="A75" s="85">
        <f t="shared" si="125"/>
        <v>68</v>
      </c>
      <c r="B75" s="709"/>
      <c r="C75" s="710" t="s">
        <v>6</v>
      </c>
      <c r="D75" s="156"/>
      <c r="E75" s="121">
        <f>ROUND('Rates in Detail'!L63,5)</f>
        <v>1.026E-2</v>
      </c>
      <c r="F75" s="121">
        <f>'Allocation = % of Margin'!AD64</f>
        <v>-1.74E-3</v>
      </c>
      <c r="G75" s="156"/>
      <c r="H75" s="368">
        <f>ROUND('Rates in Detail'!N63,5)</f>
        <v>0.10011</v>
      </c>
      <c r="I75" s="758">
        <f t="shared" si="13"/>
        <v>0.11037000000000001</v>
      </c>
      <c r="J75" s="156"/>
      <c r="K75" s="154"/>
      <c r="L75" s="155"/>
      <c r="M75" s="121"/>
      <c r="N75" s="121"/>
      <c r="O75" s="121"/>
      <c r="P75" s="758"/>
      <c r="Q75" s="156"/>
      <c r="R75" s="293">
        <f>'WA Volumes &amp; Revenues'!E65</f>
        <v>0</v>
      </c>
      <c r="S75" s="306"/>
      <c r="T75" s="295"/>
      <c r="U75" s="296"/>
      <c r="V75" s="156"/>
      <c r="W75" s="308">
        <f t="shared" si="115"/>
        <v>0</v>
      </c>
      <c r="X75" s="304">
        <f t="shared" si="116"/>
        <v>0</v>
      </c>
      <c r="Y75" s="304">
        <f t="shared" si="117"/>
        <v>0</v>
      </c>
      <c r="Z75" s="309"/>
      <c r="AA75" s="304"/>
      <c r="AB75" s="308">
        <f t="shared" si="118"/>
        <v>0</v>
      </c>
      <c r="AC75" s="304">
        <f t="shared" si="119"/>
        <v>0</v>
      </c>
      <c r="AD75" s="309">
        <f t="shared" si="120"/>
        <v>0</v>
      </c>
      <c r="AE75" s="304"/>
      <c r="AF75" s="308">
        <f t="shared" si="121"/>
        <v>0</v>
      </c>
      <c r="AG75" s="304">
        <f t="shared" si="121"/>
        <v>0</v>
      </c>
      <c r="AH75" s="309">
        <f t="shared" si="122"/>
        <v>0</v>
      </c>
      <c r="AI75" s="304"/>
      <c r="AJ75" s="333"/>
      <c r="AK75" s="335" t="e">
        <f t="shared" si="114"/>
        <v>#DIV/0!</v>
      </c>
      <c r="AL75" s="304"/>
      <c r="AM75" s="308">
        <f t="shared" si="123"/>
        <v>0</v>
      </c>
      <c r="AN75" s="304">
        <v>0</v>
      </c>
      <c r="AO75" s="309">
        <f t="shared" si="124"/>
        <v>0</v>
      </c>
      <c r="AP75" s="304"/>
      <c r="AQ75" s="305"/>
      <c r="AR75" s="305"/>
      <c r="AS75" s="304"/>
    </row>
    <row r="76" spans="1:45" x14ac:dyDescent="0.3">
      <c r="A76" s="85">
        <f t="shared" si="125"/>
        <v>69</v>
      </c>
      <c r="B76" s="709"/>
      <c r="C76" s="710" t="s">
        <v>7</v>
      </c>
      <c r="D76" s="156"/>
      <c r="E76" s="121">
        <f>ROUND('Rates in Detail'!L64,5)</f>
        <v>8.2100000000000003E-3</v>
      </c>
      <c r="F76" s="121">
        <f>'Allocation = % of Margin'!AD65</f>
        <v>-1.39E-3</v>
      </c>
      <c r="G76" s="156"/>
      <c r="H76" s="368">
        <f>ROUND('Rates in Detail'!N64,5)</f>
        <v>8.0089999999999995E-2</v>
      </c>
      <c r="I76" s="758">
        <f t="shared" si="13"/>
        <v>8.829999999999999E-2</v>
      </c>
      <c r="J76" s="156"/>
      <c r="K76" s="154"/>
      <c r="L76" s="155"/>
      <c r="M76" s="121"/>
      <c r="N76" s="121"/>
      <c r="O76" s="121"/>
      <c r="P76" s="758"/>
      <c r="Q76" s="156"/>
      <c r="R76" s="293">
        <f>'WA Volumes &amp; Revenues'!E66</f>
        <v>0</v>
      </c>
      <c r="S76" s="306"/>
      <c r="T76" s="295"/>
      <c r="U76" s="296"/>
      <c r="V76" s="156"/>
      <c r="W76" s="308">
        <f t="shared" si="115"/>
        <v>0</v>
      </c>
      <c r="X76" s="304">
        <f t="shared" si="116"/>
        <v>0</v>
      </c>
      <c r="Y76" s="304">
        <f t="shared" si="117"/>
        <v>0</v>
      </c>
      <c r="Z76" s="309"/>
      <c r="AA76" s="304"/>
      <c r="AB76" s="308">
        <f t="shared" si="118"/>
        <v>0</v>
      </c>
      <c r="AC76" s="304">
        <f t="shared" si="119"/>
        <v>0</v>
      </c>
      <c r="AD76" s="309">
        <f t="shared" si="120"/>
        <v>0</v>
      </c>
      <c r="AE76" s="304"/>
      <c r="AF76" s="308">
        <f t="shared" si="121"/>
        <v>0</v>
      </c>
      <c r="AG76" s="304">
        <f t="shared" si="121"/>
        <v>0</v>
      </c>
      <c r="AH76" s="309">
        <f t="shared" si="122"/>
        <v>0</v>
      </c>
      <c r="AI76" s="304"/>
      <c r="AJ76" s="333"/>
      <c r="AK76" s="335" t="e">
        <f t="shared" si="114"/>
        <v>#DIV/0!</v>
      </c>
      <c r="AL76" s="304"/>
      <c r="AM76" s="308">
        <f t="shared" si="123"/>
        <v>0</v>
      </c>
      <c r="AN76" s="304">
        <v>0</v>
      </c>
      <c r="AO76" s="309">
        <f t="shared" si="124"/>
        <v>0</v>
      </c>
      <c r="AP76" s="304"/>
      <c r="AQ76" s="305"/>
      <c r="AR76" s="305"/>
      <c r="AS76" s="304"/>
    </row>
    <row r="77" spans="1:45" x14ac:dyDescent="0.3">
      <c r="A77" s="85">
        <f t="shared" si="125"/>
        <v>70</v>
      </c>
      <c r="B77" s="709"/>
      <c r="C77" s="710" t="s">
        <v>8</v>
      </c>
      <c r="D77" s="156"/>
      <c r="E77" s="121">
        <f>ROUND('Rates in Detail'!L65,5)</f>
        <v>5.47E-3</v>
      </c>
      <c r="F77" s="121">
        <f>'Allocation = % of Margin'!AD66</f>
        <v>-9.3000000000000005E-4</v>
      </c>
      <c r="G77" s="156"/>
      <c r="H77" s="368">
        <f>ROUND('Rates in Detail'!N65,5)</f>
        <v>5.339E-2</v>
      </c>
      <c r="I77" s="758">
        <f t="shared" si="13"/>
        <v>5.8860000000000003E-2</v>
      </c>
      <c r="J77" s="156"/>
      <c r="K77" s="154"/>
      <c r="L77" s="155"/>
      <c r="M77" s="121"/>
      <c r="N77" s="121"/>
      <c r="O77" s="121"/>
      <c r="P77" s="758"/>
      <c r="Q77" s="156"/>
      <c r="R77" s="293">
        <f>'WA Volumes &amp; Revenues'!E67</f>
        <v>0</v>
      </c>
      <c r="S77" s="306"/>
      <c r="T77" s="295"/>
      <c r="U77" s="296"/>
      <c r="V77" s="156"/>
      <c r="W77" s="308">
        <f t="shared" si="115"/>
        <v>0</v>
      </c>
      <c r="X77" s="304">
        <f t="shared" si="116"/>
        <v>0</v>
      </c>
      <c r="Y77" s="304">
        <f t="shared" si="117"/>
        <v>0</v>
      </c>
      <c r="Z77" s="309"/>
      <c r="AA77" s="304"/>
      <c r="AB77" s="308">
        <f t="shared" si="118"/>
        <v>0</v>
      </c>
      <c r="AC77" s="304">
        <f t="shared" si="119"/>
        <v>0</v>
      </c>
      <c r="AD77" s="309">
        <f t="shared" si="120"/>
        <v>0</v>
      </c>
      <c r="AE77" s="304"/>
      <c r="AF77" s="308">
        <f t="shared" si="121"/>
        <v>0</v>
      </c>
      <c r="AG77" s="304">
        <f t="shared" si="121"/>
        <v>0</v>
      </c>
      <c r="AH77" s="309">
        <f t="shared" si="122"/>
        <v>0</v>
      </c>
      <c r="AI77" s="304"/>
      <c r="AJ77" s="333"/>
      <c r="AK77" s="335" t="e">
        <f t="shared" si="114"/>
        <v>#DIV/0!</v>
      </c>
      <c r="AL77" s="304"/>
      <c r="AM77" s="308">
        <f t="shared" si="123"/>
        <v>0</v>
      </c>
      <c r="AN77" s="304">
        <v>0</v>
      </c>
      <c r="AO77" s="309">
        <f t="shared" si="124"/>
        <v>0</v>
      </c>
      <c r="AP77" s="304"/>
      <c r="AQ77" s="305"/>
      <c r="AR77" s="305"/>
      <c r="AS77" s="304"/>
    </row>
    <row r="78" spans="1:45" x14ac:dyDescent="0.3">
      <c r="A78" s="85">
        <f t="shared" si="125"/>
        <v>71</v>
      </c>
      <c r="B78" s="709"/>
      <c r="C78" s="710" t="s">
        <v>9</v>
      </c>
      <c r="D78" s="156"/>
      <c r="E78" s="121">
        <f>ROUND('Rates in Detail'!L66,5)</f>
        <v>2.0500000000000002E-3</v>
      </c>
      <c r="F78" s="121">
        <f>'Allocation = % of Margin'!AD67</f>
        <v>-3.5E-4</v>
      </c>
      <c r="G78" s="156"/>
      <c r="H78" s="368">
        <f>ROUND('Rates in Detail'!N66,5)</f>
        <v>2.002E-2</v>
      </c>
      <c r="I78" s="758">
        <f t="shared" ref="I78:I96" si="126">H78+E78</f>
        <v>2.2069999999999999E-2</v>
      </c>
      <c r="J78" s="156"/>
      <c r="K78" s="727"/>
      <c r="L78" s="367"/>
      <c r="M78" s="121"/>
      <c r="N78" s="121"/>
      <c r="O78" s="121"/>
      <c r="P78" s="758"/>
      <c r="Q78" s="156"/>
      <c r="R78" s="293">
        <f>'WA Volumes &amp; Revenues'!E68</f>
        <v>0</v>
      </c>
      <c r="S78" s="306"/>
      <c r="T78" s="295"/>
      <c r="U78" s="296"/>
      <c r="V78" s="156"/>
      <c r="W78" s="308">
        <f t="shared" si="115"/>
        <v>0</v>
      </c>
      <c r="X78" s="304">
        <f t="shared" si="116"/>
        <v>0</v>
      </c>
      <c r="Y78" s="304">
        <f t="shared" si="117"/>
        <v>0</v>
      </c>
      <c r="Z78" s="309"/>
      <c r="AA78" s="304"/>
      <c r="AB78" s="308">
        <f t="shared" si="118"/>
        <v>0</v>
      </c>
      <c r="AC78" s="304">
        <f t="shared" si="119"/>
        <v>0</v>
      </c>
      <c r="AD78" s="309">
        <f t="shared" si="120"/>
        <v>0</v>
      </c>
      <c r="AE78" s="304"/>
      <c r="AF78" s="308">
        <f t="shared" si="121"/>
        <v>0</v>
      </c>
      <c r="AG78" s="304">
        <f t="shared" si="121"/>
        <v>0</v>
      </c>
      <c r="AH78" s="309">
        <f t="shared" si="122"/>
        <v>0</v>
      </c>
      <c r="AI78" s="304"/>
      <c r="AJ78" s="333"/>
      <c r="AK78" s="335" t="e">
        <f>AK77</f>
        <v>#DIV/0!</v>
      </c>
      <c r="AL78" s="304"/>
      <c r="AM78" s="308">
        <f t="shared" si="123"/>
        <v>0</v>
      </c>
      <c r="AN78" s="304">
        <v>0</v>
      </c>
      <c r="AO78" s="309">
        <f t="shared" si="124"/>
        <v>0</v>
      </c>
      <c r="AP78" s="304"/>
      <c r="AQ78" s="305"/>
      <c r="AR78" s="305"/>
      <c r="AS78" s="304"/>
    </row>
    <row r="79" spans="1:45" x14ac:dyDescent="0.3">
      <c r="A79" s="85">
        <f t="shared" si="125"/>
        <v>72</v>
      </c>
      <c r="B79" s="707"/>
      <c r="C79" s="726" t="s">
        <v>76</v>
      </c>
      <c r="D79" s="152"/>
      <c r="E79" s="122"/>
      <c r="F79" s="122"/>
      <c r="G79" s="152"/>
      <c r="H79" s="363"/>
      <c r="I79" s="757"/>
      <c r="J79" s="156"/>
      <c r="K79" s="727"/>
      <c r="L79" s="367"/>
      <c r="M79" s="121"/>
      <c r="N79" s="121"/>
      <c r="O79" s="121"/>
      <c r="P79" s="758"/>
      <c r="Q79" s="156"/>
      <c r="R79" s="293"/>
      <c r="S79" s="306"/>
      <c r="T79" s="295"/>
      <c r="U79" s="296"/>
      <c r="V79" s="156"/>
      <c r="W79" s="310">
        <f>SUM(W73:W78)</f>
        <v>43706.491099999999</v>
      </c>
      <c r="X79" s="311">
        <f>SUM(X73:X78)</f>
        <v>29900.000000000051</v>
      </c>
      <c r="Y79" s="311">
        <f>SUM(Y73:Y78)</f>
        <v>0</v>
      </c>
      <c r="Z79" s="312">
        <f>'Rate Spread SETTLEMENT'!V$15-SUM(W79:Y79)</f>
        <v>7523.5434959917475</v>
      </c>
      <c r="AA79" s="304"/>
      <c r="AB79" s="310">
        <f>SUM(AB73:AB78)</f>
        <v>48186.406300000002</v>
      </c>
      <c r="AC79" s="311">
        <f>SUM(AC73:AC78)</f>
        <v>29900.000000000051</v>
      </c>
      <c r="AD79" s="312">
        <f>SUM(AD73:AD78)</f>
        <v>0</v>
      </c>
      <c r="AE79" s="304"/>
      <c r="AF79" s="310">
        <f>SUM(AF73:AF78)</f>
        <v>4479.9151999999995</v>
      </c>
      <c r="AG79" s="311">
        <f>SUM(AG73:AG78)</f>
        <v>0</v>
      </c>
      <c r="AH79" s="312">
        <f>SUM(AH73:AH78)</f>
        <v>0</v>
      </c>
      <c r="AI79" s="304"/>
      <c r="AJ79" s="333">
        <f>SUM(AF79:AH79)/SUM(W79:Y79)</f>
        <v>6.0863045270201678E-2</v>
      </c>
      <c r="AK79" s="334">
        <f t="shared" ref="AK79:AK84" si="127">SUM(AF79)/SUM(W79)</f>
        <v>0.10249999684829422</v>
      </c>
      <c r="AL79" s="304"/>
      <c r="AM79" s="310">
        <f>SUM(AM73:AM78)</f>
        <v>-760.61590000000001</v>
      </c>
      <c r="AN79" s="311">
        <f>SUM(AN73:AN78)</f>
        <v>0</v>
      </c>
      <c r="AO79" s="312">
        <f>SUM(AO73:AO78)</f>
        <v>0</v>
      </c>
      <c r="AP79" s="304"/>
      <c r="AQ79" s="305"/>
      <c r="AR79" s="305"/>
      <c r="AS79" s="304"/>
    </row>
    <row r="80" spans="1:45" x14ac:dyDescent="0.3">
      <c r="A80" s="85">
        <f t="shared" si="125"/>
        <v>73</v>
      </c>
      <c r="B80" s="709" t="str">
        <f>'WA Volumes &amp; Revenues'!B69</f>
        <v>42C Inter Transpt</v>
      </c>
      <c r="C80" s="710" t="s">
        <v>4</v>
      </c>
      <c r="D80" s="156"/>
      <c r="E80" s="121">
        <f>ROUND('Rates in Detail'!L67,5)</f>
        <v>6.1399999999999996E-3</v>
      </c>
      <c r="F80" s="121">
        <f>'Allocation = % of Margin'!AD68</f>
        <v>-1.2600000000000001E-3</v>
      </c>
      <c r="G80" s="156"/>
      <c r="H80" s="368">
        <f>ROUND('Rates in Detail'!N67,5)</f>
        <v>0.13403000000000001</v>
      </c>
      <c r="I80" s="758">
        <f t="shared" si="126"/>
        <v>0.14017000000000002</v>
      </c>
      <c r="J80" s="156"/>
      <c r="K80" s="154">
        <f>'WA Volumes &amp; Revenues'!O69</f>
        <v>1550</v>
      </c>
      <c r="L80" s="155">
        <f>'WA Volumes &amp; Revenues'!N69</f>
        <v>1550</v>
      </c>
      <c r="M80" s="121">
        <f>'Rates in Detail'!AR67</f>
        <v>0</v>
      </c>
      <c r="N80" s="121">
        <f>'Rates in Detail'!AS67</f>
        <v>0</v>
      </c>
      <c r="O80" s="121">
        <f>'Rates in Detail'!AT67</f>
        <v>0</v>
      </c>
      <c r="P80" s="758">
        <f>'Rates in Detail'!AU67</f>
        <v>0</v>
      </c>
      <c r="Q80" s="156"/>
      <c r="R80" s="293">
        <f>'WA Volumes &amp; Revenues'!E69</f>
        <v>0</v>
      </c>
      <c r="S80" s="306"/>
      <c r="T80" s="295">
        <f>'WA Volumes &amp; Revenues'!H69</f>
        <v>0</v>
      </c>
      <c r="U80" s="296">
        <f>'WA Volumes &amp; Revenues'!I69</f>
        <v>0</v>
      </c>
      <c r="V80" s="156"/>
      <c r="W80" s="308">
        <f t="shared" ref="W80:W85" si="128">(H80*R80)</f>
        <v>0</v>
      </c>
      <c r="X80" s="304">
        <f t="shared" ref="X80:X85" si="129">(K80*T80*12)</f>
        <v>0</v>
      </c>
      <c r="Y80" s="304">
        <f t="shared" ref="Y80:Y85" si="130">(S80*(M80+O80))*12</f>
        <v>0</v>
      </c>
      <c r="Z80" s="309"/>
      <c r="AA80" s="304"/>
      <c r="AB80" s="308">
        <f t="shared" ref="AB80:AB85" si="131">(I80*R80)</f>
        <v>0</v>
      </c>
      <c r="AC80" s="304">
        <f t="shared" ref="AC80:AC85" si="132">(L80*T80*12)</f>
        <v>0</v>
      </c>
      <c r="AD80" s="309">
        <f t="shared" ref="AD80:AD85" si="133">(S80*(N80+P80))*12</f>
        <v>0</v>
      </c>
      <c r="AE80" s="304"/>
      <c r="AF80" s="308">
        <f t="shared" ref="AF80:AG85" si="134">AB80-W80</f>
        <v>0</v>
      </c>
      <c r="AG80" s="304">
        <f t="shared" si="134"/>
        <v>0</v>
      </c>
      <c r="AH80" s="309">
        <f t="shared" ref="AH80:AH85" si="135">AD80-Y80</f>
        <v>0</v>
      </c>
      <c r="AI80" s="304"/>
      <c r="AJ80" s="333"/>
      <c r="AK80" s="335" t="e">
        <f t="shared" si="127"/>
        <v>#DIV/0!</v>
      </c>
      <c r="AL80" s="304"/>
      <c r="AM80" s="308">
        <f t="shared" ref="AM80:AM85" si="136">(F80*R80)</f>
        <v>0</v>
      </c>
      <c r="AN80" s="304">
        <v>0</v>
      </c>
      <c r="AO80" s="309">
        <f t="shared" ref="AO80:AO85" si="137">(AE80*(Y80+AB80))*12</f>
        <v>0</v>
      </c>
      <c r="AP80" s="304"/>
      <c r="AQ80" s="305"/>
      <c r="AR80" s="305"/>
      <c r="AS80" s="304"/>
    </row>
    <row r="81" spans="1:45" x14ac:dyDescent="0.3">
      <c r="A81" s="85">
        <f t="shared" si="125"/>
        <v>74</v>
      </c>
      <c r="B81" s="709"/>
      <c r="C81" s="710" t="s">
        <v>5</v>
      </c>
      <c r="D81" s="156"/>
      <c r="E81" s="121">
        <f>ROUND('Rates in Detail'!L68,5)</f>
        <v>5.4999999999999997E-3</v>
      </c>
      <c r="F81" s="121">
        <f>'Allocation = % of Margin'!AD69</f>
        <v>-1.1199999999999999E-3</v>
      </c>
      <c r="G81" s="156"/>
      <c r="H81" s="368">
        <f>ROUND('Rates in Detail'!N68,5)</f>
        <v>0.11998</v>
      </c>
      <c r="I81" s="758">
        <f t="shared" si="126"/>
        <v>0.12548000000000001</v>
      </c>
      <c r="J81" s="156"/>
      <c r="K81" s="154"/>
      <c r="L81" s="155"/>
      <c r="M81" s="121"/>
      <c r="N81" s="121"/>
      <c r="O81" s="121"/>
      <c r="P81" s="758"/>
      <c r="Q81" s="156"/>
      <c r="R81" s="293">
        <f>'WA Volumes &amp; Revenues'!E70</f>
        <v>0</v>
      </c>
      <c r="S81" s="306"/>
      <c r="T81" s="295"/>
      <c r="U81" s="296"/>
      <c r="V81" s="156"/>
      <c r="W81" s="308">
        <f t="shared" si="128"/>
        <v>0</v>
      </c>
      <c r="X81" s="304">
        <f t="shared" si="129"/>
        <v>0</v>
      </c>
      <c r="Y81" s="304">
        <f t="shared" si="130"/>
        <v>0</v>
      </c>
      <c r="Z81" s="309"/>
      <c r="AA81" s="304"/>
      <c r="AB81" s="308">
        <f t="shared" si="131"/>
        <v>0</v>
      </c>
      <c r="AC81" s="304">
        <f t="shared" si="132"/>
        <v>0</v>
      </c>
      <c r="AD81" s="309">
        <f t="shared" si="133"/>
        <v>0</v>
      </c>
      <c r="AE81" s="304"/>
      <c r="AF81" s="308">
        <f t="shared" si="134"/>
        <v>0</v>
      </c>
      <c r="AG81" s="304">
        <f t="shared" si="134"/>
        <v>0</v>
      </c>
      <c r="AH81" s="309">
        <f t="shared" si="135"/>
        <v>0</v>
      </c>
      <c r="AI81" s="304"/>
      <c r="AJ81" s="333"/>
      <c r="AK81" s="335" t="e">
        <f t="shared" si="127"/>
        <v>#DIV/0!</v>
      </c>
      <c r="AL81" s="304"/>
      <c r="AM81" s="308">
        <f t="shared" si="136"/>
        <v>0</v>
      </c>
      <c r="AN81" s="304">
        <v>0</v>
      </c>
      <c r="AO81" s="309">
        <f t="shared" si="137"/>
        <v>0</v>
      </c>
      <c r="AP81" s="304"/>
      <c r="AQ81" s="305"/>
      <c r="AR81" s="305"/>
      <c r="AS81" s="304"/>
    </row>
    <row r="82" spans="1:45" x14ac:dyDescent="0.3">
      <c r="A82" s="85">
        <f t="shared" si="125"/>
        <v>75</v>
      </c>
      <c r="B82" s="709"/>
      <c r="C82" s="710" t="s">
        <v>6</v>
      </c>
      <c r="D82" s="156"/>
      <c r="E82" s="121">
        <f>ROUND('Rates in Detail'!L69,5)</f>
        <v>4.2199999999999998E-3</v>
      </c>
      <c r="F82" s="121">
        <f>'Allocation = % of Margin'!AD70</f>
        <v>-8.5999999999999998E-4</v>
      </c>
      <c r="G82" s="156"/>
      <c r="H82" s="368">
        <f>ROUND('Rates in Detail'!N69,5)</f>
        <v>9.1999999999999998E-2</v>
      </c>
      <c r="I82" s="758">
        <f t="shared" si="126"/>
        <v>9.622E-2</v>
      </c>
      <c r="J82" s="156"/>
      <c r="K82" s="154"/>
      <c r="L82" s="155"/>
      <c r="M82" s="121"/>
      <c r="N82" s="121"/>
      <c r="O82" s="121"/>
      <c r="P82" s="758"/>
      <c r="Q82" s="156"/>
      <c r="R82" s="293">
        <f>'WA Volumes &amp; Revenues'!E71</f>
        <v>0</v>
      </c>
      <c r="S82" s="306"/>
      <c r="T82" s="295"/>
      <c r="U82" s="296"/>
      <c r="V82" s="156"/>
      <c r="W82" s="308">
        <f t="shared" si="128"/>
        <v>0</v>
      </c>
      <c r="X82" s="304">
        <f t="shared" si="129"/>
        <v>0</v>
      </c>
      <c r="Y82" s="304">
        <f t="shared" si="130"/>
        <v>0</v>
      </c>
      <c r="Z82" s="309"/>
      <c r="AA82" s="304"/>
      <c r="AB82" s="308">
        <f t="shared" si="131"/>
        <v>0</v>
      </c>
      <c r="AC82" s="304">
        <f t="shared" si="132"/>
        <v>0</v>
      </c>
      <c r="AD82" s="309">
        <f t="shared" si="133"/>
        <v>0</v>
      </c>
      <c r="AE82" s="304"/>
      <c r="AF82" s="308">
        <f t="shared" si="134"/>
        <v>0</v>
      </c>
      <c r="AG82" s="304">
        <f t="shared" si="134"/>
        <v>0</v>
      </c>
      <c r="AH82" s="309">
        <f t="shared" si="135"/>
        <v>0</v>
      </c>
      <c r="AI82" s="304"/>
      <c r="AJ82" s="333"/>
      <c r="AK82" s="335" t="e">
        <f t="shared" si="127"/>
        <v>#DIV/0!</v>
      </c>
      <c r="AL82" s="304"/>
      <c r="AM82" s="308">
        <f t="shared" si="136"/>
        <v>0</v>
      </c>
      <c r="AN82" s="304">
        <v>0</v>
      </c>
      <c r="AO82" s="309">
        <f t="shared" si="137"/>
        <v>0</v>
      </c>
      <c r="AP82" s="304"/>
      <c r="AQ82" s="305"/>
      <c r="AR82" s="305"/>
      <c r="AS82" s="304"/>
    </row>
    <row r="83" spans="1:45" x14ac:dyDescent="0.3">
      <c r="A83" s="85">
        <f t="shared" si="125"/>
        <v>76</v>
      </c>
      <c r="B83" s="709"/>
      <c r="C83" s="710" t="s">
        <v>7</v>
      </c>
      <c r="D83" s="156"/>
      <c r="E83" s="121">
        <f>ROUND('Rates in Detail'!L70,5)</f>
        <v>3.3700000000000002E-3</v>
      </c>
      <c r="F83" s="121">
        <f>'Allocation = % of Margin'!AD71</f>
        <v>-6.8999999999999997E-4</v>
      </c>
      <c r="G83" s="156"/>
      <c r="H83" s="368">
        <f>ROUND('Rates in Detail'!N70,5)</f>
        <v>7.3609999999999995E-2</v>
      </c>
      <c r="I83" s="758">
        <f t="shared" si="126"/>
        <v>7.6979999999999993E-2</v>
      </c>
      <c r="J83" s="156"/>
      <c r="K83" s="154"/>
      <c r="L83" s="155"/>
      <c r="M83" s="121"/>
      <c r="N83" s="121"/>
      <c r="O83" s="121"/>
      <c r="P83" s="758"/>
      <c r="Q83" s="156"/>
      <c r="R83" s="293">
        <f>'WA Volumes &amp; Revenues'!E72</f>
        <v>0</v>
      </c>
      <c r="S83" s="306"/>
      <c r="T83" s="295"/>
      <c r="U83" s="296"/>
      <c r="V83" s="156"/>
      <c r="W83" s="308">
        <f t="shared" si="128"/>
        <v>0</v>
      </c>
      <c r="X83" s="304">
        <f t="shared" si="129"/>
        <v>0</v>
      </c>
      <c r="Y83" s="304">
        <f t="shared" si="130"/>
        <v>0</v>
      </c>
      <c r="Z83" s="309"/>
      <c r="AA83" s="304"/>
      <c r="AB83" s="308">
        <f t="shared" si="131"/>
        <v>0</v>
      </c>
      <c r="AC83" s="304">
        <f t="shared" si="132"/>
        <v>0</v>
      </c>
      <c r="AD83" s="309">
        <f t="shared" si="133"/>
        <v>0</v>
      </c>
      <c r="AE83" s="304"/>
      <c r="AF83" s="308">
        <f t="shared" si="134"/>
        <v>0</v>
      </c>
      <c r="AG83" s="304">
        <f t="shared" si="134"/>
        <v>0</v>
      </c>
      <c r="AH83" s="309">
        <f t="shared" si="135"/>
        <v>0</v>
      </c>
      <c r="AI83" s="304"/>
      <c r="AJ83" s="333"/>
      <c r="AK83" s="335" t="e">
        <f t="shared" si="127"/>
        <v>#DIV/0!</v>
      </c>
      <c r="AL83" s="304"/>
      <c r="AM83" s="308">
        <f t="shared" si="136"/>
        <v>0</v>
      </c>
      <c r="AN83" s="304">
        <v>0</v>
      </c>
      <c r="AO83" s="309">
        <f t="shared" si="137"/>
        <v>0</v>
      </c>
      <c r="AP83" s="304"/>
      <c r="AQ83" s="305"/>
      <c r="AR83" s="305"/>
      <c r="AS83" s="304"/>
    </row>
    <row r="84" spans="1:45" x14ac:dyDescent="0.3">
      <c r="A84" s="85">
        <f t="shared" si="125"/>
        <v>77</v>
      </c>
      <c r="B84" s="709"/>
      <c r="C84" s="710" t="s">
        <v>8</v>
      </c>
      <c r="D84" s="156"/>
      <c r="E84" s="121">
        <f>ROUND('Rates in Detail'!L71,5)</f>
        <v>2.2499999999999998E-3</v>
      </c>
      <c r="F84" s="121">
        <f>'Allocation = % of Margin'!AD72</f>
        <v>-4.6000000000000001E-4</v>
      </c>
      <c r="G84" s="156"/>
      <c r="H84" s="368">
        <f>ROUND('Rates in Detail'!N71,5)</f>
        <v>4.9079999999999999E-2</v>
      </c>
      <c r="I84" s="758">
        <f t="shared" si="126"/>
        <v>5.1330000000000001E-2</v>
      </c>
      <c r="J84" s="156"/>
      <c r="K84" s="154"/>
      <c r="L84" s="155"/>
      <c r="M84" s="121"/>
      <c r="N84" s="121"/>
      <c r="O84" s="121"/>
      <c r="P84" s="758"/>
      <c r="Q84" s="156"/>
      <c r="R84" s="293">
        <f>'WA Volumes &amp; Revenues'!E73</f>
        <v>0</v>
      </c>
      <c r="S84" s="306"/>
      <c r="T84" s="295"/>
      <c r="U84" s="296"/>
      <c r="V84" s="156"/>
      <c r="W84" s="308">
        <f t="shared" si="128"/>
        <v>0</v>
      </c>
      <c r="X84" s="304">
        <f t="shared" si="129"/>
        <v>0</v>
      </c>
      <c r="Y84" s="304">
        <f t="shared" si="130"/>
        <v>0</v>
      </c>
      <c r="Z84" s="309"/>
      <c r="AA84" s="304"/>
      <c r="AB84" s="308">
        <f t="shared" si="131"/>
        <v>0</v>
      </c>
      <c r="AC84" s="304">
        <f t="shared" si="132"/>
        <v>0</v>
      </c>
      <c r="AD84" s="309">
        <f t="shared" si="133"/>
        <v>0</v>
      </c>
      <c r="AE84" s="304"/>
      <c r="AF84" s="308">
        <f t="shared" si="134"/>
        <v>0</v>
      </c>
      <c r="AG84" s="304">
        <f t="shared" si="134"/>
        <v>0</v>
      </c>
      <c r="AH84" s="309">
        <f t="shared" si="135"/>
        <v>0</v>
      </c>
      <c r="AI84" s="304"/>
      <c r="AJ84" s="333"/>
      <c r="AK84" s="335" t="e">
        <f t="shared" si="127"/>
        <v>#DIV/0!</v>
      </c>
      <c r="AL84" s="304"/>
      <c r="AM84" s="308">
        <f t="shared" si="136"/>
        <v>0</v>
      </c>
      <c r="AN84" s="304">
        <v>0</v>
      </c>
      <c r="AO84" s="309">
        <f t="shared" si="137"/>
        <v>0</v>
      </c>
      <c r="AP84" s="304"/>
      <c r="AQ84" s="305"/>
      <c r="AR84" s="305"/>
      <c r="AS84" s="304"/>
    </row>
    <row r="85" spans="1:45" x14ac:dyDescent="0.3">
      <c r="A85" s="85">
        <f t="shared" si="125"/>
        <v>78</v>
      </c>
      <c r="B85" s="709"/>
      <c r="C85" s="710" t="s">
        <v>9</v>
      </c>
      <c r="D85" s="156"/>
      <c r="E85" s="121">
        <f>ROUND('Rates in Detail'!L72,5)</f>
        <v>8.4000000000000003E-4</v>
      </c>
      <c r="F85" s="121">
        <f>'Allocation = % of Margin'!AD73</f>
        <v>-1.7000000000000001E-4</v>
      </c>
      <c r="G85" s="156"/>
      <c r="H85" s="368">
        <f>ROUND('Rates in Detail'!N72,5)</f>
        <v>1.839E-2</v>
      </c>
      <c r="I85" s="758">
        <f t="shared" si="126"/>
        <v>1.9230000000000001E-2</v>
      </c>
      <c r="J85" s="156"/>
      <c r="K85" s="727"/>
      <c r="L85" s="367"/>
      <c r="M85" s="121"/>
      <c r="N85" s="121"/>
      <c r="O85" s="121"/>
      <c r="P85" s="758"/>
      <c r="Q85" s="156"/>
      <c r="R85" s="293">
        <f>'WA Volumes &amp; Revenues'!E74</f>
        <v>0</v>
      </c>
      <c r="S85" s="306"/>
      <c r="T85" s="295"/>
      <c r="U85" s="296"/>
      <c r="V85" s="156"/>
      <c r="W85" s="308">
        <f t="shared" si="128"/>
        <v>0</v>
      </c>
      <c r="X85" s="304">
        <f t="shared" si="129"/>
        <v>0</v>
      </c>
      <c r="Y85" s="304">
        <f t="shared" si="130"/>
        <v>0</v>
      </c>
      <c r="Z85" s="309"/>
      <c r="AA85" s="304"/>
      <c r="AB85" s="308">
        <f t="shared" si="131"/>
        <v>0</v>
      </c>
      <c r="AC85" s="304">
        <f t="shared" si="132"/>
        <v>0</v>
      </c>
      <c r="AD85" s="309">
        <f t="shared" si="133"/>
        <v>0</v>
      </c>
      <c r="AE85" s="304"/>
      <c r="AF85" s="308">
        <f t="shared" si="134"/>
        <v>0</v>
      </c>
      <c r="AG85" s="304">
        <f t="shared" si="134"/>
        <v>0</v>
      </c>
      <c r="AH85" s="309">
        <f t="shared" si="135"/>
        <v>0</v>
      </c>
      <c r="AI85" s="304"/>
      <c r="AJ85" s="333"/>
      <c r="AK85" s="335" t="e">
        <f>AK84</f>
        <v>#DIV/0!</v>
      </c>
      <c r="AL85" s="304"/>
      <c r="AM85" s="308">
        <f t="shared" si="136"/>
        <v>0</v>
      </c>
      <c r="AN85" s="304">
        <v>0</v>
      </c>
      <c r="AO85" s="309">
        <f t="shared" si="137"/>
        <v>0</v>
      </c>
      <c r="AP85" s="304"/>
      <c r="AQ85" s="305"/>
      <c r="AR85" s="305"/>
      <c r="AS85" s="304"/>
    </row>
    <row r="86" spans="1:45" x14ac:dyDescent="0.3">
      <c r="A86" s="85">
        <f t="shared" si="125"/>
        <v>79</v>
      </c>
      <c r="B86" s="707"/>
      <c r="C86" s="726" t="s">
        <v>76</v>
      </c>
      <c r="D86" s="152"/>
      <c r="E86" s="122"/>
      <c r="F86" s="122"/>
      <c r="G86" s="152"/>
      <c r="H86" s="363"/>
      <c r="I86" s="757"/>
      <c r="J86" s="156"/>
      <c r="K86" s="727"/>
      <c r="L86" s="367"/>
      <c r="M86" s="121"/>
      <c r="N86" s="121"/>
      <c r="O86" s="121"/>
      <c r="P86" s="758"/>
      <c r="Q86" s="156"/>
      <c r="R86" s="293"/>
      <c r="S86" s="306"/>
      <c r="T86" s="295"/>
      <c r="U86" s="296"/>
      <c r="V86" s="156"/>
      <c r="W86" s="310">
        <f>SUM(W80:W85)</f>
        <v>0</v>
      </c>
      <c r="X86" s="311">
        <f>SUM(X80:X85)</f>
        <v>0</v>
      </c>
      <c r="Y86" s="311">
        <f>SUM(Y80:Y85)</f>
        <v>0</v>
      </c>
      <c r="Z86" s="312">
        <f>'Rate Spread SETTLEMENT'!W$15-SUM(W86:Y86)</f>
        <v>0</v>
      </c>
      <c r="AA86" s="304"/>
      <c r="AB86" s="310">
        <f>SUM(AB80:AB85)</f>
        <v>0</v>
      </c>
      <c r="AC86" s="311">
        <f>SUM(AC80:AC85)</f>
        <v>0</v>
      </c>
      <c r="AD86" s="312">
        <f>SUM(AD80:AD85)</f>
        <v>0</v>
      </c>
      <c r="AE86" s="304"/>
      <c r="AF86" s="310">
        <f>SUM(AF80:AF85)</f>
        <v>0</v>
      </c>
      <c r="AG86" s="311">
        <f>SUM(AG80:AG85)</f>
        <v>0</v>
      </c>
      <c r="AH86" s="312">
        <f>SUM(AH80:AH85)</f>
        <v>0</v>
      </c>
      <c r="AI86" s="304"/>
      <c r="AJ86" s="333" t="e">
        <f>SUM(AF86:AH86)/SUM(W86:Y86)</f>
        <v>#DIV/0!</v>
      </c>
      <c r="AK86" s="334" t="e">
        <f t="shared" ref="AK86:AK93" si="138">SUM(AF86)/SUM(W86)</f>
        <v>#DIV/0!</v>
      </c>
      <c r="AL86" s="304"/>
      <c r="AM86" s="310">
        <f>SUM(AM80:AM85)</f>
        <v>0</v>
      </c>
      <c r="AN86" s="311">
        <f>SUM(AN80:AN85)</f>
        <v>0</v>
      </c>
      <c r="AO86" s="312">
        <f>SUM(AO80:AO85)</f>
        <v>0</v>
      </c>
      <c r="AP86" s="304"/>
      <c r="AQ86" s="305"/>
      <c r="AR86" s="305"/>
      <c r="AS86" s="304"/>
    </row>
    <row r="87" spans="1:45" x14ac:dyDescent="0.3">
      <c r="A87" s="85">
        <f t="shared" si="125"/>
        <v>80</v>
      </c>
      <c r="B87" s="709" t="str">
        <f>'WA Volumes &amp; Revenues'!B75</f>
        <v>42I Inter Transpt</v>
      </c>
      <c r="C87" s="710" t="s">
        <v>4</v>
      </c>
      <c r="D87" s="161"/>
      <c r="E87" s="121">
        <f>ROUND('Rates in Detail'!L73,5)</f>
        <v>8.7899999999999992E-3</v>
      </c>
      <c r="F87" s="121">
        <f>'Allocation = % of Margin'!AD74</f>
        <v>-1.49E-3</v>
      </c>
      <c r="G87" s="161"/>
      <c r="H87" s="368">
        <f>ROUND('Rates in Detail'!N73,5)</f>
        <v>0.13403000000000001</v>
      </c>
      <c r="I87" s="758">
        <f t="shared" si="126"/>
        <v>0.14282</v>
      </c>
      <c r="J87" s="161"/>
      <c r="K87" s="154">
        <f>'WA Volumes &amp; Revenues'!O75</f>
        <v>1550</v>
      </c>
      <c r="L87" s="155">
        <f>'WA Volumes &amp; Revenues'!N75</f>
        <v>1550</v>
      </c>
      <c r="M87" s="121">
        <f>'Rates in Detail'!AR73</f>
        <v>0</v>
      </c>
      <c r="N87" s="121">
        <f>'Rates in Detail'!AS73</f>
        <v>0</v>
      </c>
      <c r="O87" s="121">
        <f>'Rates in Detail'!AT73</f>
        <v>0</v>
      </c>
      <c r="P87" s="758">
        <f>'Rates in Detail'!AU73</f>
        <v>0</v>
      </c>
      <c r="Q87" s="161"/>
      <c r="R87" s="293">
        <f>'WA Volumes &amp; Revenues'!E75</f>
        <v>844078</v>
      </c>
      <c r="S87" s="306"/>
      <c r="T87" s="295">
        <f>'WA Volumes &amp; Revenues'!H75</f>
        <v>7</v>
      </c>
      <c r="U87" s="296">
        <f>'WA Volumes &amp; Revenues'!I75</f>
        <v>95634</v>
      </c>
      <c r="V87" s="161"/>
      <c r="W87" s="308">
        <f t="shared" ref="W87:W92" si="139">(H87*R87)</f>
        <v>113131.77434</v>
      </c>
      <c r="X87" s="304">
        <f>(K87*T87*12)</f>
        <v>130200</v>
      </c>
      <c r="Y87" s="304">
        <f t="shared" ref="Y87:Y92" si="140">(S87*(M87+O87))*12</f>
        <v>0</v>
      </c>
      <c r="Z87" s="309"/>
      <c r="AA87" s="315"/>
      <c r="AB87" s="308">
        <f t="shared" ref="AB87:AB92" si="141">(I87*R87)</f>
        <v>120551.21996</v>
      </c>
      <c r="AC87" s="304">
        <f t="shared" ref="AC87:AC92" si="142">(L87*T87*12)</f>
        <v>130200</v>
      </c>
      <c r="AD87" s="309">
        <f t="shared" ref="AD87:AD92" si="143">(S87*(N87+P87))*12</f>
        <v>0</v>
      </c>
      <c r="AE87" s="315"/>
      <c r="AF87" s="308">
        <f t="shared" ref="AF87:AG92" si="144">AB87-W87</f>
        <v>7419.4456199999986</v>
      </c>
      <c r="AG87" s="304">
        <f t="shared" si="144"/>
        <v>0</v>
      </c>
      <c r="AH87" s="309">
        <f t="shared" ref="AH87:AH92" si="145">AD87-Y87</f>
        <v>0</v>
      </c>
      <c r="AI87" s="315"/>
      <c r="AJ87" s="333"/>
      <c r="AK87" s="335">
        <f t="shared" si="138"/>
        <v>6.5582332313661104E-2</v>
      </c>
      <c r="AL87" s="315"/>
      <c r="AM87" s="308">
        <f t="shared" ref="AM87:AM92" si="146">(F87*R87)</f>
        <v>-1257.6762200000001</v>
      </c>
      <c r="AN87" s="304">
        <v>0</v>
      </c>
      <c r="AO87" s="309">
        <f t="shared" ref="AO87:AO92" si="147">(AE87*(Y87+AB87))*12</f>
        <v>0</v>
      </c>
      <c r="AP87" s="315"/>
      <c r="AQ87" s="305"/>
      <c r="AR87" s="305"/>
      <c r="AS87" s="315"/>
    </row>
    <row r="88" spans="1:45" x14ac:dyDescent="0.3">
      <c r="A88" s="85">
        <f t="shared" si="125"/>
        <v>81</v>
      </c>
      <c r="B88" s="709"/>
      <c r="C88" s="710" t="s">
        <v>5</v>
      </c>
      <c r="D88" s="161"/>
      <c r="E88" s="121">
        <f>ROUND('Rates in Detail'!L74,5)</f>
        <v>7.8600000000000007E-3</v>
      </c>
      <c r="F88" s="121">
        <f>'Allocation = % of Margin'!AD75</f>
        <v>-1.33E-3</v>
      </c>
      <c r="G88" s="161"/>
      <c r="H88" s="368">
        <f>ROUND('Rates in Detail'!N74,5)</f>
        <v>0.11998</v>
      </c>
      <c r="I88" s="758">
        <f t="shared" si="126"/>
        <v>0.12784000000000001</v>
      </c>
      <c r="J88" s="161"/>
      <c r="K88" s="727"/>
      <c r="L88" s="367"/>
      <c r="M88" s="121"/>
      <c r="N88" s="121"/>
      <c r="O88" s="121"/>
      <c r="P88" s="758"/>
      <c r="Q88" s="161"/>
      <c r="R88" s="293">
        <f>'WA Volumes &amp; Revenues'!E76</f>
        <v>1445175</v>
      </c>
      <c r="S88" s="159"/>
      <c r="T88" s="156"/>
      <c r="U88" s="157"/>
      <c r="V88" s="161"/>
      <c r="W88" s="308">
        <f t="shared" si="139"/>
        <v>173392.09650000001</v>
      </c>
      <c r="X88" s="304">
        <f t="shared" ref="X88:X92" si="148">(K88*T88*12)</f>
        <v>0</v>
      </c>
      <c r="Y88" s="304">
        <f t="shared" si="140"/>
        <v>0</v>
      </c>
      <c r="Z88" s="309"/>
      <c r="AA88" s="315"/>
      <c r="AB88" s="308">
        <f t="shared" si="141"/>
        <v>184751.17200000002</v>
      </c>
      <c r="AC88" s="304">
        <f t="shared" si="142"/>
        <v>0</v>
      </c>
      <c r="AD88" s="309">
        <f t="shared" si="143"/>
        <v>0</v>
      </c>
      <c r="AE88" s="315"/>
      <c r="AF88" s="308">
        <f t="shared" si="144"/>
        <v>11359.075500000006</v>
      </c>
      <c r="AG88" s="304">
        <f t="shared" si="144"/>
        <v>0</v>
      </c>
      <c r="AH88" s="309">
        <f t="shared" si="145"/>
        <v>0</v>
      </c>
      <c r="AI88" s="315"/>
      <c r="AJ88" s="333"/>
      <c r="AK88" s="335">
        <f t="shared" si="138"/>
        <v>6.5510918486414438E-2</v>
      </c>
      <c r="AL88" s="315"/>
      <c r="AM88" s="308">
        <f t="shared" si="146"/>
        <v>-1922.08275</v>
      </c>
      <c r="AN88" s="304">
        <v>0</v>
      </c>
      <c r="AO88" s="309">
        <f t="shared" si="147"/>
        <v>0</v>
      </c>
      <c r="AP88" s="315"/>
      <c r="AQ88" s="305"/>
      <c r="AR88" s="155"/>
      <c r="AS88" s="315"/>
    </row>
    <row r="89" spans="1:45" x14ac:dyDescent="0.3">
      <c r="A89" s="85">
        <f t="shared" si="125"/>
        <v>82</v>
      </c>
      <c r="B89" s="709"/>
      <c r="C89" s="710" t="s">
        <v>6</v>
      </c>
      <c r="D89" s="161"/>
      <c r="E89" s="121">
        <f>ROUND('Rates in Detail'!L75,5)</f>
        <v>6.0299999999999998E-3</v>
      </c>
      <c r="F89" s="121">
        <f>'Allocation = % of Margin'!AD76</f>
        <v>-1.0200000000000001E-3</v>
      </c>
      <c r="G89" s="161"/>
      <c r="H89" s="368">
        <f>ROUND('Rates in Detail'!N75,5)</f>
        <v>9.1999999999999998E-2</v>
      </c>
      <c r="I89" s="758">
        <f t="shared" si="126"/>
        <v>9.8029999999999992E-2</v>
      </c>
      <c r="J89" s="161"/>
      <c r="K89" s="154"/>
      <c r="L89" s="155"/>
      <c r="M89" s="121"/>
      <c r="N89" s="121"/>
      <c r="O89" s="121"/>
      <c r="P89" s="758"/>
      <c r="Q89" s="161"/>
      <c r="R89" s="293">
        <f>'WA Volumes &amp; Revenues'!E77</f>
        <v>1034978</v>
      </c>
      <c r="S89" s="159"/>
      <c r="T89" s="156"/>
      <c r="U89" s="157"/>
      <c r="V89" s="161"/>
      <c r="W89" s="308">
        <f t="shared" si="139"/>
        <v>95217.975999999995</v>
      </c>
      <c r="X89" s="304">
        <f t="shared" si="148"/>
        <v>0</v>
      </c>
      <c r="Y89" s="304">
        <f t="shared" si="140"/>
        <v>0</v>
      </c>
      <c r="Z89" s="309"/>
      <c r="AA89" s="315"/>
      <c r="AB89" s="308">
        <f t="shared" si="141"/>
        <v>101458.89334</v>
      </c>
      <c r="AC89" s="304">
        <f t="shared" si="142"/>
        <v>0</v>
      </c>
      <c r="AD89" s="309">
        <f t="shared" si="143"/>
        <v>0</v>
      </c>
      <c r="AE89" s="315"/>
      <c r="AF89" s="308">
        <f t="shared" si="144"/>
        <v>6240.91734</v>
      </c>
      <c r="AG89" s="304">
        <f t="shared" si="144"/>
        <v>0</v>
      </c>
      <c r="AH89" s="309">
        <f t="shared" si="145"/>
        <v>0</v>
      </c>
      <c r="AI89" s="315"/>
      <c r="AJ89" s="333"/>
      <c r="AK89" s="335">
        <f t="shared" si="138"/>
        <v>6.5543478260869564E-2</v>
      </c>
      <c r="AL89" s="315"/>
      <c r="AM89" s="308">
        <f t="shared" si="146"/>
        <v>-1055.6775600000001</v>
      </c>
      <c r="AN89" s="304">
        <v>0</v>
      </c>
      <c r="AO89" s="309">
        <f t="shared" si="147"/>
        <v>0</v>
      </c>
      <c r="AP89" s="315"/>
      <c r="AQ89" s="305"/>
      <c r="AR89" s="155"/>
      <c r="AS89" s="315"/>
    </row>
    <row r="90" spans="1:45" x14ac:dyDescent="0.3">
      <c r="A90" s="85">
        <f t="shared" si="125"/>
        <v>83</v>
      </c>
      <c r="B90" s="709"/>
      <c r="C90" s="710" t="s">
        <v>7</v>
      </c>
      <c r="D90" s="161"/>
      <c r="E90" s="121">
        <f>ROUND('Rates in Detail'!L76,5)</f>
        <v>4.8300000000000001E-3</v>
      </c>
      <c r="F90" s="121">
        <f>'Allocation = % of Margin'!AD77</f>
        <v>-8.1999999999999998E-4</v>
      </c>
      <c r="G90" s="161"/>
      <c r="H90" s="368">
        <f>ROUND('Rates in Detail'!N76,5)</f>
        <v>7.3609999999999995E-2</v>
      </c>
      <c r="I90" s="758">
        <f t="shared" si="126"/>
        <v>7.8439999999999996E-2</v>
      </c>
      <c r="J90" s="161"/>
      <c r="K90" s="154"/>
      <c r="L90" s="155"/>
      <c r="M90" s="121"/>
      <c r="N90" s="121"/>
      <c r="O90" s="121"/>
      <c r="P90" s="758"/>
      <c r="Q90" s="161"/>
      <c r="R90" s="293">
        <f>'WA Volumes &amp; Revenues'!E78</f>
        <v>3359916</v>
      </c>
      <c r="S90" s="159"/>
      <c r="T90" s="156"/>
      <c r="U90" s="157"/>
      <c r="V90" s="161"/>
      <c r="W90" s="308">
        <f t="shared" si="139"/>
        <v>247323.41675999999</v>
      </c>
      <c r="X90" s="304">
        <f t="shared" si="148"/>
        <v>0</v>
      </c>
      <c r="Y90" s="304">
        <f t="shared" si="140"/>
        <v>0</v>
      </c>
      <c r="Z90" s="309"/>
      <c r="AA90" s="315"/>
      <c r="AB90" s="308">
        <f t="shared" si="141"/>
        <v>263551.81104</v>
      </c>
      <c r="AC90" s="304">
        <f t="shared" si="142"/>
        <v>0</v>
      </c>
      <c r="AD90" s="309">
        <f t="shared" si="143"/>
        <v>0</v>
      </c>
      <c r="AE90" s="315"/>
      <c r="AF90" s="308">
        <f t="shared" si="144"/>
        <v>16228.394280000008</v>
      </c>
      <c r="AG90" s="304">
        <f t="shared" si="144"/>
        <v>0</v>
      </c>
      <c r="AH90" s="309">
        <f t="shared" si="145"/>
        <v>0</v>
      </c>
      <c r="AI90" s="315"/>
      <c r="AJ90" s="333"/>
      <c r="AK90" s="335">
        <f t="shared" si="138"/>
        <v>6.5616084771090918E-2</v>
      </c>
      <c r="AL90" s="315"/>
      <c r="AM90" s="308">
        <f t="shared" si="146"/>
        <v>-2755.13112</v>
      </c>
      <c r="AN90" s="304">
        <v>0</v>
      </c>
      <c r="AO90" s="309">
        <f t="shared" si="147"/>
        <v>0</v>
      </c>
      <c r="AP90" s="315"/>
      <c r="AQ90" s="305"/>
      <c r="AR90" s="155"/>
      <c r="AS90" s="315"/>
    </row>
    <row r="91" spans="1:45" x14ac:dyDescent="0.3">
      <c r="A91" s="85">
        <f t="shared" si="125"/>
        <v>84</v>
      </c>
      <c r="B91" s="709"/>
      <c r="C91" s="710" t="s">
        <v>8</v>
      </c>
      <c r="D91" s="161"/>
      <c r="E91" s="121">
        <f>ROUND('Rates in Detail'!L77,5)</f>
        <v>3.2200000000000002E-3</v>
      </c>
      <c r="F91" s="121">
        <f>'Allocation = % of Margin'!AD78</f>
        <v>-5.5000000000000003E-4</v>
      </c>
      <c r="G91" s="161"/>
      <c r="H91" s="368">
        <f>ROUND('Rates in Detail'!N77,5)</f>
        <v>4.9079999999999999E-2</v>
      </c>
      <c r="I91" s="758">
        <f t="shared" si="126"/>
        <v>5.2299999999999999E-2</v>
      </c>
      <c r="J91" s="161"/>
      <c r="K91" s="154"/>
      <c r="L91" s="155"/>
      <c r="M91" s="121"/>
      <c r="N91" s="121"/>
      <c r="O91" s="121"/>
      <c r="P91" s="758"/>
      <c r="Q91" s="161"/>
      <c r="R91" s="293">
        <f>'WA Volumes &amp; Revenues'!E79</f>
        <v>1349120</v>
      </c>
      <c r="S91" s="159"/>
      <c r="T91" s="156"/>
      <c r="U91" s="157"/>
      <c r="V91" s="161"/>
      <c r="W91" s="308">
        <f t="shared" si="139"/>
        <v>66214.809599999993</v>
      </c>
      <c r="X91" s="304">
        <f t="shared" si="148"/>
        <v>0</v>
      </c>
      <c r="Y91" s="304">
        <f t="shared" si="140"/>
        <v>0</v>
      </c>
      <c r="Z91" s="309"/>
      <c r="AA91" s="315"/>
      <c r="AB91" s="308">
        <f t="shared" si="141"/>
        <v>70558.975999999995</v>
      </c>
      <c r="AC91" s="304">
        <f t="shared" si="142"/>
        <v>0</v>
      </c>
      <c r="AD91" s="309">
        <f t="shared" si="143"/>
        <v>0</v>
      </c>
      <c r="AE91" s="315"/>
      <c r="AF91" s="308">
        <f t="shared" si="144"/>
        <v>4344.1664000000019</v>
      </c>
      <c r="AG91" s="304">
        <f t="shared" si="144"/>
        <v>0</v>
      </c>
      <c r="AH91" s="309">
        <f t="shared" si="145"/>
        <v>0</v>
      </c>
      <c r="AI91" s="315"/>
      <c r="AJ91" s="333"/>
      <c r="AK91" s="335">
        <f t="shared" si="138"/>
        <v>6.5607171964140218E-2</v>
      </c>
      <c r="AL91" s="315"/>
      <c r="AM91" s="308">
        <f t="shared" si="146"/>
        <v>-742.01600000000008</v>
      </c>
      <c r="AN91" s="304">
        <v>0</v>
      </c>
      <c r="AO91" s="309">
        <f t="shared" si="147"/>
        <v>0</v>
      </c>
      <c r="AP91" s="315"/>
      <c r="AQ91" s="305"/>
      <c r="AR91" s="153"/>
      <c r="AS91" s="315"/>
    </row>
    <row r="92" spans="1:45" x14ac:dyDescent="0.3">
      <c r="A92" s="85">
        <f t="shared" si="125"/>
        <v>85</v>
      </c>
      <c r="B92" s="709"/>
      <c r="C92" s="710" t="s">
        <v>9</v>
      </c>
      <c r="D92" s="161"/>
      <c r="E92" s="121">
        <f>ROUND('Rates in Detail'!L78,5)</f>
        <v>1.2099999999999999E-3</v>
      </c>
      <c r="F92" s="121">
        <f>'Allocation = % of Margin'!AD79</f>
        <v>-2.0000000000000001E-4</v>
      </c>
      <c r="G92" s="161"/>
      <c r="H92" s="368">
        <f>ROUND('Rates in Detail'!N78,5)</f>
        <v>1.839E-2</v>
      </c>
      <c r="I92" s="758">
        <f t="shared" si="126"/>
        <v>1.9599999999999999E-2</v>
      </c>
      <c r="J92" s="161"/>
      <c r="K92" s="154"/>
      <c r="L92" s="155"/>
      <c r="M92" s="121"/>
      <c r="N92" s="121"/>
      <c r="O92" s="121"/>
      <c r="P92" s="758"/>
      <c r="Q92" s="161"/>
      <c r="R92" s="293">
        <f>'WA Volumes &amp; Revenues'!E80</f>
        <v>0</v>
      </c>
      <c r="S92" s="159"/>
      <c r="T92" s="156"/>
      <c r="U92" s="157"/>
      <c r="V92" s="161"/>
      <c r="W92" s="308">
        <f t="shared" si="139"/>
        <v>0</v>
      </c>
      <c r="X92" s="304">
        <f t="shared" si="148"/>
        <v>0</v>
      </c>
      <c r="Y92" s="304">
        <f t="shared" si="140"/>
        <v>0</v>
      </c>
      <c r="Z92" s="309"/>
      <c r="AA92" s="315"/>
      <c r="AB92" s="308">
        <f t="shared" si="141"/>
        <v>0</v>
      </c>
      <c r="AC92" s="304">
        <f t="shared" si="142"/>
        <v>0</v>
      </c>
      <c r="AD92" s="309">
        <f t="shared" si="143"/>
        <v>0</v>
      </c>
      <c r="AE92" s="315"/>
      <c r="AF92" s="308">
        <f t="shared" si="144"/>
        <v>0</v>
      </c>
      <c r="AG92" s="304">
        <f t="shared" si="144"/>
        <v>0</v>
      </c>
      <c r="AH92" s="309">
        <f t="shared" si="145"/>
        <v>0</v>
      </c>
      <c r="AI92" s="315"/>
      <c r="AJ92" s="333"/>
      <c r="AK92" s="335" t="e">
        <f t="shared" si="138"/>
        <v>#DIV/0!</v>
      </c>
      <c r="AL92" s="315"/>
      <c r="AM92" s="308">
        <f t="shared" si="146"/>
        <v>0</v>
      </c>
      <c r="AN92" s="304">
        <v>0</v>
      </c>
      <c r="AO92" s="309">
        <f t="shared" si="147"/>
        <v>0</v>
      </c>
      <c r="AP92" s="315"/>
      <c r="AQ92" s="305"/>
      <c r="AR92" s="153"/>
      <c r="AS92" s="315"/>
    </row>
    <row r="93" spans="1:45" x14ac:dyDescent="0.3">
      <c r="A93" s="85">
        <f t="shared" si="125"/>
        <v>86</v>
      </c>
      <c r="B93" s="707"/>
      <c r="C93" s="726" t="s">
        <v>76</v>
      </c>
      <c r="D93" s="162"/>
      <c r="E93" s="122"/>
      <c r="F93" s="122"/>
      <c r="G93" s="162"/>
      <c r="H93" s="363"/>
      <c r="I93" s="757"/>
      <c r="J93" s="161"/>
      <c r="K93" s="154"/>
      <c r="L93" s="155"/>
      <c r="M93" s="121"/>
      <c r="N93" s="121"/>
      <c r="O93" s="121"/>
      <c r="P93" s="758"/>
      <c r="Q93" s="161"/>
      <c r="R93" s="293"/>
      <c r="S93" s="159"/>
      <c r="T93" s="156"/>
      <c r="U93" s="157"/>
      <c r="V93" s="161"/>
      <c r="W93" s="310">
        <f>SUM(W87:W92)</f>
        <v>695280.07319999998</v>
      </c>
      <c r="X93" s="311">
        <f>SUM(X87:X92)</f>
        <v>130200</v>
      </c>
      <c r="Y93" s="311">
        <f>SUM(Y87:Y92)</f>
        <v>0</v>
      </c>
      <c r="Z93" s="312">
        <f>'Rate Spread SETTLEMENT'!X$15-SUM(W93:Y93)</f>
        <v>0</v>
      </c>
      <c r="AA93" s="315"/>
      <c r="AB93" s="310">
        <f>SUM(AB87:AB92)</f>
        <v>740872.07234000007</v>
      </c>
      <c r="AC93" s="311">
        <f>SUM(AC87:AC92)</f>
        <v>130200</v>
      </c>
      <c r="AD93" s="312">
        <f>SUM(AD87:AD92)</f>
        <v>0</v>
      </c>
      <c r="AE93" s="315"/>
      <c r="AF93" s="310">
        <f>SUM(AF87:AF92)</f>
        <v>45591.999140000014</v>
      </c>
      <c r="AG93" s="311">
        <f>SUM(AG87:AG92)</f>
        <v>0</v>
      </c>
      <c r="AH93" s="312">
        <f>SUM(AH87:AH92)</f>
        <v>0</v>
      </c>
      <c r="AI93" s="315"/>
      <c r="AJ93" s="333">
        <f>SUM(AF93:AH93)/SUM(W93:Y93)</f>
        <v>5.5230890024105812E-2</v>
      </c>
      <c r="AK93" s="334">
        <f t="shared" si="138"/>
        <v>6.5573573725713985E-2</v>
      </c>
      <c r="AL93" s="315"/>
      <c r="AM93" s="310">
        <f>SUM(AM87:AM92)</f>
        <v>-7732.5836500000005</v>
      </c>
      <c r="AN93" s="311">
        <f>SUM(AN87:AN92)</f>
        <v>0</v>
      </c>
      <c r="AO93" s="312">
        <f>SUM(AO87:AO92)</f>
        <v>0</v>
      </c>
      <c r="AP93" s="315"/>
      <c r="AQ93" s="305"/>
      <c r="AR93" s="153"/>
      <c r="AS93" s="315"/>
    </row>
    <row r="94" spans="1:45" x14ac:dyDescent="0.3">
      <c r="A94" s="85">
        <f t="shared" si="125"/>
        <v>87</v>
      </c>
      <c r="B94" s="707" t="str">
        <f>'WA Volumes &amp; Revenues'!B81</f>
        <v>43 Firm Transpt</v>
      </c>
      <c r="C94" s="707" t="s">
        <v>270</v>
      </c>
      <c r="D94" s="161"/>
      <c r="E94" s="387">
        <f>ROUND('Rates in Detail'!L79,5)</f>
        <v>0</v>
      </c>
      <c r="F94" s="387">
        <f>'Allocation = % of Margin'!AD80</f>
        <v>0</v>
      </c>
      <c r="G94" s="161"/>
      <c r="H94" s="388">
        <f>ROUND('Rates in Detail'!N79,5)</f>
        <v>4.9100000000000003E-3</v>
      </c>
      <c r="I94" s="759">
        <f t="shared" si="126"/>
        <v>4.9100000000000003E-3</v>
      </c>
      <c r="J94" s="161"/>
      <c r="K94" s="154">
        <f>'WA Volumes &amp; Revenues'!O81</f>
        <v>38000</v>
      </c>
      <c r="L94" s="155">
        <f>'WA Volumes &amp; Revenues'!N81</f>
        <v>38000</v>
      </c>
      <c r="M94" s="121">
        <f>'Rates in Detail'!AR79</f>
        <v>0.15748000000000001</v>
      </c>
      <c r="N94" s="121">
        <f>'Rates in Detail'!AS79</f>
        <v>0</v>
      </c>
      <c r="O94" s="121">
        <f>'Rates in Detail'!AT79</f>
        <v>0</v>
      </c>
      <c r="P94" s="758">
        <f>'Rates in Detail'!AU79</f>
        <v>0</v>
      </c>
      <c r="Q94" s="161"/>
      <c r="R94" s="293">
        <f>'WA Volumes &amp; Revenues'!E81</f>
        <v>0</v>
      </c>
      <c r="S94" s="306"/>
      <c r="T94" s="295">
        <f>'WA Volumes &amp; Revenues'!H81</f>
        <v>0</v>
      </c>
      <c r="U94" s="296">
        <f>'WA Volumes &amp; Revenues'!I81</f>
        <v>0</v>
      </c>
      <c r="V94" s="161"/>
      <c r="W94" s="301">
        <f t="shared" ref="W94:W96" si="149">(H94*R94)</f>
        <v>0</v>
      </c>
      <c r="X94" s="302">
        <f t="shared" ref="X94:X96" si="150">(K94*T94*12)</f>
        <v>0</v>
      </c>
      <c r="Y94" s="302">
        <f>(S94*(M94+O94))*12</f>
        <v>0</v>
      </c>
      <c r="Z94" s="303"/>
      <c r="AA94" s="316"/>
      <c r="AB94" s="301">
        <f>(I94*R94)</f>
        <v>0</v>
      </c>
      <c r="AC94" s="302">
        <f>(L94*T94*12)</f>
        <v>0</v>
      </c>
      <c r="AD94" s="303">
        <f>(S94*(N94+P94))*12</f>
        <v>0</v>
      </c>
      <c r="AE94" s="316"/>
      <c r="AF94" s="301">
        <f t="shared" ref="AF94:AG96" si="151">AB94-W94</f>
        <v>0</v>
      </c>
      <c r="AG94" s="302">
        <f t="shared" si="151"/>
        <v>0</v>
      </c>
      <c r="AH94" s="303">
        <f t="shared" ref="AH94:AH96" si="152">AD94-Y94</f>
        <v>0</v>
      </c>
      <c r="AI94" s="315"/>
      <c r="AJ94" s="333"/>
      <c r="AK94" s="334"/>
      <c r="AL94" s="315"/>
      <c r="AM94" s="301">
        <f>(F94*R94)</f>
        <v>0</v>
      </c>
      <c r="AN94" s="302">
        <v>0</v>
      </c>
      <c r="AO94" s="303">
        <f t="shared" ref="AO94:AO96" si="153">(AE94*(Y94+AB94))*12</f>
        <v>0</v>
      </c>
      <c r="AP94" s="315"/>
      <c r="AQ94" s="153"/>
      <c r="AR94" s="153"/>
      <c r="AS94" s="315"/>
    </row>
    <row r="95" spans="1:45" x14ac:dyDescent="0.3">
      <c r="A95" s="85">
        <f t="shared" si="125"/>
        <v>88</v>
      </c>
      <c r="B95" s="707" t="str">
        <f>'WA Volumes &amp; Revenues'!B82</f>
        <v>43 Interr Transpt</v>
      </c>
      <c r="C95" s="708" t="s">
        <v>270</v>
      </c>
      <c r="D95" s="161"/>
      <c r="E95" s="387">
        <f>ROUND('Rates in Detail'!L80,5)</f>
        <v>0</v>
      </c>
      <c r="F95" s="387">
        <f>'Allocation = % of Margin'!AD81</f>
        <v>0</v>
      </c>
      <c r="G95" s="161"/>
      <c r="H95" s="391">
        <f>ROUND('Rates in Detail'!N80,5)</f>
        <v>4.9100000000000003E-3</v>
      </c>
      <c r="I95" s="760">
        <f t="shared" si="126"/>
        <v>4.9100000000000003E-3</v>
      </c>
      <c r="J95" s="161"/>
      <c r="K95" s="154">
        <f>'WA Volumes &amp; Revenues'!O82</f>
        <v>38000</v>
      </c>
      <c r="L95" s="155">
        <f>'WA Volumes &amp; Revenues'!N82</f>
        <v>38000</v>
      </c>
      <c r="M95" s="121">
        <f>'Rates in Detail'!AR80</f>
        <v>0</v>
      </c>
      <c r="N95" s="121">
        <f>'Rates in Detail'!AS80</f>
        <v>0</v>
      </c>
      <c r="O95" s="121">
        <f>'Rates in Detail'!AT80</f>
        <v>0</v>
      </c>
      <c r="P95" s="758">
        <f>'Rates in Detail'!AU80</f>
        <v>0</v>
      </c>
      <c r="Q95" s="161"/>
      <c r="R95" s="293">
        <f>'WA Volumes &amp; Revenues'!E82</f>
        <v>0</v>
      </c>
      <c r="S95" s="159"/>
      <c r="T95" s="295">
        <f>'WA Volumes &amp; Revenues'!H82</f>
        <v>0</v>
      </c>
      <c r="U95" s="296">
        <f>'WA Volumes &amp; Revenues'!I82</f>
        <v>0</v>
      </c>
      <c r="V95" s="161"/>
      <c r="W95" s="317">
        <f t="shared" si="149"/>
        <v>0</v>
      </c>
      <c r="X95" s="316">
        <f t="shared" si="150"/>
        <v>0</v>
      </c>
      <c r="Y95" s="316">
        <f>(S95*(M95+O95))*12</f>
        <v>0</v>
      </c>
      <c r="Z95" s="318"/>
      <c r="AA95" s="315"/>
      <c r="AB95" s="317">
        <f>(I95*R95)</f>
        <v>0</v>
      </c>
      <c r="AC95" s="316">
        <f>(L95*T95*12)</f>
        <v>0</v>
      </c>
      <c r="AD95" s="318">
        <f>(S95*(N95+P95))*12</f>
        <v>0</v>
      </c>
      <c r="AE95" s="315"/>
      <c r="AF95" s="317">
        <f t="shared" si="151"/>
        <v>0</v>
      </c>
      <c r="AG95" s="316">
        <f t="shared" si="151"/>
        <v>0</v>
      </c>
      <c r="AH95" s="318">
        <f t="shared" si="152"/>
        <v>0</v>
      </c>
      <c r="AI95" s="315"/>
      <c r="AJ95" s="315"/>
      <c r="AK95" s="315"/>
      <c r="AL95" s="315"/>
      <c r="AM95" s="317">
        <f>(F95*R95)</f>
        <v>0</v>
      </c>
      <c r="AN95" s="316">
        <v>0</v>
      </c>
      <c r="AO95" s="318">
        <f t="shared" si="153"/>
        <v>0</v>
      </c>
      <c r="AP95" s="315"/>
      <c r="AQ95" s="153"/>
      <c r="AR95" s="153"/>
      <c r="AS95" s="315"/>
    </row>
    <row r="96" spans="1:45" ht="13.5" thickBot="1" x14ac:dyDescent="0.35">
      <c r="A96" s="85">
        <f t="shared" si="125"/>
        <v>89</v>
      </c>
      <c r="B96" s="763" t="str">
        <f>'WA Volumes &amp; Revenues'!B83</f>
        <v>Special Contract</v>
      </c>
      <c r="C96" s="764" t="s">
        <v>270</v>
      </c>
      <c r="D96" s="165"/>
      <c r="E96" s="765">
        <f>ROUND('Rates in Detail'!L81,5)</f>
        <v>0</v>
      </c>
      <c r="F96" s="819">
        <f>'Allocation = % of Margin'!AD82</f>
        <v>0</v>
      </c>
      <c r="G96" s="766"/>
      <c r="H96" s="761">
        <f>ROUND('Rates in Detail'!N81,5)</f>
        <v>0</v>
      </c>
      <c r="I96" s="762">
        <f t="shared" si="126"/>
        <v>0</v>
      </c>
      <c r="J96" s="161"/>
      <c r="K96" s="769">
        <f>'WA Volumes &amp; Revenues'!O83</f>
        <v>0</v>
      </c>
      <c r="L96" s="770">
        <f>'WA Volumes &amp; Revenues'!N83</f>
        <v>0</v>
      </c>
      <c r="M96" s="779">
        <f>'Rates in Detail'!AR81</f>
        <v>0</v>
      </c>
      <c r="N96" s="779">
        <f>'Rates in Detail'!AS81</f>
        <v>0</v>
      </c>
      <c r="O96" s="779">
        <f>'Rates in Detail'!AT81</f>
        <v>0</v>
      </c>
      <c r="P96" s="762">
        <f>'Rates in Detail'!AU81</f>
        <v>0</v>
      </c>
      <c r="Q96" s="161"/>
      <c r="R96" s="780">
        <f>'WA Volumes &amp; Revenues'!E83</f>
        <v>2895114</v>
      </c>
      <c r="S96" s="166"/>
      <c r="T96" s="785">
        <f>'WA Volumes &amp; Revenues'!H83</f>
        <v>1</v>
      </c>
      <c r="U96" s="786">
        <f>'WA Volumes &amp; Revenues'!I83</f>
        <v>241259.5</v>
      </c>
      <c r="V96" s="161"/>
      <c r="W96" s="589">
        <f t="shared" si="149"/>
        <v>0</v>
      </c>
      <c r="X96" s="590">
        <f t="shared" si="150"/>
        <v>0</v>
      </c>
      <c r="Y96" s="590">
        <f>(S96*(M96+O96))*12</f>
        <v>0</v>
      </c>
      <c r="Z96" s="591"/>
      <c r="AA96" s="315"/>
      <c r="AB96" s="319">
        <f>(I96*R96)</f>
        <v>0</v>
      </c>
      <c r="AC96" s="320">
        <f>(L96*T96*12)</f>
        <v>0</v>
      </c>
      <c r="AD96" s="321">
        <f>(S96*(N96+P96))*12</f>
        <v>0</v>
      </c>
      <c r="AE96" s="315"/>
      <c r="AF96" s="319">
        <f t="shared" si="151"/>
        <v>0</v>
      </c>
      <c r="AG96" s="320">
        <f t="shared" si="151"/>
        <v>0</v>
      </c>
      <c r="AH96" s="321">
        <f t="shared" si="152"/>
        <v>0</v>
      </c>
      <c r="AI96" s="315"/>
      <c r="AJ96" s="315"/>
      <c r="AK96" s="315"/>
      <c r="AL96" s="315"/>
      <c r="AM96" s="589">
        <f>(F96*R96)</f>
        <v>0</v>
      </c>
      <c r="AN96" s="590">
        <v>0</v>
      </c>
      <c r="AO96" s="591">
        <f t="shared" si="153"/>
        <v>0</v>
      </c>
      <c r="AP96" s="315"/>
      <c r="AQ96" s="161"/>
      <c r="AR96" s="161"/>
      <c r="AS96" s="315"/>
    </row>
    <row r="97" spans="1:45" x14ac:dyDescent="0.3">
      <c r="A97" s="85">
        <f t="shared" si="125"/>
        <v>90</v>
      </c>
      <c r="F97" s="1090"/>
    </row>
    <row r="98" spans="1:45" x14ac:dyDescent="0.3">
      <c r="A98" s="85">
        <f t="shared" si="125"/>
        <v>91</v>
      </c>
      <c r="B98" s="167" t="s">
        <v>58</v>
      </c>
    </row>
    <row r="99" spans="1:45" x14ac:dyDescent="0.3">
      <c r="A99" s="85">
        <f t="shared" si="125"/>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49"/>
      <c r="AJ99" s="749"/>
      <c r="AK99" s="749"/>
      <c r="AL99" s="749"/>
      <c r="AM99" s="782"/>
      <c r="AN99" s="782"/>
      <c r="AO99" s="782"/>
      <c r="AP99" s="783"/>
      <c r="AS99" s="54"/>
    </row>
    <row r="100" spans="1:45" x14ac:dyDescent="0.3">
      <c r="A100" s="85">
        <f t="shared" si="125"/>
        <v>93</v>
      </c>
      <c r="B100" s="168"/>
      <c r="R100" s="322"/>
      <c r="S100" s="322"/>
      <c r="T100" s="322"/>
    </row>
    <row r="101" spans="1:45" x14ac:dyDescent="0.3">
      <c r="A101" s="85">
        <f t="shared" si="125"/>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84"/>
      <c r="AS101" s="54"/>
    </row>
    <row r="102" spans="1:45" x14ac:dyDescent="0.3">
      <c r="A102" s="85">
        <f t="shared" si="125"/>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84"/>
      <c r="AS102" s="54"/>
    </row>
    <row r="103" spans="1:45" x14ac:dyDescent="0.3">
      <c r="A103" s="85"/>
      <c r="B103" s="168"/>
      <c r="F103" s="1090"/>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workbookViewId="0"/>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4.796875" style="55" customWidth="1"/>
    <col min="6" max="6" width="14.796875" style="55" hidden="1" customWidth="1" outlineLevel="1"/>
    <col min="7" max="7" width="2.796875" style="55" customWidth="1" collapsed="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0"/>
      <c r="W2" s="261" t="s">
        <v>111</v>
      </c>
      <c r="X2" s="262" t="s">
        <v>112</v>
      </c>
      <c r="Y2" s="262" t="s">
        <v>96</v>
      </c>
      <c r="Z2" s="1096" t="s">
        <v>439</v>
      </c>
      <c r="AB2" s="261" t="s">
        <v>111</v>
      </c>
      <c r="AC2" s="262" t="s">
        <v>112</v>
      </c>
      <c r="AD2" s="263" t="s">
        <v>96</v>
      </c>
      <c r="AF2" s="261" t="s">
        <v>111</v>
      </c>
      <c r="AG2" s="262" t="s">
        <v>112</v>
      </c>
      <c r="AH2" s="263" t="s">
        <v>96</v>
      </c>
      <c r="AK2" s="144"/>
      <c r="AM2" s="261" t="s">
        <v>111</v>
      </c>
      <c r="AN2" s="262" t="s">
        <v>112</v>
      </c>
      <c r="AO2" s="263" t="s">
        <v>96</v>
      </c>
      <c r="AQ2" s="1849" t="s">
        <v>267</v>
      </c>
      <c r="AR2" s="1850"/>
    </row>
    <row r="3" spans="1:52" x14ac:dyDescent="0.3">
      <c r="A3" s="138" t="str">
        <f>+'WA Volumes &amp; Revenues'!A3</f>
        <v>Test Year Ending September 30, 2020</v>
      </c>
      <c r="E3" s="139"/>
      <c r="F3" s="139"/>
      <c r="W3" s="264">
        <f>SUM(W14:W19)+W22+W28+W31+W37+W44+W51+W58+W65+W72+W79+W93+W94+W25+W34+W86+W95+W96</f>
        <v>42287343.334423244</v>
      </c>
      <c r="X3" s="265">
        <f>SUM(X14:X19)+X22+X28+X31+X37+X44+X51+X58+X65+X72+X79+X93+X94+X25+X34+X86+X95+X96</f>
        <v>10678018</v>
      </c>
      <c r="Y3" s="265">
        <f>SUM(Y14:Y19)+Y22+Y28+Y31+Y37+Y44+Y51+Y58+Y65+Y72+Y79+Y93+Y94+Y25+Y34+Y86+Y95+Y96</f>
        <v>141275.86116</v>
      </c>
      <c r="Z3" s="266">
        <f>SUM(Z14:Z19)+Z22+Z28+Z31+Z37+Z44+Z51+Z58+Z65+Z72+Z79+Z93+Z94+Z25+Z34+Z86+Z95+Z96</f>
        <v>1255270.8644831816</v>
      </c>
      <c r="AB3" s="264">
        <f>SUM(AB14:AB19)+AB22+AB28+AB31+AB37+AB44+AB51+AB58+AB65+AB72+AB79+AB93+AB94+AB25+AB34+AB86+AB95+AB96</f>
        <v>45287447.275616832</v>
      </c>
      <c r="AC3" s="265">
        <f>SUM(AC14:AC19)+AC22+AC28+AC31+AC37+AC44+AC51+AC58+AC65+AC72+AC79+AC93+AC94+AC25+AC34+AC86+AC95+AC96</f>
        <v>10678018</v>
      </c>
      <c r="AD3" s="266">
        <f>SUM(AD14:AD19)+AD22+AD28+AD31+AD37+AD44+AD51+AD58+AD65+AD72+AD79+AD93+AD94+AD25+AD34+AD86+AD95+AD96</f>
        <v>141275.86116</v>
      </c>
      <c r="AF3" s="264">
        <f t="shared" ref="AF3:AH3" si="0">SUM(AF14:AF19)+AF22+AF28+AF31+AF37+AF44+AF51+AF58+AF65+AF72+AF79+AF93+AF94+AF25+AF34+AF86+AF95+AF96</f>
        <v>3000103.941193596</v>
      </c>
      <c r="AG3" s="265">
        <f t="shared" si="0"/>
        <v>0</v>
      </c>
      <c r="AH3" s="266">
        <f t="shared" si="0"/>
        <v>0</v>
      </c>
      <c r="AK3" s="265"/>
      <c r="AM3" s="264">
        <f t="shared" ref="AM3:AO3" si="1">SUM(AM14:AM19)+AM22+AM28+AM31+AM37+AM44+AM51+AM58+AM65+AM72+AM79+AM93+AM94+AM25+AM34+AM86+AM95+AM96</f>
        <v>0</v>
      </c>
      <c r="AN3" s="265">
        <f t="shared" si="1"/>
        <v>0</v>
      </c>
      <c r="AO3" s="266">
        <f t="shared" si="1"/>
        <v>0</v>
      </c>
      <c r="AQ3" s="55" t="s">
        <v>97</v>
      </c>
      <c r="AR3" s="267">
        <f>AF3</f>
        <v>3000103.941193596</v>
      </c>
    </row>
    <row r="4" spans="1:52" x14ac:dyDescent="0.3">
      <c r="A4" s="138" t="s">
        <v>605</v>
      </c>
      <c r="D4" s="139"/>
      <c r="E4" s="139"/>
      <c r="F4" s="139"/>
      <c r="G4" s="139"/>
      <c r="H4" s="139"/>
      <c r="J4" s="139"/>
      <c r="K4" s="139"/>
      <c r="L4" s="139"/>
      <c r="Q4" s="139"/>
      <c r="V4" s="139"/>
      <c r="W4" s="268"/>
      <c r="X4" s="54"/>
      <c r="Y4" s="54"/>
      <c r="Z4" s="1097" t="s">
        <v>76</v>
      </c>
      <c r="AA4" s="139"/>
      <c r="AB4" s="268"/>
      <c r="AC4" s="54"/>
      <c r="AD4" s="269" t="s">
        <v>76</v>
      </c>
      <c r="AE4" s="139"/>
      <c r="AF4" s="268"/>
      <c r="AG4" s="54"/>
      <c r="AH4" s="269" t="s">
        <v>76</v>
      </c>
      <c r="AI4" s="139"/>
      <c r="AJ4" s="139"/>
      <c r="AK4" s="144"/>
      <c r="AL4" s="139"/>
      <c r="AM4" s="268"/>
      <c r="AN4" s="54"/>
      <c r="AO4" s="269" t="s">
        <v>76</v>
      </c>
      <c r="AP4" s="139"/>
      <c r="AQ4" s="55" t="s">
        <v>98</v>
      </c>
      <c r="AR4" s="267">
        <f>AG3</f>
        <v>0</v>
      </c>
    </row>
    <row r="5" spans="1:52" ht="13.5" thickBot="1" x14ac:dyDescent="0.35">
      <c r="E5" s="139"/>
      <c r="F5" s="139"/>
      <c r="W5" s="548"/>
      <c r="X5" s="549"/>
      <c r="Y5" s="549"/>
      <c r="Z5" s="1098">
        <f>SUM(W3:Z3)</f>
        <v>54361908.060066432</v>
      </c>
      <c r="AB5" s="270"/>
      <c r="AC5" s="271"/>
      <c r="AD5" s="272">
        <f>SUM(AB3:AD3)</f>
        <v>56106741.136776835</v>
      </c>
      <c r="AF5" s="270"/>
      <c r="AG5" s="271"/>
      <c r="AH5" s="272">
        <f>SUM(AF3:AH3)</f>
        <v>3000103.941193596</v>
      </c>
      <c r="AK5" s="265"/>
      <c r="AM5" s="270"/>
      <c r="AN5" s="271"/>
      <c r="AO5" s="272">
        <f>SUM(AM3:AO3)</f>
        <v>0</v>
      </c>
      <c r="AQ5" s="55" t="s">
        <v>99</v>
      </c>
      <c r="AR5" s="267">
        <f>AH3</f>
        <v>0</v>
      </c>
    </row>
    <row r="6" spans="1:52" ht="13.5" thickBot="1" x14ac:dyDescent="0.35">
      <c r="E6" s="139"/>
      <c r="F6" s="139"/>
      <c r="W6" s="54"/>
      <c r="X6" s="54"/>
      <c r="Y6" s="265"/>
      <c r="Z6" s="1093" t="s">
        <v>438</v>
      </c>
      <c r="AB6" s="54"/>
      <c r="AC6" s="54"/>
      <c r="AD6" s="265"/>
      <c r="AF6" s="54"/>
      <c r="AG6" s="54"/>
      <c r="AH6" s="265"/>
      <c r="AK6" s="265"/>
      <c r="AM6" s="54"/>
      <c r="AN6" s="54"/>
      <c r="AO6" s="265"/>
      <c r="AR6" s="267"/>
    </row>
    <row r="7" spans="1:52" ht="13.5" thickBot="1" x14ac:dyDescent="0.35">
      <c r="E7" s="512"/>
      <c r="F7" s="512"/>
      <c r="H7" s="1851" t="s">
        <v>118</v>
      </c>
      <c r="I7" s="1852"/>
      <c r="K7" s="1851" t="s">
        <v>120</v>
      </c>
      <c r="L7" s="1853"/>
      <c r="M7" s="1853"/>
      <c r="N7" s="1853"/>
      <c r="O7" s="1853"/>
      <c r="P7" s="1852"/>
      <c r="R7" s="1851" t="s">
        <v>119</v>
      </c>
      <c r="S7" s="1853"/>
      <c r="T7" s="1853"/>
      <c r="U7" s="1852"/>
      <c r="AD7" s="275"/>
      <c r="AO7" s="275"/>
      <c r="AQ7" s="55" t="s">
        <v>100</v>
      </c>
      <c r="AR7" s="276">
        <f>SUM(AR3:AR5)</f>
        <v>3000103.941193596</v>
      </c>
      <c r="AU7" s="1101"/>
    </row>
    <row r="8" spans="1:52" x14ac:dyDescent="0.3">
      <c r="A8" s="85">
        <v>1</v>
      </c>
      <c r="D8" s="141"/>
      <c r="E8" s="512" t="s">
        <v>599</v>
      </c>
      <c r="F8" s="512" t="str">
        <f>E8</f>
        <v>UG-200994</v>
      </c>
      <c r="G8" s="141"/>
      <c r="H8" s="147"/>
      <c r="I8" s="292"/>
      <c r="J8" s="141"/>
      <c r="K8" s="324" t="s">
        <v>17</v>
      </c>
      <c r="L8" s="325" t="s">
        <v>20</v>
      </c>
      <c r="M8" s="325" t="s">
        <v>17</v>
      </c>
      <c r="N8" s="325" t="s">
        <v>20</v>
      </c>
      <c r="O8" s="325" t="s">
        <v>17</v>
      </c>
      <c r="P8" s="326" t="s">
        <v>20</v>
      </c>
      <c r="Q8" s="141"/>
      <c r="R8" s="140"/>
      <c r="S8" s="277"/>
      <c r="T8" s="277"/>
      <c r="U8" s="278"/>
      <c r="V8" s="141"/>
      <c r="W8" s="1854" t="s">
        <v>121</v>
      </c>
      <c r="X8" s="1854"/>
      <c r="Y8" s="1854"/>
      <c r="Z8" s="1854"/>
      <c r="AA8" s="144"/>
      <c r="AB8" s="273"/>
      <c r="AC8" s="274" t="s">
        <v>234</v>
      </c>
      <c r="AD8" s="273"/>
      <c r="AE8" s="141"/>
      <c r="AG8" s="787" t="s">
        <v>122</v>
      </c>
      <c r="AI8" s="141"/>
      <c r="AJ8" s="416"/>
      <c r="AL8" s="141"/>
      <c r="AM8" s="273"/>
      <c r="AN8" s="274"/>
      <c r="AO8" s="273"/>
      <c r="AP8" s="141"/>
      <c r="AQ8" s="55" t="s">
        <v>101</v>
      </c>
      <c r="AR8" s="267"/>
      <c r="AU8" s="468"/>
      <c r="AV8" s="288"/>
    </row>
    <row r="9" spans="1:52" ht="13.5" thickBot="1" x14ac:dyDescent="0.35">
      <c r="A9" s="85">
        <f>+A8+1</f>
        <v>2</v>
      </c>
      <c r="D9" s="142"/>
      <c r="E9" s="143" t="s">
        <v>173</v>
      </c>
      <c r="F9" s="143" t="s">
        <v>173</v>
      </c>
      <c r="G9" s="142"/>
      <c r="H9" s="417" t="s">
        <v>115</v>
      </c>
      <c r="I9" s="972" t="str">
        <f>E8</f>
        <v>UG-200994</v>
      </c>
      <c r="J9" s="142"/>
      <c r="K9" s="327" t="str">
        <f>H9</f>
        <v>CURRENT</v>
      </c>
      <c r="L9" s="491" t="str">
        <f>E8</f>
        <v>UG-200994</v>
      </c>
      <c r="M9" s="142" t="str">
        <f>K9</f>
        <v>CURRENT</v>
      </c>
      <c r="N9" s="491" t="str">
        <f>E8</f>
        <v>UG-200994</v>
      </c>
      <c r="O9" s="142" t="str">
        <f>K9</f>
        <v>CURRENT</v>
      </c>
      <c r="P9" s="972" t="str">
        <f>E8</f>
        <v>UG-200994</v>
      </c>
      <c r="Q9" s="142"/>
      <c r="R9" s="973" t="str">
        <f>E8</f>
        <v>UG-200994</v>
      </c>
      <c r="S9" s="974" t="str">
        <f>R9</f>
        <v>UG-200994</v>
      </c>
      <c r="T9" s="974" t="str">
        <f>S9</f>
        <v>UG-200994</v>
      </c>
      <c r="U9" s="975" t="str">
        <f>T9</f>
        <v>UG-200994</v>
      </c>
      <c r="V9" s="142"/>
      <c r="W9" s="273"/>
      <c r="X9" s="273"/>
      <c r="Y9" s="273"/>
      <c r="Z9" s="273"/>
      <c r="AA9" s="144"/>
      <c r="AB9" s="273"/>
      <c r="AC9" s="1100"/>
      <c r="AD9" s="273"/>
      <c r="AE9" s="142"/>
      <c r="AF9" s="273"/>
      <c r="AG9" s="1100"/>
      <c r="AH9" s="273"/>
      <c r="AI9" s="142"/>
      <c r="AJ9" s="142"/>
      <c r="AK9" s="273"/>
      <c r="AL9" s="142"/>
      <c r="AM9" s="273"/>
      <c r="AN9" s="274"/>
      <c r="AO9" s="273"/>
      <c r="AP9" s="142"/>
      <c r="AQ9" s="596" t="s">
        <v>395</v>
      </c>
      <c r="AR9" s="267">
        <f>AO5</f>
        <v>0</v>
      </c>
      <c r="AU9" s="588"/>
      <c r="AV9" s="288"/>
    </row>
    <row r="10" spans="1:52" ht="15" thickBot="1" x14ac:dyDescent="0.5">
      <c r="A10" s="85">
        <f t="shared" ref="A10:A73" si="2">+A9+1</f>
        <v>3</v>
      </c>
      <c r="D10" s="144"/>
      <c r="E10" s="58" t="s">
        <v>87</v>
      </c>
      <c r="F10" s="58" t="s">
        <v>87</v>
      </c>
      <c r="G10" s="144"/>
      <c r="H10" s="417" t="s">
        <v>102</v>
      </c>
      <c r="I10" s="767" t="s">
        <v>102</v>
      </c>
      <c r="J10" s="144"/>
      <c r="K10" s="284" t="s">
        <v>80</v>
      </c>
      <c r="L10" s="85" t="s">
        <v>80</v>
      </c>
      <c r="M10" s="144" t="s">
        <v>361</v>
      </c>
      <c r="N10" s="85" t="s">
        <v>361</v>
      </c>
      <c r="O10" s="144" t="s">
        <v>106</v>
      </c>
      <c r="P10" s="767" t="s">
        <v>106</v>
      </c>
      <c r="Q10" s="144"/>
      <c r="R10" s="279" t="s">
        <v>107</v>
      </c>
      <c r="S10" s="273" t="s">
        <v>107</v>
      </c>
      <c r="T10" s="273" t="s">
        <v>116</v>
      </c>
      <c r="U10" s="280" t="s">
        <v>68</v>
      </c>
      <c r="V10" s="144"/>
      <c r="W10" s="1846" t="s">
        <v>113</v>
      </c>
      <c r="X10" s="1847"/>
      <c r="Y10" s="1847"/>
      <c r="Z10" s="1848"/>
      <c r="AA10" s="142"/>
      <c r="AB10" s="1846" t="s">
        <v>114</v>
      </c>
      <c r="AC10" s="1847"/>
      <c r="AD10" s="1848"/>
      <c r="AE10" s="144"/>
      <c r="AF10" s="1846" t="s">
        <v>104</v>
      </c>
      <c r="AG10" s="1847"/>
      <c r="AH10" s="1848"/>
      <c r="AI10" s="144"/>
      <c r="AJ10" s="57" t="s">
        <v>131</v>
      </c>
      <c r="AK10" s="57" t="s">
        <v>111</v>
      </c>
      <c r="AL10" s="144"/>
      <c r="AM10" s="1846" t="s">
        <v>114</v>
      </c>
      <c r="AN10" s="1847"/>
      <c r="AO10" s="1848"/>
      <c r="AP10" s="144"/>
      <c r="AQ10" s="59" t="s">
        <v>88</v>
      </c>
      <c r="AR10" s="276">
        <f>AR7+AR9</f>
        <v>3000103.941193596</v>
      </c>
      <c r="AU10" s="1126"/>
      <c r="AV10" s="1127"/>
      <c r="AW10" s="605"/>
      <c r="AX10" s="605"/>
      <c r="AY10" s="605"/>
      <c r="AZ10" s="605"/>
    </row>
    <row r="11" spans="1:52" s="56" customFormat="1" ht="13.5" thickBot="1" x14ac:dyDescent="0.35">
      <c r="A11" s="85">
        <f t="shared" si="2"/>
        <v>4</v>
      </c>
      <c r="B11" s="146"/>
      <c r="C11" s="146"/>
      <c r="D11" s="144"/>
      <c r="E11" s="171" t="s">
        <v>95</v>
      </c>
      <c r="F11" s="1095"/>
      <c r="G11" s="144"/>
      <c r="H11" s="420" t="s">
        <v>103</v>
      </c>
      <c r="I11" s="768" t="s">
        <v>103</v>
      </c>
      <c r="J11" s="144"/>
      <c r="K11" s="328" t="s">
        <v>69</v>
      </c>
      <c r="L11" s="353" t="s">
        <v>69</v>
      </c>
      <c r="M11" s="329" t="s">
        <v>69</v>
      </c>
      <c r="N11" s="353" t="s">
        <v>69</v>
      </c>
      <c r="O11" s="329" t="s">
        <v>69</v>
      </c>
      <c r="P11" s="768" t="s">
        <v>69</v>
      </c>
      <c r="Q11" s="144"/>
      <c r="R11" s="281" t="s">
        <v>108</v>
      </c>
      <c r="S11" s="282" t="s">
        <v>110</v>
      </c>
      <c r="T11" s="282" t="s">
        <v>73</v>
      </c>
      <c r="U11" s="283" t="s">
        <v>109</v>
      </c>
      <c r="V11" s="144"/>
      <c r="W11" s="284" t="s">
        <v>111</v>
      </c>
      <c r="X11" s="144" t="s">
        <v>112</v>
      </c>
      <c r="Y11" s="262" t="s">
        <v>96</v>
      </c>
      <c r="Z11" s="269" t="s">
        <v>439</v>
      </c>
      <c r="AA11" s="57"/>
      <c r="AB11" s="284" t="s">
        <v>111</v>
      </c>
      <c r="AC11" s="144" t="s">
        <v>112</v>
      </c>
      <c r="AD11" s="269" t="s">
        <v>96</v>
      </c>
      <c r="AE11" s="144"/>
      <c r="AF11" s="284" t="s">
        <v>111</v>
      </c>
      <c r="AG11" s="144" t="s">
        <v>112</v>
      </c>
      <c r="AH11" s="269" t="s">
        <v>96</v>
      </c>
      <c r="AI11" s="144"/>
      <c r="AJ11" s="57" t="s">
        <v>27</v>
      </c>
      <c r="AK11" s="57" t="s">
        <v>27</v>
      </c>
      <c r="AL11" s="144"/>
      <c r="AM11" s="261" t="s">
        <v>111</v>
      </c>
      <c r="AN11" s="262" t="s">
        <v>112</v>
      </c>
      <c r="AO11" s="263" t="s">
        <v>96</v>
      </c>
      <c r="AP11" s="144"/>
      <c r="AQ11" s="273"/>
      <c r="AR11" s="273"/>
      <c r="AS11" s="144"/>
      <c r="AU11" s="588"/>
      <c r="AV11" s="288"/>
    </row>
    <row r="12" spans="1:52" s="56" customFormat="1" ht="14.5" x14ac:dyDescent="0.45">
      <c r="A12" s="85">
        <f t="shared" si="2"/>
        <v>5</v>
      </c>
      <c r="B12" s="55"/>
      <c r="C12" s="55"/>
      <c r="D12" s="57"/>
      <c r="E12" s="149"/>
      <c r="F12" s="149"/>
      <c r="G12" s="57"/>
      <c r="H12" s="150"/>
      <c r="I12" s="595"/>
      <c r="J12" s="57"/>
      <c r="K12" s="330"/>
      <c r="L12" s="331"/>
      <c r="M12" s="331"/>
      <c r="N12" s="331"/>
      <c r="O12" s="331"/>
      <c r="P12" s="332"/>
      <c r="Q12" s="57"/>
      <c r="R12" s="285"/>
      <c r="S12" s="145"/>
      <c r="T12" s="145"/>
      <c r="U12" s="286"/>
      <c r="V12" s="57"/>
      <c r="W12" s="150"/>
      <c r="Z12" s="148"/>
      <c r="AB12" s="150"/>
      <c r="AD12" s="148"/>
      <c r="AE12" s="57"/>
      <c r="AF12" s="150"/>
      <c r="AH12" s="148"/>
      <c r="AI12" s="57"/>
      <c r="AJ12" s="57" t="s">
        <v>123</v>
      </c>
      <c r="AK12" s="57" t="s">
        <v>123</v>
      </c>
      <c r="AL12" s="57"/>
      <c r="AM12" s="150"/>
      <c r="AO12" s="148"/>
      <c r="AP12" s="57"/>
      <c r="AQ12" s="144"/>
      <c r="AR12" s="287">
        <f>'Rate Spread SETTLEMENT'!D28</f>
        <v>3000000</v>
      </c>
      <c r="AS12" s="288" t="s">
        <v>152</v>
      </c>
      <c r="AU12" s="1126"/>
      <c r="AV12" s="1127"/>
      <c r="AW12" s="606"/>
      <c r="AX12" s="606"/>
      <c r="AY12" s="606"/>
      <c r="AZ12" s="606"/>
    </row>
    <row r="13" spans="1:52" s="56" customFormat="1" ht="13.5" thickBot="1" x14ac:dyDescent="0.35">
      <c r="A13" s="85">
        <f t="shared" si="2"/>
        <v>6</v>
      </c>
      <c r="B13" s="755" t="s">
        <v>2</v>
      </c>
      <c r="C13" s="755" t="s">
        <v>3</v>
      </c>
      <c r="D13" s="289"/>
      <c r="E13" s="289" t="s">
        <v>35</v>
      </c>
      <c r="F13" s="289" t="s">
        <v>36</v>
      </c>
      <c r="G13" s="289"/>
      <c r="H13" s="290" t="s">
        <v>13</v>
      </c>
      <c r="I13" s="291" t="s">
        <v>37</v>
      </c>
      <c r="J13" s="289"/>
      <c r="K13" s="290" t="s">
        <v>38</v>
      </c>
      <c r="L13" s="289" t="s">
        <v>39</v>
      </c>
      <c r="M13" s="289" t="s">
        <v>40</v>
      </c>
      <c r="N13" s="289" t="s">
        <v>41</v>
      </c>
      <c r="O13" s="289" t="s">
        <v>42</v>
      </c>
      <c r="P13" s="291" t="s">
        <v>124</v>
      </c>
      <c r="Q13" s="289"/>
      <c r="R13" s="290" t="s">
        <v>125</v>
      </c>
      <c r="S13" s="289" t="s">
        <v>43</v>
      </c>
      <c r="T13" s="289" t="s">
        <v>126</v>
      </c>
      <c r="U13" s="291" t="s">
        <v>127</v>
      </c>
      <c r="V13" s="57"/>
      <c r="W13" s="147" t="s">
        <v>128</v>
      </c>
      <c r="X13" s="57" t="s">
        <v>129</v>
      </c>
      <c r="Y13" s="57" t="s">
        <v>130</v>
      </c>
      <c r="Z13" s="292" t="s">
        <v>86</v>
      </c>
      <c r="AA13" s="57"/>
      <c r="AB13" s="147" t="s">
        <v>89</v>
      </c>
      <c r="AC13" s="57" t="s">
        <v>90</v>
      </c>
      <c r="AD13" s="292" t="s">
        <v>91</v>
      </c>
      <c r="AE13" s="57"/>
      <c r="AF13" s="147" t="s">
        <v>180</v>
      </c>
      <c r="AG13" s="57" t="s">
        <v>224</v>
      </c>
      <c r="AH13" s="292" t="s">
        <v>219</v>
      </c>
      <c r="AI13" s="57"/>
      <c r="AJ13" s="57" t="s">
        <v>122</v>
      </c>
      <c r="AK13" s="57" t="s">
        <v>122</v>
      </c>
      <c r="AL13" s="57"/>
      <c r="AM13" s="147" t="s">
        <v>225</v>
      </c>
      <c r="AN13" s="57" t="s">
        <v>226</v>
      </c>
      <c r="AO13" s="292" t="s">
        <v>227</v>
      </c>
      <c r="AP13" s="57"/>
      <c r="AR13" s="908">
        <f>AR12-AR10</f>
        <v>-103.94119359599426</v>
      </c>
      <c r="AS13" s="288" t="s">
        <v>162</v>
      </c>
      <c r="AT13" s="909"/>
      <c r="AU13" s="1128"/>
      <c r="AV13" s="602"/>
    </row>
    <row r="14" spans="1:52" ht="13" customHeight="1" x14ac:dyDescent="0.3">
      <c r="A14" s="85">
        <f t="shared" si="2"/>
        <v>7</v>
      </c>
      <c r="B14" s="707" t="str">
        <f>'WA Volumes &amp; Revenues'!B15</f>
        <v>1R</v>
      </c>
      <c r="C14" s="707" t="s">
        <v>270</v>
      </c>
      <c r="D14" s="153"/>
      <c r="E14" s="756">
        <f>ROUND('Rates in Detail'!AC13,5)</f>
        <v>6.1650000000000003E-2</v>
      </c>
      <c r="F14" s="122"/>
      <c r="G14" s="153"/>
      <c r="H14" s="363">
        <f>ROUND('Rates in Detail'!R13,5)</f>
        <v>0.77856999999999998</v>
      </c>
      <c r="I14" s="757">
        <f>H14+E14</f>
        <v>0.84021999999999997</v>
      </c>
      <c r="J14" s="153"/>
      <c r="K14" s="154">
        <f>'WA Volumes &amp; Revenues'!O15</f>
        <v>5.5</v>
      </c>
      <c r="L14" s="155">
        <f>'WA Volumes &amp; Revenues'!N15</f>
        <v>5.5</v>
      </c>
      <c r="M14" s="121">
        <f>'Rates in Detail'!AR13</f>
        <v>0</v>
      </c>
      <c r="N14" s="121">
        <f>'Rates in Detail'!AS13</f>
        <v>0</v>
      </c>
      <c r="O14" s="121">
        <f>'Rates in Detail'!AT13</f>
        <v>0</v>
      </c>
      <c r="P14" s="758">
        <f>'Rates in Detail'!AU13</f>
        <v>0</v>
      </c>
      <c r="Q14" s="153"/>
      <c r="R14" s="293">
        <f>'WA Volumes &amp; Revenues'!E15</f>
        <v>214704.20066131229</v>
      </c>
      <c r="S14" s="294"/>
      <c r="T14" s="295">
        <f>'WA Volumes &amp; Revenues'!H15</f>
        <v>911</v>
      </c>
      <c r="U14" s="296">
        <f>'WA Volumes &amp; Revenues'!I15</f>
        <v>19.639970000000002</v>
      </c>
      <c r="V14" s="153"/>
      <c r="W14" s="297">
        <f>(H14*R14)</f>
        <v>167162.2495088779</v>
      </c>
      <c r="X14" s="298">
        <f>(K14*T14*12)</f>
        <v>60126</v>
      </c>
      <c r="Y14" s="298">
        <f t="shared" ref="Y14:Y21" si="3">(S14*(M14+O14))*12</f>
        <v>0</v>
      </c>
      <c r="Z14" s="299">
        <f>'Rate Spread SETTLEMENT'!E$76-SUM(W14:Y14)</f>
        <v>3254.9506992535316</v>
      </c>
      <c r="AA14" s="300"/>
      <c r="AB14" s="297">
        <f>(I14*R14)</f>
        <v>180398.76347964781</v>
      </c>
      <c r="AC14" s="298">
        <f t="shared" ref="AC14:AC21" si="4">(L14*T14*12)</f>
        <v>60126</v>
      </c>
      <c r="AD14" s="299">
        <f t="shared" ref="AD14:AD21" si="5">(S14*(N14+P14))*12</f>
        <v>0</v>
      </c>
      <c r="AE14" s="300"/>
      <c r="AF14" s="297">
        <f>AB14-W14</f>
        <v>13236.513970769913</v>
      </c>
      <c r="AG14" s="298">
        <f>AC14-X14</f>
        <v>0</v>
      </c>
      <c r="AH14" s="299">
        <f>AD14-Y14</f>
        <v>0</v>
      </c>
      <c r="AI14" s="300"/>
      <c r="AJ14" s="333"/>
      <c r="AK14" s="334"/>
      <c r="AL14" s="300"/>
      <c r="AM14" s="297">
        <f t="shared" ref="AM14:AM21" si="6">(F14*R14)</f>
        <v>0</v>
      </c>
      <c r="AN14" s="298">
        <v>0</v>
      </c>
      <c r="AO14" s="299">
        <f t="shared" ref="AO14:AO21" si="7">(AE14*(Y14+AB14))*12</f>
        <v>0</v>
      </c>
      <c r="AP14" s="300"/>
      <c r="AQ14" s="1845" t="s">
        <v>163</v>
      </c>
      <c r="AR14" s="1845"/>
      <c r="AS14" s="1845"/>
    </row>
    <row r="15" spans="1:52" x14ac:dyDescent="0.3">
      <c r="A15" s="85">
        <f t="shared" si="2"/>
        <v>8</v>
      </c>
      <c r="B15" s="708" t="str">
        <f>'WA Volumes &amp; Revenues'!B16</f>
        <v>1C</v>
      </c>
      <c r="C15" s="708" t="s">
        <v>270</v>
      </c>
      <c r="D15" s="156"/>
      <c r="E15" s="122">
        <f>ROUND('Rates in Detail'!AC14,5)</f>
        <v>5.126E-2</v>
      </c>
      <c r="F15" s="122"/>
      <c r="G15" s="156"/>
      <c r="H15" s="363">
        <f>ROUND('Rates in Detail'!R14,5)</f>
        <v>0.81633999999999995</v>
      </c>
      <c r="I15" s="757">
        <f>H15+E15</f>
        <v>0.86759999999999993</v>
      </c>
      <c r="J15" s="156"/>
      <c r="K15" s="154">
        <f>'WA Volumes &amp; Revenues'!O16</f>
        <v>7</v>
      </c>
      <c r="L15" s="155">
        <f>'WA Volumes &amp; Revenues'!N16</f>
        <v>7</v>
      </c>
      <c r="M15" s="121">
        <f>'Rates in Detail'!AR14</f>
        <v>0</v>
      </c>
      <c r="N15" s="121">
        <f>'Rates in Detail'!AS14</f>
        <v>0</v>
      </c>
      <c r="O15" s="121">
        <f>'Rates in Detail'!AT14</f>
        <v>0</v>
      </c>
      <c r="P15" s="758">
        <f>'Rates in Detail'!AU14</f>
        <v>0</v>
      </c>
      <c r="Q15" s="156"/>
      <c r="R15" s="293">
        <f>'WA Volumes &amp; Revenues'!E16</f>
        <v>46539.057144390383</v>
      </c>
      <c r="S15" s="294"/>
      <c r="T15" s="295">
        <f>'WA Volumes &amp; Revenues'!H16</f>
        <v>34</v>
      </c>
      <c r="U15" s="296">
        <f>'WA Volumes &amp; Revenues'!I16</f>
        <v>114.06632</v>
      </c>
      <c r="V15" s="156"/>
      <c r="W15" s="301">
        <f>(H15*R15)</f>
        <v>37991.69390925164</v>
      </c>
      <c r="X15" s="302">
        <f>(K15*T15*12)</f>
        <v>2856</v>
      </c>
      <c r="Y15" s="302">
        <f t="shared" si="3"/>
        <v>0</v>
      </c>
      <c r="Z15" s="303">
        <f>'Rate Spread SETTLEMENT'!F$76-SUM(W15:Y15)</f>
        <v>705.35800083459617</v>
      </c>
      <c r="AA15" s="304"/>
      <c r="AB15" s="301">
        <f>(I15*R15)</f>
        <v>40377.28597847309</v>
      </c>
      <c r="AC15" s="302">
        <f>(L15*T15*12)</f>
        <v>2856</v>
      </c>
      <c r="AD15" s="303">
        <f>(S15*(N15+P15))*12</f>
        <v>0</v>
      </c>
      <c r="AE15" s="304"/>
      <c r="AF15" s="301">
        <f t="shared" ref="AF15:AH21" si="8">AB15-W15</f>
        <v>2385.5920692214495</v>
      </c>
      <c r="AG15" s="302">
        <f t="shared" si="8"/>
        <v>0</v>
      </c>
      <c r="AH15" s="303">
        <f t="shared" si="8"/>
        <v>0</v>
      </c>
      <c r="AI15" s="304"/>
      <c r="AJ15" s="333"/>
      <c r="AK15" s="334"/>
      <c r="AL15" s="304"/>
      <c r="AM15" s="301">
        <f>(F15*R15)</f>
        <v>0</v>
      </c>
      <c r="AN15" s="302">
        <v>0</v>
      </c>
      <c r="AO15" s="303">
        <f t="shared" si="7"/>
        <v>0</v>
      </c>
      <c r="AP15" s="304"/>
      <c r="AQ15" s="305"/>
      <c r="AR15" s="305"/>
      <c r="AS15" s="304"/>
    </row>
    <row r="16" spans="1:52" x14ac:dyDescent="0.3">
      <c r="A16" s="85">
        <f t="shared" si="2"/>
        <v>9</v>
      </c>
      <c r="B16" s="708" t="str">
        <f>'WA Volumes &amp; Revenues'!B17</f>
        <v>2R</v>
      </c>
      <c r="C16" s="708" t="s">
        <v>270</v>
      </c>
      <c r="D16" s="156"/>
      <c r="E16" s="756">
        <f>ROUND('Rates in Detail'!AC15,5)</f>
        <v>3.9019999999999999E-2</v>
      </c>
      <c r="F16" s="756"/>
      <c r="G16" s="156"/>
      <c r="H16" s="363">
        <f>ROUND('Rates in Detail'!R15,5)</f>
        <v>0.52273999999999998</v>
      </c>
      <c r="I16" s="757">
        <f t="shared" ref="I16:I78" si="9">H16+E16</f>
        <v>0.56176000000000004</v>
      </c>
      <c r="J16" s="156"/>
      <c r="K16" s="154">
        <f>'WA Volumes &amp; Revenues'!O17</f>
        <v>8</v>
      </c>
      <c r="L16" s="155">
        <f>'WA Volumes &amp; Revenues'!N17</f>
        <v>8</v>
      </c>
      <c r="M16" s="121">
        <f>'Rates in Detail'!AR15</f>
        <v>0</v>
      </c>
      <c r="N16" s="121">
        <f>'Rates in Detail'!AS15</f>
        <v>0</v>
      </c>
      <c r="O16" s="121">
        <f>'Rates in Detail'!AT15</f>
        <v>0</v>
      </c>
      <c r="P16" s="758">
        <f>'Rates in Detail'!AU15</f>
        <v>0</v>
      </c>
      <c r="Q16" s="156"/>
      <c r="R16" s="293">
        <f>'WA Volumes &amp; Revenues'!E17</f>
        <v>54953515.785084128</v>
      </c>
      <c r="S16" s="306"/>
      <c r="T16" s="295">
        <f>'WA Volumes &amp; Revenues'!H17</f>
        <v>81119</v>
      </c>
      <c r="U16" s="296">
        <f>'WA Volumes &amp; Revenues'!I17</f>
        <v>56.453600000000002</v>
      </c>
      <c r="V16" s="156"/>
      <c r="W16" s="301">
        <f t="shared" ref="W16:W21" si="10">(H16*R16)</f>
        <v>28726400.841494877</v>
      </c>
      <c r="X16" s="302">
        <f t="shared" ref="X16:X18" si="11">(K16*T16*12)</f>
        <v>7787424</v>
      </c>
      <c r="Y16" s="302">
        <f t="shared" si="3"/>
        <v>0</v>
      </c>
      <c r="Z16" s="303">
        <f>'Rate Spread SETTLEMENT'!G$76-SUM(W16:Y16)</f>
        <v>833300.92375713587</v>
      </c>
      <c r="AA16" s="304"/>
      <c r="AB16" s="301">
        <f t="shared" ref="AB16:AB21" si="12">(I16*R16)</f>
        <v>30870687.027428862</v>
      </c>
      <c r="AC16" s="302">
        <f t="shared" si="4"/>
        <v>7787424</v>
      </c>
      <c r="AD16" s="303">
        <f t="shared" si="5"/>
        <v>0</v>
      </c>
      <c r="AE16" s="304"/>
      <c r="AF16" s="301">
        <f t="shared" si="8"/>
        <v>2144286.1859339848</v>
      </c>
      <c r="AG16" s="302">
        <f t="shared" si="8"/>
        <v>0</v>
      </c>
      <c r="AH16" s="303">
        <f t="shared" si="8"/>
        <v>0</v>
      </c>
      <c r="AI16" s="304"/>
      <c r="AJ16" s="333">
        <f>SUM(AF16:AH16)/SUM(W16:Y16)</f>
        <v>5.8725323770989477E-2</v>
      </c>
      <c r="AK16" s="334">
        <f t="shared" ref="AK16:AK41" si="13">SUM(AF16)/SUM(W16)</f>
        <v>7.4645139074874772E-2</v>
      </c>
      <c r="AL16" s="304"/>
      <c r="AM16" s="301">
        <f t="shared" si="6"/>
        <v>0</v>
      </c>
      <c r="AN16" s="302">
        <v>0</v>
      </c>
      <c r="AO16" s="303">
        <f t="shared" si="7"/>
        <v>0</v>
      </c>
      <c r="AP16" s="304"/>
      <c r="AQ16" s="305"/>
      <c r="AR16" s="49"/>
      <c r="AS16" s="304"/>
    </row>
    <row r="17" spans="1:45" x14ac:dyDescent="0.3">
      <c r="A17" s="85">
        <f t="shared" si="2"/>
        <v>10</v>
      </c>
      <c r="B17" s="708" t="str">
        <f>'WA Volumes &amp; Revenues'!B18</f>
        <v>3 CFS</v>
      </c>
      <c r="C17" s="708" t="s">
        <v>270</v>
      </c>
      <c r="D17" s="156"/>
      <c r="E17" s="122">
        <f>ROUND('Rates in Detail'!AC16,5)</f>
        <v>3.5029999999999999E-2</v>
      </c>
      <c r="F17" s="122"/>
      <c r="G17" s="156"/>
      <c r="H17" s="363">
        <f>ROUND('Rates in Detail'!R16,5)</f>
        <v>0.50166999999999995</v>
      </c>
      <c r="I17" s="757">
        <f t="shared" si="9"/>
        <v>0.53669999999999995</v>
      </c>
      <c r="J17" s="156"/>
      <c r="K17" s="154">
        <f>'WA Volumes &amp; Revenues'!O18</f>
        <v>22</v>
      </c>
      <c r="L17" s="155">
        <f>'WA Volumes &amp; Revenues'!N18</f>
        <v>22</v>
      </c>
      <c r="M17" s="121">
        <f>'Rates in Detail'!AR16</f>
        <v>0</v>
      </c>
      <c r="N17" s="121">
        <f>'Rates in Detail'!AS16</f>
        <v>0</v>
      </c>
      <c r="O17" s="121">
        <f>'Rates in Detail'!AT16</f>
        <v>0</v>
      </c>
      <c r="P17" s="758">
        <f>'Rates in Detail'!AU16</f>
        <v>0</v>
      </c>
      <c r="Q17" s="156"/>
      <c r="R17" s="293">
        <f>'WA Volumes &amp; Revenues'!E18</f>
        <v>17867210.60654201</v>
      </c>
      <c r="S17" s="306"/>
      <c r="T17" s="295">
        <f>'WA Volumes &amp; Revenues'!H18</f>
        <v>6318</v>
      </c>
      <c r="U17" s="296">
        <f>'WA Volumes &amp; Revenues'!I18</f>
        <v>235.66542999999999</v>
      </c>
      <c r="V17" s="156"/>
      <c r="W17" s="301">
        <f t="shared" si="10"/>
        <v>8963443.544983929</v>
      </c>
      <c r="X17" s="302">
        <f t="shared" si="11"/>
        <v>1667952</v>
      </c>
      <c r="Y17" s="302">
        <f t="shared" si="3"/>
        <v>0</v>
      </c>
      <c r="Z17" s="303">
        <f>'Rate Spread SETTLEMENT'!H$76-SUM(W17:Y17)</f>
        <v>270786.04189983942</v>
      </c>
      <c r="AA17" s="304"/>
      <c r="AB17" s="301">
        <f t="shared" si="12"/>
        <v>9589331.932531096</v>
      </c>
      <c r="AC17" s="302">
        <f t="shared" si="4"/>
        <v>1667952</v>
      </c>
      <c r="AD17" s="303">
        <f t="shared" si="5"/>
        <v>0</v>
      </c>
      <c r="AE17" s="304"/>
      <c r="AF17" s="301">
        <f t="shared" si="8"/>
        <v>625888.38754716702</v>
      </c>
      <c r="AG17" s="302">
        <f t="shared" si="8"/>
        <v>0</v>
      </c>
      <c r="AH17" s="303">
        <f t="shared" si="8"/>
        <v>0</v>
      </c>
      <c r="AI17" s="304"/>
      <c r="AJ17" s="333">
        <f>SUM(AF17:AH17)/SUM(W17:Y17)</f>
        <v>5.8871705497071047E-2</v>
      </c>
      <c r="AK17" s="334">
        <f t="shared" si="13"/>
        <v>6.9826778559610961E-2</v>
      </c>
      <c r="AL17" s="304"/>
      <c r="AM17" s="301">
        <f t="shared" si="6"/>
        <v>0</v>
      </c>
      <c r="AN17" s="302">
        <v>0</v>
      </c>
      <c r="AO17" s="303">
        <f t="shared" si="7"/>
        <v>0</v>
      </c>
      <c r="AP17" s="304"/>
      <c r="AQ17" s="305"/>
      <c r="AR17" s="305"/>
      <c r="AS17" s="304"/>
    </row>
    <row r="18" spans="1:45" x14ac:dyDescent="0.3">
      <c r="A18" s="85">
        <f t="shared" si="2"/>
        <v>11</v>
      </c>
      <c r="B18" s="708" t="str">
        <f>'WA Volumes &amp; Revenues'!B19</f>
        <v>3 IFS</v>
      </c>
      <c r="C18" s="708" t="s">
        <v>270</v>
      </c>
      <c r="D18" s="156"/>
      <c r="E18" s="122">
        <f>ROUND('Rates in Detail'!AC17,5)</f>
        <v>3.1730000000000001E-2</v>
      </c>
      <c r="F18" s="122"/>
      <c r="G18" s="156"/>
      <c r="H18" s="363">
        <f>ROUND('Rates in Detail'!R17,5)</f>
        <v>0.51500999999999997</v>
      </c>
      <c r="I18" s="757">
        <f t="shared" si="9"/>
        <v>0.54674</v>
      </c>
      <c r="J18" s="156"/>
      <c r="K18" s="154">
        <f>'WA Volumes &amp; Revenues'!O19</f>
        <v>22</v>
      </c>
      <c r="L18" s="155">
        <f>'WA Volumes &amp; Revenues'!N19</f>
        <v>22</v>
      </c>
      <c r="M18" s="121">
        <f>'Rates in Detail'!AR17</f>
        <v>0</v>
      </c>
      <c r="N18" s="121">
        <f>'Rates in Detail'!AS17</f>
        <v>0</v>
      </c>
      <c r="O18" s="121">
        <f>'Rates in Detail'!AT17</f>
        <v>0</v>
      </c>
      <c r="P18" s="758">
        <f>'Rates in Detail'!AU17</f>
        <v>0</v>
      </c>
      <c r="Q18" s="156"/>
      <c r="R18" s="293">
        <f>'WA Volumes &amp; Revenues'!E19</f>
        <v>283651.99999999994</v>
      </c>
      <c r="S18" s="306"/>
      <c r="T18" s="295">
        <f>'WA Volumes &amp; Revenues'!H19</f>
        <v>24.25</v>
      </c>
      <c r="U18" s="296">
        <f>'WA Volumes &amp; Revenues'!I19</f>
        <v>974.74914000000001</v>
      </c>
      <c r="V18" s="156"/>
      <c r="W18" s="301">
        <f t="shared" si="10"/>
        <v>146083.61651999995</v>
      </c>
      <c r="X18" s="302">
        <f t="shared" si="11"/>
        <v>6402</v>
      </c>
      <c r="Y18" s="302">
        <f t="shared" si="3"/>
        <v>0</v>
      </c>
      <c r="Z18" s="303">
        <f>'Rate Spread SETTLEMENT'!I$76-SUM(W18:Y18)</f>
        <v>4302.400948435301</v>
      </c>
      <c r="AA18" s="304"/>
      <c r="AB18" s="301">
        <f t="shared" si="12"/>
        <v>155083.89447999996</v>
      </c>
      <c r="AC18" s="302">
        <f t="shared" si="4"/>
        <v>6402</v>
      </c>
      <c r="AD18" s="303">
        <f t="shared" si="5"/>
        <v>0</v>
      </c>
      <c r="AE18" s="304"/>
      <c r="AF18" s="301">
        <f t="shared" si="8"/>
        <v>9000.2779600000067</v>
      </c>
      <c r="AG18" s="302">
        <f t="shared" si="8"/>
        <v>0</v>
      </c>
      <c r="AH18" s="303">
        <f t="shared" si="8"/>
        <v>0</v>
      </c>
      <c r="AI18" s="304"/>
      <c r="AJ18" s="333">
        <f>SUM(AF18:AH18)/SUM(W18:Y18)</f>
        <v>5.9023783130519293E-2</v>
      </c>
      <c r="AK18" s="334">
        <f t="shared" si="13"/>
        <v>6.1610454165938591E-2</v>
      </c>
      <c r="AL18" s="304"/>
      <c r="AM18" s="301">
        <f t="shared" si="6"/>
        <v>0</v>
      </c>
      <c r="AN18" s="302">
        <v>0</v>
      </c>
      <c r="AO18" s="303">
        <f t="shared" si="7"/>
        <v>0</v>
      </c>
      <c r="AP18" s="304"/>
      <c r="AQ18" s="305"/>
      <c r="AR18" s="305"/>
      <c r="AS18" s="304"/>
    </row>
    <row r="19" spans="1:45" x14ac:dyDescent="0.3">
      <c r="A19" s="85">
        <f t="shared" si="2"/>
        <v>12</v>
      </c>
      <c r="B19" s="708" t="str">
        <f>'WA Volumes &amp; Revenues'!B20</f>
        <v>27R</v>
      </c>
      <c r="C19" s="708" t="s">
        <v>270</v>
      </c>
      <c r="D19" s="156"/>
      <c r="E19" s="122">
        <f>ROUND('Rates in Detail'!AC18,5)</f>
        <v>2.777E-2</v>
      </c>
      <c r="F19" s="122"/>
      <c r="G19" s="156"/>
      <c r="H19" s="363">
        <f>ROUND('Rates in Detail'!R18,5)</f>
        <v>0.28683999999999998</v>
      </c>
      <c r="I19" s="757">
        <f t="shared" si="9"/>
        <v>0.31461</v>
      </c>
      <c r="J19" s="156"/>
      <c r="K19" s="154">
        <f>'WA Volumes &amp; Revenues'!O20</f>
        <v>9</v>
      </c>
      <c r="L19" s="155">
        <f>'WA Volumes &amp; Revenues'!N20</f>
        <v>9</v>
      </c>
      <c r="M19" s="121">
        <f>'Rates in Detail'!AR18</f>
        <v>0</v>
      </c>
      <c r="N19" s="121">
        <f>'Rates in Detail'!AS18</f>
        <v>0</v>
      </c>
      <c r="O19" s="121">
        <f>'Rates in Detail'!AT18</f>
        <v>0</v>
      </c>
      <c r="P19" s="758">
        <f>'Rates in Detail'!AU18</f>
        <v>0</v>
      </c>
      <c r="Q19" s="156"/>
      <c r="R19" s="293">
        <f>'WA Volumes &amp; Revenues'!E20</f>
        <v>461371.76933137607</v>
      </c>
      <c r="S19" s="306"/>
      <c r="T19" s="295">
        <f>'WA Volumes &amp; Revenues'!H20</f>
        <v>776</v>
      </c>
      <c r="U19" s="296">
        <f>'WA Volumes &amp; Revenues'!I20</f>
        <v>49.545940000000002</v>
      </c>
      <c r="V19" s="156"/>
      <c r="W19" s="301">
        <f t="shared" si="10"/>
        <v>132339.87831501191</v>
      </c>
      <c r="X19" s="302">
        <f>(K19*T19*12)</f>
        <v>83808</v>
      </c>
      <c r="Y19" s="302">
        <f t="shared" si="3"/>
        <v>0</v>
      </c>
      <c r="Z19" s="303">
        <f>'Rate Spread SETTLEMENT'!J$76-SUM(W19:Y19)</f>
        <v>6995.1644367350382</v>
      </c>
      <c r="AA19" s="304"/>
      <c r="AB19" s="301">
        <f t="shared" si="12"/>
        <v>145152.17234934421</v>
      </c>
      <c r="AC19" s="302">
        <f t="shared" si="4"/>
        <v>83808</v>
      </c>
      <c r="AD19" s="303">
        <f t="shared" si="5"/>
        <v>0</v>
      </c>
      <c r="AE19" s="304"/>
      <c r="AF19" s="301">
        <f t="shared" si="8"/>
        <v>12812.294034332299</v>
      </c>
      <c r="AG19" s="302">
        <f t="shared" si="8"/>
        <v>0</v>
      </c>
      <c r="AH19" s="303">
        <f t="shared" si="8"/>
        <v>0</v>
      </c>
      <c r="AI19" s="304"/>
      <c r="AJ19" s="333">
        <f>SUM(AF19:AH19)/SUM(W19:Y19)</f>
        <v>5.9275594718814592E-2</v>
      </c>
      <c r="AK19" s="334">
        <f t="shared" si="13"/>
        <v>9.6813554594896004E-2</v>
      </c>
      <c r="AL19" s="304"/>
      <c r="AM19" s="301">
        <f t="shared" si="6"/>
        <v>0</v>
      </c>
      <c r="AN19" s="302">
        <v>0</v>
      </c>
      <c r="AO19" s="303">
        <f t="shared" si="7"/>
        <v>0</v>
      </c>
      <c r="AP19" s="304"/>
      <c r="AQ19" s="305"/>
      <c r="AR19" s="305"/>
      <c r="AS19" s="304"/>
    </row>
    <row r="20" spans="1:45" x14ac:dyDescent="0.3">
      <c r="A20" s="85">
        <f t="shared" si="2"/>
        <v>13</v>
      </c>
      <c r="B20" s="717" t="str">
        <f>'WA Volumes &amp; Revenues'!B21</f>
        <v>41C Firm Sales</v>
      </c>
      <c r="C20" s="710" t="s">
        <v>4</v>
      </c>
      <c r="D20" s="156"/>
      <c r="E20" s="121">
        <f>ROUND('Rates in Detail'!AC19,5)</f>
        <v>2.7820000000000001E-2</v>
      </c>
      <c r="F20" s="121"/>
      <c r="G20" s="156"/>
      <c r="H20" s="368">
        <f>ROUND('Rates in Detail'!R19,5)</f>
        <v>0.39079000000000003</v>
      </c>
      <c r="I20" s="758">
        <f t="shared" si="9"/>
        <v>0.41861000000000004</v>
      </c>
      <c r="J20" s="156"/>
      <c r="K20" s="154">
        <f>'WA Volumes &amp; Revenues'!O21</f>
        <v>250</v>
      </c>
      <c r="L20" s="155">
        <f>'WA Volumes &amp; Revenues'!N21</f>
        <v>250</v>
      </c>
      <c r="M20" s="121">
        <f>'Rates in Detail'!AR19</f>
        <v>0</v>
      </c>
      <c r="N20" s="121">
        <f>'Rates in Detail'!AS19</f>
        <v>0</v>
      </c>
      <c r="O20" s="121">
        <f>'Rates in Detail'!AT19</f>
        <v>0</v>
      </c>
      <c r="P20" s="758">
        <f>'Rates in Detail'!AU19</f>
        <v>0</v>
      </c>
      <c r="Q20" s="156"/>
      <c r="R20" s="293">
        <f>'WA Volumes &amp; Revenues'!E21</f>
        <v>1777065.1510316674</v>
      </c>
      <c r="S20" s="306"/>
      <c r="T20" s="295">
        <f>'WA Volumes &amp; Revenues'!H21</f>
        <v>91</v>
      </c>
      <c r="U20" s="296">
        <f>'WA Volumes &amp; Revenues'!I21</f>
        <v>3436</v>
      </c>
      <c r="V20" s="156"/>
      <c r="W20" s="308">
        <f t="shared" si="10"/>
        <v>694459.29037166538</v>
      </c>
      <c r="X20" s="304">
        <f t="shared" ref="X20:X21" si="14">(K20*T20*12)</f>
        <v>273000</v>
      </c>
      <c r="Y20" s="304">
        <f t="shared" si="3"/>
        <v>0</v>
      </c>
      <c r="Z20" s="309"/>
      <c r="AA20" s="304"/>
      <c r="AB20" s="308">
        <f t="shared" si="12"/>
        <v>743897.24287336634</v>
      </c>
      <c r="AC20" s="304">
        <f t="shared" si="4"/>
        <v>273000</v>
      </c>
      <c r="AD20" s="309">
        <f t="shared" si="5"/>
        <v>0</v>
      </c>
      <c r="AE20" s="304"/>
      <c r="AF20" s="308">
        <f t="shared" si="8"/>
        <v>49437.952501700958</v>
      </c>
      <c r="AG20" s="304">
        <f t="shared" si="8"/>
        <v>0</v>
      </c>
      <c r="AH20" s="309">
        <f t="shared" si="8"/>
        <v>0</v>
      </c>
      <c r="AI20" s="304"/>
      <c r="AJ20" s="333"/>
      <c r="AK20" s="335">
        <f t="shared" si="13"/>
        <v>7.1189129711609761E-2</v>
      </c>
      <c r="AL20" s="304"/>
      <c r="AM20" s="308">
        <f t="shared" si="6"/>
        <v>0</v>
      </c>
      <c r="AN20" s="304">
        <v>0</v>
      </c>
      <c r="AO20" s="309">
        <f t="shared" si="7"/>
        <v>0</v>
      </c>
      <c r="AP20" s="304"/>
      <c r="AQ20" s="305"/>
      <c r="AR20" s="305"/>
      <c r="AS20" s="304"/>
    </row>
    <row r="21" spans="1:45" x14ac:dyDescent="0.3">
      <c r="A21" s="85">
        <f t="shared" si="2"/>
        <v>14</v>
      </c>
      <c r="B21" s="709"/>
      <c r="C21" s="710" t="s">
        <v>5</v>
      </c>
      <c r="D21" s="156"/>
      <c r="E21" s="121">
        <f>ROUND('Rates in Detail'!AC20,5)</f>
        <v>2.4510000000000001E-2</v>
      </c>
      <c r="F21" s="121"/>
      <c r="G21" s="156"/>
      <c r="H21" s="368">
        <f>ROUND('Rates in Detail'!R20,5)</f>
        <v>0.34434999999999999</v>
      </c>
      <c r="I21" s="758">
        <f t="shared" si="9"/>
        <v>0.36885999999999997</v>
      </c>
      <c r="J21" s="156"/>
      <c r="K21" s="154"/>
      <c r="L21" s="155"/>
      <c r="M21" s="156"/>
      <c r="N21" s="156"/>
      <c r="O21" s="156"/>
      <c r="P21" s="157"/>
      <c r="Q21" s="156"/>
      <c r="R21" s="293">
        <f>'WA Volumes &amp; Revenues'!E22</f>
        <v>1974656.4658023661</v>
      </c>
      <c r="S21" s="306"/>
      <c r="T21" s="295"/>
      <c r="U21" s="296"/>
      <c r="V21" s="156"/>
      <c r="W21" s="308">
        <f t="shared" si="10"/>
        <v>679972.95399904472</v>
      </c>
      <c r="X21" s="304">
        <f t="shared" si="14"/>
        <v>0</v>
      </c>
      <c r="Y21" s="304">
        <f t="shared" si="3"/>
        <v>0</v>
      </c>
      <c r="Z21" s="309"/>
      <c r="AA21" s="304"/>
      <c r="AB21" s="308">
        <f t="shared" si="12"/>
        <v>728371.78397586069</v>
      </c>
      <c r="AC21" s="304">
        <f t="shared" si="4"/>
        <v>0</v>
      </c>
      <c r="AD21" s="309">
        <f t="shared" si="5"/>
        <v>0</v>
      </c>
      <c r="AE21" s="304"/>
      <c r="AF21" s="308">
        <f t="shared" si="8"/>
        <v>48398.829976815963</v>
      </c>
      <c r="AG21" s="304">
        <f t="shared" si="8"/>
        <v>0</v>
      </c>
      <c r="AH21" s="309">
        <f t="shared" si="8"/>
        <v>0</v>
      </c>
      <c r="AI21" s="304"/>
      <c r="AJ21" s="333"/>
      <c r="AK21" s="335">
        <f t="shared" si="13"/>
        <v>7.1177580949615182E-2</v>
      </c>
      <c r="AL21" s="304"/>
      <c r="AM21" s="308">
        <f t="shared" si="6"/>
        <v>0</v>
      </c>
      <c r="AN21" s="304">
        <v>0</v>
      </c>
      <c r="AO21" s="309">
        <f t="shared" si="7"/>
        <v>0</v>
      </c>
      <c r="AP21" s="304"/>
      <c r="AQ21" s="305"/>
      <c r="AR21" s="305"/>
      <c r="AS21" s="304"/>
    </row>
    <row r="22" spans="1:45" x14ac:dyDescent="0.3">
      <c r="A22" s="85">
        <f t="shared" si="2"/>
        <v>15</v>
      </c>
      <c r="B22" s="707"/>
      <c r="C22" s="726" t="s">
        <v>76</v>
      </c>
      <c r="D22" s="152"/>
      <c r="E22" s="122"/>
      <c r="F22" s="122"/>
      <c r="G22" s="152"/>
      <c r="H22" s="363"/>
      <c r="I22" s="757"/>
      <c r="J22" s="156"/>
      <c r="K22" s="154"/>
      <c r="L22" s="155"/>
      <c r="M22" s="156"/>
      <c r="N22" s="156"/>
      <c r="O22" s="156"/>
      <c r="P22" s="157"/>
      <c r="Q22" s="156"/>
      <c r="R22" s="293"/>
      <c r="S22" s="306"/>
      <c r="T22" s="295"/>
      <c r="U22" s="296"/>
      <c r="V22" s="156"/>
      <c r="W22" s="310">
        <f>SUM(W20:W21)</f>
        <v>1374432.2443707101</v>
      </c>
      <c r="X22" s="311">
        <f t="shared" ref="X22:Y22" si="15">SUM(X20:X21)</f>
        <v>273000</v>
      </c>
      <c r="Y22" s="311">
        <f t="shared" si="15"/>
        <v>0</v>
      </c>
      <c r="Z22" s="312">
        <f>'Rate Spread SETTLEMENT'!K$76-SUM(W22:Y22)</f>
        <v>56872.769459333271</v>
      </c>
      <c r="AA22" s="304"/>
      <c r="AB22" s="310">
        <f>SUM(AB20:AB21)</f>
        <v>1472269.026849227</v>
      </c>
      <c r="AC22" s="311">
        <f t="shared" ref="AC22:AD22" si="16">SUM(AC20:AC21)</f>
        <v>273000</v>
      </c>
      <c r="AD22" s="312">
        <f t="shared" si="16"/>
        <v>0</v>
      </c>
      <c r="AE22" s="304"/>
      <c r="AF22" s="310">
        <f>SUM(AF20:AF21)</f>
        <v>97836.782478516921</v>
      </c>
      <c r="AG22" s="311">
        <f t="shared" ref="AG22:AH22" si="17">SUM(AG20:AG21)</f>
        <v>0</v>
      </c>
      <c r="AH22" s="312">
        <f t="shared" si="17"/>
        <v>0</v>
      </c>
      <c r="AI22" s="304"/>
      <c r="AJ22" s="333">
        <f>SUM(AF22:AH22)/SUM(W22:Y22)</f>
        <v>5.9387439339509129E-2</v>
      </c>
      <c r="AK22" s="334">
        <f t="shared" si="13"/>
        <v>7.1183416191834117E-2</v>
      </c>
      <c r="AL22" s="304"/>
      <c r="AM22" s="310">
        <f>SUM(AM20:AM21)</f>
        <v>0</v>
      </c>
      <c r="AN22" s="311">
        <f t="shared" ref="AN22:AO22" si="18">SUM(AN20:AN21)</f>
        <v>0</v>
      </c>
      <c r="AO22" s="312">
        <f t="shared" si="18"/>
        <v>0</v>
      </c>
      <c r="AP22" s="304"/>
      <c r="AQ22" s="305"/>
      <c r="AR22" s="305"/>
      <c r="AS22" s="304"/>
    </row>
    <row r="23" spans="1:45" x14ac:dyDescent="0.3">
      <c r="A23" s="85">
        <f t="shared" si="2"/>
        <v>16</v>
      </c>
      <c r="B23" s="717" t="str">
        <f>'WA Volumes &amp; Revenues'!B23</f>
        <v>41I Firm Sales</v>
      </c>
      <c r="C23" s="710" t="s">
        <v>4</v>
      </c>
      <c r="D23" s="156"/>
      <c r="E23" s="121">
        <f>ROUND('Rates in Detail'!AC21,5)</f>
        <v>8.7299999999999999E-3</v>
      </c>
      <c r="F23" s="121"/>
      <c r="G23" s="156"/>
      <c r="H23" s="368">
        <f>ROUND('Rates in Detail'!R21,5)</f>
        <v>0.36329</v>
      </c>
      <c r="I23" s="758">
        <f t="shared" si="9"/>
        <v>0.37202000000000002</v>
      </c>
      <c r="J23" s="156"/>
      <c r="K23" s="154">
        <f>'WA Volumes &amp; Revenues'!O23</f>
        <v>250</v>
      </c>
      <c r="L23" s="155">
        <f>'WA Volumes &amp; Revenues'!N23</f>
        <v>250</v>
      </c>
      <c r="M23" s="121">
        <f>'Rates in Detail'!AR21</f>
        <v>0</v>
      </c>
      <c r="N23" s="121">
        <f>'Rates in Detail'!AS21</f>
        <v>0</v>
      </c>
      <c r="O23" s="121">
        <f>'Rates in Detail'!AT21</f>
        <v>0</v>
      </c>
      <c r="P23" s="758">
        <f>'Rates in Detail'!AU21</f>
        <v>0</v>
      </c>
      <c r="Q23" s="156"/>
      <c r="R23" s="293">
        <f>'WA Volumes &amp; Revenues'!E23</f>
        <v>392890.20000000007</v>
      </c>
      <c r="S23" s="306"/>
      <c r="T23" s="295">
        <f>'WA Volumes &amp; Revenues'!H23</f>
        <v>17.833333333333332</v>
      </c>
      <c r="U23" s="296">
        <f>'WA Volumes &amp; Revenues'!I23</f>
        <v>4741</v>
      </c>
      <c r="V23" s="156"/>
      <c r="W23" s="308">
        <f t="shared" ref="W23:W24" si="19">(H23*R23)</f>
        <v>142733.08075800003</v>
      </c>
      <c r="X23" s="304">
        <f t="shared" ref="X23:X24" si="20">(K23*T23*12)</f>
        <v>53500</v>
      </c>
      <c r="Y23" s="304">
        <f>(S23*(M23+O23))*12</f>
        <v>0</v>
      </c>
      <c r="Z23" s="309"/>
      <c r="AA23" s="304"/>
      <c r="AB23" s="308">
        <f>(I23*R23)</f>
        <v>146163.01220400003</v>
      </c>
      <c r="AC23" s="304">
        <f>(L23*T23*12)</f>
        <v>53500</v>
      </c>
      <c r="AD23" s="309">
        <f>(S23*(N23+P23))*12</f>
        <v>0</v>
      </c>
      <c r="AE23" s="304"/>
      <c r="AF23" s="308">
        <f>AB23-W23</f>
        <v>3429.9314460000023</v>
      </c>
      <c r="AG23" s="304">
        <f>AC23-X23</f>
        <v>0</v>
      </c>
      <c r="AH23" s="309">
        <f t="shared" ref="AH23:AH24" si="21">AD23-Y23</f>
        <v>0</v>
      </c>
      <c r="AI23" s="304"/>
      <c r="AJ23" s="333"/>
      <c r="AK23" s="335">
        <f t="shared" si="13"/>
        <v>2.4030388945470573E-2</v>
      </c>
      <c r="AL23" s="304"/>
      <c r="AM23" s="308">
        <f>(F23*R23)</f>
        <v>0</v>
      </c>
      <c r="AN23" s="304">
        <v>0</v>
      </c>
      <c r="AO23" s="309">
        <f t="shared" ref="AO23:AO24" si="22">(AE23*(Y23+AB23))*12</f>
        <v>0</v>
      </c>
      <c r="AP23" s="304"/>
      <c r="AQ23" s="305"/>
      <c r="AR23" s="305"/>
      <c r="AS23" s="304"/>
    </row>
    <row r="24" spans="1:45" x14ac:dyDescent="0.3">
      <c r="A24" s="85">
        <f t="shared" si="2"/>
        <v>17</v>
      </c>
      <c r="B24" s="709"/>
      <c r="C24" s="710" t="s">
        <v>5</v>
      </c>
      <c r="D24" s="156"/>
      <c r="E24" s="121">
        <f>ROUND('Rates in Detail'!AC22,5)</f>
        <v>7.6899999999999998E-3</v>
      </c>
      <c r="F24" s="121"/>
      <c r="G24" s="156"/>
      <c r="H24" s="368">
        <f>ROUND('Rates in Detail'!R22,5)</f>
        <v>0.32011000000000001</v>
      </c>
      <c r="I24" s="758">
        <f t="shared" si="9"/>
        <v>0.32779999999999998</v>
      </c>
      <c r="J24" s="156"/>
      <c r="K24" s="154"/>
      <c r="L24" s="155"/>
      <c r="M24" s="156"/>
      <c r="N24" s="156"/>
      <c r="O24" s="156"/>
      <c r="P24" s="157"/>
      <c r="Q24" s="156"/>
      <c r="R24" s="293">
        <f>'WA Volumes &amp; Revenues'!E24</f>
        <v>621650.00000000012</v>
      </c>
      <c r="S24" s="306"/>
      <c r="T24" s="295"/>
      <c r="U24" s="296"/>
      <c r="V24" s="156"/>
      <c r="W24" s="308">
        <f t="shared" si="19"/>
        <v>198996.38150000005</v>
      </c>
      <c r="X24" s="304">
        <f t="shared" si="20"/>
        <v>0</v>
      </c>
      <c r="Y24" s="304">
        <f>(S24*(M24+O24))*12</f>
        <v>0</v>
      </c>
      <c r="Z24" s="309"/>
      <c r="AA24" s="304"/>
      <c r="AB24" s="308">
        <f>(I24*R24)</f>
        <v>203776.87000000002</v>
      </c>
      <c r="AC24" s="304">
        <f>(L24*T24*12)</f>
        <v>0</v>
      </c>
      <c r="AD24" s="309">
        <f>(S24*(N24+P24))*12</f>
        <v>0</v>
      </c>
      <c r="AE24" s="304"/>
      <c r="AF24" s="308">
        <f>AB24-W24</f>
        <v>4780.4884999999776</v>
      </c>
      <c r="AG24" s="304">
        <f>AC24-X24</f>
        <v>0</v>
      </c>
      <c r="AH24" s="309">
        <f t="shared" si="21"/>
        <v>0</v>
      </c>
      <c r="AI24" s="304"/>
      <c r="AJ24" s="333"/>
      <c r="AK24" s="335">
        <f t="shared" si="13"/>
        <v>2.402299209646672E-2</v>
      </c>
      <c r="AL24" s="304"/>
      <c r="AM24" s="308">
        <f>(F24*R24)</f>
        <v>0</v>
      </c>
      <c r="AN24" s="304">
        <v>0</v>
      </c>
      <c r="AO24" s="309">
        <f t="shared" si="22"/>
        <v>0</v>
      </c>
      <c r="AP24" s="304"/>
      <c r="AQ24" s="305"/>
      <c r="AR24" s="305"/>
      <c r="AS24" s="304"/>
    </row>
    <row r="25" spans="1:45" x14ac:dyDescent="0.3">
      <c r="A25" s="85">
        <f t="shared" si="2"/>
        <v>18</v>
      </c>
      <c r="B25" s="707"/>
      <c r="C25" s="726" t="s">
        <v>76</v>
      </c>
      <c r="D25" s="152"/>
      <c r="E25" s="122"/>
      <c r="F25" s="122"/>
      <c r="G25" s="152"/>
      <c r="H25" s="363"/>
      <c r="I25" s="757"/>
      <c r="J25" s="156"/>
      <c r="K25" s="154"/>
      <c r="L25" s="155"/>
      <c r="M25" s="156"/>
      <c r="N25" s="156"/>
      <c r="O25" s="156"/>
      <c r="P25" s="157"/>
      <c r="Q25" s="156"/>
      <c r="R25" s="293"/>
      <c r="S25" s="306"/>
      <c r="T25" s="295"/>
      <c r="U25" s="296"/>
      <c r="V25" s="156"/>
      <c r="W25" s="310">
        <f>SUM(W23:W24)</f>
        <v>341729.46225800004</v>
      </c>
      <c r="X25" s="311">
        <f t="shared" ref="X25:Y25" si="23">SUM(X23:X24)</f>
        <v>53500</v>
      </c>
      <c r="Y25" s="311">
        <f t="shared" si="23"/>
        <v>0</v>
      </c>
      <c r="Z25" s="312">
        <f>'Rate Spread SETTLEMENT'!L$76-SUM(W25:Y25)</f>
        <v>15384.381736157695</v>
      </c>
      <c r="AA25" s="304"/>
      <c r="AB25" s="310">
        <f>SUM(AB23:AB24)</f>
        <v>349939.88220400002</v>
      </c>
      <c r="AC25" s="311">
        <f t="shared" ref="AC25:AD25" si="24">SUM(AC23:AC24)</f>
        <v>53500</v>
      </c>
      <c r="AD25" s="312">
        <f t="shared" si="24"/>
        <v>0</v>
      </c>
      <c r="AE25" s="304"/>
      <c r="AF25" s="310">
        <f>SUM(AF23:AF24)</f>
        <v>8210.41994599998</v>
      </c>
      <c r="AG25" s="311">
        <f t="shared" ref="AG25:AH25" si="25">SUM(AG23:AG24)</f>
        <v>0</v>
      </c>
      <c r="AH25" s="312">
        <f t="shared" si="25"/>
        <v>0</v>
      </c>
      <c r="AI25" s="304"/>
      <c r="AJ25" s="333">
        <f>SUM(AF25:AH25)/SUM(W25:Y25)</f>
        <v>2.0773805422026805E-2</v>
      </c>
      <c r="AK25" s="334">
        <f t="shared" si="13"/>
        <v>2.4026081601946424E-2</v>
      </c>
      <c r="AL25" s="304"/>
      <c r="AM25" s="310">
        <f>SUM(AM23:AM24)</f>
        <v>0</v>
      </c>
      <c r="AN25" s="311">
        <f t="shared" ref="AN25:AO25" si="26">SUM(AN23:AN24)</f>
        <v>0</v>
      </c>
      <c r="AO25" s="312">
        <f t="shared" si="26"/>
        <v>0</v>
      </c>
      <c r="AP25" s="304"/>
      <c r="AQ25" s="305"/>
      <c r="AR25" s="305"/>
      <c r="AS25" s="304"/>
    </row>
    <row r="26" spans="1:45" x14ac:dyDescent="0.3">
      <c r="A26" s="85">
        <f t="shared" si="2"/>
        <v>19</v>
      </c>
      <c r="B26" s="709" t="str">
        <f>'WA Volumes &amp; Revenues'!B25</f>
        <v>41C Interr Sales</v>
      </c>
      <c r="C26" s="710" t="s">
        <v>4</v>
      </c>
      <c r="D26" s="156"/>
      <c r="E26" s="121">
        <f>ROUND('Rates in Detail'!AC23,5)</f>
        <v>2.162E-2</v>
      </c>
      <c r="F26" s="121"/>
      <c r="G26" s="156"/>
      <c r="H26" s="368">
        <f>ROUND('Rates in Detail'!R23,5)</f>
        <v>0.37659999999999999</v>
      </c>
      <c r="I26" s="758">
        <f t="shared" si="9"/>
        <v>0.39822000000000002</v>
      </c>
      <c r="J26" s="156"/>
      <c r="K26" s="154">
        <f>'WA Volumes &amp; Revenues'!O25</f>
        <v>250</v>
      </c>
      <c r="L26" s="155">
        <f>'WA Volumes &amp; Revenues'!N25</f>
        <v>250</v>
      </c>
      <c r="M26" s="121">
        <f>'Rates in Detail'!AR23</f>
        <v>0</v>
      </c>
      <c r="N26" s="121">
        <f>'Rates in Detail'!AS23</f>
        <v>0</v>
      </c>
      <c r="O26" s="121">
        <f>'Rates in Detail'!AT23</f>
        <v>0</v>
      </c>
      <c r="P26" s="758">
        <f>'Rates in Detail'!AU23</f>
        <v>0</v>
      </c>
      <c r="Q26" s="156"/>
      <c r="R26" s="293">
        <f>'WA Volumes &amp; Revenues'!E25</f>
        <v>0</v>
      </c>
      <c r="S26" s="306"/>
      <c r="T26" s="295">
        <f>'WA Volumes &amp; Revenues'!H25</f>
        <v>0</v>
      </c>
      <c r="U26" s="296">
        <f>'WA Volumes &amp; Revenues'!I25</f>
        <v>0</v>
      </c>
      <c r="V26" s="156"/>
      <c r="W26" s="308">
        <f t="shared" ref="W26:W27" si="27">(H26*R26)</f>
        <v>0</v>
      </c>
      <c r="X26" s="304">
        <f t="shared" ref="X26:X27" si="28">(K26*T26*12)</f>
        <v>0</v>
      </c>
      <c r="Y26" s="304">
        <f>(S26*(M26+O26))*12</f>
        <v>0</v>
      </c>
      <c r="Z26" s="309"/>
      <c r="AA26" s="304"/>
      <c r="AB26" s="308">
        <f>(I26*R26)</f>
        <v>0</v>
      </c>
      <c r="AC26" s="304">
        <f>(L26*T26*12)</f>
        <v>0</v>
      </c>
      <c r="AD26" s="309">
        <f>(S26*(N26+P26))*12</f>
        <v>0</v>
      </c>
      <c r="AE26" s="304"/>
      <c r="AF26" s="308">
        <f>AB26-W26</f>
        <v>0</v>
      </c>
      <c r="AG26" s="304">
        <f>AC26-X26</f>
        <v>0</v>
      </c>
      <c r="AH26" s="309">
        <f t="shared" ref="AH26:AH27" si="29">AD26-Y26</f>
        <v>0</v>
      </c>
      <c r="AI26" s="304"/>
      <c r="AJ26" s="333"/>
      <c r="AK26" s="335" t="e">
        <f t="shared" si="13"/>
        <v>#DIV/0!</v>
      </c>
      <c r="AL26" s="304"/>
      <c r="AM26" s="308">
        <f>(F26*R26)</f>
        <v>0</v>
      </c>
      <c r="AN26" s="304">
        <v>0</v>
      </c>
      <c r="AO26" s="309">
        <f t="shared" ref="AO26:AO27" si="30">(AE26*(Y26+AB26))*12</f>
        <v>0</v>
      </c>
      <c r="AP26" s="304"/>
      <c r="AQ26" s="305"/>
      <c r="AR26" s="305"/>
      <c r="AS26" s="304"/>
    </row>
    <row r="27" spans="1:45" x14ac:dyDescent="0.3">
      <c r="A27" s="85">
        <f t="shared" si="2"/>
        <v>20</v>
      </c>
      <c r="B27" s="709"/>
      <c r="C27" s="710" t="s">
        <v>5</v>
      </c>
      <c r="D27" s="156"/>
      <c r="E27" s="121">
        <f>ROUND('Rates in Detail'!AC24,5)</f>
        <v>1.9050000000000001E-2</v>
      </c>
      <c r="F27" s="121"/>
      <c r="G27" s="156"/>
      <c r="H27" s="368">
        <f>ROUND('Rates in Detail'!R24,5)</f>
        <v>0.33180999999999999</v>
      </c>
      <c r="I27" s="758">
        <f t="shared" si="9"/>
        <v>0.35086000000000001</v>
      </c>
      <c r="J27" s="156"/>
      <c r="K27" s="154"/>
      <c r="L27" s="155"/>
      <c r="M27" s="156"/>
      <c r="N27" s="156"/>
      <c r="O27" s="156"/>
      <c r="P27" s="157"/>
      <c r="Q27" s="156"/>
      <c r="R27" s="293">
        <f>'WA Volumes &amp; Revenues'!E26</f>
        <v>0</v>
      </c>
      <c r="S27" s="306"/>
      <c r="T27" s="295"/>
      <c r="U27" s="296"/>
      <c r="V27" s="156"/>
      <c r="W27" s="308">
        <f t="shared" si="27"/>
        <v>0</v>
      </c>
      <c r="X27" s="304">
        <f t="shared" si="28"/>
        <v>0</v>
      </c>
      <c r="Y27" s="304">
        <f>(S27*(M27+O27))*12</f>
        <v>0</v>
      </c>
      <c r="Z27" s="309"/>
      <c r="AA27" s="304"/>
      <c r="AB27" s="308">
        <f>(I27*R27)</f>
        <v>0</v>
      </c>
      <c r="AC27" s="304">
        <f>(L27*T27*12)</f>
        <v>0</v>
      </c>
      <c r="AD27" s="309">
        <f>(S27*(N27+P27))*12</f>
        <v>0</v>
      </c>
      <c r="AE27" s="304"/>
      <c r="AF27" s="308">
        <f>AB27-W27</f>
        <v>0</v>
      </c>
      <c r="AG27" s="304">
        <f>AC27-X27</f>
        <v>0</v>
      </c>
      <c r="AH27" s="309">
        <f t="shared" si="29"/>
        <v>0</v>
      </c>
      <c r="AI27" s="304"/>
      <c r="AJ27" s="333"/>
      <c r="AK27" s="335" t="e">
        <f t="shared" si="13"/>
        <v>#DIV/0!</v>
      </c>
      <c r="AL27" s="304"/>
      <c r="AM27" s="308">
        <f>(F27*R27)</f>
        <v>0</v>
      </c>
      <c r="AN27" s="304">
        <v>0</v>
      </c>
      <c r="AO27" s="309">
        <f t="shared" si="30"/>
        <v>0</v>
      </c>
      <c r="AP27" s="304"/>
      <c r="AQ27" s="305"/>
      <c r="AR27" s="305"/>
      <c r="AS27" s="304"/>
    </row>
    <row r="28" spans="1:45" x14ac:dyDescent="0.3">
      <c r="A28" s="85">
        <f t="shared" si="2"/>
        <v>21</v>
      </c>
      <c r="B28" s="707"/>
      <c r="C28" s="726" t="s">
        <v>76</v>
      </c>
      <c r="D28" s="152"/>
      <c r="E28" s="122"/>
      <c r="F28" s="122"/>
      <c r="G28" s="152"/>
      <c r="H28" s="363"/>
      <c r="I28" s="757"/>
      <c r="J28" s="156"/>
      <c r="K28" s="154"/>
      <c r="L28" s="155"/>
      <c r="M28" s="156"/>
      <c r="N28" s="156"/>
      <c r="O28" s="156"/>
      <c r="P28" s="157"/>
      <c r="Q28" s="156"/>
      <c r="R28" s="293"/>
      <c r="S28" s="306"/>
      <c r="T28" s="295"/>
      <c r="U28" s="296"/>
      <c r="V28" s="156"/>
      <c r="W28" s="310">
        <f>SUM(W26:W27)</f>
        <v>0</v>
      </c>
      <c r="X28" s="311">
        <f t="shared" ref="X28:Y28" si="31">SUM(X26:X27)</f>
        <v>0</v>
      </c>
      <c r="Y28" s="311">
        <f t="shared" si="31"/>
        <v>0</v>
      </c>
      <c r="Z28" s="312">
        <f>'Rate Spread SETTLEMENT'!M$76-SUM(W28:Y28)</f>
        <v>0</v>
      </c>
      <c r="AA28" s="304"/>
      <c r="AB28" s="310">
        <f>SUM(AB26:AB27)</f>
        <v>0</v>
      </c>
      <c r="AC28" s="311">
        <f t="shared" ref="AC28:AD28" si="32">SUM(AC26:AC27)</f>
        <v>0</v>
      </c>
      <c r="AD28" s="312">
        <f t="shared" si="32"/>
        <v>0</v>
      </c>
      <c r="AE28" s="304"/>
      <c r="AF28" s="310">
        <f>SUM(AF26:AF27)</f>
        <v>0</v>
      </c>
      <c r="AG28" s="311">
        <f t="shared" ref="AG28:AH28" si="33">SUM(AG26:AG27)</f>
        <v>0</v>
      </c>
      <c r="AH28" s="312">
        <f t="shared" si="33"/>
        <v>0</v>
      </c>
      <c r="AI28" s="304"/>
      <c r="AJ28" s="333" t="e">
        <f>SUM(AF28:AH28)/SUM(W28:Y28)</f>
        <v>#DIV/0!</v>
      </c>
      <c r="AK28" s="334" t="e">
        <f t="shared" si="13"/>
        <v>#DIV/0!</v>
      </c>
      <c r="AL28" s="304"/>
      <c r="AM28" s="310">
        <f>SUM(AM26:AM27)</f>
        <v>0</v>
      </c>
      <c r="AN28" s="311">
        <f t="shared" ref="AN28:AO28" si="34">SUM(AN26:AN27)</f>
        <v>0</v>
      </c>
      <c r="AO28" s="312">
        <f t="shared" si="34"/>
        <v>0</v>
      </c>
      <c r="AP28" s="304"/>
      <c r="AQ28" s="305"/>
      <c r="AR28" s="305"/>
      <c r="AS28" s="304"/>
    </row>
    <row r="29" spans="1:45" x14ac:dyDescent="0.3">
      <c r="A29" s="85">
        <f t="shared" si="2"/>
        <v>22</v>
      </c>
      <c r="B29" s="709" t="str">
        <f>'WA Volumes &amp; Revenues'!B27</f>
        <v>41I Interr Sales</v>
      </c>
      <c r="C29" s="710" t="s">
        <v>4</v>
      </c>
      <c r="D29" s="156"/>
      <c r="E29" s="121">
        <f>ROUND('Rates in Detail'!AC25,5)</f>
        <v>7.1300000000000001E-3</v>
      </c>
      <c r="F29" s="121"/>
      <c r="G29" s="156"/>
      <c r="H29" s="368">
        <f>ROUND('Rates in Detail'!R25,5)</f>
        <v>0.35626999999999998</v>
      </c>
      <c r="I29" s="758">
        <f t="shared" si="9"/>
        <v>0.3634</v>
      </c>
      <c r="J29" s="156"/>
      <c r="K29" s="154">
        <f>'WA Volumes &amp; Revenues'!O27</f>
        <v>250</v>
      </c>
      <c r="L29" s="155">
        <f>'WA Volumes &amp; Revenues'!N27</f>
        <v>250</v>
      </c>
      <c r="M29" s="121">
        <f>'Rates in Detail'!AR25</f>
        <v>0</v>
      </c>
      <c r="N29" s="121">
        <f>'Rates in Detail'!AS25</f>
        <v>0</v>
      </c>
      <c r="O29" s="121">
        <f>'Rates in Detail'!AT25</f>
        <v>0</v>
      </c>
      <c r="P29" s="758">
        <f>'Rates in Detail'!AU25</f>
        <v>0</v>
      </c>
      <c r="Q29" s="156"/>
      <c r="R29" s="293">
        <f>'WA Volumes &amp; Revenues'!E27</f>
        <v>0</v>
      </c>
      <c r="S29" s="306"/>
      <c r="T29" s="295">
        <f>'WA Volumes &amp; Revenues'!H27</f>
        <v>0</v>
      </c>
      <c r="U29" s="296">
        <f>'WA Volumes &amp; Revenues'!I27</f>
        <v>0</v>
      </c>
      <c r="V29" s="156"/>
      <c r="W29" s="308">
        <f t="shared" ref="W29:W30" si="35">(H29*R29)</f>
        <v>0</v>
      </c>
      <c r="X29" s="304">
        <f t="shared" ref="X29:X30" si="36">(K29*T29*12)</f>
        <v>0</v>
      </c>
      <c r="Y29" s="304">
        <f>(S29*(M29+O29))*12</f>
        <v>0</v>
      </c>
      <c r="Z29" s="309"/>
      <c r="AA29" s="304"/>
      <c r="AB29" s="308">
        <f>(I29*R29)</f>
        <v>0</v>
      </c>
      <c r="AC29" s="304">
        <f>(L29*T29*12)</f>
        <v>0</v>
      </c>
      <c r="AD29" s="309">
        <f>(S29*(N29+P29))*12</f>
        <v>0</v>
      </c>
      <c r="AE29" s="304"/>
      <c r="AF29" s="308">
        <f>AB29-W29</f>
        <v>0</v>
      </c>
      <c r="AG29" s="304">
        <f>AC29-X29</f>
        <v>0</v>
      </c>
      <c r="AH29" s="309">
        <f t="shared" ref="AH29:AH30" si="37">AD29-Y29</f>
        <v>0</v>
      </c>
      <c r="AI29" s="304"/>
      <c r="AJ29" s="333"/>
      <c r="AK29" s="335" t="e">
        <f t="shared" si="13"/>
        <v>#DIV/0!</v>
      </c>
      <c r="AL29" s="304"/>
      <c r="AM29" s="308">
        <f>(F29*R29)</f>
        <v>0</v>
      </c>
      <c r="AN29" s="304">
        <v>0</v>
      </c>
      <c r="AO29" s="309">
        <f t="shared" ref="AO29:AO30" si="38">(AE29*(Y29+AB29))*12</f>
        <v>0</v>
      </c>
      <c r="AP29" s="304"/>
      <c r="AQ29" s="305"/>
      <c r="AR29" s="305"/>
      <c r="AS29" s="304"/>
    </row>
    <row r="30" spans="1:45" x14ac:dyDescent="0.3">
      <c r="A30" s="85">
        <f t="shared" si="2"/>
        <v>23</v>
      </c>
      <c r="B30" s="709"/>
      <c r="C30" s="710" t="s">
        <v>5</v>
      </c>
      <c r="D30" s="156"/>
      <c r="E30" s="121">
        <f>ROUND('Rates in Detail'!AC26,5)</f>
        <v>6.28E-3</v>
      </c>
      <c r="F30" s="121"/>
      <c r="G30" s="156"/>
      <c r="H30" s="368">
        <f>ROUND('Rates in Detail'!R26,5)</f>
        <v>0.31389</v>
      </c>
      <c r="I30" s="758">
        <f t="shared" si="9"/>
        <v>0.32017000000000001</v>
      </c>
      <c r="J30" s="156"/>
      <c r="K30" s="154"/>
      <c r="L30" s="155"/>
      <c r="M30" s="156"/>
      <c r="N30" s="156"/>
      <c r="O30" s="156"/>
      <c r="P30" s="157"/>
      <c r="Q30" s="156"/>
      <c r="R30" s="293">
        <f>'WA Volumes &amp; Revenues'!E28</f>
        <v>0</v>
      </c>
      <c r="S30" s="306"/>
      <c r="T30" s="295"/>
      <c r="U30" s="296"/>
      <c r="V30" s="156"/>
      <c r="W30" s="308">
        <f t="shared" si="35"/>
        <v>0</v>
      </c>
      <c r="X30" s="304">
        <f t="shared" si="36"/>
        <v>0</v>
      </c>
      <c r="Y30" s="304">
        <f>(S30*(M30+O30))*12</f>
        <v>0</v>
      </c>
      <c r="Z30" s="309"/>
      <c r="AA30" s="304"/>
      <c r="AB30" s="308">
        <f>(I30*R30)</f>
        <v>0</v>
      </c>
      <c r="AC30" s="304">
        <f>(L30*T30*12)</f>
        <v>0</v>
      </c>
      <c r="AD30" s="309">
        <f>(S30*(N30+P30))*12</f>
        <v>0</v>
      </c>
      <c r="AE30" s="304"/>
      <c r="AF30" s="308">
        <f>AB30-W30</f>
        <v>0</v>
      </c>
      <c r="AG30" s="304">
        <f>AC30-X30</f>
        <v>0</v>
      </c>
      <c r="AH30" s="309">
        <f t="shared" si="37"/>
        <v>0</v>
      </c>
      <c r="AI30" s="304"/>
      <c r="AJ30" s="333"/>
      <c r="AK30" s="335" t="e">
        <f t="shared" si="13"/>
        <v>#DIV/0!</v>
      </c>
      <c r="AL30" s="304"/>
      <c r="AM30" s="308">
        <f>(F30*R30)</f>
        <v>0</v>
      </c>
      <c r="AN30" s="304">
        <v>0</v>
      </c>
      <c r="AO30" s="309">
        <f t="shared" si="38"/>
        <v>0</v>
      </c>
      <c r="AP30" s="304"/>
      <c r="AQ30" s="305"/>
      <c r="AR30" s="305"/>
      <c r="AS30" s="304"/>
    </row>
    <row r="31" spans="1:45" x14ac:dyDescent="0.3">
      <c r="A31" s="85">
        <f t="shared" si="2"/>
        <v>24</v>
      </c>
      <c r="B31" s="707"/>
      <c r="C31" s="726" t="s">
        <v>76</v>
      </c>
      <c r="D31" s="152"/>
      <c r="E31" s="122"/>
      <c r="F31" s="122"/>
      <c r="G31" s="152"/>
      <c r="H31" s="363"/>
      <c r="I31" s="757"/>
      <c r="J31" s="156"/>
      <c r="K31" s="154"/>
      <c r="L31" s="155"/>
      <c r="M31" s="156"/>
      <c r="N31" s="156"/>
      <c r="O31" s="156"/>
      <c r="P31" s="157"/>
      <c r="Q31" s="156"/>
      <c r="R31" s="293"/>
      <c r="S31" s="306"/>
      <c r="T31" s="295"/>
      <c r="U31" s="296"/>
      <c r="V31" s="156"/>
      <c r="W31" s="310">
        <f>SUM(W29:W30)</f>
        <v>0</v>
      </c>
      <c r="X31" s="311">
        <f t="shared" ref="X31:Y31" si="39">SUM(X29:X30)</f>
        <v>0</v>
      </c>
      <c r="Y31" s="311">
        <f t="shared" si="39"/>
        <v>0</v>
      </c>
      <c r="Z31" s="312">
        <f>'Rate Spread SETTLEMENT'!N$76-SUM(W31:Y31)</f>
        <v>0</v>
      </c>
      <c r="AA31" s="304"/>
      <c r="AB31" s="310">
        <f>SUM(AB29:AB30)</f>
        <v>0</v>
      </c>
      <c r="AC31" s="311">
        <f t="shared" ref="AC31:AD31" si="40">SUM(AC29:AC30)</f>
        <v>0</v>
      </c>
      <c r="AD31" s="312">
        <f t="shared" si="40"/>
        <v>0</v>
      </c>
      <c r="AE31" s="304"/>
      <c r="AF31" s="310">
        <f>SUM(AF29:AF30)</f>
        <v>0</v>
      </c>
      <c r="AG31" s="311">
        <f t="shared" ref="AG31:AH31" si="41">SUM(AG29:AG30)</f>
        <v>0</v>
      </c>
      <c r="AH31" s="312">
        <f t="shared" si="41"/>
        <v>0</v>
      </c>
      <c r="AI31" s="304"/>
      <c r="AJ31" s="333" t="e">
        <f>SUM(AF31:AH31)/SUM(W31:Y31)</f>
        <v>#DIV/0!</v>
      </c>
      <c r="AK31" s="334" t="e">
        <f t="shared" si="13"/>
        <v>#DIV/0!</v>
      </c>
      <c r="AL31" s="304"/>
      <c r="AM31" s="310">
        <f>SUM(AM29:AM30)</f>
        <v>0</v>
      </c>
      <c r="AN31" s="311">
        <f t="shared" ref="AN31:AO31" si="42">SUM(AN29:AN30)</f>
        <v>0</v>
      </c>
      <c r="AO31" s="312">
        <f t="shared" si="42"/>
        <v>0</v>
      </c>
      <c r="AP31" s="304"/>
      <c r="AQ31" s="305"/>
      <c r="AR31" s="305"/>
      <c r="AS31" s="304"/>
    </row>
    <row r="32" spans="1:45" x14ac:dyDescent="0.3">
      <c r="A32" s="85">
        <f t="shared" si="2"/>
        <v>25</v>
      </c>
      <c r="B32" s="709" t="str">
        <f>'WA Volumes &amp; Revenues'!B29</f>
        <v>41C Firm Transpt</v>
      </c>
      <c r="C32" s="710" t="s">
        <v>4</v>
      </c>
      <c r="D32" s="156"/>
      <c r="E32" s="121">
        <f>ROUND('Rates in Detail'!AC27,5)</f>
        <v>9.7099999999999999E-3</v>
      </c>
      <c r="F32" s="121"/>
      <c r="G32" s="156"/>
      <c r="H32" s="368">
        <f>ROUND('Rates in Detail'!R27,5)</f>
        <v>0.36918000000000001</v>
      </c>
      <c r="I32" s="758">
        <f t="shared" si="9"/>
        <v>0.37889</v>
      </c>
      <c r="J32" s="156"/>
      <c r="K32" s="154">
        <f>'WA Volumes &amp; Revenues'!O29</f>
        <v>500</v>
      </c>
      <c r="L32" s="155">
        <f>'WA Volumes &amp; Revenues'!N29</f>
        <v>500</v>
      </c>
      <c r="M32" s="121">
        <f>'Rates in Detail'!AR27</f>
        <v>0</v>
      </c>
      <c r="N32" s="121">
        <f>'Rates in Detail'!AS27</f>
        <v>0</v>
      </c>
      <c r="O32" s="121">
        <f>'Rates in Detail'!AT27</f>
        <v>0</v>
      </c>
      <c r="P32" s="758">
        <f>'Rates in Detail'!AU27</f>
        <v>0</v>
      </c>
      <c r="Q32" s="156"/>
      <c r="R32" s="293">
        <f>'WA Volumes &amp; Revenues'!E29</f>
        <v>168721</v>
      </c>
      <c r="S32" s="306"/>
      <c r="T32" s="295">
        <f>'WA Volumes &amp; Revenues'!H29</f>
        <v>7.916666666666667</v>
      </c>
      <c r="U32" s="296">
        <f>'WA Volumes &amp; Revenues'!I29</f>
        <v>4648</v>
      </c>
      <c r="V32" s="156"/>
      <c r="W32" s="308">
        <f t="shared" ref="W32:W33" si="43">(H32*R32)</f>
        <v>62288.41878</v>
      </c>
      <c r="X32" s="304">
        <f t="shared" ref="X32:X33" si="44">(K32*T32*12)</f>
        <v>47500</v>
      </c>
      <c r="Y32" s="304">
        <f>(S32*(M32+O32))*12</f>
        <v>0</v>
      </c>
      <c r="Z32" s="309"/>
      <c r="AA32" s="304"/>
      <c r="AB32" s="308">
        <f>(I32*R32)</f>
        <v>63926.699690000001</v>
      </c>
      <c r="AC32" s="304">
        <f>(L32*T32*12)</f>
        <v>47500</v>
      </c>
      <c r="AD32" s="309">
        <f>(S32*(N32+P32))*12</f>
        <v>0</v>
      </c>
      <c r="AE32" s="304"/>
      <c r="AF32" s="308">
        <f>AB32-W32</f>
        <v>1638.2809100000013</v>
      </c>
      <c r="AG32" s="304">
        <f>AC32-X32</f>
        <v>0</v>
      </c>
      <c r="AH32" s="309">
        <f t="shared" ref="AH32:AH33" si="45">AD32-Y32</f>
        <v>0</v>
      </c>
      <c r="AI32" s="304"/>
      <c r="AJ32" s="333"/>
      <c r="AK32" s="335">
        <f t="shared" si="13"/>
        <v>2.6301533127471716E-2</v>
      </c>
      <c r="AL32" s="304"/>
      <c r="AM32" s="308">
        <f>(F32*R32)</f>
        <v>0</v>
      </c>
      <c r="AN32" s="304">
        <v>0</v>
      </c>
      <c r="AO32" s="309">
        <f t="shared" ref="AO32:AO33" si="46">(AE32*(Y32+AB32))*12</f>
        <v>0</v>
      </c>
      <c r="AP32" s="304"/>
      <c r="AQ32" s="305"/>
      <c r="AR32" s="305"/>
      <c r="AS32" s="304"/>
    </row>
    <row r="33" spans="1:45" x14ac:dyDescent="0.3">
      <c r="A33" s="85">
        <f t="shared" si="2"/>
        <v>26</v>
      </c>
      <c r="B33" s="709"/>
      <c r="C33" s="710" t="s">
        <v>5</v>
      </c>
      <c r="D33" s="156"/>
      <c r="E33" s="121">
        <f>ROUND('Rates in Detail'!AC28,5)</f>
        <v>8.5500000000000003E-3</v>
      </c>
      <c r="F33" s="121"/>
      <c r="G33" s="156"/>
      <c r="H33" s="368">
        <f>ROUND('Rates in Detail'!R28,5)</f>
        <v>0.32527</v>
      </c>
      <c r="I33" s="758">
        <f t="shared" si="9"/>
        <v>0.33382000000000001</v>
      </c>
      <c r="J33" s="156"/>
      <c r="K33" s="154"/>
      <c r="L33" s="155"/>
      <c r="M33" s="156"/>
      <c r="N33" s="156"/>
      <c r="O33" s="156"/>
      <c r="P33" s="157"/>
      <c r="Q33" s="156"/>
      <c r="R33" s="293">
        <f>'WA Volumes &amp; Revenues'!E30</f>
        <v>272866</v>
      </c>
      <c r="S33" s="306"/>
      <c r="T33" s="295"/>
      <c r="U33" s="296"/>
      <c r="V33" s="156"/>
      <c r="W33" s="308">
        <f t="shared" si="43"/>
        <v>88755.123820000008</v>
      </c>
      <c r="X33" s="304">
        <f t="shared" si="44"/>
        <v>0</v>
      </c>
      <c r="Y33" s="304">
        <f>(S33*(M33+O33))*12</f>
        <v>0</v>
      </c>
      <c r="Z33" s="309"/>
      <c r="AA33" s="304"/>
      <c r="AB33" s="308">
        <f>(I33*R33)</f>
        <v>91088.128120000008</v>
      </c>
      <c r="AC33" s="304">
        <f>(L33*T33*12)</f>
        <v>0</v>
      </c>
      <c r="AD33" s="309">
        <f>(S33*(N33+P33))*12</f>
        <v>0</v>
      </c>
      <c r="AE33" s="304"/>
      <c r="AF33" s="308">
        <f>AB33-W33</f>
        <v>2333.0043000000005</v>
      </c>
      <c r="AG33" s="304">
        <f>AC33-X33</f>
        <v>0</v>
      </c>
      <c r="AH33" s="309">
        <f t="shared" si="45"/>
        <v>0</v>
      </c>
      <c r="AI33" s="304"/>
      <c r="AJ33" s="333"/>
      <c r="AK33" s="335">
        <f t="shared" si="13"/>
        <v>2.6285854828296495E-2</v>
      </c>
      <c r="AL33" s="304"/>
      <c r="AM33" s="308">
        <f>(F33*R33)</f>
        <v>0</v>
      </c>
      <c r="AN33" s="304">
        <v>0</v>
      </c>
      <c r="AO33" s="309">
        <f t="shared" si="46"/>
        <v>0</v>
      </c>
      <c r="AP33" s="304"/>
      <c r="AQ33" s="305"/>
      <c r="AR33" s="305"/>
      <c r="AS33" s="304"/>
    </row>
    <row r="34" spans="1:45" x14ac:dyDescent="0.3">
      <c r="A34" s="85">
        <f t="shared" si="2"/>
        <v>27</v>
      </c>
      <c r="B34" s="707"/>
      <c r="C34" s="726" t="s">
        <v>76</v>
      </c>
      <c r="D34" s="152"/>
      <c r="E34" s="122"/>
      <c r="F34" s="122"/>
      <c r="G34" s="152"/>
      <c r="H34" s="363"/>
      <c r="I34" s="757"/>
      <c r="J34" s="156"/>
      <c r="K34" s="154"/>
      <c r="L34" s="155"/>
      <c r="M34" s="156"/>
      <c r="N34" s="156"/>
      <c r="O34" s="156"/>
      <c r="P34" s="157"/>
      <c r="Q34" s="156"/>
      <c r="R34" s="293"/>
      <c r="S34" s="306"/>
      <c r="T34" s="295"/>
      <c r="U34" s="296"/>
      <c r="V34" s="156"/>
      <c r="W34" s="310">
        <f>SUM(W32:W33)</f>
        <v>151043.54260000002</v>
      </c>
      <c r="X34" s="311">
        <f t="shared" ref="X34:Y34" si="47">SUM(X32:X33)</f>
        <v>47500</v>
      </c>
      <c r="Y34" s="311">
        <f t="shared" si="47"/>
        <v>0</v>
      </c>
      <c r="Z34" s="312">
        <f>'Rate Spread SETTLEMENT'!O$76-SUM(W34:Y34)</f>
        <v>1.1406060386798345</v>
      </c>
      <c r="AA34" s="304"/>
      <c r="AB34" s="310">
        <f>SUM(AB32:AB33)</f>
        <v>155014.82781000002</v>
      </c>
      <c r="AC34" s="311">
        <f t="shared" ref="AC34:AD34" si="48">SUM(AC32:AC33)</f>
        <v>47500</v>
      </c>
      <c r="AD34" s="312">
        <f t="shared" si="48"/>
        <v>0</v>
      </c>
      <c r="AE34" s="304"/>
      <c r="AF34" s="310">
        <f>SUM(AF32:AF33)</f>
        <v>3971.2852100000018</v>
      </c>
      <c r="AG34" s="311">
        <f t="shared" ref="AG34:AH34" si="49">SUM(AG32:AG33)</f>
        <v>0</v>
      </c>
      <c r="AH34" s="312">
        <f t="shared" si="49"/>
        <v>0</v>
      </c>
      <c r="AI34" s="304"/>
      <c r="AJ34" s="333">
        <f>SUM(AF34:AH34)/SUM(W34:Y34)</f>
        <v>2.0002086988045925E-2</v>
      </c>
      <c r="AK34" s="334">
        <f t="shared" si="13"/>
        <v>2.6292320357692679E-2</v>
      </c>
      <c r="AL34" s="304"/>
      <c r="AM34" s="310">
        <f>SUM(AM32:AM33)</f>
        <v>0</v>
      </c>
      <c r="AN34" s="311">
        <f t="shared" ref="AN34:AO34" si="50">SUM(AN32:AN33)</f>
        <v>0</v>
      </c>
      <c r="AO34" s="312">
        <f t="shared" si="50"/>
        <v>0</v>
      </c>
      <c r="AP34" s="304"/>
      <c r="AQ34" s="305"/>
      <c r="AR34" s="305"/>
      <c r="AS34" s="304"/>
    </row>
    <row r="35" spans="1:45" x14ac:dyDescent="0.3">
      <c r="A35" s="85">
        <f t="shared" si="2"/>
        <v>28</v>
      </c>
      <c r="B35" s="709" t="str">
        <f>'WA Volumes &amp; Revenues'!B31</f>
        <v>41I Firm Transpt</v>
      </c>
      <c r="C35" s="710" t="s">
        <v>4</v>
      </c>
      <c r="D35" s="156"/>
      <c r="E35" s="121">
        <f>ROUND('Rates in Detail'!AC29,5)</f>
        <v>7.2100000000000003E-3</v>
      </c>
      <c r="F35" s="121"/>
      <c r="G35" s="156"/>
      <c r="H35" s="368">
        <f>ROUND('Rates in Detail'!R29,5)</f>
        <v>0.36059999999999998</v>
      </c>
      <c r="I35" s="758">
        <f t="shared" si="9"/>
        <v>0.36780999999999997</v>
      </c>
      <c r="J35" s="156"/>
      <c r="K35" s="154">
        <f>'WA Volumes &amp; Revenues'!O31</f>
        <v>500</v>
      </c>
      <c r="L35" s="155">
        <f>'WA Volumes &amp; Revenues'!N31</f>
        <v>500</v>
      </c>
      <c r="M35" s="121">
        <f>'Rates in Detail'!AR29</f>
        <v>0</v>
      </c>
      <c r="N35" s="121">
        <f>'Rates in Detail'!AS29</f>
        <v>0</v>
      </c>
      <c r="O35" s="121">
        <f>'Rates in Detail'!AT29</f>
        <v>0</v>
      </c>
      <c r="P35" s="758">
        <f>'Rates in Detail'!AU29</f>
        <v>0</v>
      </c>
      <c r="Q35" s="156"/>
      <c r="R35" s="293">
        <f>'WA Volumes &amp; Revenues'!E31</f>
        <v>0</v>
      </c>
      <c r="S35" s="306"/>
      <c r="T35" s="295">
        <f>'WA Volumes &amp; Revenues'!H31</f>
        <v>0</v>
      </c>
      <c r="U35" s="296">
        <f>'WA Volumes &amp; Revenues'!I31</f>
        <v>0</v>
      </c>
      <c r="V35" s="156"/>
      <c r="W35" s="308">
        <f t="shared" ref="W35:W36" si="51">(H35*R35)</f>
        <v>0</v>
      </c>
      <c r="X35" s="304">
        <f t="shared" ref="X35:X36" si="52">(K35*T35*12)</f>
        <v>0</v>
      </c>
      <c r="Y35" s="304">
        <f>(S35*(M35+O35))*12</f>
        <v>0</v>
      </c>
      <c r="Z35" s="309"/>
      <c r="AA35" s="304"/>
      <c r="AB35" s="308">
        <f>(I35*R35)</f>
        <v>0</v>
      </c>
      <c r="AC35" s="304">
        <f>(L35*T35*12)</f>
        <v>0</v>
      </c>
      <c r="AD35" s="309">
        <f>(S35*(N35+P35))*12</f>
        <v>0</v>
      </c>
      <c r="AE35" s="304"/>
      <c r="AF35" s="308">
        <f>AB35-W35</f>
        <v>0</v>
      </c>
      <c r="AG35" s="304">
        <f>AC35-X35</f>
        <v>0</v>
      </c>
      <c r="AH35" s="309">
        <f t="shared" ref="AH35:AH36" si="53">AD35-Y35</f>
        <v>0</v>
      </c>
      <c r="AI35" s="304"/>
      <c r="AJ35" s="333"/>
      <c r="AK35" s="335" t="e">
        <f t="shared" si="13"/>
        <v>#DIV/0!</v>
      </c>
      <c r="AL35" s="304"/>
      <c r="AM35" s="308">
        <f>(F35*R35)</f>
        <v>0</v>
      </c>
      <c r="AN35" s="304">
        <v>0</v>
      </c>
      <c r="AO35" s="309">
        <f t="shared" ref="AO35:AO36" si="54">(AE35*(Y35+AB35))*12</f>
        <v>0</v>
      </c>
      <c r="AP35" s="304"/>
      <c r="AQ35" s="305"/>
      <c r="AR35" s="305"/>
      <c r="AS35" s="304"/>
    </row>
    <row r="36" spans="1:45" x14ac:dyDescent="0.3">
      <c r="A36" s="85">
        <f t="shared" si="2"/>
        <v>29</v>
      </c>
      <c r="B36" s="709"/>
      <c r="C36" s="710" t="s">
        <v>5</v>
      </c>
      <c r="D36" s="156"/>
      <c r="E36" s="121">
        <f>ROUND('Rates in Detail'!AC30,5)</f>
        <v>6.3499999999999997E-3</v>
      </c>
      <c r="F36" s="121"/>
      <c r="G36" s="156"/>
      <c r="H36" s="368">
        <f>ROUND('Rates in Detail'!R30,5)</f>
        <v>0.31770999999999999</v>
      </c>
      <c r="I36" s="758">
        <f t="shared" si="9"/>
        <v>0.32406000000000001</v>
      </c>
      <c r="J36" s="156"/>
      <c r="K36" s="268"/>
      <c r="L36" s="54"/>
      <c r="M36" s="156"/>
      <c r="N36" s="156"/>
      <c r="O36" s="156"/>
      <c r="P36" s="157"/>
      <c r="Q36" s="156"/>
      <c r="R36" s="293">
        <f>'WA Volumes &amp; Revenues'!E32</f>
        <v>0</v>
      </c>
      <c r="S36" s="306"/>
      <c r="T36" s="295"/>
      <c r="U36" s="296"/>
      <c r="V36" s="156"/>
      <c r="W36" s="308">
        <f t="shared" si="51"/>
        <v>0</v>
      </c>
      <c r="X36" s="304">
        <f t="shared" si="52"/>
        <v>0</v>
      </c>
      <c r="Y36" s="304">
        <f>(S36*(M36+O36))*12</f>
        <v>0</v>
      </c>
      <c r="Z36" s="309"/>
      <c r="AA36" s="304"/>
      <c r="AB36" s="308">
        <f>(I36*R36)</f>
        <v>0</v>
      </c>
      <c r="AC36" s="304">
        <f>(L36*T36*12)</f>
        <v>0</v>
      </c>
      <c r="AD36" s="309">
        <f>(S36*(N36+P36))*12</f>
        <v>0</v>
      </c>
      <c r="AE36" s="304"/>
      <c r="AF36" s="308">
        <f>AB36-W36</f>
        <v>0</v>
      </c>
      <c r="AG36" s="304">
        <f>AC36-X36</f>
        <v>0</v>
      </c>
      <c r="AH36" s="309">
        <f t="shared" si="53"/>
        <v>0</v>
      </c>
      <c r="AI36" s="304"/>
      <c r="AJ36" s="333"/>
      <c r="AK36" s="335" t="e">
        <f t="shared" si="13"/>
        <v>#DIV/0!</v>
      </c>
      <c r="AL36" s="304"/>
      <c r="AM36" s="308">
        <f>(F36*R36)</f>
        <v>0</v>
      </c>
      <c r="AN36" s="304">
        <v>0</v>
      </c>
      <c r="AO36" s="309">
        <f t="shared" si="54"/>
        <v>0</v>
      </c>
      <c r="AP36" s="304"/>
      <c r="AQ36" s="305"/>
      <c r="AR36" s="305"/>
      <c r="AS36" s="304"/>
    </row>
    <row r="37" spans="1:45" x14ac:dyDescent="0.3">
      <c r="A37" s="85">
        <f t="shared" si="2"/>
        <v>30</v>
      </c>
      <c r="B37" s="707"/>
      <c r="C37" s="726" t="s">
        <v>76</v>
      </c>
      <c r="D37" s="152"/>
      <c r="E37" s="122"/>
      <c r="F37" s="122"/>
      <c r="G37" s="152"/>
      <c r="H37" s="363"/>
      <c r="I37" s="757"/>
      <c r="J37" s="156"/>
      <c r="K37" s="268"/>
      <c r="L37" s="54"/>
      <c r="M37" s="156"/>
      <c r="N37" s="156"/>
      <c r="O37" s="156"/>
      <c r="P37" s="157"/>
      <c r="Q37" s="156"/>
      <c r="R37" s="293"/>
      <c r="S37" s="306"/>
      <c r="T37" s="295"/>
      <c r="U37" s="296"/>
      <c r="V37" s="156"/>
      <c r="W37" s="310">
        <f>SUM(W35:W36)</f>
        <v>0</v>
      </c>
      <c r="X37" s="311">
        <f t="shared" ref="X37:Y37" si="55">SUM(X35:X36)</f>
        <v>0</v>
      </c>
      <c r="Y37" s="311">
        <f t="shared" si="55"/>
        <v>0</v>
      </c>
      <c r="Z37" s="312">
        <f>'Rate Spread SETTLEMENT'!P$76-SUM(W37:Y37)</f>
        <v>0</v>
      </c>
      <c r="AA37" s="304"/>
      <c r="AB37" s="310">
        <f>SUM(AB35:AB36)</f>
        <v>0</v>
      </c>
      <c r="AC37" s="311">
        <f t="shared" ref="AC37:AD37" si="56">SUM(AC35:AC36)</f>
        <v>0</v>
      </c>
      <c r="AD37" s="312">
        <f t="shared" si="56"/>
        <v>0</v>
      </c>
      <c r="AE37" s="304"/>
      <c r="AF37" s="310">
        <f>SUM(AF35:AF36)</f>
        <v>0</v>
      </c>
      <c r="AG37" s="311">
        <f t="shared" ref="AG37:AH37" si="57">SUM(AG35:AG36)</f>
        <v>0</v>
      </c>
      <c r="AH37" s="312">
        <f t="shared" si="57"/>
        <v>0</v>
      </c>
      <c r="AI37" s="304"/>
      <c r="AJ37" s="333" t="e">
        <f>SUM(AF37:AH37)/SUM(W37:Y37)</f>
        <v>#DIV/0!</v>
      </c>
      <c r="AK37" s="334" t="e">
        <f t="shared" si="13"/>
        <v>#DIV/0!</v>
      </c>
      <c r="AL37" s="304"/>
      <c r="AM37" s="310">
        <f>SUM(AM35:AM36)</f>
        <v>0</v>
      </c>
      <c r="AN37" s="311">
        <f t="shared" ref="AN37:AO37" si="58">SUM(AN35:AN36)</f>
        <v>0</v>
      </c>
      <c r="AO37" s="312">
        <f t="shared" si="58"/>
        <v>0</v>
      </c>
      <c r="AP37" s="304"/>
      <c r="AQ37" s="305"/>
      <c r="AR37" s="305"/>
      <c r="AS37" s="304"/>
    </row>
    <row r="38" spans="1:45" x14ac:dyDescent="0.3">
      <c r="A38" s="85">
        <f t="shared" si="2"/>
        <v>31</v>
      </c>
      <c r="B38" s="709" t="str">
        <f>'WA Volumes &amp; Revenues'!B33</f>
        <v>42C Firm Sales</v>
      </c>
      <c r="C38" s="710" t="s">
        <v>4</v>
      </c>
      <c r="D38" s="156"/>
      <c r="E38" s="121">
        <f>ROUND('Rates in Detail'!AC31,5)</f>
        <v>2.095E-2</v>
      </c>
      <c r="F38" s="121"/>
      <c r="G38" s="156"/>
      <c r="H38" s="368">
        <f>ROUND('Rates in Detail'!R31,5)</f>
        <v>0.18714</v>
      </c>
      <c r="I38" s="758">
        <f t="shared" si="9"/>
        <v>0.20809</v>
      </c>
      <c r="J38" s="156"/>
      <c r="K38" s="154">
        <f>'WA Volumes &amp; Revenues'!O33</f>
        <v>1300</v>
      </c>
      <c r="L38" s="155">
        <f>'WA Volumes &amp; Revenues'!N33</f>
        <v>1300</v>
      </c>
      <c r="M38" s="121">
        <f>'Rates in Detail'!AR31</f>
        <v>0.15748000000000001</v>
      </c>
      <c r="N38" s="121">
        <f>'Rates in Detail'!AS31</f>
        <v>0.15748000000000001</v>
      </c>
      <c r="O38" s="121">
        <f>'Rates in Detail'!AT31</f>
        <v>0.20415</v>
      </c>
      <c r="P38" s="758">
        <f>'Rates in Detail'!AU31</f>
        <v>0.20415</v>
      </c>
      <c r="Q38" s="156"/>
      <c r="R38" s="293">
        <f>'WA Volumes &amp; Revenues'!E33</f>
        <v>350769.66174469434</v>
      </c>
      <c r="S38" s="306">
        <v>6761</v>
      </c>
      <c r="T38" s="295">
        <f>'WA Volumes &amp; Revenues'!H33</f>
        <v>5</v>
      </c>
      <c r="U38" s="296">
        <f>'WA Volumes &amp; Revenues'!I33</f>
        <v>11949</v>
      </c>
      <c r="V38" s="156"/>
      <c r="W38" s="308">
        <f t="shared" ref="W38:W43" si="59">(H38*R38)</f>
        <v>65643.034498902096</v>
      </c>
      <c r="X38" s="304">
        <f t="shared" ref="X38:X43" si="60">(K38*T38*12)</f>
        <v>78000</v>
      </c>
      <c r="Y38" s="304">
        <f t="shared" ref="Y38:Y43" si="61">(S38*(M38+O38))*12</f>
        <v>29339.765160000003</v>
      </c>
      <c r="Z38" s="309"/>
      <c r="AA38" s="304"/>
      <c r="AB38" s="308">
        <f t="shared" ref="AB38:AB43" si="62">(I38*R38)</f>
        <v>72991.658912453451</v>
      </c>
      <c r="AC38" s="304">
        <f t="shared" ref="AC38:AC43" si="63">(L38*T38*12)</f>
        <v>78000</v>
      </c>
      <c r="AD38" s="309">
        <f t="shared" ref="AD38:AD43" si="64">(S38*(N38+P38))*12</f>
        <v>29339.765160000003</v>
      </c>
      <c r="AE38" s="304"/>
      <c r="AF38" s="308">
        <f t="shared" ref="AF38:AH43" si="65">AB38-W38</f>
        <v>7348.6244135513552</v>
      </c>
      <c r="AG38" s="304">
        <f t="shared" si="65"/>
        <v>0</v>
      </c>
      <c r="AH38" s="309">
        <f t="shared" si="65"/>
        <v>0</v>
      </c>
      <c r="AI38" s="304"/>
      <c r="AJ38" s="333"/>
      <c r="AK38" s="335">
        <f t="shared" si="13"/>
        <v>0.11194827401945082</v>
      </c>
      <c r="AL38" s="304"/>
      <c r="AM38" s="308">
        <f t="shared" ref="AM38:AM43" si="66">(F38*R38)</f>
        <v>0</v>
      </c>
      <c r="AN38" s="304">
        <v>0</v>
      </c>
      <c r="AO38" s="309">
        <f t="shared" ref="AO38:AO43" si="67">(AE38*(Y38+AB38))*12</f>
        <v>0</v>
      </c>
      <c r="AP38" s="304"/>
      <c r="AQ38" s="305"/>
      <c r="AR38" s="305"/>
      <c r="AS38" s="304"/>
    </row>
    <row r="39" spans="1:45" x14ac:dyDescent="0.3">
      <c r="A39" s="85">
        <f t="shared" si="2"/>
        <v>32</v>
      </c>
      <c r="B39" s="709"/>
      <c r="C39" s="710" t="s">
        <v>5</v>
      </c>
      <c r="D39" s="156"/>
      <c r="E39" s="121">
        <f>ROUND('Rates in Detail'!AC32,5)</f>
        <v>1.8749999999999999E-2</v>
      </c>
      <c r="F39" s="121"/>
      <c r="G39" s="156"/>
      <c r="H39" s="368">
        <f>ROUND('Rates in Detail'!R32,5)</f>
        <v>0.16750999999999999</v>
      </c>
      <c r="I39" s="758">
        <f t="shared" si="9"/>
        <v>0.18625999999999998</v>
      </c>
      <c r="J39" s="156"/>
      <c r="K39" s="154"/>
      <c r="L39" s="155"/>
      <c r="M39" s="121"/>
      <c r="N39" s="121"/>
      <c r="O39" s="121"/>
      <c r="P39" s="758"/>
      <c r="Q39" s="156"/>
      <c r="R39" s="293">
        <f>'WA Volumes &amp; Revenues'!E34</f>
        <v>303088.75426472601</v>
      </c>
      <c r="S39" s="306"/>
      <c r="T39" s="295"/>
      <c r="U39" s="296"/>
      <c r="V39" s="156"/>
      <c r="W39" s="308">
        <f t="shared" si="59"/>
        <v>50770.397226884255</v>
      </c>
      <c r="X39" s="304">
        <f t="shared" si="60"/>
        <v>0</v>
      </c>
      <c r="Y39" s="304">
        <f t="shared" si="61"/>
        <v>0</v>
      </c>
      <c r="Z39" s="309"/>
      <c r="AA39" s="304"/>
      <c r="AB39" s="308">
        <f t="shared" si="62"/>
        <v>56453.311369347859</v>
      </c>
      <c r="AC39" s="304">
        <f t="shared" si="63"/>
        <v>0</v>
      </c>
      <c r="AD39" s="309">
        <f t="shared" si="64"/>
        <v>0</v>
      </c>
      <c r="AE39" s="304"/>
      <c r="AF39" s="308">
        <f t="shared" si="65"/>
        <v>5682.9141424636036</v>
      </c>
      <c r="AG39" s="304">
        <f t="shared" si="65"/>
        <v>0</v>
      </c>
      <c r="AH39" s="309">
        <f t="shared" si="65"/>
        <v>0</v>
      </c>
      <c r="AI39" s="304"/>
      <c r="AJ39" s="333"/>
      <c r="AK39" s="335">
        <f t="shared" si="13"/>
        <v>0.11193361590352796</v>
      </c>
      <c r="AL39" s="304"/>
      <c r="AM39" s="308">
        <f t="shared" si="66"/>
        <v>0</v>
      </c>
      <c r="AN39" s="304">
        <v>0</v>
      </c>
      <c r="AO39" s="309">
        <f t="shared" si="67"/>
        <v>0</v>
      </c>
      <c r="AP39" s="304"/>
      <c r="AQ39" s="305"/>
      <c r="AR39" s="305"/>
      <c r="AS39" s="304"/>
    </row>
    <row r="40" spans="1:45" x14ac:dyDescent="0.3">
      <c r="A40" s="85">
        <f t="shared" si="2"/>
        <v>33</v>
      </c>
      <c r="B40" s="709"/>
      <c r="C40" s="710" t="s">
        <v>6</v>
      </c>
      <c r="D40" s="156"/>
      <c r="E40" s="121">
        <f>ROUND('Rates in Detail'!AC33,5)</f>
        <v>1.438E-2</v>
      </c>
      <c r="F40" s="121"/>
      <c r="G40" s="156"/>
      <c r="H40" s="368">
        <f>ROUND('Rates in Detail'!R33,5)</f>
        <v>0.12848000000000001</v>
      </c>
      <c r="I40" s="758">
        <f t="shared" si="9"/>
        <v>0.14286000000000001</v>
      </c>
      <c r="J40" s="156"/>
      <c r="K40" s="727"/>
      <c r="L40" s="367"/>
      <c r="M40" s="121"/>
      <c r="N40" s="121"/>
      <c r="O40" s="121"/>
      <c r="P40" s="758"/>
      <c r="Q40" s="156"/>
      <c r="R40" s="293">
        <f>'WA Volumes &amp; Revenues'!E35</f>
        <v>59441.942130257296</v>
      </c>
      <c r="S40" s="306"/>
      <c r="T40" s="295"/>
      <c r="U40" s="296"/>
      <c r="V40" s="156"/>
      <c r="W40" s="308">
        <f t="shared" si="59"/>
        <v>7637.1007248954584</v>
      </c>
      <c r="X40" s="304">
        <f t="shared" si="60"/>
        <v>0</v>
      </c>
      <c r="Y40" s="304">
        <f t="shared" si="61"/>
        <v>0</v>
      </c>
      <c r="Z40" s="309"/>
      <c r="AA40" s="304"/>
      <c r="AB40" s="308">
        <f t="shared" si="62"/>
        <v>8491.8758527285572</v>
      </c>
      <c r="AC40" s="304">
        <f t="shared" si="63"/>
        <v>0</v>
      </c>
      <c r="AD40" s="309">
        <f t="shared" si="64"/>
        <v>0</v>
      </c>
      <c r="AE40" s="304"/>
      <c r="AF40" s="308">
        <f t="shared" si="65"/>
        <v>854.77512783309885</v>
      </c>
      <c r="AG40" s="304">
        <f t="shared" si="65"/>
        <v>0</v>
      </c>
      <c r="AH40" s="309">
        <f t="shared" si="65"/>
        <v>0</v>
      </c>
      <c r="AI40" s="304"/>
      <c r="AJ40" s="333"/>
      <c r="AK40" s="335">
        <f t="shared" si="13"/>
        <v>0.1119240348692402</v>
      </c>
      <c r="AL40" s="304"/>
      <c r="AM40" s="308">
        <f t="shared" si="66"/>
        <v>0</v>
      </c>
      <c r="AN40" s="304">
        <v>0</v>
      </c>
      <c r="AO40" s="309">
        <f t="shared" si="67"/>
        <v>0</v>
      </c>
      <c r="AP40" s="304"/>
      <c r="AQ40" s="305"/>
      <c r="AR40" s="305"/>
      <c r="AS40" s="304"/>
    </row>
    <row r="41" spans="1:45" x14ac:dyDescent="0.3">
      <c r="A41" s="85">
        <f t="shared" si="2"/>
        <v>34</v>
      </c>
      <c r="B41" s="709"/>
      <c r="C41" s="710" t="s">
        <v>7</v>
      </c>
      <c r="D41" s="156"/>
      <c r="E41" s="121">
        <f>ROUND('Rates in Detail'!AC34,5)</f>
        <v>1.1509999999999999E-2</v>
      </c>
      <c r="F41" s="121"/>
      <c r="G41" s="156"/>
      <c r="H41" s="368">
        <f>ROUND('Rates in Detail'!R34,5)</f>
        <v>0.10277</v>
      </c>
      <c r="I41" s="758">
        <f t="shared" si="9"/>
        <v>0.11427999999999999</v>
      </c>
      <c r="J41" s="156"/>
      <c r="K41" s="154"/>
      <c r="L41" s="155"/>
      <c r="M41" s="121"/>
      <c r="N41" s="121"/>
      <c r="O41" s="121"/>
      <c r="P41" s="758"/>
      <c r="Q41" s="156"/>
      <c r="R41" s="293">
        <f>'WA Volumes &amp; Revenues'!E36</f>
        <v>3614.6071898605187</v>
      </c>
      <c r="S41" s="306"/>
      <c r="T41" s="295"/>
      <c r="U41" s="296"/>
      <c r="V41" s="156"/>
      <c r="W41" s="308">
        <f t="shared" si="59"/>
        <v>371.47318090196552</v>
      </c>
      <c r="X41" s="304">
        <f t="shared" si="60"/>
        <v>0</v>
      </c>
      <c r="Y41" s="304">
        <f t="shared" si="61"/>
        <v>0</v>
      </c>
      <c r="Z41" s="309"/>
      <c r="AA41" s="304"/>
      <c r="AB41" s="308">
        <f t="shared" si="62"/>
        <v>413.07730965726006</v>
      </c>
      <c r="AC41" s="304">
        <f t="shared" si="63"/>
        <v>0</v>
      </c>
      <c r="AD41" s="309">
        <f t="shared" si="64"/>
        <v>0</v>
      </c>
      <c r="AE41" s="304"/>
      <c r="AF41" s="308">
        <f t="shared" si="65"/>
        <v>41.604128755294539</v>
      </c>
      <c r="AG41" s="304">
        <f t="shared" si="65"/>
        <v>0</v>
      </c>
      <c r="AH41" s="309">
        <f t="shared" si="65"/>
        <v>0</v>
      </c>
      <c r="AI41" s="304"/>
      <c r="AJ41" s="333"/>
      <c r="AK41" s="335">
        <f t="shared" si="13"/>
        <v>0.11199766468813847</v>
      </c>
      <c r="AL41" s="304"/>
      <c r="AM41" s="308">
        <f t="shared" si="66"/>
        <v>0</v>
      </c>
      <c r="AN41" s="304">
        <v>0</v>
      </c>
      <c r="AO41" s="309">
        <f t="shared" si="67"/>
        <v>0</v>
      </c>
      <c r="AP41" s="304"/>
      <c r="AQ41" s="305"/>
      <c r="AR41" s="305"/>
      <c r="AS41" s="304"/>
    </row>
    <row r="42" spans="1:45" x14ac:dyDescent="0.3">
      <c r="A42" s="85">
        <f t="shared" si="2"/>
        <v>35</v>
      </c>
      <c r="B42" s="709"/>
      <c r="C42" s="710" t="s">
        <v>8</v>
      </c>
      <c r="D42" s="156"/>
      <c r="E42" s="121">
        <f>ROUND('Rates in Detail'!AC35,5)</f>
        <v>7.6699999999999997E-3</v>
      </c>
      <c r="F42" s="121"/>
      <c r="G42" s="156"/>
      <c r="H42" s="368">
        <f>ROUND('Rates in Detail'!R35,5)</f>
        <v>6.8510000000000001E-2</v>
      </c>
      <c r="I42" s="758">
        <f t="shared" si="9"/>
        <v>7.6179999999999998E-2</v>
      </c>
      <c r="J42" s="156"/>
      <c r="K42" s="154"/>
      <c r="L42" s="155"/>
      <c r="M42" s="121"/>
      <c r="N42" s="121"/>
      <c r="O42" s="121"/>
      <c r="P42" s="758"/>
      <c r="Q42" s="156"/>
      <c r="R42" s="293">
        <f>'WA Volumes &amp; Revenues'!E37</f>
        <v>0</v>
      </c>
      <c r="S42" s="306"/>
      <c r="T42" s="295"/>
      <c r="U42" s="296"/>
      <c r="V42" s="156"/>
      <c r="W42" s="308">
        <f t="shared" si="59"/>
        <v>0</v>
      </c>
      <c r="X42" s="304">
        <f t="shared" si="60"/>
        <v>0</v>
      </c>
      <c r="Y42" s="304">
        <f t="shared" si="61"/>
        <v>0</v>
      </c>
      <c r="Z42" s="309"/>
      <c r="AA42" s="304"/>
      <c r="AB42" s="308">
        <f t="shared" si="62"/>
        <v>0</v>
      </c>
      <c r="AC42" s="304">
        <f t="shared" si="63"/>
        <v>0</v>
      </c>
      <c r="AD42" s="309">
        <f t="shared" si="64"/>
        <v>0</v>
      </c>
      <c r="AE42" s="304"/>
      <c r="AF42" s="308">
        <f t="shared" si="65"/>
        <v>0</v>
      </c>
      <c r="AG42" s="304">
        <f t="shared" si="65"/>
        <v>0</v>
      </c>
      <c r="AH42" s="309">
        <f t="shared" si="65"/>
        <v>0</v>
      </c>
      <c r="AI42" s="304"/>
      <c r="AJ42" s="333"/>
      <c r="AK42" s="335">
        <f>AK41</f>
        <v>0.11199766468813847</v>
      </c>
      <c r="AL42" s="304"/>
      <c r="AM42" s="308">
        <f t="shared" si="66"/>
        <v>0</v>
      </c>
      <c r="AN42" s="304">
        <v>0</v>
      </c>
      <c r="AO42" s="309">
        <f t="shared" si="67"/>
        <v>0</v>
      </c>
      <c r="AP42" s="304"/>
      <c r="AQ42" s="305"/>
      <c r="AR42" s="305"/>
      <c r="AS42" s="304"/>
    </row>
    <row r="43" spans="1:45" x14ac:dyDescent="0.3">
      <c r="A43" s="85">
        <f t="shared" si="2"/>
        <v>36</v>
      </c>
      <c r="B43" s="709"/>
      <c r="C43" s="710" t="s">
        <v>9</v>
      </c>
      <c r="D43" s="156"/>
      <c r="E43" s="121">
        <f>ROUND('Rates in Detail'!AC36,5)</f>
        <v>2.8800000000000002E-3</v>
      </c>
      <c r="F43" s="121"/>
      <c r="G43" s="156"/>
      <c r="H43" s="368">
        <f>ROUND('Rates in Detail'!R36,5)</f>
        <v>2.5680000000000001E-2</v>
      </c>
      <c r="I43" s="758">
        <f t="shared" si="9"/>
        <v>2.8560000000000002E-2</v>
      </c>
      <c r="J43" s="156"/>
      <c r="K43" s="727"/>
      <c r="L43" s="367"/>
      <c r="M43" s="121"/>
      <c r="N43" s="121"/>
      <c r="O43" s="121"/>
      <c r="P43" s="758"/>
      <c r="Q43" s="156"/>
      <c r="R43" s="293">
        <f>'WA Volumes &amp; Revenues'!E38</f>
        <v>0</v>
      </c>
      <c r="S43" s="306"/>
      <c r="T43" s="295"/>
      <c r="U43" s="296"/>
      <c r="V43" s="156"/>
      <c r="W43" s="308">
        <f t="shared" si="59"/>
        <v>0</v>
      </c>
      <c r="X43" s="304">
        <f t="shared" si="60"/>
        <v>0</v>
      </c>
      <c r="Y43" s="304">
        <f t="shared" si="61"/>
        <v>0</v>
      </c>
      <c r="Z43" s="309"/>
      <c r="AA43" s="304"/>
      <c r="AB43" s="308">
        <f t="shared" si="62"/>
        <v>0</v>
      </c>
      <c r="AC43" s="304">
        <f t="shared" si="63"/>
        <v>0</v>
      </c>
      <c r="AD43" s="309">
        <f t="shared" si="64"/>
        <v>0</v>
      </c>
      <c r="AE43" s="304"/>
      <c r="AF43" s="308">
        <f t="shared" si="65"/>
        <v>0</v>
      </c>
      <c r="AG43" s="304">
        <f t="shared" si="65"/>
        <v>0</v>
      </c>
      <c r="AH43" s="309">
        <f t="shared" si="65"/>
        <v>0</v>
      </c>
      <c r="AI43" s="304"/>
      <c r="AJ43" s="333"/>
      <c r="AK43" s="335">
        <f>AK42</f>
        <v>0.11199766468813847</v>
      </c>
      <c r="AL43" s="304"/>
      <c r="AM43" s="308">
        <f t="shared" si="66"/>
        <v>0</v>
      </c>
      <c r="AN43" s="304">
        <v>0</v>
      </c>
      <c r="AO43" s="309">
        <f t="shared" si="67"/>
        <v>0</v>
      </c>
      <c r="AP43" s="304"/>
      <c r="AQ43" s="305"/>
      <c r="AR43" s="305"/>
      <c r="AS43" s="304"/>
    </row>
    <row r="44" spans="1:45" x14ac:dyDescent="0.3">
      <c r="A44" s="85">
        <f t="shared" si="2"/>
        <v>37</v>
      </c>
      <c r="B44" s="707"/>
      <c r="C44" s="726" t="s">
        <v>76</v>
      </c>
      <c r="D44" s="152"/>
      <c r="E44" s="122"/>
      <c r="F44" s="122"/>
      <c r="G44" s="152"/>
      <c r="H44" s="363"/>
      <c r="I44" s="757"/>
      <c r="J44" s="156"/>
      <c r="K44" s="727"/>
      <c r="L44" s="367"/>
      <c r="M44" s="121"/>
      <c r="N44" s="121"/>
      <c r="O44" s="121"/>
      <c r="P44" s="758"/>
      <c r="Q44" s="156"/>
      <c r="R44" s="293"/>
      <c r="S44" s="306"/>
      <c r="T44" s="295"/>
      <c r="U44" s="296"/>
      <c r="V44" s="156"/>
      <c r="W44" s="310">
        <f>SUM(W38:W43)</f>
        <v>124422.00563158379</v>
      </c>
      <c r="X44" s="311">
        <f>SUM(X38:X43)</f>
        <v>78000</v>
      </c>
      <c r="Y44" s="311">
        <f>SUM(Y38:Y43)</f>
        <v>29339.765160000003</v>
      </c>
      <c r="Z44" s="312">
        <f>'Rate Spread SETTLEMENT'!Q$76-SUM(W44:Y44)</f>
        <v>10869.671187156608</v>
      </c>
      <c r="AA44" s="304"/>
      <c r="AB44" s="310">
        <f>SUM(AB38:AB43)</f>
        <v>138349.92344418712</v>
      </c>
      <c r="AC44" s="311">
        <f>SUM(AC38:AC43)</f>
        <v>78000</v>
      </c>
      <c r="AD44" s="312">
        <f>SUM(AD38:AD43)</f>
        <v>29339.765160000003</v>
      </c>
      <c r="AE44" s="304"/>
      <c r="AF44" s="310">
        <f>SUM(AF38:AF43)</f>
        <v>13927.917812603351</v>
      </c>
      <c r="AG44" s="311">
        <f>SUM(AG38:AG43)</f>
        <v>0</v>
      </c>
      <c r="AH44" s="312">
        <f>SUM(AH38:AH43)</f>
        <v>0</v>
      </c>
      <c r="AI44" s="304"/>
      <c r="AJ44" s="333">
        <f>SUM(AF44:AH44)/SUM(W44:Y44)</f>
        <v>6.0095837915944715E-2</v>
      </c>
      <c r="AK44" s="334">
        <f>SUM(AF44)/SUM(W44)</f>
        <v>0.1119409524215854</v>
      </c>
      <c r="AL44" s="304"/>
      <c r="AM44" s="310">
        <f>SUM(AM38:AM43)</f>
        <v>0</v>
      </c>
      <c r="AN44" s="311">
        <f>SUM(AN38:AN43)</f>
        <v>0</v>
      </c>
      <c r="AO44" s="312">
        <f>SUM(AO38:AO43)</f>
        <v>0</v>
      </c>
      <c r="AP44" s="304"/>
      <c r="AQ44" s="305"/>
      <c r="AR44" s="305"/>
      <c r="AS44" s="304"/>
    </row>
    <row r="45" spans="1:45" x14ac:dyDescent="0.3">
      <c r="A45" s="85">
        <f t="shared" si="2"/>
        <v>38</v>
      </c>
      <c r="B45" s="709" t="str">
        <f>'WA Volumes &amp; Revenues'!B39</f>
        <v>42I Firm Sales</v>
      </c>
      <c r="C45" s="710" t="s">
        <v>4</v>
      </c>
      <c r="D45" s="156"/>
      <c r="E45" s="121">
        <f>ROUND('Rates in Detail'!AC37,5)</f>
        <v>6.1399999999999996E-3</v>
      </c>
      <c r="F45" s="121"/>
      <c r="G45" s="156"/>
      <c r="H45" s="368">
        <f>ROUND('Rates in Detail'!R37,5)</f>
        <v>0.16067999999999999</v>
      </c>
      <c r="I45" s="758">
        <f t="shared" si="9"/>
        <v>0.16682</v>
      </c>
      <c r="J45" s="156"/>
      <c r="K45" s="154">
        <f>'WA Volumes &amp; Revenues'!O39</f>
        <v>1300</v>
      </c>
      <c r="L45" s="155">
        <f>'WA Volumes &amp; Revenues'!N39</f>
        <v>1300</v>
      </c>
      <c r="M45" s="121">
        <f>'Rates in Detail'!AR37</f>
        <v>0.15748000000000001</v>
      </c>
      <c r="N45" s="121">
        <f>'Rates in Detail'!AS37</f>
        <v>0.15748000000000001</v>
      </c>
      <c r="O45" s="121">
        <f>'Rates in Detail'!AT37</f>
        <v>0.20415</v>
      </c>
      <c r="P45" s="758">
        <f>'Rates in Detail'!AU37</f>
        <v>0.20415</v>
      </c>
      <c r="Q45" s="156"/>
      <c r="R45" s="293">
        <f>'WA Volumes &amp; Revenues'!E39</f>
        <v>1093724.2000000002</v>
      </c>
      <c r="S45" s="306">
        <v>9556</v>
      </c>
      <c r="T45" s="295">
        <f>'WA Volumes &amp; Revenues'!H39</f>
        <v>11.916666666666666</v>
      </c>
      <c r="U45" s="296">
        <f>'WA Volumes &amp; Revenues'!I39</f>
        <v>12869</v>
      </c>
      <c r="V45" s="156"/>
      <c r="W45" s="308">
        <f t="shared" ref="W45:W50" si="68">(H45*R45)</f>
        <v>175739.60445600003</v>
      </c>
      <c r="X45" s="304">
        <f t="shared" ref="X45:X50" si="69">(K45*T45*12)</f>
        <v>185900</v>
      </c>
      <c r="Y45" s="304">
        <f t="shared" ref="Y45:Y50" si="70">(S45*(M45+O45))*12</f>
        <v>41468.835359999997</v>
      </c>
      <c r="Z45" s="309"/>
      <c r="AA45" s="304"/>
      <c r="AB45" s="308">
        <f t="shared" ref="AB45:AB50" si="71">(I45*R45)</f>
        <v>182455.07104400004</v>
      </c>
      <c r="AC45" s="304">
        <f t="shared" ref="AC45:AC50" si="72">(L45*T45*12)</f>
        <v>185900</v>
      </c>
      <c r="AD45" s="309">
        <f t="shared" ref="AD45:AD50" si="73">(S45*(N45+P45))*12</f>
        <v>41468.835359999997</v>
      </c>
      <c r="AE45" s="304"/>
      <c r="AF45" s="308">
        <f t="shared" ref="AF45:AH50" si="74">AB45-W45</f>
        <v>6715.4665880000102</v>
      </c>
      <c r="AG45" s="304">
        <f t="shared" si="74"/>
        <v>0</v>
      </c>
      <c r="AH45" s="309">
        <f t="shared" si="74"/>
        <v>0</v>
      </c>
      <c r="AI45" s="304"/>
      <c r="AJ45" s="333"/>
      <c r="AK45" s="335">
        <f>SUM(AF45)/SUM(W45)</f>
        <v>3.8212596465023702E-2</v>
      </c>
      <c r="AL45" s="304"/>
      <c r="AM45" s="308">
        <f t="shared" ref="AM45:AM50" si="75">(F45*R45)</f>
        <v>0</v>
      </c>
      <c r="AN45" s="304">
        <v>0</v>
      </c>
      <c r="AO45" s="309">
        <f t="shared" ref="AO45:AO50" si="76">(AE45*(Y45+AB45))*12</f>
        <v>0</v>
      </c>
      <c r="AP45" s="304"/>
      <c r="AQ45" s="305"/>
      <c r="AR45" s="305"/>
      <c r="AS45" s="304"/>
    </row>
    <row r="46" spans="1:45" x14ac:dyDescent="0.3">
      <c r="A46" s="85">
        <f t="shared" si="2"/>
        <v>39</v>
      </c>
      <c r="B46" s="709"/>
      <c r="C46" s="710" t="s">
        <v>5</v>
      </c>
      <c r="D46" s="156"/>
      <c r="E46" s="121">
        <f>ROUND('Rates in Detail'!AC38,5)</f>
        <v>5.4999999999999997E-3</v>
      </c>
      <c r="F46" s="121"/>
      <c r="G46" s="156"/>
      <c r="H46" s="368">
        <f>ROUND('Rates in Detail'!R38,5)</f>
        <v>0.14383000000000001</v>
      </c>
      <c r="I46" s="758">
        <f t="shared" si="9"/>
        <v>0.14933000000000002</v>
      </c>
      <c r="J46" s="156"/>
      <c r="K46" s="154"/>
      <c r="L46" s="155"/>
      <c r="M46" s="121"/>
      <c r="N46" s="121"/>
      <c r="O46" s="121"/>
      <c r="P46" s="758"/>
      <c r="Q46" s="156"/>
      <c r="R46" s="293">
        <f>'WA Volumes &amp; Revenues'!E40</f>
        <v>655939.80000000005</v>
      </c>
      <c r="S46" s="306"/>
      <c r="T46" s="295"/>
      <c r="U46" s="296"/>
      <c r="V46" s="156"/>
      <c r="W46" s="308">
        <f t="shared" si="68"/>
        <v>94343.821434000012</v>
      </c>
      <c r="X46" s="304">
        <f t="shared" si="69"/>
        <v>0</v>
      </c>
      <c r="Y46" s="304">
        <f t="shared" si="70"/>
        <v>0</v>
      </c>
      <c r="Z46" s="309"/>
      <c r="AA46" s="304"/>
      <c r="AB46" s="308">
        <f t="shared" si="71"/>
        <v>97951.490334000016</v>
      </c>
      <c r="AC46" s="304">
        <f t="shared" si="72"/>
        <v>0</v>
      </c>
      <c r="AD46" s="309">
        <f t="shared" si="73"/>
        <v>0</v>
      </c>
      <c r="AE46" s="304"/>
      <c r="AF46" s="308">
        <f t="shared" si="74"/>
        <v>3607.6689000000042</v>
      </c>
      <c r="AG46" s="304">
        <f t="shared" si="74"/>
        <v>0</v>
      </c>
      <c r="AH46" s="309">
        <f t="shared" si="74"/>
        <v>0</v>
      </c>
      <c r="AI46" s="304"/>
      <c r="AJ46" s="333"/>
      <c r="AK46" s="335">
        <f>SUM(AF46)/SUM(W46)</f>
        <v>3.8239588402975776E-2</v>
      </c>
      <c r="AL46" s="304"/>
      <c r="AM46" s="308">
        <f t="shared" si="75"/>
        <v>0</v>
      </c>
      <c r="AN46" s="304">
        <v>0</v>
      </c>
      <c r="AO46" s="309">
        <f t="shared" si="76"/>
        <v>0</v>
      </c>
      <c r="AP46" s="304"/>
      <c r="AQ46" s="305"/>
      <c r="AR46" s="305"/>
      <c r="AS46" s="304"/>
    </row>
    <row r="47" spans="1:45" x14ac:dyDescent="0.3">
      <c r="A47" s="85">
        <f t="shared" si="2"/>
        <v>40</v>
      </c>
      <c r="B47" s="709"/>
      <c r="C47" s="710" t="s">
        <v>6</v>
      </c>
      <c r="D47" s="156"/>
      <c r="E47" s="121">
        <f>ROUND('Rates in Detail'!AC39,5)</f>
        <v>4.2199999999999998E-3</v>
      </c>
      <c r="F47" s="121"/>
      <c r="G47" s="156"/>
      <c r="H47" s="368">
        <f>ROUND('Rates in Detail'!R39,5)</f>
        <v>0.11029</v>
      </c>
      <c r="I47" s="758">
        <f t="shared" si="9"/>
        <v>0.11451</v>
      </c>
      <c r="J47" s="156"/>
      <c r="K47" s="154"/>
      <c r="L47" s="155"/>
      <c r="M47" s="121"/>
      <c r="N47" s="121"/>
      <c r="O47" s="121"/>
      <c r="P47" s="758"/>
      <c r="Q47" s="156"/>
      <c r="R47" s="293">
        <f>'WA Volumes &amp; Revenues'!E41</f>
        <v>81241.3</v>
      </c>
      <c r="S47" s="306"/>
      <c r="T47" s="295"/>
      <c r="U47" s="296"/>
      <c r="V47" s="156"/>
      <c r="W47" s="308">
        <f t="shared" si="68"/>
        <v>8960.1029770000005</v>
      </c>
      <c r="X47" s="304">
        <f t="shared" si="69"/>
        <v>0</v>
      </c>
      <c r="Y47" s="304">
        <f t="shared" si="70"/>
        <v>0</v>
      </c>
      <c r="Z47" s="309"/>
      <c r="AA47" s="304"/>
      <c r="AB47" s="308">
        <f t="shared" si="71"/>
        <v>9302.9412630000006</v>
      </c>
      <c r="AC47" s="304">
        <f t="shared" si="72"/>
        <v>0</v>
      </c>
      <c r="AD47" s="309">
        <f t="shared" si="73"/>
        <v>0</v>
      </c>
      <c r="AE47" s="304"/>
      <c r="AF47" s="308">
        <f t="shared" si="74"/>
        <v>342.83828600000015</v>
      </c>
      <c r="AG47" s="304">
        <f t="shared" si="74"/>
        <v>0</v>
      </c>
      <c r="AH47" s="309">
        <f t="shared" si="74"/>
        <v>0</v>
      </c>
      <c r="AI47" s="304"/>
      <c r="AJ47" s="333"/>
      <c r="AK47" s="335">
        <f>SUM(AF47)/SUM(W47)</f>
        <v>3.8262761809774247E-2</v>
      </c>
      <c r="AL47" s="304"/>
      <c r="AM47" s="308">
        <f t="shared" si="75"/>
        <v>0</v>
      </c>
      <c r="AN47" s="304">
        <v>0</v>
      </c>
      <c r="AO47" s="309">
        <f t="shared" si="76"/>
        <v>0</v>
      </c>
      <c r="AP47" s="304"/>
      <c r="AQ47" s="305"/>
      <c r="AR47" s="305"/>
      <c r="AS47" s="304"/>
    </row>
    <row r="48" spans="1:45" x14ac:dyDescent="0.3">
      <c r="A48" s="85">
        <f t="shared" si="2"/>
        <v>41</v>
      </c>
      <c r="B48" s="709"/>
      <c r="C48" s="710" t="s">
        <v>7</v>
      </c>
      <c r="D48" s="156"/>
      <c r="E48" s="121">
        <f>ROUND('Rates in Detail'!AC40,5)</f>
        <v>3.3700000000000002E-3</v>
      </c>
      <c r="F48" s="121"/>
      <c r="G48" s="156"/>
      <c r="H48" s="368">
        <f>ROUND('Rates in Detail'!R40,5)</f>
        <v>8.8239999999999999E-2</v>
      </c>
      <c r="I48" s="758">
        <f t="shared" si="9"/>
        <v>9.1609999999999997E-2</v>
      </c>
      <c r="J48" s="156"/>
      <c r="K48" s="154"/>
      <c r="L48" s="155"/>
      <c r="M48" s="121"/>
      <c r="N48" s="121"/>
      <c r="O48" s="121"/>
      <c r="P48" s="758"/>
      <c r="Q48" s="156"/>
      <c r="R48" s="293">
        <f>'WA Volumes &amp; Revenues'!E42</f>
        <v>9320.1</v>
      </c>
      <c r="S48" s="306"/>
      <c r="T48" s="295"/>
      <c r="U48" s="296"/>
      <c r="V48" s="156"/>
      <c r="W48" s="308">
        <f t="shared" si="68"/>
        <v>822.40562399999999</v>
      </c>
      <c r="X48" s="304">
        <f t="shared" si="69"/>
        <v>0</v>
      </c>
      <c r="Y48" s="304">
        <f t="shared" si="70"/>
        <v>0</v>
      </c>
      <c r="Z48" s="309"/>
      <c r="AA48" s="304"/>
      <c r="AB48" s="308">
        <f t="shared" si="71"/>
        <v>853.81436099999996</v>
      </c>
      <c r="AC48" s="304">
        <f t="shared" si="72"/>
        <v>0</v>
      </c>
      <c r="AD48" s="309">
        <f t="shared" si="73"/>
        <v>0</v>
      </c>
      <c r="AE48" s="304"/>
      <c r="AF48" s="308">
        <f t="shared" si="74"/>
        <v>31.408736999999974</v>
      </c>
      <c r="AG48" s="304">
        <f t="shared" si="74"/>
        <v>0</v>
      </c>
      <c r="AH48" s="309">
        <f t="shared" si="74"/>
        <v>0</v>
      </c>
      <c r="AI48" s="304"/>
      <c r="AJ48" s="333"/>
      <c r="AK48" s="335">
        <f>SUM(AF48)/SUM(W48)</f>
        <v>3.8191296464188548E-2</v>
      </c>
      <c r="AL48" s="304"/>
      <c r="AM48" s="308">
        <f t="shared" si="75"/>
        <v>0</v>
      </c>
      <c r="AN48" s="304">
        <v>0</v>
      </c>
      <c r="AO48" s="309">
        <f t="shared" si="76"/>
        <v>0</v>
      </c>
      <c r="AP48" s="304"/>
      <c r="AQ48" s="305"/>
      <c r="AR48" s="305"/>
      <c r="AS48" s="304"/>
    </row>
    <row r="49" spans="1:45" x14ac:dyDescent="0.3">
      <c r="A49" s="85">
        <f t="shared" si="2"/>
        <v>42</v>
      </c>
      <c r="B49" s="709"/>
      <c r="C49" s="710" t="s">
        <v>8</v>
      </c>
      <c r="D49" s="156"/>
      <c r="E49" s="121">
        <f>ROUND('Rates in Detail'!AC41,5)</f>
        <v>2.2499999999999998E-3</v>
      </c>
      <c r="F49" s="121"/>
      <c r="G49" s="156"/>
      <c r="H49" s="368">
        <f>ROUND('Rates in Detail'!R41,5)</f>
        <v>5.8840000000000003E-2</v>
      </c>
      <c r="I49" s="758">
        <f t="shared" si="9"/>
        <v>6.1090000000000005E-2</v>
      </c>
      <c r="J49" s="156"/>
      <c r="K49" s="154"/>
      <c r="L49" s="155"/>
      <c r="M49" s="121"/>
      <c r="N49" s="121"/>
      <c r="O49" s="121"/>
      <c r="P49" s="758"/>
      <c r="Q49" s="156"/>
      <c r="R49" s="293">
        <f>'WA Volumes &amp; Revenues'!E43</f>
        <v>0</v>
      </c>
      <c r="S49" s="306"/>
      <c r="T49" s="295"/>
      <c r="U49" s="296"/>
      <c r="V49" s="156"/>
      <c r="W49" s="308">
        <f t="shared" si="68"/>
        <v>0</v>
      </c>
      <c r="X49" s="304">
        <f t="shared" si="69"/>
        <v>0</v>
      </c>
      <c r="Y49" s="304">
        <f t="shared" si="70"/>
        <v>0</v>
      </c>
      <c r="Z49" s="309"/>
      <c r="AA49" s="304"/>
      <c r="AB49" s="308">
        <f t="shared" si="71"/>
        <v>0</v>
      </c>
      <c r="AC49" s="304">
        <f t="shared" si="72"/>
        <v>0</v>
      </c>
      <c r="AD49" s="309">
        <f t="shared" si="73"/>
        <v>0</v>
      </c>
      <c r="AE49" s="304"/>
      <c r="AF49" s="308">
        <f t="shared" si="74"/>
        <v>0</v>
      </c>
      <c r="AG49" s="304">
        <f t="shared" si="74"/>
        <v>0</v>
      </c>
      <c r="AH49" s="309">
        <f t="shared" si="74"/>
        <v>0</v>
      </c>
      <c r="AI49" s="304"/>
      <c r="AJ49" s="333"/>
      <c r="AK49" s="335">
        <f>AK48</f>
        <v>3.8191296464188548E-2</v>
      </c>
      <c r="AL49" s="304"/>
      <c r="AM49" s="308">
        <f t="shared" si="75"/>
        <v>0</v>
      </c>
      <c r="AN49" s="304">
        <v>0</v>
      </c>
      <c r="AO49" s="309">
        <f t="shared" si="76"/>
        <v>0</v>
      </c>
      <c r="AP49" s="304"/>
      <c r="AQ49" s="305"/>
      <c r="AR49" s="305"/>
      <c r="AS49" s="304"/>
    </row>
    <row r="50" spans="1:45" x14ac:dyDescent="0.3">
      <c r="A50" s="85">
        <f t="shared" si="2"/>
        <v>43</v>
      </c>
      <c r="B50" s="709"/>
      <c r="C50" s="710" t="s">
        <v>9</v>
      </c>
      <c r="D50" s="156"/>
      <c r="E50" s="121">
        <f>ROUND('Rates in Detail'!AC42,5)</f>
        <v>8.4000000000000003E-4</v>
      </c>
      <c r="F50" s="121"/>
      <c r="G50" s="156"/>
      <c r="H50" s="368">
        <f>ROUND('Rates in Detail'!R42,5)</f>
        <v>2.205E-2</v>
      </c>
      <c r="I50" s="758">
        <f t="shared" si="9"/>
        <v>2.2890000000000001E-2</v>
      </c>
      <c r="J50" s="156"/>
      <c r="K50" s="154"/>
      <c r="L50" s="155"/>
      <c r="M50" s="121"/>
      <c r="N50" s="121"/>
      <c r="O50" s="121"/>
      <c r="P50" s="758"/>
      <c r="Q50" s="156"/>
      <c r="R50" s="293">
        <f>'WA Volumes &amp; Revenues'!E44</f>
        <v>0</v>
      </c>
      <c r="S50" s="306"/>
      <c r="T50" s="295"/>
      <c r="U50" s="296"/>
      <c r="V50" s="156"/>
      <c r="W50" s="308">
        <f t="shared" si="68"/>
        <v>0</v>
      </c>
      <c r="X50" s="304">
        <f t="shared" si="69"/>
        <v>0</v>
      </c>
      <c r="Y50" s="304">
        <f t="shared" si="70"/>
        <v>0</v>
      </c>
      <c r="Z50" s="309"/>
      <c r="AA50" s="304"/>
      <c r="AB50" s="308">
        <f t="shared" si="71"/>
        <v>0</v>
      </c>
      <c r="AC50" s="304">
        <f t="shared" si="72"/>
        <v>0</v>
      </c>
      <c r="AD50" s="309">
        <f t="shared" si="73"/>
        <v>0</v>
      </c>
      <c r="AE50" s="304"/>
      <c r="AF50" s="308">
        <f t="shared" si="74"/>
        <v>0</v>
      </c>
      <c r="AG50" s="304">
        <f t="shared" si="74"/>
        <v>0</v>
      </c>
      <c r="AH50" s="309">
        <f t="shared" si="74"/>
        <v>0</v>
      </c>
      <c r="AI50" s="304"/>
      <c r="AJ50" s="333"/>
      <c r="AK50" s="335">
        <f>AK49</f>
        <v>3.8191296464188548E-2</v>
      </c>
      <c r="AL50" s="304"/>
      <c r="AM50" s="308">
        <f t="shared" si="75"/>
        <v>0</v>
      </c>
      <c r="AN50" s="304">
        <v>0</v>
      </c>
      <c r="AO50" s="309">
        <f t="shared" si="76"/>
        <v>0</v>
      </c>
      <c r="AP50" s="304"/>
      <c r="AQ50" s="305"/>
      <c r="AR50" s="305"/>
      <c r="AS50" s="304"/>
    </row>
    <row r="51" spans="1:45" x14ac:dyDescent="0.3">
      <c r="A51" s="85">
        <f t="shared" si="2"/>
        <v>44</v>
      </c>
      <c r="B51" s="707"/>
      <c r="C51" s="726" t="s">
        <v>76</v>
      </c>
      <c r="D51" s="152"/>
      <c r="E51" s="122"/>
      <c r="F51" s="122"/>
      <c r="G51" s="152"/>
      <c r="H51" s="363"/>
      <c r="I51" s="757"/>
      <c r="J51" s="156"/>
      <c r="K51" s="154"/>
      <c r="L51" s="155"/>
      <c r="M51" s="121"/>
      <c r="N51" s="121"/>
      <c r="O51" s="121"/>
      <c r="P51" s="758"/>
      <c r="Q51" s="156"/>
      <c r="R51" s="293"/>
      <c r="S51" s="306"/>
      <c r="T51" s="295"/>
      <c r="U51" s="296"/>
      <c r="V51" s="156"/>
      <c r="W51" s="310">
        <f>SUM(W45:W50)</f>
        <v>279865.93449100008</v>
      </c>
      <c r="X51" s="311">
        <f>SUM(X45:X50)</f>
        <v>185900</v>
      </c>
      <c r="Y51" s="311">
        <f>SUM(Y45:Y50)</f>
        <v>41468.835359999997</v>
      </c>
      <c r="Z51" s="312">
        <f>'Rate Spread SETTLEMENT'!R$76-SUM(W51:Y51)</f>
        <v>27895.439998812973</v>
      </c>
      <c r="AA51" s="304"/>
      <c r="AB51" s="310">
        <f>SUM(AB45:AB50)</f>
        <v>290563.31700200011</v>
      </c>
      <c r="AC51" s="311">
        <f>SUM(AC45:AC50)</f>
        <v>185900</v>
      </c>
      <c r="AD51" s="312">
        <f>SUM(AD45:AD50)</f>
        <v>41468.835359999997</v>
      </c>
      <c r="AE51" s="304"/>
      <c r="AF51" s="310">
        <f>SUM(AF45:AF50)</f>
        <v>10697.382511000014</v>
      </c>
      <c r="AG51" s="311">
        <f>SUM(AG45:AG50)</f>
        <v>0</v>
      </c>
      <c r="AH51" s="312">
        <f>SUM(AH45:AH50)</f>
        <v>0</v>
      </c>
      <c r="AI51" s="304"/>
      <c r="AJ51" s="333">
        <f>SUM(AF51:AH51)/SUM(W51:Y51)</f>
        <v>2.1089608100293214E-2</v>
      </c>
      <c r="AK51" s="334">
        <f t="shared" ref="AK51:AK56" si="77">SUM(AF51)/SUM(W51)</f>
        <v>3.8223239032130298E-2</v>
      </c>
      <c r="AL51" s="304"/>
      <c r="AM51" s="310">
        <f>SUM(AM45:AM50)</f>
        <v>0</v>
      </c>
      <c r="AN51" s="311">
        <f>SUM(AN45:AN50)</f>
        <v>0</v>
      </c>
      <c r="AO51" s="312">
        <f>SUM(AO45:AO50)</f>
        <v>0</v>
      </c>
      <c r="AP51" s="304"/>
      <c r="AQ51" s="305"/>
      <c r="AR51" s="305"/>
      <c r="AS51" s="304"/>
    </row>
    <row r="52" spans="1:45" x14ac:dyDescent="0.3">
      <c r="A52" s="85">
        <f t="shared" si="2"/>
        <v>45</v>
      </c>
      <c r="B52" s="709" t="str">
        <f>'WA Volumes &amp; Revenues'!B45</f>
        <v>42C Firm Transpt</v>
      </c>
      <c r="C52" s="710" t="s">
        <v>4</v>
      </c>
      <c r="D52" s="156"/>
      <c r="E52" s="121">
        <f>ROUND('Rates in Detail'!AC43,5)</f>
        <v>5.94E-3</v>
      </c>
      <c r="F52" s="121"/>
      <c r="G52" s="156"/>
      <c r="H52" s="368">
        <f>ROUND('Rates in Detail'!R43,5)</f>
        <v>0.14912</v>
      </c>
      <c r="I52" s="758">
        <f t="shared" si="9"/>
        <v>0.15506</v>
      </c>
      <c r="J52" s="156"/>
      <c r="K52" s="154">
        <f>'WA Volumes &amp; Revenues'!O45</f>
        <v>1550</v>
      </c>
      <c r="L52" s="155">
        <f>'WA Volumes &amp; Revenues'!N45</f>
        <v>1550</v>
      </c>
      <c r="M52" s="121">
        <f>'Rates in Detail'!AR43</f>
        <v>0.15748000000000001</v>
      </c>
      <c r="N52" s="121">
        <f>'Rates in Detail'!AS43</f>
        <v>0.15748000000000001</v>
      </c>
      <c r="O52" s="121">
        <f>'Rates in Detail'!AT43</f>
        <v>0</v>
      </c>
      <c r="P52" s="758">
        <f>'Rates in Detail'!AU43</f>
        <v>0</v>
      </c>
      <c r="Q52" s="156"/>
      <c r="R52" s="293">
        <f>'WA Volumes &amp; Revenues'!E45</f>
        <v>480000</v>
      </c>
      <c r="S52" s="306">
        <v>10479</v>
      </c>
      <c r="T52" s="295">
        <f>'WA Volumes &amp; Revenues'!H45</f>
        <v>4</v>
      </c>
      <c r="U52" s="296">
        <f>'WA Volumes &amp; Revenues'!I45</f>
        <v>51470</v>
      </c>
      <c r="V52" s="156"/>
      <c r="W52" s="308">
        <f t="shared" ref="W52:W57" si="78">(H52*R52)</f>
        <v>71577.600000000006</v>
      </c>
      <c r="X52" s="304">
        <f t="shared" ref="X52:X57" si="79">(K52*T52*12)</f>
        <v>74400</v>
      </c>
      <c r="Y52" s="304">
        <f t="shared" ref="Y52:Y57" si="80">(S52*(M52+O52))*12</f>
        <v>19802.795040000001</v>
      </c>
      <c r="Z52" s="309"/>
      <c r="AA52" s="304"/>
      <c r="AB52" s="308">
        <f t="shared" ref="AB52:AB57" si="81">(I52*R52)</f>
        <v>74428.800000000003</v>
      </c>
      <c r="AC52" s="304">
        <f t="shared" ref="AC52:AC57" si="82">(L52*T52*12)</f>
        <v>74400</v>
      </c>
      <c r="AD52" s="309">
        <f t="shared" ref="AD52:AD57" si="83">(S52*(N52+P52))*12</f>
        <v>19802.795040000001</v>
      </c>
      <c r="AE52" s="304"/>
      <c r="AF52" s="308">
        <f t="shared" ref="AF52:AH57" si="84">AB52-W52</f>
        <v>2851.1999999999971</v>
      </c>
      <c r="AG52" s="304">
        <f t="shared" si="84"/>
        <v>0</v>
      </c>
      <c r="AH52" s="309">
        <f t="shared" si="84"/>
        <v>0</v>
      </c>
      <c r="AI52" s="304"/>
      <c r="AJ52" s="333"/>
      <c r="AK52" s="335">
        <f t="shared" si="77"/>
        <v>3.9833690987124422E-2</v>
      </c>
      <c r="AL52" s="304"/>
      <c r="AM52" s="308">
        <f t="shared" ref="AM52:AM57" si="85">(F52*R52)</f>
        <v>0</v>
      </c>
      <c r="AN52" s="304">
        <v>0</v>
      </c>
      <c r="AO52" s="309">
        <f t="shared" ref="AO52:AO57" si="86">(AE52*(Y52+AB52))*12</f>
        <v>0</v>
      </c>
      <c r="AP52" s="304"/>
      <c r="AQ52" s="305"/>
      <c r="AR52" s="305"/>
      <c r="AS52" s="304"/>
    </row>
    <row r="53" spans="1:45" x14ac:dyDescent="0.3">
      <c r="A53" s="85">
        <f t="shared" si="2"/>
        <v>46</v>
      </c>
      <c r="B53" s="709"/>
      <c r="C53" s="710" t="s">
        <v>5</v>
      </c>
      <c r="D53" s="156"/>
      <c r="E53" s="121">
        <f>ROUND('Rates in Detail'!AC44,5)</f>
        <v>5.3099999999999996E-3</v>
      </c>
      <c r="F53" s="121"/>
      <c r="G53" s="156"/>
      <c r="H53" s="368">
        <f>ROUND('Rates in Detail'!R44,5)</f>
        <v>0.13349</v>
      </c>
      <c r="I53" s="758">
        <f t="shared" si="9"/>
        <v>0.13880000000000001</v>
      </c>
      <c r="J53" s="156"/>
      <c r="K53" s="154"/>
      <c r="L53" s="155"/>
      <c r="M53" s="121"/>
      <c r="N53" s="121"/>
      <c r="O53" s="121"/>
      <c r="P53" s="758"/>
      <c r="Q53" s="156"/>
      <c r="R53" s="293">
        <f>'WA Volumes &amp; Revenues'!E46</f>
        <v>807846</v>
      </c>
      <c r="S53" s="306"/>
      <c r="T53" s="295"/>
      <c r="U53" s="296"/>
      <c r="V53" s="156"/>
      <c r="W53" s="308">
        <f t="shared" si="78"/>
        <v>107839.36254</v>
      </c>
      <c r="X53" s="304">
        <f t="shared" si="79"/>
        <v>0</v>
      </c>
      <c r="Y53" s="304">
        <f t="shared" si="80"/>
        <v>0</v>
      </c>
      <c r="Z53" s="309"/>
      <c r="AA53" s="304"/>
      <c r="AB53" s="308">
        <f t="shared" si="81"/>
        <v>112129.0248</v>
      </c>
      <c r="AC53" s="304">
        <f t="shared" si="82"/>
        <v>0</v>
      </c>
      <c r="AD53" s="309">
        <f t="shared" si="83"/>
        <v>0</v>
      </c>
      <c r="AE53" s="304"/>
      <c r="AF53" s="308">
        <f t="shared" si="84"/>
        <v>4289.6622599999973</v>
      </c>
      <c r="AG53" s="304">
        <f t="shared" si="84"/>
        <v>0</v>
      </c>
      <c r="AH53" s="309">
        <f t="shared" si="84"/>
        <v>0</v>
      </c>
      <c r="AI53" s="304"/>
      <c r="AJ53" s="333"/>
      <c r="AK53" s="335">
        <f t="shared" si="77"/>
        <v>3.9778260543860938E-2</v>
      </c>
      <c r="AL53" s="304"/>
      <c r="AM53" s="308">
        <f t="shared" si="85"/>
        <v>0</v>
      </c>
      <c r="AN53" s="304">
        <v>0</v>
      </c>
      <c r="AO53" s="309">
        <f t="shared" si="86"/>
        <v>0</v>
      </c>
      <c r="AP53" s="304"/>
      <c r="AQ53" s="305"/>
      <c r="AR53" s="305"/>
      <c r="AS53" s="304"/>
    </row>
    <row r="54" spans="1:45" x14ac:dyDescent="0.3">
      <c r="A54" s="85">
        <f t="shared" si="2"/>
        <v>47</v>
      </c>
      <c r="B54" s="709"/>
      <c r="C54" s="710" t="s">
        <v>6</v>
      </c>
      <c r="D54" s="156"/>
      <c r="E54" s="121">
        <f>ROUND('Rates in Detail'!AC45,5)</f>
        <v>4.0699999999999998E-3</v>
      </c>
      <c r="F54" s="121"/>
      <c r="G54" s="156"/>
      <c r="H54" s="368">
        <f>ROUND('Rates in Detail'!R45,5)</f>
        <v>0.10236000000000001</v>
      </c>
      <c r="I54" s="758">
        <f t="shared" si="9"/>
        <v>0.10643000000000001</v>
      </c>
      <c r="J54" s="156"/>
      <c r="K54" s="154"/>
      <c r="L54" s="155"/>
      <c r="M54" s="121"/>
      <c r="N54" s="121"/>
      <c r="O54" s="121"/>
      <c r="P54" s="758"/>
      <c r="Q54" s="156"/>
      <c r="R54" s="293">
        <f>'WA Volumes &amp; Revenues'!E47</f>
        <v>583779</v>
      </c>
      <c r="S54" s="306"/>
      <c r="T54" s="295"/>
      <c r="U54" s="296"/>
      <c r="V54" s="156"/>
      <c r="W54" s="308">
        <f t="shared" si="78"/>
        <v>59755.618440000006</v>
      </c>
      <c r="X54" s="304">
        <f t="shared" si="79"/>
        <v>0</v>
      </c>
      <c r="Y54" s="304">
        <f t="shared" si="80"/>
        <v>0</v>
      </c>
      <c r="Z54" s="309"/>
      <c r="AA54" s="304"/>
      <c r="AB54" s="308">
        <f t="shared" si="81"/>
        <v>62131.598970000006</v>
      </c>
      <c r="AC54" s="304">
        <f t="shared" si="82"/>
        <v>0</v>
      </c>
      <c r="AD54" s="309">
        <f t="shared" si="83"/>
        <v>0</v>
      </c>
      <c r="AE54" s="304"/>
      <c r="AF54" s="308">
        <f t="shared" si="84"/>
        <v>2375.9805300000007</v>
      </c>
      <c r="AG54" s="304">
        <f t="shared" si="84"/>
        <v>0</v>
      </c>
      <c r="AH54" s="309">
        <f t="shared" si="84"/>
        <v>0</v>
      </c>
      <c r="AI54" s="304"/>
      <c r="AJ54" s="333"/>
      <c r="AK54" s="335">
        <f t="shared" si="77"/>
        <v>3.9761625635013682E-2</v>
      </c>
      <c r="AL54" s="304"/>
      <c r="AM54" s="308">
        <f t="shared" si="85"/>
        <v>0</v>
      </c>
      <c r="AN54" s="304">
        <v>0</v>
      </c>
      <c r="AO54" s="309">
        <f t="shared" si="86"/>
        <v>0</v>
      </c>
      <c r="AP54" s="304"/>
      <c r="AQ54" s="305"/>
      <c r="AR54" s="305"/>
      <c r="AS54" s="304"/>
    </row>
    <row r="55" spans="1:45" x14ac:dyDescent="0.3">
      <c r="A55" s="85">
        <f t="shared" si="2"/>
        <v>48</v>
      </c>
      <c r="B55" s="709"/>
      <c r="C55" s="710" t="s">
        <v>7</v>
      </c>
      <c r="D55" s="156"/>
      <c r="E55" s="121">
        <f>ROUND('Rates in Detail'!AC46,5)</f>
        <v>3.2599999999999999E-3</v>
      </c>
      <c r="F55" s="121"/>
      <c r="G55" s="156"/>
      <c r="H55" s="368">
        <f>ROUND('Rates in Detail'!R46,5)</f>
        <v>8.1900000000000001E-2</v>
      </c>
      <c r="I55" s="758">
        <f t="shared" si="9"/>
        <v>8.516E-2</v>
      </c>
      <c r="J55" s="156"/>
      <c r="K55" s="154"/>
      <c r="L55" s="155"/>
      <c r="M55" s="121"/>
      <c r="N55" s="121"/>
      <c r="O55" s="121"/>
      <c r="P55" s="758"/>
      <c r="Q55" s="156"/>
      <c r="R55" s="293">
        <f>'WA Volumes &amp; Revenues'!E48</f>
        <v>598933</v>
      </c>
      <c r="S55" s="306"/>
      <c r="T55" s="295"/>
      <c r="U55" s="296"/>
      <c r="V55" s="156"/>
      <c r="W55" s="308">
        <f t="shared" si="78"/>
        <v>49052.612699999998</v>
      </c>
      <c r="X55" s="304">
        <f t="shared" si="79"/>
        <v>0</v>
      </c>
      <c r="Y55" s="304">
        <f t="shared" si="80"/>
        <v>0</v>
      </c>
      <c r="Z55" s="309"/>
      <c r="AA55" s="304"/>
      <c r="AB55" s="308">
        <f t="shared" si="81"/>
        <v>51005.134279999998</v>
      </c>
      <c r="AC55" s="304">
        <f t="shared" si="82"/>
        <v>0</v>
      </c>
      <c r="AD55" s="309">
        <f t="shared" si="83"/>
        <v>0</v>
      </c>
      <c r="AE55" s="304"/>
      <c r="AF55" s="308">
        <f t="shared" si="84"/>
        <v>1952.5215800000005</v>
      </c>
      <c r="AG55" s="304">
        <f t="shared" si="84"/>
        <v>0</v>
      </c>
      <c r="AH55" s="309">
        <f t="shared" si="84"/>
        <v>0</v>
      </c>
      <c r="AI55" s="304"/>
      <c r="AJ55" s="333"/>
      <c r="AK55" s="335">
        <f t="shared" si="77"/>
        <v>3.9804639804639816E-2</v>
      </c>
      <c r="AL55" s="304"/>
      <c r="AM55" s="308">
        <f t="shared" si="85"/>
        <v>0</v>
      </c>
      <c r="AN55" s="304">
        <v>0</v>
      </c>
      <c r="AO55" s="309">
        <f t="shared" si="86"/>
        <v>0</v>
      </c>
      <c r="AP55" s="304"/>
      <c r="AQ55" s="305"/>
      <c r="AR55" s="305"/>
      <c r="AS55" s="304"/>
    </row>
    <row r="56" spans="1:45" x14ac:dyDescent="0.3">
      <c r="A56" s="85">
        <f t="shared" si="2"/>
        <v>49</v>
      </c>
      <c r="B56" s="709"/>
      <c r="C56" s="710" t="s">
        <v>8</v>
      </c>
      <c r="D56" s="156"/>
      <c r="E56" s="121">
        <f>ROUND('Rates in Detail'!AC47,5)</f>
        <v>2.1700000000000001E-3</v>
      </c>
      <c r="F56" s="121"/>
      <c r="G56" s="156"/>
      <c r="H56" s="368">
        <f>ROUND('Rates in Detail'!R47,5)</f>
        <v>5.4600000000000003E-2</v>
      </c>
      <c r="I56" s="758">
        <f t="shared" si="9"/>
        <v>5.6770000000000001E-2</v>
      </c>
      <c r="J56" s="156"/>
      <c r="K56" s="154"/>
      <c r="L56" s="155"/>
      <c r="M56" s="121"/>
      <c r="N56" s="121"/>
      <c r="O56" s="121"/>
      <c r="P56" s="758"/>
      <c r="Q56" s="156"/>
      <c r="R56" s="293">
        <f>'WA Volumes &amp; Revenues'!E49</f>
        <v>0</v>
      </c>
      <c r="S56" s="306"/>
      <c r="T56" s="295"/>
      <c r="U56" s="296"/>
      <c r="V56" s="156"/>
      <c r="W56" s="308">
        <f t="shared" si="78"/>
        <v>0</v>
      </c>
      <c r="X56" s="304">
        <f t="shared" si="79"/>
        <v>0</v>
      </c>
      <c r="Y56" s="304">
        <f t="shared" si="80"/>
        <v>0</v>
      </c>
      <c r="Z56" s="309"/>
      <c r="AA56" s="304"/>
      <c r="AB56" s="308">
        <f t="shared" si="81"/>
        <v>0</v>
      </c>
      <c r="AC56" s="304">
        <f t="shared" si="82"/>
        <v>0</v>
      </c>
      <c r="AD56" s="309">
        <f t="shared" si="83"/>
        <v>0</v>
      </c>
      <c r="AE56" s="304"/>
      <c r="AF56" s="308">
        <f t="shared" si="84"/>
        <v>0</v>
      </c>
      <c r="AG56" s="304">
        <f t="shared" si="84"/>
        <v>0</v>
      </c>
      <c r="AH56" s="309">
        <f t="shared" si="84"/>
        <v>0</v>
      </c>
      <c r="AI56" s="304"/>
      <c r="AJ56" s="333"/>
      <c r="AK56" s="335" t="e">
        <f t="shared" si="77"/>
        <v>#DIV/0!</v>
      </c>
      <c r="AL56" s="304"/>
      <c r="AM56" s="308">
        <f t="shared" si="85"/>
        <v>0</v>
      </c>
      <c r="AN56" s="304">
        <v>0</v>
      </c>
      <c r="AO56" s="309">
        <f t="shared" si="86"/>
        <v>0</v>
      </c>
      <c r="AP56" s="304"/>
      <c r="AQ56" s="305"/>
      <c r="AR56" s="305"/>
      <c r="AS56" s="304"/>
    </row>
    <row r="57" spans="1:45" x14ac:dyDescent="0.3">
      <c r="A57" s="85">
        <f t="shared" si="2"/>
        <v>50</v>
      </c>
      <c r="B57" s="709"/>
      <c r="C57" s="710" t="s">
        <v>9</v>
      </c>
      <c r="D57" s="156"/>
      <c r="E57" s="121">
        <f>ROUND('Rates in Detail'!AC48,5)</f>
        <v>8.0999999999999996E-4</v>
      </c>
      <c r="F57" s="121"/>
      <c r="G57" s="156"/>
      <c r="H57" s="368">
        <f>ROUND('Rates in Detail'!R48,5)</f>
        <v>2.0469999999999999E-2</v>
      </c>
      <c r="I57" s="758">
        <f t="shared" si="9"/>
        <v>2.128E-2</v>
      </c>
      <c r="J57" s="156"/>
      <c r="K57" s="154"/>
      <c r="L57" s="155"/>
      <c r="M57" s="121"/>
      <c r="N57" s="121"/>
      <c r="O57" s="121"/>
      <c r="P57" s="758"/>
      <c r="Q57" s="156"/>
      <c r="R57" s="293">
        <f>'WA Volumes &amp; Revenues'!E50</f>
        <v>0</v>
      </c>
      <c r="S57" s="306"/>
      <c r="T57" s="295"/>
      <c r="U57" s="296"/>
      <c r="V57" s="156"/>
      <c r="W57" s="308">
        <f t="shared" si="78"/>
        <v>0</v>
      </c>
      <c r="X57" s="304">
        <f t="shared" si="79"/>
        <v>0</v>
      </c>
      <c r="Y57" s="304">
        <f t="shared" si="80"/>
        <v>0</v>
      </c>
      <c r="Z57" s="309"/>
      <c r="AA57" s="304"/>
      <c r="AB57" s="308">
        <f t="shared" si="81"/>
        <v>0</v>
      </c>
      <c r="AC57" s="304">
        <f t="shared" si="82"/>
        <v>0</v>
      </c>
      <c r="AD57" s="309">
        <f t="shared" si="83"/>
        <v>0</v>
      </c>
      <c r="AE57" s="304"/>
      <c r="AF57" s="308">
        <f t="shared" si="84"/>
        <v>0</v>
      </c>
      <c r="AG57" s="304">
        <f t="shared" si="84"/>
        <v>0</v>
      </c>
      <c r="AH57" s="309">
        <f t="shared" si="84"/>
        <v>0</v>
      </c>
      <c r="AI57" s="304"/>
      <c r="AJ57" s="333"/>
      <c r="AK57" s="335" t="e">
        <f>AK56</f>
        <v>#DIV/0!</v>
      </c>
      <c r="AL57" s="304"/>
      <c r="AM57" s="308">
        <f t="shared" si="85"/>
        <v>0</v>
      </c>
      <c r="AN57" s="304">
        <v>0</v>
      </c>
      <c r="AO57" s="309">
        <f t="shared" si="86"/>
        <v>0</v>
      </c>
      <c r="AP57" s="304"/>
      <c r="AQ57" s="313"/>
      <c r="AR57" s="305"/>
      <c r="AS57" s="304"/>
    </row>
    <row r="58" spans="1:45" x14ac:dyDescent="0.3">
      <c r="A58" s="85">
        <f t="shared" si="2"/>
        <v>51</v>
      </c>
      <c r="B58" s="707"/>
      <c r="C58" s="726" t="s">
        <v>76</v>
      </c>
      <c r="D58" s="152"/>
      <c r="E58" s="122"/>
      <c r="F58" s="122"/>
      <c r="G58" s="152"/>
      <c r="H58" s="363"/>
      <c r="I58" s="757"/>
      <c r="J58" s="156"/>
      <c r="K58" s="154"/>
      <c r="L58" s="155"/>
      <c r="M58" s="121"/>
      <c r="N58" s="121"/>
      <c r="O58" s="121"/>
      <c r="P58" s="758"/>
      <c r="Q58" s="156"/>
      <c r="R58" s="293"/>
      <c r="S58" s="306"/>
      <c r="T58" s="295"/>
      <c r="U58" s="296"/>
      <c r="V58" s="156"/>
      <c r="W58" s="310">
        <f>SUM(W52:W57)</f>
        <v>288225.19368000003</v>
      </c>
      <c r="X58" s="311">
        <f>SUM(X52:X57)</f>
        <v>74400</v>
      </c>
      <c r="Y58" s="311">
        <f>SUM(Y52:Y57)</f>
        <v>19802.795040000001</v>
      </c>
      <c r="Z58" s="312">
        <f>'Rate Spread SETTLEMENT'!S$76-SUM(W58:Y58)</f>
        <v>3.7846199999330565</v>
      </c>
      <c r="AA58" s="304"/>
      <c r="AB58" s="310">
        <f>SUM(AB52:AB57)</f>
        <v>299694.55804999999</v>
      </c>
      <c r="AC58" s="311">
        <f>SUM(AC52:AC57)</f>
        <v>74400</v>
      </c>
      <c r="AD58" s="312">
        <f>SUM(AD52:AD57)</f>
        <v>19802.795040000001</v>
      </c>
      <c r="AE58" s="304"/>
      <c r="AF58" s="310">
        <f>SUM(AF52:AF57)</f>
        <v>11469.364369999996</v>
      </c>
      <c r="AG58" s="311">
        <f>SUM(AG52:AG57)</f>
        <v>0</v>
      </c>
      <c r="AH58" s="312">
        <f>SUM(AH52:AH57)</f>
        <v>0</v>
      </c>
      <c r="AI58" s="304"/>
      <c r="AJ58" s="333">
        <f>SUM(AF58:AH58)/SUM(W58:Y58)</f>
        <v>2.9990912559481754E-2</v>
      </c>
      <c r="AK58" s="334">
        <f t="shared" ref="AK58:AK70" si="87">SUM(AF58)/SUM(W58)</f>
        <v>3.9793066746045026E-2</v>
      </c>
      <c r="AL58" s="304"/>
      <c r="AM58" s="310">
        <f>SUM(AM52:AM57)</f>
        <v>0</v>
      </c>
      <c r="AN58" s="311">
        <f>SUM(AN52:AN57)</f>
        <v>0</v>
      </c>
      <c r="AO58" s="312">
        <f>SUM(AO52:AO57)</f>
        <v>0</v>
      </c>
      <c r="AP58" s="304"/>
      <c r="AQ58" s="305"/>
      <c r="AR58" s="305"/>
      <c r="AS58" s="304"/>
    </row>
    <row r="59" spans="1:45" x14ac:dyDescent="0.3">
      <c r="A59" s="85">
        <f t="shared" si="2"/>
        <v>52</v>
      </c>
      <c r="B59" s="709" t="str">
        <f>'WA Volumes &amp; Revenues'!B51</f>
        <v>42I Firm Transpt</v>
      </c>
      <c r="C59" s="710" t="s">
        <v>4</v>
      </c>
      <c r="D59" s="156"/>
      <c r="E59" s="121">
        <f>ROUND('Rates in Detail'!AC49,5)</f>
        <v>3.96E-3</v>
      </c>
      <c r="F59" s="121"/>
      <c r="G59" s="156"/>
      <c r="H59" s="368">
        <f>ROUND('Rates in Detail'!R49,5)</f>
        <v>0.14807999999999999</v>
      </c>
      <c r="I59" s="758">
        <f t="shared" si="9"/>
        <v>0.15203999999999998</v>
      </c>
      <c r="J59" s="156"/>
      <c r="K59" s="154">
        <f>'WA Volumes &amp; Revenues'!O51</f>
        <v>1550</v>
      </c>
      <c r="L59" s="155">
        <f>'WA Volumes &amp; Revenues'!N51</f>
        <v>1550</v>
      </c>
      <c r="M59" s="121">
        <f>'Rates in Detail'!AR49</f>
        <v>0.15748000000000001</v>
      </c>
      <c r="N59" s="121">
        <f>'Rates in Detail'!AS49</f>
        <v>0.15748000000000001</v>
      </c>
      <c r="O59" s="121">
        <f>'Rates in Detail'!AT49</f>
        <v>0</v>
      </c>
      <c r="P59" s="758">
        <f>'Rates in Detail'!AU49</f>
        <v>0</v>
      </c>
      <c r="Q59" s="156"/>
      <c r="R59" s="293">
        <f>'WA Volumes &amp; Revenues'!E51</f>
        <v>924395</v>
      </c>
      <c r="S59" s="306">
        <v>26810</v>
      </c>
      <c r="T59" s="295">
        <f>'WA Volumes &amp; Revenues'!H51</f>
        <v>8.9166666666666661</v>
      </c>
      <c r="U59" s="296">
        <f>'WA Volumes &amp; Revenues'!I51</f>
        <v>63374</v>
      </c>
      <c r="V59" s="156"/>
      <c r="W59" s="308">
        <f t="shared" ref="W59:W64" si="88">(H59*R59)</f>
        <v>136884.41159999999</v>
      </c>
      <c r="X59" s="304">
        <f t="shared" ref="X59:X64" si="89">(K59*T59*12)</f>
        <v>165850</v>
      </c>
      <c r="Y59" s="304">
        <f t="shared" ref="Y59:Y64" si="90">(S59*(M59+O59))*12</f>
        <v>50664.465600000003</v>
      </c>
      <c r="Z59" s="309"/>
      <c r="AA59" s="304"/>
      <c r="AB59" s="308">
        <f t="shared" ref="AB59:AB64" si="91">(I59*R59)</f>
        <v>140545.01579999999</v>
      </c>
      <c r="AC59" s="304">
        <f t="shared" ref="AC59:AC64" si="92">(L59*T59*12)</f>
        <v>165850</v>
      </c>
      <c r="AD59" s="309">
        <f t="shared" ref="AD59:AD64" si="93">(S59*(N59+P59))*12</f>
        <v>50664.465600000003</v>
      </c>
      <c r="AE59" s="304"/>
      <c r="AF59" s="308">
        <f t="shared" ref="AF59:AH64" si="94">AB59-W59</f>
        <v>3660.6042000000016</v>
      </c>
      <c r="AG59" s="304">
        <f t="shared" si="94"/>
        <v>0</v>
      </c>
      <c r="AH59" s="309">
        <f t="shared" si="94"/>
        <v>0</v>
      </c>
      <c r="AI59" s="304"/>
      <c r="AJ59" s="333"/>
      <c r="AK59" s="335">
        <f t="shared" si="87"/>
        <v>2.6742301458671E-2</v>
      </c>
      <c r="AL59" s="304"/>
      <c r="AM59" s="308">
        <f t="shared" ref="AM59:AM64" si="95">(F59*R59)</f>
        <v>0</v>
      </c>
      <c r="AN59" s="304">
        <v>0</v>
      </c>
      <c r="AO59" s="309">
        <f t="shared" ref="AO59:AO64" si="96">(AE59*(Y59+AB59))*12</f>
        <v>0</v>
      </c>
      <c r="AP59" s="304"/>
      <c r="AQ59" s="305"/>
      <c r="AR59" s="305"/>
      <c r="AS59" s="304"/>
    </row>
    <row r="60" spans="1:45" x14ac:dyDescent="0.3">
      <c r="A60" s="85">
        <f t="shared" si="2"/>
        <v>53</v>
      </c>
      <c r="B60" s="709"/>
      <c r="C60" s="710" t="s">
        <v>5</v>
      </c>
      <c r="D60" s="156"/>
      <c r="E60" s="121">
        <f>ROUND('Rates in Detail'!AC50,5)</f>
        <v>3.5400000000000002E-3</v>
      </c>
      <c r="F60" s="121"/>
      <c r="G60" s="156"/>
      <c r="H60" s="368">
        <f>ROUND('Rates in Detail'!R50,5)</f>
        <v>0.13255</v>
      </c>
      <c r="I60" s="758">
        <f t="shared" si="9"/>
        <v>0.13608999999999999</v>
      </c>
      <c r="J60" s="156"/>
      <c r="K60" s="154"/>
      <c r="L60" s="155"/>
      <c r="M60" s="121"/>
      <c r="N60" s="121"/>
      <c r="O60" s="121"/>
      <c r="P60" s="758"/>
      <c r="Q60" s="156"/>
      <c r="R60" s="293">
        <f>'WA Volumes &amp; Revenues'!E52</f>
        <v>1036796</v>
      </c>
      <c r="S60" s="306"/>
      <c r="T60" s="295"/>
      <c r="U60" s="296"/>
      <c r="V60" s="156"/>
      <c r="W60" s="308">
        <f t="shared" si="88"/>
        <v>137427.30979999999</v>
      </c>
      <c r="X60" s="304">
        <f t="shared" si="89"/>
        <v>0</v>
      </c>
      <c r="Y60" s="304">
        <f t="shared" si="90"/>
        <v>0</v>
      </c>
      <c r="Z60" s="309"/>
      <c r="AA60" s="304"/>
      <c r="AB60" s="308">
        <f t="shared" si="91"/>
        <v>141097.56763999999</v>
      </c>
      <c r="AC60" s="304">
        <f t="shared" si="92"/>
        <v>0</v>
      </c>
      <c r="AD60" s="309">
        <f t="shared" si="93"/>
        <v>0</v>
      </c>
      <c r="AE60" s="304"/>
      <c r="AF60" s="308">
        <f t="shared" si="94"/>
        <v>3670.2578400000057</v>
      </c>
      <c r="AG60" s="304">
        <f t="shared" si="94"/>
        <v>0</v>
      </c>
      <c r="AH60" s="309">
        <f t="shared" si="94"/>
        <v>0</v>
      </c>
      <c r="AI60" s="304"/>
      <c r="AJ60" s="333"/>
      <c r="AK60" s="335">
        <f t="shared" si="87"/>
        <v>2.6706903055450818E-2</v>
      </c>
      <c r="AL60" s="304"/>
      <c r="AM60" s="308">
        <f t="shared" si="95"/>
        <v>0</v>
      </c>
      <c r="AN60" s="304">
        <v>0</v>
      </c>
      <c r="AO60" s="309">
        <f t="shared" si="96"/>
        <v>0</v>
      </c>
      <c r="AP60" s="304"/>
      <c r="AQ60" s="305"/>
      <c r="AR60" s="305"/>
      <c r="AS60" s="304"/>
    </row>
    <row r="61" spans="1:45" x14ac:dyDescent="0.3">
      <c r="A61" s="85">
        <f t="shared" si="2"/>
        <v>54</v>
      </c>
      <c r="B61" s="709"/>
      <c r="C61" s="710" t="s">
        <v>6</v>
      </c>
      <c r="D61" s="156"/>
      <c r="E61" s="121">
        <f>ROUND('Rates in Detail'!AC51,5)</f>
        <v>2.7200000000000002E-3</v>
      </c>
      <c r="F61" s="121"/>
      <c r="G61" s="156"/>
      <c r="H61" s="368">
        <f>ROUND('Rates in Detail'!R51,5)</f>
        <v>0.10163999999999999</v>
      </c>
      <c r="I61" s="758">
        <f t="shared" si="9"/>
        <v>0.10435999999999999</v>
      </c>
      <c r="J61" s="156"/>
      <c r="K61" s="154"/>
      <c r="L61" s="155"/>
      <c r="M61" s="121"/>
      <c r="N61" s="121"/>
      <c r="O61" s="121"/>
      <c r="P61" s="758"/>
      <c r="Q61" s="156"/>
      <c r="R61" s="293">
        <f>'WA Volumes &amp; Revenues'!E53</f>
        <v>937215</v>
      </c>
      <c r="S61" s="306"/>
      <c r="T61" s="295"/>
      <c r="U61" s="296"/>
      <c r="V61" s="156"/>
      <c r="W61" s="308">
        <f t="shared" si="88"/>
        <v>95258.532599999991</v>
      </c>
      <c r="X61" s="304">
        <f t="shared" si="89"/>
        <v>0</v>
      </c>
      <c r="Y61" s="304">
        <f t="shared" si="90"/>
        <v>0</v>
      </c>
      <c r="Z61" s="309"/>
      <c r="AA61" s="304"/>
      <c r="AB61" s="308">
        <f t="shared" si="91"/>
        <v>97807.757399999988</v>
      </c>
      <c r="AC61" s="304">
        <f t="shared" si="92"/>
        <v>0</v>
      </c>
      <c r="AD61" s="309">
        <f t="shared" si="93"/>
        <v>0</v>
      </c>
      <c r="AE61" s="304"/>
      <c r="AF61" s="308">
        <f t="shared" si="94"/>
        <v>2549.2247999999963</v>
      </c>
      <c r="AG61" s="304">
        <f t="shared" si="94"/>
        <v>0</v>
      </c>
      <c r="AH61" s="309">
        <f t="shared" si="94"/>
        <v>0</v>
      </c>
      <c r="AI61" s="304"/>
      <c r="AJ61" s="333"/>
      <c r="AK61" s="335">
        <f t="shared" si="87"/>
        <v>2.6761117670208542E-2</v>
      </c>
      <c r="AL61" s="304"/>
      <c r="AM61" s="308">
        <f t="shared" si="95"/>
        <v>0</v>
      </c>
      <c r="AN61" s="304">
        <v>0</v>
      </c>
      <c r="AO61" s="309">
        <f t="shared" si="96"/>
        <v>0</v>
      </c>
      <c r="AP61" s="304"/>
      <c r="AQ61" s="305"/>
      <c r="AR61" s="305"/>
      <c r="AS61" s="304"/>
    </row>
    <row r="62" spans="1:45" x14ac:dyDescent="0.3">
      <c r="A62" s="85">
        <f t="shared" si="2"/>
        <v>55</v>
      </c>
      <c r="B62" s="709"/>
      <c r="C62" s="710" t="s">
        <v>7</v>
      </c>
      <c r="D62" s="156"/>
      <c r="E62" s="121">
        <f>ROUND('Rates in Detail'!AC52,5)</f>
        <v>2.1700000000000001E-3</v>
      </c>
      <c r="F62" s="121"/>
      <c r="G62" s="156"/>
      <c r="H62" s="368">
        <f>ROUND('Rates in Detail'!R52,5)</f>
        <v>8.1320000000000003E-2</v>
      </c>
      <c r="I62" s="758">
        <f t="shared" si="9"/>
        <v>8.3490000000000009E-2</v>
      </c>
      <c r="J62" s="156"/>
      <c r="K62" s="154"/>
      <c r="L62" s="155"/>
      <c r="M62" s="121"/>
      <c r="N62" s="121"/>
      <c r="O62" s="121"/>
      <c r="P62" s="758"/>
      <c r="Q62" s="156"/>
      <c r="R62" s="293">
        <f>'WA Volumes &amp; Revenues'!E54</f>
        <v>2390318</v>
      </c>
      <c r="S62" s="306"/>
      <c r="T62" s="295"/>
      <c r="U62" s="296"/>
      <c r="V62" s="156"/>
      <c r="W62" s="308">
        <f t="shared" si="88"/>
        <v>194380.65976000001</v>
      </c>
      <c r="X62" s="304">
        <f t="shared" si="89"/>
        <v>0</v>
      </c>
      <c r="Y62" s="304">
        <f t="shared" si="90"/>
        <v>0</v>
      </c>
      <c r="Z62" s="309"/>
      <c r="AA62" s="304"/>
      <c r="AB62" s="308">
        <f t="shared" si="91"/>
        <v>199567.64982000002</v>
      </c>
      <c r="AC62" s="304">
        <f t="shared" si="92"/>
        <v>0</v>
      </c>
      <c r="AD62" s="309">
        <f t="shared" si="93"/>
        <v>0</v>
      </c>
      <c r="AE62" s="304"/>
      <c r="AF62" s="308">
        <f t="shared" si="94"/>
        <v>5186.990060000011</v>
      </c>
      <c r="AG62" s="304">
        <f t="shared" si="94"/>
        <v>0</v>
      </c>
      <c r="AH62" s="309">
        <f t="shared" si="94"/>
        <v>0</v>
      </c>
      <c r="AI62" s="304"/>
      <c r="AJ62" s="333"/>
      <c r="AK62" s="335">
        <f t="shared" si="87"/>
        <v>2.6684702410231239E-2</v>
      </c>
      <c r="AL62" s="304"/>
      <c r="AM62" s="308">
        <f t="shared" si="95"/>
        <v>0</v>
      </c>
      <c r="AN62" s="304">
        <v>0</v>
      </c>
      <c r="AO62" s="309">
        <f t="shared" si="96"/>
        <v>0</v>
      </c>
      <c r="AP62" s="304"/>
      <c r="AQ62" s="305"/>
      <c r="AR62" s="305"/>
      <c r="AS62" s="304"/>
    </row>
    <row r="63" spans="1:45" x14ac:dyDescent="0.3">
      <c r="A63" s="85">
        <f t="shared" si="2"/>
        <v>56</v>
      </c>
      <c r="B63" s="709"/>
      <c r="C63" s="710" t="s">
        <v>8</v>
      </c>
      <c r="D63" s="156"/>
      <c r="E63" s="121">
        <f>ROUND('Rates in Detail'!AC53,5)</f>
        <v>1.4499999999999999E-3</v>
      </c>
      <c r="F63" s="121"/>
      <c r="G63" s="156"/>
      <c r="H63" s="368">
        <f>ROUND('Rates in Detail'!R53,5)</f>
        <v>5.4210000000000001E-2</v>
      </c>
      <c r="I63" s="758">
        <f t="shared" si="9"/>
        <v>5.5660000000000001E-2</v>
      </c>
      <c r="J63" s="156"/>
      <c r="K63" s="154"/>
      <c r="L63" s="155"/>
      <c r="M63" s="121"/>
      <c r="N63" s="121"/>
      <c r="O63" s="121"/>
      <c r="P63" s="758"/>
      <c r="Q63" s="156"/>
      <c r="R63" s="293">
        <f>'WA Volumes &amp; Revenues'!E55</f>
        <v>1492257</v>
      </c>
      <c r="S63" s="306"/>
      <c r="T63" s="295"/>
      <c r="U63" s="296"/>
      <c r="V63" s="156"/>
      <c r="W63" s="308">
        <f t="shared" si="88"/>
        <v>80895.251969999998</v>
      </c>
      <c r="X63" s="304">
        <f t="shared" si="89"/>
        <v>0</v>
      </c>
      <c r="Y63" s="304">
        <f t="shared" si="90"/>
        <v>0</v>
      </c>
      <c r="Z63" s="309"/>
      <c r="AA63" s="304"/>
      <c r="AB63" s="308">
        <f t="shared" si="91"/>
        <v>83059.024619999997</v>
      </c>
      <c r="AC63" s="304">
        <f t="shared" si="92"/>
        <v>0</v>
      </c>
      <c r="AD63" s="309">
        <f t="shared" si="93"/>
        <v>0</v>
      </c>
      <c r="AE63" s="304"/>
      <c r="AF63" s="308">
        <f t="shared" si="94"/>
        <v>2163.772649999999</v>
      </c>
      <c r="AG63" s="304">
        <f t="shared" si="94"/>
        <v>0</v>
      </c>
      <c r="AH63" s="309">
        <f t="shared" si="94"/>
        <v>0</v>
      </c>
      <c r="AI63" s="304"/>
      <c r="AJ63" s="333"/>
      <c r="AK63" s="335">
        <f t="shared" si="87"/>
        <v>2.6747832503228174E-2</v>
      </c>
      <c r="AL63" s="304"/>
      <c r="AM63" s="308">
        <f t="shared" si="95"/>
        <v>0</v>
      </c>
      <c r="AN63" s="304">
        <v>0</v>
      </c>
      <c r="AO63" s="309">
        <f t="shared" si="96"/>
        <v>0</v>
      </c>
      <c r="AP63" s="304"/>
      <c r="AQ63" s="305"/>
      <c r="AR63" s="305"/>
      <c r="AS63" s="304"/>
    </row>
    <row r="64" spans="1:45" x14ac:dyDescent="0.3">
      <c r="A64" s="85">
        <f t="shared" si="2"/>
        <v>57</v>
      </c>
      <c r="B64" s="709"/>
      <c r="C64" s="710" t="s">
        <v>9</v>
      </c>
      <c r="D64" s="156"/>
      <c r="E64" s="121">
        <f>ROUND('Rates in Detail'!AC54,5)</f>
        <v>5.4000000000000001E-4</v>
      </c>
      <c r="F64" s="121"/>
      <c r="G64" s="156"/>
      <c r="H64" s="368">
        <f>ROUND('Rates in Detail'!R54,5)</f>
        <v>2.0330000000000001E-2</v>
      </c>
      <c r="I64" s="758">
        <f t="shared" si="9"/>
        <v>2.087E-2</v>
      </c>
      <c r="J64" s="156"/>
      <c r="K64" s="154"/>
      <c r="L64" s="155"/>
      <c r="M64" s="121"/>
      <c r="N64" s="121"/>
      <c r="O64" s="121"/>
      <c r="P64" s="758"/>
      <c r="Q64" s="156"/>
      <c r="R64" s="293">
        <f>'WA Volumes &amp; Revenues'!E56</f>
        <v>0</v>
      </c>
      <c r="S64" s="306"/>
      <c r="T64" s="295"/>
      <c r="U64" s="296"/>
      <c r="V64" s="156"/>
      <c r="W64" s="308">
        <f t="shared" si="88"/>
        <v>0</v>
      </c>
      <c r="X64" s="304">
        <f t="shared" si="89"/>
        <v>0</v>
      </c>
      <c r="Y64" s="304">
        <f t="shared" si="90"/>
        <v>0</v>
      </c>
      <c r="Z64" s="309"/>
      <c r="AA64" s="304"/>
      <c r="AB64" s="308">
        <f t="shared" si="91"/>
        <v>0</v>
      </c>
      <c r="AC64" s="304">
        <f t="shared" si="92"/>
        <v>0</v>
      </c>
      <c r="AD64" s="309">
        <f t="shared" si="93"/>
        <v>0</v>
      </c>
      <c r="AE64" s="304"/>
      <c r="AF64" s="308">
        <f t="shared" si="94"/>
        <v>0</v>
      </c>
      <c r="AG64" s="304">
        <f t="shared" si="94"/>
        <v>0</v>
      </c>
      <c r="AH64" s="309">
        <f t="shared" si="94"/>
        <v>0</v>
      </c>
      <c r="AI64" s="304"/>
      <c r="AJ64" s="333"/>
      <c r="AK64" s="335" t="e">
        <f t="shared" si="87"/>
        <v>#DIV/0!</v>
      </c>
      <c r="AL64" s="304"/>
      <c r="AM64" s="308">
        <f t="shared" si="95"/>
        <v>0</v>
      </c>
      <c r="AN64" s="304">
        <v>0</v>
      </c>
      <c r="AO64" s="309">
        <f t="shared" si="96"/>
        <v>0</v>
      </c>
      <c r="AP64" s="304"/>
      <c r="AQ64" s="305"/>
      <c r="AR64" s="305"/>
      <c r="AS64" s="304"/>
    </row>
    <row r="65" spans="1:45" x14ac:dyDescent="0.3">
      <c r="A65" s="85">
        <f t="shared" si="2"/>
        <v>58</v>
      </c>
      <c r="B65" s="707"/>
      <c r="C65" s="726" t="s">
        <v>76</v>
      </c>
      <c r="D65" s="152"/>
      <c r="E65" s="122"/>
      <c r="F65" s="122"/>
      <c r="G65" s="152"/>
      <c r="H65" s="363"/>
      <c r="I65" s="757"/>
      <c r="J65" s="156"/>
      <c r="K65" s="154"/>
      <c r="L65" s="155"/>
      <c r="M65" s="121"/>
      <c r="N65" s="121"/>
      <c r="O65" s="121"/>
      <c r="P65" s="758"/>
      <c r="Q65" s="156"/>
      <c r="R65" s="293"/>
      <c r="S65" s="306"/>
      <c r="T65" s="295"/>
      <c r="U65" s="296"/>
      <c r="V65" s="156"/>
      <c r="W65" s="310">
        <f>SUM(W59:W64)</f>
        <v>644846.16572999989</v>
      </c>
      <c r="X65" s="311">
        <f>SUM(X59:X64)</f>
        <v>165850</v>
      </c>
      <c r="Y65" s="311">
        <f>SUM(Y59:Y64)</f>
        <v>50664.465600000003</v>
      </c>
      <c r="Z65" s="312">
        <f>'Rate Spread SETTLEMENT'!T$76-SUM(W65:Y65)</f>
        <v>14.202763517270796</v>
      </c>
      <c r="AA65" s="304"/>
      <c r="AB65" s="310">
        <f>SUM(AB59:AB64)</f>
        <v>662077.01528000005</v>
      </c>
      <c r="AC65" s="311">
        <f>SUM(AC59:AC64)</f>
        <v>165850</v>
      </c>
      <c r="AD65" s="312">
        <f>SUM(AD59:AD64)</f>
        <v>50664.465600000003</v>
      </c>
      <c r="AE65" s="304"/>
      <c r="AF65" s="310">
        <f>SUM(AF59:AF64)</f>
        <v>17230.849550000014</v>
      </c>
      <c r="AG65" s="311">
        <f>SUM(AG59:AG64)</f>
        <v>0</v>
      </c>
      <c r="AH65" s="312">
        <f>SUM(AH59:AH64)</f>
        <v>0</v>
      </c>
      <c r="AI65" s="304"/>
      <c r="AJ65" s="333">
        <f>SUM(AF65:AH65)/SUM(W65:Y65)</f>
        <v>2.0004222300471754E-2</v>
      </c>
      <c r="AK65" s="334">
        <f t="shared" si="87"/>
        <v>2.6720868426803442E-2</v>
      </c>
      <c r="AL65" s="304"/>
      <c r="AM65" s="310">
        <f>SUM(AM59:AM64)</f>
        <v>0</v>
      </c>
      <c r="AN65" s="311">
        <f>SUM(AN59:AN64)</f>
        <v>0</v>
      </c>
      <c r="AO65" s="312">
        <f>SUM(AO59:AO64)</f>
        <v>0</v>
      </c>
      <c r="AP65" s="304"/>
      <c r="AQ65" s="305"/>
      <c r="AR65" s="305"/>
      <c r="AS65" s="304"/>
    </row>
    <row r="66" spans="1:45" x14ac:dyDescent="0.3">
      <c r="A66" s="85">
        <f t="shared" si="2"/>
        <v>59</v>
      </c>
      <c r="B66" s="709" t="str">
        <f>'WA Volumes &amp; Revenues'!B57</f>
        <v>42C Interr Sales</v>
      </c>
      <c r="C66" s="710" t="s">
        <v>4</v>
      </c>
      <c r="D66" s="156"/>
      <c r="E66" s="121">
        <f>ROUND('Rates in Detail'!AC55,5)</f>
        <v>1.2449999999999999E-2</v>
      </c>
      <c r="F66" s="121"/>
      <c r="G66" s="156"/>
      <c r="H66" s="368">
        <f>ROUND('Rates in Detail'!R55,5)</f>
        <v>0.15742</v>
      </c>
      <c r="I66" s="758">
        <f t="shared" si="9"/>
        <v>0.16986999999999999</v>
      </c>
      <c r="J66" s="156"/>
      <c r="K66" s="154">
        <f>'WA Volumes &amp; Revenues'!O57</f>
        <v>1300</v>
      </c>
      <c r="L66" s="155">
        <f>'WA Volumes &amp; Revenues'!N57</f>
        <v>1300</v>
      </c>
      <c r="M66" s="121">
        <f>'Rates in Detail'!AR55</f>
        <v>0</v>
      </c>
      <c r="N66" s="121">
        <f>'Rates in Detail'!AS55</f>
        <v>0</v>
      </c>
      <c r="O66" s="121">
        <f>'Rates in Detail'!AT55</f>
        <v>0</v>
      </c>
      <c r="P66" s="758">
        <f>'Rates in Detail'!AU55</f>
        <v>0</v>
      </c>
      <c r="Q66" s="156"/>
      <c r="R66" s="293">
        <f>'WA Volumes &amp; Revenues'!E57</f>
        <v>240000</v>
      </c>
      <c r="S66" s="306">
        <v>4620</v>
      </c>
      <c r="T66" s="295">
        <f>'WA Volumes &amp; Revenues'!H57</f>
        <v>2</v>
      </c>
      <c r="U66" s="296">
        <f>'WA Volumes &amp; Revenues'!I57</f>
        <v>39322</v>
      </c>
      <c r="V66" s="156"/>
      <c r="W66" s="308">
        <f t="shared" ref="W66:W71" si="97">(H66*R66)</f>
        <v>37780.800000000003</v>
      </c>
      <c r="X66" s="304">
        <f t="shared" ref="X66:X71" si="98">(K66*T66*12)</f>
        <v>31200</v>
      </c>
      <c r="Y66" s="304">
        <f t="shared" ref="Y66:Y71" si="99">(S66*(M66+O66))*12</f>
        <v>0</v>
      </c>
      <c r="Z66" s="309"/>
      <c r="AA66" s="304"/>
      <c r="AB66" s="308">
        <f t="shared" ref="AB66:AB71" si="100">(I66*R66)</f>
        <v>40768.799999999996</v>
      </c>
      <c r="AC66" s="304">
        <f t="shared" ref="AC66:AC71" si="101">(L66*T66*12)</f>
        <v>31200</v>
      </c>
      <c r="AD66" s="309">
        <f t="shared" ref="AD66:AD71" si="102">(S66*(N66+P66))*12</f>
        <v>0</v>
      </c>
      <c r="AE66" s="304"/>
      <c r="AF66" s="308">
        <f t="shared" ref="AF66:AH71" si="103">AB66-W66</f>
        <v>2987.9999999999927</v>
      </c>
      <c r="AG66" s="304">
        <f t="shared" si="103"/>
        <v>0</v>
      </c>
      <c r="AH66" s="309">
        <f t="shared" si="103"/>
        <v>0</v>
      </c>
      <c r="AI66" s="304"/>
      <c r="AJ66" s="333"/>
      <c r="AK66" s="335">
        <f t="shared" si="87"/>
        <v>7.9087790623808718E-2</v>
      </c>
      <c r="AL66" s="304"/>
      <c r="AM66" s="308">
        <f t="shared" ref="AM66:AM71" si="104">(F66*R66)</f>
        <v>0</v>
      </c>
      <c r="AN66" s="304">
        <v>0</v>
      </c>
      <c r="AO66" s="309">
        <f t="shared" ref="AO66:AO71" si="105">(AE66*(Y66+AB66))*12</f>
        <v>0</v>
      </c>
      <c r="AP66" s="304"/>
      <c r="AQ66" s="305"/>
      <c r="AR66" s="305"/>
      <c r="AS66" s="304"/>
    </row>
    <row r="67" spans="1:45" x14ac:dyDescent="0.3">
      <c r="A67" s="85">
        <f t="shared" si="2"/>
        <v>60</v>
      </c>
      <c r="B67" s="709"/>
      <c r="C67" s="710" t="s">
        <v>5</v>
      </c>
      <c r="D67" s="156"/>
      <c r="E67" s="121">
        <f>ROUND('Rates in Detail'!AC56,5)</f>
        <v>1.1140000000000001E-2</v>
      </c>
      <c r="F67" s="121"/>
      <c r="G67" s="156"/>
      <c r="H67" s="368">
        <f>ROUND('Rates in Detail'!R56,5)</f>
        <v>0.14091999999999999</v>
      </c>
      <c r="I67" s="758">
        <f t="shared" si="9"/>
        <v>0.15206</v>
      </c>
      <c r="J67" s="156"/>
      <c r="K67" s="727"/>
      <c r="L67" s="367"/>
      <c r="M67" s="121"/>
      <c r="N67" s="121"/>
      <c r="O67" s="121"/>
      <c r="P67" s="758"/>
      <c r="Q67" s="156"/>
      <c r="R67" s="293">
        <f>'WA Volumes &amp; Revenues'!E58</f>
        <v>467511</v>
      </c>
      <c r="S67" s="306"/>
      <c r="T67" s="295"/>
      <c r="U67" s="296"/>
      <c r="V67" s="156"/>
      <c r="W67" s="308">
        <f t="shared" si="97"/>
        <v>65881.650119999991</v>
      </c>
      <c r="X67" s="304">
        <f t="shared" si="98"/>
        <v>0</v>
      </c>
      <c r="Y67" s="304">
        <f t="shared" si="99"/>
        <v>0</v>
      </c>
      <c r="Z67" s="309"/>
      <c r="AA67" s="304"/>
      <c r="AB67" s="308">
        <f t="shared" si="100"/>
        <v>71089.722659999999</v>
      </c>
      <c r="AC67" s="304">
        <f t="shared" si="101"/>
        <v>0</v>
      </c>
      <c r="AD67" s="309">
        <f t="shared" si="102"/>
        <v>0</v>
      </c>
      <c r="AE67" s="304"/>
      <c r="AF67" s="308">
        <f t="shared" si="103"/>
        <v>5208.0725400000083</v>
      </c>
      <c r="AG67" s="304">
        <f t="shared" si="103"/>
        <v>0</v>
      </c>
      <c r="AH67" s="309">
        <f t="shared" si="103"/>
        <v>0</v>
      </c>
      <c r="AI67" s="304"/>
      <c r="AJ67" s="333"/>
      <c r="AK67" s="335">
        <f t="shared" si="87"/>
        <v>7.9051944365597634E-2</v>
      </c>
      <c r="AL67" s="304"/>
      <c r="AM67" s="308">
        <f t="shared" si="104"/>
        <v>0</v>
      </c>
      <c r="AN67" s="304">
        <v>0</v>
      </c>
      <c r="AO67" s="309">
        <f t="shared" si="105"/>
        <v>0</v>
      </c>
      <c r="AP67" s="304"/>
      <c r="AQ67" s="305"/>
      <c r="AR67" s="305"/>
      <c r="AS67" s="304"/>
    </row>
    <row r="68" spans="1:45" x14ac:dyDescent="0.3">
      <c r="A68" s="85">
        <f t="shared" si="2"/>
        <v>61</v>
      </c>
      <c r="B68" s="709"/>
      <c r="C68" s="710" t="s">
        <v>6</v>
      </c>
      <c r="D68" s="156"/>
      <c r="E68" s="121">
        <f>ROUND('Rates in Detail'!AC57,5)</f>
        <v>8.5400000000000007E-3</v>
      </c>
      <c r="F68" s="121"/>
      <c r="G68" s="156"/>
      <c r="H68" s="368">
        <f>ROUND('Rates in Detail'!R57,5)</f>
        <v>0.10804999999999999</v>
      </c>
      <c r="I68" s="758">
        <f t="shared" si="9"/>
        <v>0.11659</v>
      </c>
      <c r="J68" s="156"/>
      <c r="K68" s="154"/>
      <c r="L68" s="155"/>
      <c r="M68" s="121"/>
      <c r="N68" s="121"/>
      <c r="O68" s="121"/>
      <c r="P68" s="758"/>
      <c r="Q68" s="156"/>
      <c r="R68" s="293">
        <f>'WA Volumes &amp; Revenues'!E59</f>
        <v>218004</v>
      </c>
      <c r="S68" s="306"/>
      <c r="T68" s="295"/>
      <c r="U68" s="296"/>
      <c r="V68" s="156"/>
      <c r="W68" s="308">
        <f t="shared" si="97"/>
        <v>23555.332199999997</v>
      </c>
      <c r="X68" s="304">
        <f t="shared" si="98"/>
        <v>0</v>
      </c>
      <c r="Y68" s="304">
        <f t="shared" si="99"/>
        <v>0</v>
      </c>
      <c r="Z68" s="309"/>
      <c r="AA68" s="304"/>
      <c r="AB68" s="308">
        <f t="shared" si="100"/>
        <v>25417.086360000001</v>
      </c>
      <c r="AC68" s="304">
        <f t="shared" si="101"/>
        <v>0</v>
      </c>
      <c r="AD68" s="309">
        <f t="shared" si="102"/>
        <v>0</v>
      </c>
      <c r="AE68" s="304"/>
      <c r="AF68" s="308">
        <f t="shared" si="103"/>
        <v>1861.754160000004</v>
      </c>
      <c r="AG68" s="304">
        <f t="shared" si="103"/>
        <v>0</v>
      </c>
      <c r="AH68" s="309">
        <f t="shared" si="103"/>
        <v>0</v>
      </c>
      <c r="AI68" s="304"/>
      <c r="AJ68" s="333"/>
      <c r="AK68" s="335">
        <f t="shared" si="87"/>
        <v>7.9037482646922896E-2</v>
      </c>
      <c r="AL68" s="304"/>
      <c r="AM68" s="308">
        <f t="shared" si="104"/>
        <v>0</v>
      </c>
      <c r="AN68" s="304">
        <v>0</v>
      </c>
      <c r="AO68" s="309">
        <f t="shared" si="105"/>
        <v>0</v>
      </c>
      <c r="AP68" s="304"/>
      <c r="AQ68" s="305"/>
      <c r="AR68" s="305"/>
      <c r="AS68" s="304"/>
    </row>
    <row r="69" spans="1:45" x14ac:dyDescent="0.3">
      <c r="A69" s="85">
        <f t="shared" si="2"/>
        <v>62</v>
      </c>
      <c r="B69" s="709"/>
      <c r="C69" s="710" t="s">
        <v>7</v>
      </c>
      <c r="D69" s="156"/>
      <c r="E69" s="121">
        <f>ROUND('Rates in Detail'!AC58,5)</f>
        <v>6.8300000000000001E-3</v>
      </c>
      <c r="F69" s="121"/>
      <c r="G69" s="156"/>
      <c r="H69" s="368">
        <f>ROUND('Rates in Detail'!R58,5)</f>
        <v>8.6440000000000003E-2</v>
      </c>
      <c r="I69" s="758">
        <f t="shared" si="9"/>
        <v>9.3270000000000006E-2</v>
      </c>
      <c r="J69" s="156"/>
      <c r="K69" s="154"/>
      <c r="L69" s="155"/>
      <c r="M69" s="121"/>
      <c r="N69" s="121"/>
      <c r="O69" s="121"/>
      <c r="P69" s="758"/>
      <c r="Q69" s="156"/>
      <c r="R69" s="293">
        <f>'WA Volumes &amp; Revenues'!E60</f>
        <v>18208</v>
      </c>
      <c r="S69" s="306"/>
      <c r="T69" s="295"/>
      <c r="U69" s="296"/>
      <c r="V69" s="156"/>
      <c r="W69" s="308">
        <f t="shared" si="97"/>
        <v>1573.8995200000002</v>
      </c>
      <c r="X69" s="304">
        <f t="shared" si="98"/>
        <v>0</v>
      </c>
      <c r="Y69" s="304">
        <f t="shared" si="99"/>
        <v>0</v>
      </c>
      <c r="Z69" s="309"/>
      <c r="AA69" s="304"/>
      <c r="AB69" s="308">
        <f t="shared" si="100"/>
        <v>1698.26016</v>
      </c>
      <c r="AC69" s="304">
        <f t="shared" si="101"/>
        <v>0</v>
      </c>
      <c r="AD69" s="309">
        <f t="shared" si="102"/>
        <v>0</v>
      </c>
      <c r="AE69" s="304"/>
      <c r="AF69" s="308">
        <f t="shared" si="103"/>
        <v>124.36063999999988</v>
      </c>
      <c r="AG69" s="304">
        <f t="shared" si="103"/>
        <v>0</v>
      </c>
      <c r="AH69" s="309">
        <f t="shared" si="103"/>
        <v>0</v>
      </c>
      <c r="AI69" s="304"/>
      <c r="AJ69" s="333"/>
      <c r="AK69" s="335">
        <f t="shared" si="87"/>
        <v>7.9014345210550591E-2</v>
      </c>
      <c r="AL69" s="304"/>
      <c r="AM69" s="308">
        <f t="shared" si="104"/>
        <v>0</v>
      </c>
      <c r="AN69" s="304">
        <v>0</v>
      </c>
      <c r="AO69" s="309">
        <f t="shared" si="105"/>
        <v>0</v>
      </c>
      <c r="AP69" s="304"/>
      <c r="AQ69" s="305"/>
      <c r="AR69" s="305"/>
      <c r="AS69" s="304"/>
    </row>
    <row r="70" spans="1:45" x14ac:dyDescent="0.3">
      <c r="A70" s="85">
        <f t="shared" si="2"/>
        <v>63</v>
      </c>
      <c r="B70" s="709"/>
      <c r="C70" s="710" t="s">
        <v>8</v>
      </c>
      <c r="D70" s="156"/>
      <c r="E70" s="121">
        <f>ROUND('Rates in Detail'!AC59,5)</f>
        <v>4.5599999999999998E-3</v>
      </c>
      <c r="F70" s="121"/>
      <c r="G70" s="156"/>
      <c r="H70" s="368">
        <f>ROUND('Rates in Detail'!R59,5)</f>
        <v>5.7639999999999997E-2</v>
      </c>
      <c r="I70" s="758">
        <f t="shared" si="9"/>
        <v>6.2199999999999998E-2</v>
      </c>
      <c r="J70" s="156"/>
      <c r="K70" s="154"/>
      <c r="L70" s="155"/>
      <c r="M70" s="121"/>
      <c r="N70" s="121"/>
      <c r="O70" s="121"/>
      <c r="P70" s="758"/>
      <c r="Q70" s="156"/>
      <c r="R70" s="293">
        <f>'WA Volumes &amp; Revenues'!E61</f>
        <v>0</v>
      </c>
      <c r="S70" s="306"/>
      <c r="T70" s="295"/>
      <c r="U70" s="296"/>
      <c r="V70" s="156"/>
      <c r="W70" s="308">
        <f t="shared" si="97"/>
        <v>0</v>
      </c>
      <c r="X70" s="304">
        <f t="shared" si="98"/>
        <v>0</v>
      </c>
      <c r="Y70" s="304">
        <f t="shared" si="99"/>
        <v>0</v>
      </c>
      <c r="Z70" s="309"/>
      <c r="AA70" s="304"/>
      <c r="AB70" s="308">
        <f t="shared" si="100"/>
        <v>0</v>
      </c>
      <c r="AC70" s="304">
        <f t="shared" si="101"/>
        <v>0</v>
      </c>
      <c r="AD70" s="309">
        <f t="shared" si="102"/>
        <v>0</v>
      </c>
      <c r="AE70" s="304"/>
      <c r="AF70" s="308">
        <f t="shared" si="103"/>
        <v>0</v>
      </c>
      <c r="AG70" s="304">
        <f t="shared" si="103"/>
        <v>0</v>
      </c>
      <c r="AH70" s="309">
        <f t="shared" si="103"/>
        <v>0</v>
      </c>
      <c r="AI70" s="304"/>
      <c r="AJ70" s="333"/>
      <c r="AK70" s="335" t="e">
        <f t="shared" si="87"/>
        <v>#DIV/0!</v>
      </c>
      <c r="AL70" s="304"/>
      <c r="AM70" s="308">
        <f t="shared" si="104"/>
        <v>0</v>
      </c>
      <c r="AN70" s="304">
        <v>0</v>
      </c>
      <c r="AO70" s="309">
        <f t="shared" si="105"/>
        <v>0</v>
      </c>
      <c r="AP70" s="304"/>
      <c r="AQ70" s="305"/>
      <c r="AR70" s="305"/>
      <c r="AS70" s="304"/>
    </row>
    <row r="71" spans="1:45" x14ac:dyDescent="0.3">
      <c r="A71" s="85">
        <f t="shared" si="2"/>
        <v>64</v>
      </c>
      <c r="B71" s="709"/>
      <c r="C71" s="710" t="s">
        <v>9</v>
      </c>
      <c r="D71" s="156"/>
      <c r="E71" s="121">
        <f>ROUND('Rates in Detail'!AC60,5)</f>
        <v>1.7099999999999999E-3</v>
      </c>
      <c r="F71" s="121"/>
      <c r="G71" s="156"/>
      <c r="H71" s="368">
        <f>ROUND('Rates in Detail'!R60,5)</f>
        <v>2.162E-2</v>
      </c>
      <c r="I71" s="758">
        <f t="shared" si="9"/>
        <v>2.333E-2</v>
      </c>
      <c r="J71" s="156"/>
      <c r="K71" s="154"/>
      <c r="L71" s="155"/>
      <c r="M71" s="121"/>
      <c r="N71" s="121"/>
      <c r="O71" s="121"/>
      <c r="P71" s="758"/>
      <c r="Q71" s="156"/>
      <c r="R71" s="293">
        <f>'WA Volumes &amp; Revenues'!E62</f>
        <v>0</v>
      </c>
      <c r="S71" s="306"/>
      <c r="T71" s="295"/>
      <c r="U71" s="296"/>
      <c r="V71" s="156"/>
      <c r="W71" s="308">
        <f t="shared" si="97"/>
        <v>0</v>
      </c>
      <c r="X71" s="304">
        <f t="shared" si="98"/>
        <v>0</v>
      </c>
      <c r="Y71" s="304">
        <f t="shared" si="99"/>
        <v>0</v>
      </c>
      <c r="Z71" s="309"/>
      <c r="AA71" s="304"/>
      <c r="AB71" s="308">
        <f t="shared" si="100"/>
        <v>0</v>
      </c>
      <c r="AC71" s="304">
        <f t="shared" si="101"/>
        <v>0</v>
      </c>
      <c r="AD71" s="309">
        <f t="shared" si="102"/>
        <v>0</v>
      </c>
      <c r="AE71" s="304"/>
      <c r="AF71" s="308">
        <f t="shared" si="103"/>
        <v>0</v>
      </c>
      <c r="AG71" s="304">
        <f t="shared" si="103"/>
        <v>0</v>
      </c>
      <c r="AH71" s="309">
        <f t="shared" si="103"/>
        <v>0</v>
      </c>
      <c r="AI71" s="304"/>
      <c r="AJ71" s="333"/>
      <c r="AK71" s="335" t="e">
        <f>AK70</f>
        <v>#DIV/0!</v>
      </c>
      <c r="AL71" s="304"/>
      <c r="AM71" s="308">
        <f t="shared" si="104"/>
        <v>0</v>
      </c>
      <c r="AN71" s="304">
        <v>0</v>
      </c>
      <c r="AO71" s="309">
        <f t="shared" si="105"/>
        <v>0</v>
      </c>
      <c r="AP71" s="304"/>
      <c r="AQ71" s="305"/>
      <c r="AR71" s="305"/>
      <c r="AS71" s="304"/>
    </row>
    <row r="72" spans="1:45" x14ac:dyDescent="0.3">
      <c r="A72" s="85">
        <f t="shared" si="2"/>
        <v>65</v>
      </c>
      <c r="B72" s="707"/>
      <c r="C72" s="726" t="s">
        <v>76</v>
      </c>
      <c r="D72" s="152"/>
      <c r="E72" s="122"/>
      <c r="F72" s="122"/>
      <c r="G72" s="152"/>
      <c r="H72" s="363"/>
      <c r="I72" s="757"/>
      <c r="J72" s="156"/>
      <c r="K72" s="154"/>
      <c r="L72" s="155"/>
      <c r="M72" s="121"/>
      <c r="N72" s="121"/>
      <c r="O72" s="121"/>
      <c r="P72" s="758"/>
      <c r="Q72" s="156"/>
      <c r="R72" s="293"/>
      <c r="S72" s="306"/>
      <c r="T72" s="295"/>
      <c r="U72" s="296"/>
      <c r="V72" s="156"/>
      <c r="W72" s="310">
        <f>SUM(W66:W71)</f>
        <v>128791.68184</v>
      </c>
      <c r="X72" s="311">
        <f>SUM(X66:X71)</f>
        <v>31200</v>
      </c>
      <c r="Y72" s="311">
        <f>SUM(Y66:Y71)</f>
        <v>0</v>
      </c>
      <c r="Z72" s="312">
        <f>'Rate Spread SETTLEMENT'!U$76-SUM(W72:Y72)</f>
        <v>17375.866811679909</v>
      </c>
      <c r="AA72" s="304"/>
      <c r="AB72" s="310">
        <f>SUM(AB66:AB71)</f>
        <v>138973.86917999998</v>
      </c>
      <c r="AC72" s="311">
        <f>SUM(AC66:AC71)</f>
        <v>31200</v>
      </c>
      <c r="AD72" s="312">
        <f>SUM(AD66:AD71)</f>
        <v>0</v>
      </c>
      <c r="AE72" s="304"/>
      <c r="AF72" s="310">
        <f>SUM(AF66:AF71)</f>
        <v>10182.187340000004</v>
      </c>
      <c r="AG72" s="311">
        <f>SUM(AG66:AG71)</f>
        <v>0</v>
      </c>
      <c r="AH72" s="312">
        <f>SUM(AH66:AH71)</f>
        <v>0</v>
      </c>
      <c r="AI72" s="304"/>
      <c r="AJ72" s="333">
        <f>SUM(AF72:AH72)/SUM(W72:Y72)</f>
        <v>6.3641979526052619E-2</v>
      </c>
      <c r="AK72" s="334">
        <f t="shared" ref="AK72:AK77" si="106">SUM(AF72)/SUM(W72)</f>
        <v>7.9059355344466273E-2</v>
      </c>
      <c r="AL72" s="304"/>
      <c r="AM72" s="310">
        <f>SUM(AM66:AM71)</f>
        <v>0</v>
      </c>
      <c r="AN72" s="311">
        <f>SUM(AN66:AN71)</f>
        <v>0</v>
      </c>
      <c r="AO72" s="312">
        <f>SUM(AO66:AO71)</f>
        <v>0</v>
      </c>
      <c r="AP72" s="304"/>
      <c r="AQ72" s="314"/>
      <c r="AR72" s="305"/>
      <c r="AS72" s="304"/>
    </row>
    <row r="73" spans="1:45" x14ac:dyDescent="0.3">
      <c r="A73" s="85">
        <f t="shared" si="2"/>
        <v>66</v>
      </c>
      <c r="B73" s="709" t="str">
        <f>'WA Volumes &amp; Revenues'!B63</f>
        <v>42I Interr Sales</v>
      </c>
      <c r="C73" s="710" t="s">
        <v>4</v>
      </c>
      <c r="D73" s="156"/>
      <c r="E73" s="121">
        <f>ROUND('Rates in Detail'!AC61,5)</f>
        <v>5.6600000000000001E-3</v>
      </c>
      <c r="F73" s="121"/>
      <c r="G73" s="156"/>
      <c r="H73" s="368">
        <f>ROUND('Rates in Detail'!R61,5)</f>
        <v>0.15825</v>
      </c>
      <c r="I73" s="758">
        <f t="shared" si="9"/>
        <v>0.16391</v>
      </c>
      <c r="J73" s="156"/>
      <c r="K73" s="154">
        <f>'WA Volumes &amp; Revenues'!O63</f>
        <v>1300</v>
      </c>
      <c r="L73" s="155">
        <f>'WA Volumes &amp; Revenues'!N63</f>
        <v>1300</v>
      </c>
      <c r="M73" s="121">
        <f>'Rates in Detail'!AR61</f>
        <v>0</v>
      </c>
      <c r="N73" s="121">
        <f>'Rates in Detail'!AS61</f>
        <v>0</v>
      </c>
      <c r="O73" s="121">
        <f>'Rates in Detail'!AT61</f>
        <v>0</v>
      </c>
      <c r="P73" s="758">
        <f>'Rates in Detail'!AU61</f>
        <v>0</v>
      </c>
      <c r="Q73" s="156"/>
      <c r="R73" s="293">
        <f>'WA Volumes &amp; Revenues'!E63</f>
        <v>156740</v>
      </c>
      <c r="S73" s="306">
        <v>2934</v>
      </c>
      <c r="T73" s="295">
        <f>'WA Volumes &amp; Revenues'!H63</f>
        <v>1.9166666666666701</v>
      </c>
      <c r="U73" s="296">
        <f>'WA Volumes &amp; Revenues'!I63</f>
        <v>13758</v>
      </c>
      <c r="V73" s="156"/>
      <c r="W73" s="308">
        <f t="shared" ref="W73:W78" si="107">(H73*R73)</f>
        <v>24804.105</v>
      </c>
      <c r="X73" s="304">
        <f t="shared" ref="X73:X78" si="108">(K73*T73*12)</f>
        <v>29900.000000000051</v>
      </c>
      <c r="Y73" s="304">
        <f t="shared" ref="Y73:Y78" si="109">(S73*(M73+O73))*12</f>
        <v>0</v>
      </c>
      <c r="Z73" s="309"/>
      <c r="AA73" s="304"/>
      <c r="AB73" s="308">
        <f t="shared" ref="AB73:AB78" si="110">(I73*R73)</f>
        <v>25691.253400000001</v>
      </c>
      <c r="AC73" s="304">
        <f t="shared" ref="AC73:AC78" si="111">(L73*T73*12)</f>
        <v>29900.000000000051</v>
      </c>
      <c r="AD73" s="309">
        <f t="shared" ref="AD73:AD78" si="112">(S73*(N73+P73))*12</f>
        <v>0</v>
      </c>
      <c r="AE73" s="304"/>
      <c r="AF73" s="308">
        <f t="shared" ref="AF73:AH78" si="113">AB73-W73</f>
        <v>887.14840000000186</v>
      </c>
      <c r="AG73" s="304">
        <f t="shared" si="113"/>
        <v>0</v>
      </c>
      <c r="AH73" s="309">
        <f t="shared" si="113"/>
        <v>0</v>
      </c>
      <c r="AI73" s="304"/>
      <c r="AJ73" s="333"/>
      <c r="AK73" s="335">
        <f t="shared" si="106"/>
        <v>3.5766192733017454E-2</v>
      </c>
      <c r="AL73" s="304"/>
      <c r="AM73" s="308">
        <f t="shared" ref="AM73:AM78" si="114">(F73*R73)</f>
        <v>0</v>
      </c>
      <c r="AN73" s="304">
        <v>0</v>
      </c>
      <c r="AO73" s="309">
        <f t="shared" ref="AO73:AO78" si="115">(AE73*(Y73+AB73))*12</f>
        <v>0</v>
      </c>
      <c r="AP73" s="304"/>
      <c r="AQ73" s="305"/>
      <c r="AR73" s="305"/>
      <c r="AS73" s="304"/>
    </row>
    <row r="74" spans="1:45" x14ac:dyDescent="0.3">
      <c r="A74" s="85">
        <f t="shared" ref="A74:A102" si="116">+A73+1</f>
        <v>67</v>
      </c>
      <c r="B74" s="709"/>
      <c r="C74" s="710" t="s">
        <v>5</v>
      </c>
      <c r="D74" s="156"/>
      <c r="E74" s="121">
        <f>ROUND('Rates in Detail'!AC62,5)</f>
        <v>5.0699999999999999E-3</v>
      </c>
      <c r="F74" s="121"/>
      <c r="G74" s="156"/>
      <c r="H74" s="368">
        <f>ROUND('Rates in Detail'!R62,5)</f>
        <v>0.14166000000000001</v>
      </c>
      <c r="I74" s="758">
        <f t="shared" si="9"/>
        <v>0.14673</v>
      </c>
      <c r="J74" s="156"/>
      <c r="K74" s="154"/>
      <c r="L74" s="155"/>
      <c r="M74" s="121"/>
      <c r="N74" s="121"/>
      <c r="O74" s="121"/>
      <c r="P74" s="758"/>
      <c r="Q74" s="156"/>
      <c r="R74" s="293">
        <f>'WA Volumes &amp; Revenues'!E64</f>
        <v>159690</v>
      </c>
      <c r="S74" s="306"/>
      <c r="T74" s="295"/>
      <c r="U74" s="296"/>
      <c r="V74" s="156"/>
      <c r="W74" s="308">
        <f t="shared" si="107"/>
        <v>22621.685400000002</v>
      </c>
      <c r="X74" s="304">
        <f t="shared" si="108"/>
        <v>0</v>
      </c>
      <c r="Y74" s="304">
        <f t="shared" si="109"/>
        <v>0</v>
      </c>
      <c r="Z74" s="309"/>
      <c r="AA74" s="304"/>
      <c r="AB74" s="308">
        <f t="shared" si="110"/>
        <v>23431.313699999999</v>
      </c>
      <c r="AC74" s="304">
        <f t="shared" si="111"/>
        <v>0</v>
      </c>
      <c r="AD74" s="309">
        <f t="shared" si="112"/>
        <v>0</v>
      </c>
      <c r="AE74" s="304"/>
      <c r="AF74" s="308">
        <f t="shared" si="113"/>
        <v>809.62829999999667</v>
      </c>
      <c r="AG74" s="304">
        <f t="shared" si="113"/>
        <v>0</v>
      </c>
      <c r="AH74" s="309">
        <f t="shared" si="113"/>
        <v>0</v>
      </c>
      <c r="AI74" s="304"/>
      <c r="AJ74" s="333"/>
      <c r="AK74" s="335">
        <f t="shared" si="106"/>
        <v>3.5789919525624582E-2</v>
      </c>
      <c r="AL74" s="304"/>
      <c r="AM74" s="308">
        <f t="shared" si="114"/>
        <v>0</v>
      </c>
      <c r="AN74" s="304">
        <v>0</v>
      </c>
      <c r="AO74" s="309">
        <f t="shared" si="115"/>
        <v>0</v>
      </c>
      <c r="AP74" s="304"/>
      <c r="AQ74" s="305"/>
      <c r="AR74" s="305"/>
      <c r="AS74" s="304"/>
    </row>
    <row r="75" spans="1:45" x14ac:dyDescent="0.3">
      <c r="A75" s="85">
        <f t="shared" si="116"/>
        <v>68</v>
      </c>
      <c r="B75" s="709"/>
      <c r="C75" s="710" t="s">
        <v>6</v>
      </c>
      <c r="D75" s="156"/>
      <c r="E75" s="121">
        <f>ROUND('Rates in Detail'!AC63,5)</f>
        <v>3.8899999999999998E-3</v>
      </c>
      <c r="F75" s="121"/>
      <c r="G75" s="156"/>
      <c r="H75" s="368">
        <f>ROUND('Rates in Detail'!R63,5)</f>
        <v>0.10863</v>
      </c>
      <c r="I75" s="758">
        <f t="shared" si="9"/>
        <v>0.11252000000000001</v>
      </c>
      <c r="J75" s="156"/>
      <c r="K75" s="154"/>
      <c r="L75" s="155"/>
      <c r="M75" s="121"/>
      <c r="N75" s="121"/>
      <c r="O75" s="121"/>
      <c r="P75" s="758"/>
      <c r="Q75" s="156"/>
      <c r="R75" s="293">
        <f>'WA Volumes &amp; Revenues'!E65</f>
        <v>0</v>
      </c>
      <c r="S75" s="306"/>
      <c r="T75" s="295"/>
      <c r="U75" s="296"/>
      <c r="V75" s="156"/>
      <c r="W75" s="308">
        <f t="shared" si="107"/>
        <v>0</v>
      </c>
      <c r="X75" s="304">
        <f t="shared" si="108"/>
        <v>0</v>
      </c>
      <c r="Y75" s="304">
        <f t="shared" si="109"/>
        <v>0</v>
      </c>
      <c r="Z75" s="309"/>
      <c r="AA75" s="304"/>
      <c r="AB75" s="308">
        <f t="shared" si="110"/>
        <v>0</v>
      </c>
      <c r="AC75" s="304">
        <f t="shared" si="111"/>
        <v>0</v>
      </c>
      <c r="AD75" s="309">
        <f t="shared" si="112"/>
        <v>0</v>
      </c>
      <c r="AE75" s="304"/>
      <c r="AF75" s="308">
        <f t="shared" si="113"/>
        <v>0</v>
      </c>
      <c r="AG75" s="304">
        <f t="shared" si="113"/>
        <v>0</v>
      </c>
      <c r="AH75" s="309">
        <f t="shared" si="113"/>
        <v>0</v>
      </c>
      <c r="AI75" s="304"/>
      <c r="AJ75" s="333"/>
      <c r="AK75" s="335" t="e">
        <f t="shared" si="106"/>
        <v>#DIV/0!</v>
      </c>
      <c r="AL75" s="304"/>
      <c r="AM75" s="308">
        <f t="shared" si="114"/>
        <v>0</v>
      </c>
      <c r="AN75" s="304">
        <v>0</v>
      </c>
      <c r="AO75" s="309">
        <f t="shared" si="115"/>
        <v>0</v>
      </c>
      <c r="AP75" s="304"/>
      <c r="AQ75" s="305"/>
      <c r="AR75" s="305"/>
      <c r="AS75" s="304"/>
    </row>
    <row r="76" spans="1:45" x14ac:dyDescent="0.3">
      <c r="A76" s="85">
        <f t="shared" si="116"/>
        <v>69</v>
      </c>
      <c r="B76" s="709"/>
      <c r="C76" s="710" t="s">
        <v>7</v>
      </c>
      <c r="D76" s="156"/>
      <c r="E76" s="121">
        <f>ROUND('Rates in Detail'!AC64,5)</f>
        <v>3.1099999999999999E-3</v>
      </c>
      <c r="F76" s="121"/>
      <c r="G76" s="156"/>
      <c r="H76" s="368">
        <f>ROUND('Rates in Detail'!R64,5)</f>
        <v>8.6910000000000001E-2</v>
      </c>
      <c r="I76" s="758">
        <f t="shared" si="9"/>
        <v>9.0020000000000003E-2</v>
      </c>
      <c r="J76" s="156"/>
      <c r="K76" s="154"/>
      <c r="L76" s="155"/>
      <c r="M76" s="121"/>
      <c r="N76" s="121"/>
      <c r="O76" s="121"/>
      <c r="P76" s="758"/>
      <c r="Q76" s="156"/>
      <c r="R76" s="293">
        <f>'WA Volumes &amp; Revenues'!E66</f>
        <v>0</v>
      </c>
      <c r="S76" s="306"/>
      <c r="T76" s="295"/>
      <c r="U76" s="296"/>
      <c r="V76" s="156"/>
      <c r="W76" s="308">
        <f t="shared" si="107"/>
        <v>0</v>
      </c>
      <c r="X76" s="304">
        <f t="shared" si="108"/>
        <v>0</v>
      </c>
      <c r="Y76" s="304">
        <f t="shared" si="109"/>
        <v>0</v>
      </c>
      <c r="Z76" s="309"/>
      <c r="AA76" s="304"/>
      <c r="AB76" s="308">
        <f t="shared" si="110"/>
        <v>0</v>
      </c>
      <c r="AC76" s="304">
        <f t="shared" si="111"/>
        <v>0</v>
      </c>
      <c r="AD76" s="309">
        <f t="shared" si="112"/>
        <v>0</v>
      </c>
      <c r="AE76" s="304"/>
      <c r="AF76" s="308">
        <f t="shared" si="113"/>
        <v>0</v>
      </c>
      <c r="AG76" s="304">
        <f t="shared" si="113"/>
        <v>0</v>
      </c>
      <c r="AH76" s="309">
        <f t="shared" si="113"/>
        <v>0</v>
      </c>
      <c r="AI76" s="304"/>
      <c r="AJ76" s="333"/>
      <c r="AK76" s="335" t="e">
        <f t="shared" si="106"/>
        <v>#DIV/0!</v>
      </c>
      <c r="AL76" s="304"/>
      <c r="AM76" s="308">
        <f t="shared" si="114"/>
        <v>0</v>
      </c>
      <c r="AN76" s="304">
        <v>0</v>
      </c>
      <c r="AO76" s="309">
        <f t="shared" si="115"/>
        <v>0</v>
      </c>
      <c r="AP76" s="304"/>
      <c r="AQ76" s="305"/>
      <c r="AR76" s="305"/>
      <c r="AS76" s="304"/>
    </row>
    <row r="77" spans="1:45" x14ac:dyDescent="0.3">
      <c r="A77" s="85">
        <f t="shared" si="116"/>
        <v>70</v>
      </c>
      <c r="B77" s="709"/>
      <c r="C77" s="710" t="s">
        <v>8</v>
      </c>
      <c r="D77" s="156"/>
      <c r="E77" s="121">
        <f>ROUND('Rates in Detail'!AC65,5)</f>
        <v>2.0699999999999998E-3</v>
      </c>
      <c r="F77" s="121"/>
      <c r="G77" s="156"/>
      <c r="H77" s="368">
        <f>ROUND('Rates in Detail'!R65,5)</f>
        <v>5.7930000000000002E-2</v>
      </c>
      <c r="I77" s="758">
        <f t="shared" si="9"/>
        <v>6.0000000000000005E-2</v>
      </c>
      <c r="J77" s="156"/>
      <c r="K77" s="154"/>
      <c r="L77" s="155"/>
      <c r="M77" s="121"/>
      <c r="N77" s="121"/>
      <c r="O77" s="121"/>
      <c r="P77" s="758"/>
      <c r="Q77" s="156"/>
      <c r="R77" s="293">
        <f>'WA Volumes &amp; Revenues'!E67</f>
        <v>0</v>
      </c>
      <c r="S77" s="306"/>
      <c r="T77" s="295"/>
      <c r="U77" s="296"/>
      <c r="V77" s="156"/>
      <c r="W77" s="308">
        <f t="shared" si="107"/>
        <v>0</v>
      </c>
      <c r="X77" s="304">
        <f t="shared" si="108"/>
        <v>0</v>
      </c>
      <c r="Y77" s="304">
        <f t="shared" si="109"/>
        <v>0</v>
      </c>
      <c r="Z77" s="309"/>
      <c r="AA77" s="304"/>
      <c r="AB77" s="308">
        <f t="shared" si="110"/>
        <v>0</v>
      </c>
      <c r="AC77" s="304">
        <f t="shared" si="111"/>
        <v>0</v>
      </c>
      <c r="AD77" s="309">
        <f t="shared" si="112"/>
        <v>0</v>
      </c>
      <c r="AE77" s="304"/>
      <c r="AF77" s="308">
        <f t="shared" si="113"/>
        <v>0</v>
      </c>
      <c r="AG77" s="304">
        <f t="shared" si="113"/>
        <v>0</v>
      </c>
      <c r="AH77" s="309">
        <f t="shared" si="113"/>
        <v>0</v>
      </c>
      <c r="AI77" s="304"/>
      <c r="AJ77" s="333"/>
      <c r="AK77" s="335" t="e">
        <f t="shared" si="106"/>
        <v>#DIV/0!</v>
      </c>
      <c r="AL77" s="304"/>
      <c r="AM77" s="308">
        <f t="shared" si="114"/>
        <v>0</v>
      </c>
      <c r="AN77" s="304">
        <v>0</v>
      </c>
      <c r="AO77" s="309">
        <f t="shared" si="115"/>
        <v>0</v>
      </c>
      <c r="AP77" s="304"/>
      <c r="AQ77" s="305"/>
      <c r="AR77" s="305"/>
      <c r="AS77" s="304"/>
    </row>
    <row r="78" spans="1:45" x14ac:dyDescent="0.3">
      <c r="A78" s="85">
        <f t="shared" si="116"/>
        <v>71</v>
      </c>
      <c r="B78" s="709"/>
      <c r="C78" s="710" t="s">
        <v>9</v>
      </c>
      <c r="D78" s="156"/>
      <c r="E78" s="121">
        <f>ROUND('Rates in Detail'!AC66,5)</f>
        <v>7.7999999999999999E-4</v>
      </c>
      <c r="F78" s="121"/>
      <c r="G78" s="156"/>
      <c r="H78" s="368">
        <f>ROUND('Rates in Detail'!R66,5)</f>
        <v>2.172E-2</v>
      </c>
      <c r="I78" s="758">
        <f t="shared" si="9"/>
        <v>2.2499999999999999E-2</v>
      </c>
      <c r="J78" s="156"/>
      <c r="K78" s="727"/>
      <c r="L78" s="367"/>
      <c r="M78" s="121"/>
      <c r="N78" s="121"/>
      <c r="O78" s="121"/>
      <c r="P78" s="758"/>
      <c r="Q78" s="156"/>
      <c r="R78" s="293">
        <f>'WA Volumes &amp; Revenues'!E68</f>
        <v>0</v>
      </c>
      <c r="S78" s="306"/>
      <c r="T78" s="295"/>
      <c r="U78" s="296"/>
      <c r="V78" s="156"/>
      <c r="W78" s="308">
        <f t="shared" si="107"/>
        <v>0</v>
      </c>
      <c r="X78" s="304">
        <f t="shared" si="108"/>
        <v>0</v>
      </c>
      <c r="Y78" s="304">
        <f t="shared" si="109"/>
        <v>0</v>
      </c>
      <c r="Z78" s="309"/>
      <c r="AA78" s="304"/>
      <c r="AB78" s="308">
        <f t="shared" si="110"/>
        <v>0</v>
      </c>
      <c r="AC78" s="304">
        <f t="shared" si="111"/>
        <v>0</v>
      </c>
      <c r="AD78" s="309">
        <f t="shared" si="112"/>
        <v>0</v>
      </c>
      <c r="AE78" s="304"/>
      <c r="AF78" s="308">
        <f t="shared" si="113"/>
        <v>0</v>
      </c>
      <c r="AG78" s="304">
        <f t="shared" si="113"/>
        <v>0</v>
      </c>
      <c r="AH78" s="309">
        <f t="shared" si="113"/>
        <v>0</v>
      </c>
      <c r="AI78" s="304"/>
      <c r="AJ78" s="333"/>
      <c r="AK78" s="335" t="e">
        <f>AK77</f>
        <v>#DIV/0!</v>
      </c>
      <c r="AL78" s="304"/>
      <c r="AM78" s="308">
        <f t="shared" si="114"/>
        <v>0</v>
      </c>
      <c r="AN78" s="304">
        <v>0</v>
      </c>
      <c r="AO78" s="309">
        <f t="shared" si="115"/>
        <v>0</v>
      </c>
      <c r="AP78" s="304"/>
      <c r="AQ78" s="305"/>
      <c r="AR78" s="305"/>
      <c r="AS78" s="304"/>
    </row>
    <row r="79" spans="1:45" x14ac:dyDescent="0.3">
      <c r="A79" s="85">
        <f t="shared" si="116"/>
        <v>72</v>
      </c>
      <c r="B79" s="707"/>
      <c r="C79" s="726" t="s">
        <v>76</v>
      </c>
      <c r="D79" s="152"/>
      <c r="E79" s="122"/>
      <c r="F79" s="122"/>
      <c r="G79" s="152"/>
      <c r="H79" s="363"/>
      <c r="I79" s="757"/>
      <c r="J79" s="156"/>
      <c r="K79" s="727"/>
      <c r="L79" s="367"/>
      <c r="M79" s="121"/>
      <c r="N79" s="121"/>
      <c r="O79" s="121"/>
      <c r="P79" s="758"/>
      <c r="Q79" s="156"/>
      <c r="R79" s="293"/>
      <c r="S79" s="306"/>
      <c r="T79" s="295"/>
      <c r="U79" s="296"/>
      <c r="V79" s="156"/>
      <c r="W79" s="310">
        <f>SUM(W73:W78)</f>
        <v>47425.790399999998</v>
      </c>
      <c r="X79" s="311">
        <f>SUM(X73:X78)</f>
        <v>29900.000000000051</v>
      </c>
      <c r="Y79" s="311">
        <f>SUM(Y73:Y78)</f>
        <v>0</v>
      </c>
      <c r="Z79" s="312">
        <f>'Rate Spread SETTLEMENT'!V$76-SUM(W79:Y79)</f>
        <v>7523.6851453346899</v>
      </c>
      <c r="AA79" s="304"/>
      <c r="AB79" s="310">
        <f>SUM(AB73:AB78)</f>
        <v>49122.5671</v>
      </c>
      <c r="AC79" s="311">
        <f>SUM(AC73:AC78)</f>
        <v>29900.000000000051</v>
      </c>
      <c r="AD79" s="312">
        <f>SUM(AD73:AD78)</f>
        <v>0</v>
      </c>
      <c r="AE79" s="304"/>
      <c r="AF79" s="310">
        <f>SUM(AF73:AF78)</f>
        <v>1696.7766999999985</v>
      </c>
      <c r="AG79" s="311">
        <f>SUM(AG73:AG78)</f>
        <v>0</v>
      </c>
      <c r="AH79" s="312">
        <f>SUM(AH73:AH78)</f>
        <v>0</v>
      </c>
      <c r="AI79" s="304"/>
      <c r="AJ79" s="333">
        <f>SUM(AF79:AH79)/SUM(W79:Y79)</f>
        <v>2.1943218313355866E-2</v>
      </c>
      <c r="AK79" s="334">
        <f t="shared" ref="AK79:AK84" si="117">SUM(AF79)/SUM(W79)</f>
        <v>3.5777510204658573E-2</v>
      </c>
      <c r="AL79" s="304"/>
      <c r="AM79" s="310">
        <f>SUM(AM73:AM78)</f>
        <v>0</v>
      </c>
      <c r="AN79" s="311">
        <f>SUM(AN73:AN78)</f>
        <v>0</v>
      </c>
      <c r="AO79" s="312">
        <f>SUM(AO73:AO78)</f>
        <v>0</v>
      </c>
      <c r="AP79" s="304"/>
      <c r="AQ79" s="305"/>
      <c r="AR79" s="305"/>
      <c r="AS79" s="304"/>
    </row>
    <row r="80" spans="1:45" x14ac:dyDescent="0.3">
      <c r="A80" s="85">
        <f t="shared" si="116"/>
        <v>73</v>
      </c>
      <c r="B80" s="709" t="str">
        <f>'WA Volumes &amp; Revenues'!B69</f>
        <v>42C Inter Transpt</v>
      </c>
      <c r="C80" s="710" t="s">
        <v>4</v>
      </c>
      <c r="D80" s="156"/>
      <c r="E80" s="121">
        <f>ROUND('Rates in Detail'!AC67,5)</f>
        <v>2.7799999999999999E-3</v>
      </c>
      <c r="F80" s="121"/>
      <c r="G80" s="156"/>
      <c r="H80" s="368">
        <f>ROUND('Rates in Detail'!R67,5)</f>
        <v>0.13891000000000001</v>
      </c>
      <c r="I80" s="758">
        <f t="shared" ref="I80:I96" si="118">H80+E80</f>
        <v>0.14169000000000001</v>
      </c>
      <c r="J80" s="156"/>
      <c r="K80" s="154">
        <f>'WA Volumes &amp; Revenues'!O69</f>
        <v>1550</v>
      </c>
      <c r="L80" s="155">
        <f>'WA Volumes &amp; Revenues'!N69</f>
        <v>1550</v>
      </c>
      <c r="M80" s="121">
        <f>'Rates in Detail'!AR67</f>
        <v>0</v>
      </c>
      <c r="N80" s="121">
        <f>'Rates in Detail'!AS67</f>
        <v>0</v>
      </c>
      <c r="O80" s="121">
        <f>'Rates in Detail'!AT67</f>
        <v>0</v>
      </c>
      <c r="P80" s="758">
        <f>'Rates in Detail'!AU67</f>
        <v>0</v>
      </c>
      <c r="Q80" s="156"/>
      <c r="R80" s="293">
        <f>'WA Volumes &amp; Revenues'!E69</f>
        <v>0</v>
      </c>
      <c r="S80" s="306"/>
      <c r="T80" s="295">
        <f>'WA Volumes &amp; Revenues'!H69</f>
        <v>0</v>
      </c>
      <c r="U80" s="296">
        <f>'WA Volumes &amp; Revenues'!I69</f>
        <v>0</v>
      </c>
      <c r="V80" s="156"/>
      <c r="W80" s="308">
        <f t="shared" ref="W80:W85" si="119">(H80*R80)</f>
        <v>0</v>
      </c>
      <c r="X80" s="304">
        <f t="shared" ref="X80:X85" si="120">(K80*T80*12)</f>
        <v>0</v>
      </c>
      <c r="Y80" s="304">
        <f t="shared" ref="Y80:Y85" si="121">(S80*(M80+O80))*12</f>
        <v>0</v>
      </c>
      <c r="Z80" s="309"/>
      <c r="AA80" s="304"/>
      <c r="AB80" s="308">
        <f t="shared" ref="AB80:AB85" si="122">(I80*R80)</f>
        <v>0</v>
      </c>
      <c r="AC80" s="304">
        <f t="shared" ref="AC80:AC85" si="123">(L80*T80*12)</f>
        <v>0</v>
      </c>
      <c r="AD80" s="309">
        <f t="shared" ref="AD80:AD85" si="124">(S80*(N80+P80))*12</f>
        <v>0</v>
      </c>
      <c r="AE80" s="304"/>
      <c r="AF80" s="308">
        <f t="shared" ref="AF80:AH85" si="125">AB80-W80</f>
        <v>0</v>
      </c>
      <c r="AG80" s="304">
        <f t="shared" si="125"/>
        <v>0</v>
      </c>
      <c r="AH80" s="309">
        <f t="shared" si="125"/>
        <v>0</v>
      </c>
      <c r="AI80" s="304"/>
      <c r="AJ80" s="333"/>
      <c r="AK80" s="335" t="e">
        <f t="shared" si="117"/>
        <v>#DIV/0!</v>
      </c>
      <c r="AL80" s="304"/>
      <c r="AM80" s="308">
        <f t="shared" ref="AM80:AM85" si="126">(F80*R80)</f>
        <v>0</v>
      </c>
      <c r="AN80" s="304">
        <v>0</v>
      </c>
      <c r="AO80" s="309">
        <f t="shared" ref="AO80:AO85" si="127">(AE80*(Y80+AB80))*12</f>
        <v>0</v>
      </c>
      <c r="AP80" s="304"/>
      <c r="AQ80" s="305"/>
      <c r="AR80" s="305"/>
      <c r="AS80" s="304"/>
    </row>
    <row r="81" spans="1:45" x14ac:dyDescent="0.3">
      <c r="A81" s="85">
        <f t="shared" si="116"/>
        <v>74</v>
      </c>
      <c r="B81" s="709"/>
      <c r="C81" s="710" t="s">
        <v>5</v>
      </c>
      <c r="D81" s="156"/>
      <c r="E81" s="121">
        <f>ROUND('Rates in Detail'!AC68,5)</f>
        <v>2.49E-3</v>
      </c>
      <c r="F81" s="121"/>
      <c r="G81" s="156"/>
      <c r="H81" s="368">
        <f>ROUND('Rates in Detail'!R68,5)</f>
        <v>0.12436</v>
      </c>
      <c r="I81" s="758">
        <f t="shared" si="118"/>
        <v>0.12684999999999999</v>
      </c>
      <c r="J81" s="156"/>
      <c r="K81" s="154"/>
      <c r="L81" s="155"/>
      <c r="M81" s="121"/>
      <c r="N81" s="121"/>
      <c r="O81" s="121"/>
      <c r="P81" s="758"/>
      <c r="Q81" s="156"/>
      <c r="R81" s="293">
        <f>'WA Volumes &amp; Revenues'!E70</f>
        <v>0</v>
      </c>
      <c r="S81" s="306"/>
      <c r="T81" s="295"/>
      <c r="U81" s="296"/>
      <c r="V81" s="156"/>
      <c r="W81" s="308">
        <f t="shared" si="119"/>
        <v>0</v>
      </c>
      <c r="X81" s="304">
        <f t="shared" si="120"/>
        <v>0</v>
      </c>
      <c r="Y81" s="304">
        <f t="shared" si="121"/>
        <v>0</v>
      </c>
      <c r="Z81" s="309"/>
      <c r="AA81" s="304"/>
      <c r="AB81" s="308">
        <f t="shared" si="122"/>
        <v>0</v>
      </c>
      <c r="AC81" s="304">
        <f t="shared" si="123"/>
        <v>0</v>
      </c>
      <c r="AD81" s="309">
        <f t="shared" si="124"/>
        <v>0</v>
      </c>
      <c r="AE81" s="304"/>
      <c r="AF81" s="308">
        <f t="shared" si="125"/>
        <v>0</v>
      </c>
      <c r="AG81" s="304">
        <f t="shared" si="125"/>
        <v>0</v>
      </c>
      <c r="AH81" s="309">
        <f t="shared" si="125"/>
        <v>0</v>
      </c>
      <c r="AI81" s="304"/>
      <c r="AJ81" s="333"/>
      <c r="AK81" s="335" t="e">
        <f t="shared" si="117"/>
        <v>#DIV/0!</v>
      </c>
      <c r="AL81" s="304"/>
      <c r="AM81" s="308">
        <f t="shared" si="126"/>
        <v>0</v>
      </c>
      <c r="AN81" s="304">
        <v>0</v>
      </c>
      <c r="AO81" s="309">
        <f t="shared" si="127"/>
        <v>0</v>
      </c>
      <c r="AP81" s="304"/>
      <c r="AQ81" s="305"/>
      <c r="AR81" s="305"/>
      <c r="AS81" s="304"/>
    </row>
    <row r="82" spans="1:45" x14ac:dyDescent="0.3">
      <c r="A82" s="85">
        <f t="shared" si="116"/>
        <v>75</v>
      </c>
      <c r="B82" s="709"/>
      <c r="C82" s="710" t="s">
        <v>6</v>
      </c>
      <c r="D82" s="156"/>
      <c r="E82" s="121">
        <f>ROUND('Rates in Detail'!AC69,5)</f>
        <v>1.91E-3</v>
      </c>
      <c r="F82" s="121"/>
      <c r="G82" s="156"/>
      <c r="H82" s="368">
        <f>ROUND('Rates in Detail'!R69,5)</f>
        <v>9.536E-2</v>
      </c>
      <c r="I82" s="758">
        <f t="shared" si="118"/>
        <v>9.7269999999999995E-2</v>
      </c>
      <c r="J82" s="156"/>
      <c r="K82" s="154"/>
      <c r="L82" s="155"/>
      <c r="M82" s="121"/>
      <c r="N82" s="121"/>
      <c r="O82" s="121"/>
      <c r="P82" s="758"/>
      <c r="Q82" s="156"/>
      <c r="R82" s="293">
        <f>'WA Volumes &amp; Revenues'!E71</f>
        <v>0</v>
      </c>
      <c r="S82" s="306"/>
      <c r="T82" s="295"/>
      <c r="U82" s="296"/>
      <c r="V82" s="156"/>
      <c r="W82" s="308">
        <f t="shared" si="119"/>
        <v>0</v>
      </c>
      <c r="X82" s="304">
        <f t="shared" si="120"/>
        <v>0</v>
      </c>
      <c r="Y82" s="304">
        <f t="shared" si="121"/>
        <v>0</v>
      </c>
      <c r="Z82" s="309"/>
      <c r="AA82" s="304"/>
      <c r="AB82" s="308">
        <f t="shared" si="122"/>
        <v>0</v>
      </c>
      <c r="AC82" s="304">
        <f t="shared" si="123"/>
        <v>0</v>
      </c>
      <c r="AD82" s="309">
        <f t="shared" si="124"/>
        <v>0</v>
      </c>
      <c r="AE82" s="304"/>
      <c r="AF82" s="308">
        <f t="shared" si="125"/>
        <v>0</v>
      </c>
      <c r="AG82" s="304">
        <f t="shared" si="125"/>
        <v>0</v>
      </c>
      <c r="AH82" s="309">
        <f t="shared" si="125"/>
        <v>0</v>
      </c>
      <c r="AI82" s="304"/>
      <c r="AJ82" s="333"/>
      <c r="AK82" s="335" t="e">
        <f t="shared" si="117"/>
        <v>#DIV/0!</v>
      </c>
      <c r="AL82" s="304"/>
      <c r="AM82" s="308">
        <f t="shared" si="126"/>
        <v>0</v>
      </c>
      <c r="AN82" s="304">
        <v>0</v>
      </c>
      <c r="AO82" s="309">
        <f t="shared" si="127"/>
        <v>0</v>
      </c>
      <c r="AP82" s="304"/>
      <c r="AQ82" s="305"/>
      <c r="AR82" s="305"/>
      <c r="AS82" s="304"/>
    </row>
    <row r="83" spans="1:45" x14ac:dyDescent="0.3">
      <c r="A83" s="85">
        <f t="shared" si="116"/>
        <v>76</v>
      </c>
      <c r="B83" s="709"/>
      <c r="C83" s="710" t="s">
        <v>7</v>
      </c>
      <c r="D83" s="156"/>
      <c r="E83" s="121">
        <f>ROUND('Rates in Detail'!AC70,5)</f>
        <v>1.5299999999999999E-3</v>
      </c>
      <c r="F83" s="121"/>
      <c r="G83" s="156"/>
      <c r="H83" s="368">
        <f>ROUND('Rates in Detail'!R70,5)</f>
        <v>7.6289999999999997E-2</v>
      </c>
      <c r="I83" s="758">
        <f t="shared" si="118"/>
        <v>7.782E-2</v>
      </c>
      <c r="J83" s="156"/>
      <c r="K83" s="154"/>
      <c r="L83" s="155"/>
      <c r="M83" s="121"/>
      <c r="N83" s="121"/>
      <c r="O83" s="121"/>
      <c r="P83" s="758"/>
      <c r="Q83" s="156"/>
      <c r="R83" s="293">
        <f>'WA Volumes &amp; Revenues'!E72</f>
        <v>0</v>
      </c>
      <c r="S83" s="306"/>
      <c r="T83" s="295"/>
      <c r="U83" s="296"/>
      <c r="V83" s="156"/>
      <c r="W83" s="308">
        <f t="shared" si="119"/>
        <v>0</v>
      </c>
      <c r="X83" s="304">
        <f t="shared" si="120"/>
        <v>0</v>
      </c>
      <c r="Y83" s="304">
        <f t="shared" si="121"/>
        <v>0</v>
      </c>
      <c r="Z83" s="309"/>
      <c r="AA83" s="304"/>
      <c r="AB83" s="308">
        <f t="shared" si="122"/>
        <v>0</v>
      </c>
      <c r="AC83" s="304">
        <f t="shared" si="123"/>
        <v>0</v>
      </c>
      <c r="AD83" s="309">
        <f t="shared" si="124"/>
        <v>0</v>
      </c>
      <c r="AE83" s="304"/>
      <c r="AF83" s="308">
        <f t="shared" si="125"/>
        <v>0</v>
      </c>
      <c r="AG83" s="304">
        <f t="shared" si="125"/>
        <v>0</v>
      </c>
      <c r="AH83" s="309">
        <f t="shared" si="125"/>
        <v>0</v>
      </c>
      <c r="AI83" s="304"/>
      <c r="AJ83" s="333"/>
      <c r="AK83" s="335" t="e">
        <f t="shared" si="117"/>
        <v>#DIV/0!</v>
      </c>
      <c r="AL83" s="304"/>
      <c r="AM83" s="308">
        <f t="shared" si="126"/>
        <v>0</v>
      </c>
      <c r="AN83" s="304">
        <v>0</v>
      </c>
      <c r="AO83" s="309">
        <f t="shared" si="127"/>
        <v>0</v>
      </c>
      <c r="AP83" s="304"/>
      <c r="AQ83" s="305"/>
      <c r="AR83" s="305"/>
      <c r="AS83" s="304"/>
    </row>
    <row r="84" spans="1:45" x14ac:dyDescent="0.3">
      <c r="A84" s="85">
        <f t="shared" si="116"/>
        <v>77</v>
      </c>
      <c r="B84" s="709"/>
      <c r="C84" s="710" t="s">
        <v>8</v>
      </c>
      <c r="D84" s="156"/>
      <c r="E84" s="121">
        <f>ROUND('Rates in Detail'!AC71,5)</f>
        <v>1.0200000000000001E-3</v>
      </c>
      <c r="F84" s="121"/>
      <c r="G84" s="156"/>
      <c r="H84" s="368">
        <f>ROUND('Rates in Detail'!R71,5)</f>
        <v>5.0869999999999999E-2</v>
      </c>
      <c r="I84" s="758">
        <f t="shared" si="118"/>
        <v>5.1889999999999999E-2</v>
      </c>
      <c r="J84" s="156"/>
      <c r="K84" s="154"/>
      <c r="L84" s="155"/>
      <c r="M84" s="121"/>
      <c r="N84" s="121"/>
      <c r="O84" s="121"/>
      <c r="P84" s="758"/>
      <c r="Q84" s="156"/>
      <c r="R84" s="293">
        <f>'WA Volumes &amp; Revenues'!E73</f>
        <v>0</v>
      </c>
      <c r="S84" s="306"/>
      <c r="T84" s="295"/>
      <c r="U84" s="296"/>
      <c r="V84" s="156"/>
      <c r="W84" s="308">
        <f t="shared" si="119"/>
        <v>0</v>
      </c>
      <c r="X84" s="304">
        <f t="shared" si="120"/>
        <v>0</v>
      </c>
      <c r="Y84" s="304">
        <f t="shared" si="121"/>
        <v>0</v>
      </c>
      <c r="Z84" s="309"/>
      <c r="AA84" s="304"/>
      <c r="AB84" s="308">
        <f t="shared" si="122"/>
        <v>0</v>
      </c>
      <c r="AC84" s="304">
        <f t="shared" si="123"/>
        <v>0</v>
      </c>
      <c r="AD84" s="309">
        <f t="shared" si="124"/>
        <v>0</v>
      </c>
      <c r="AE84" s="304"/>
      <c r="AF84" s="308">
        <f t="shared" si="125"/>
        <v>0</v>
      </c>
      <c r="AG84" s="304">
        <f t="shared" si="125"/>
        <v>0</v>
      </c>
      <c r="AH84" s="309">
        <f t="shared" si="125"/>
        <v>0</v>
      </c>
      <c r="AI84" s="304"/>
      <c r="AJ84" s="333"/>
      <c r="AK84" s="335" t="e">
        <f t="shared" si="117"/>
        <v>#DIV/0!</v>
      </c>
      <c r="AL84" s="304"/>
      <c r="AM84" s="308">
        <f t="shared" si="126"/>
        <v>0</v>
      </c>
      <c r="AN84" s="304">
        <v>0</v>
      </c>
      <c r="AO84" s="309">
        <f t="shared" si="127"/>
        <v>0</v>
      </c>
      <c r="AP84" s="304"/>
      <c r="AQ84" s="305"/>
      <c r="AR84" s="305"/>
      <c r="AS84" s="304"/>
    </row>
    <row r="85" spans="1:45" x14ac:dyDescent="0.3">
      <c r="A85" s="85">
        <f t="shared" si="116"/>
        <v>78</v>
      </c>
      <c r="B85" s="709"/>
      <c r="C85" s="710" t="s">
        <v>9</v>
      </c>
      <c r="D85" s="156"/>
      <c r="E85" s="121">
        <f>ROUND('Rates in Detail'!AC72,5)</f>
        <v>3.8000000000000002E-4</v>
      </c>
      <c r="F85" s="121"/>
      <c r="G85" s="156"/>
      <c r="H85" s="368">
        <f>ROUND('Rates in Detail'!R72,5)</f>
        <v>1.9060000000000001E-2</v>
      </c>
      <c r="I85" s="758">
        <f t="shared" si="118"/>
        <v>1.9439999999999999E-2</v>
      </c>
      <c r="J85" s="156"/>
      <c r="K85" s="727"/>
      <c r="L85" s="367"/>
      <c r="M85" s="121"/>
      <c r="N85" s="121"/>
      <c r="O85" s="121"/>
      <c r="P85" s="758"/>
      <c r="Q85" s="156"/>
      <c r="R85" s="293">
        <f>'WA Volumes &amp; Revenues'!E74</f>
        <v>0</v>
      </c>
      <c r="S85" s="306"/>
      <c r="T85" s="295"/>
      <c r="U85" s="296"/>
      <c r="V85" s="156"/>
      <c r="W85" s="308">
        <f t="shared" si="119"/>
        <v>0</v>
      </c>
      <c r="X85" s="304">
        <f t="shared" si="120"/>
        <v>0</v>
      </c>
      <c r="Y85" s="304">
        <f t="shared" si="121"/>
        <v>0</v>
      </c>
      <c r="Z85" s="309"/>
      <c r="AA85" s="304"/>
      <c r="AB85" s="308">
        <f t="shared" si="122"/>
        <v>0</v>
      </c>
      <c r="AC85" s="304">
        <f t="shared" si="123"/>
        <v>0</v>
      </c>
      <c r="AD85" s="309">
        <f t="shared" si="124"/>
        <v>0</v>
      </c>
      <c r="AE85" s="304"/>
      <c r="AF85" s="308">
        <f t="shared" si="125"/>
        <v>0</v>
      </c>
      <c r="AG85" s="304">
        <f t="shared" si="125"/>
        <v>0</v>
      </c>
      <c r="AH85" s="309">
        <f t="shared" si="125"/>
        <v>0</v>
      </c>
      <c r="AI85" s="304"/>
      <c r="AJ85" s="333"/>
      <c r="AK85" s="335" t="e">
        <f>AK84</f>
        <v>#DIV/0!</v>
      </c>
      <c r="AL85" s="304"/>
      <c r="AM85" s="308">
        <f t="shared" si="126"/>
        <v>0</v>
      </c>
      <c r="AN85" s="304">
        <v>0</v>
      </c>
      <c r="AO85" s="309">
        <f t="shared" si="127"/>
        <v>0</v>
      </c>
      <c r="AP85" s="304"/>
      <c r="AQ85" s="305"/>
      <c r="AR85" s="305"/>
      <c r="AS85" s="304"/>
    </row>
    <row r="86" spans="1:45" x14ac:dyDescent="0.3">
      <c r="A86" s="85">
        <f t="shared" si="116"/>
        <v>79</v>
      </c>
      <c r="B86" s="707"/>
      <c r="C86" s="726" t="s">
        <v>76</v>
      </c>
      <c r="D86" s="152"/>
      <c r="E86" s="122"/>
      <c r="F86" s="122"/>
      <c r="G86" s="152"/>
      <c r="H86" s="363"/>
      <c r="I86" s="757"/>
      <c r="J86" s="156"/>
      <c r="K86" s="727"/>
      <c r="L86" s="367"/>
      <c r="M86" s="121"/>
      <c r="N86" s="121"/>
      <c r="O86" s="121"/>
      <c r="P86" s="758"/>
      <c r="Q86" s="156"/>
      <c r="R86" s="293"/>
      <c r="S86" s="306"/>
      <c r="T86" s="295"/>
      <c r="U86" s="296"/>
      <c r="V86" s="156"/>
      <c r="W86" s="310">
        <f>SUM(W80:W85)</f>
        <v>0</v>
      </c>
      <c r="X86" s="311">
        <f>SUM(X80:X85)</f>
        <v>0</v>
      </c>
      <c r="Y86" s="311">
        <f>SUM(Y80:Y85)</f>
        <v>0</v>
      </c>
      <c r="Z86" s="312">
        <f>'Rate Spread SETTLEMENT'!W$76-SUM(W86:Y86)</f>
        <v>0</v>
      </c>
      <c r="AA86" s="304"/>
      <c r="AB86" s="310">
        <f>SUM(AB80:AB85)</f>
        <v>0</v>
      </c>
      <c r="AC86" s="311">
        <f>SUM(AC80:AC85)</f>
        <v>0</v>
      </c>
      <c r="AD86" s="312">
        <f>SUM(AD80:AD85)</f>
        <v>0</v>
      </c>
      <c r="AE86" s="304"/>
      <c r="AF86" s="310">
        <f>SUM(AF80:AF85)</f>
        <v>0</v>
      </c>
      <c r="AG86" s="311">
        <f>SUM(AG80:AG85)</f>
        <v>0</v>
      </c>
      <c r="AH86" s="312">
        <f>SUM(AH80:AH85)</f>
        <v>0</v>
      </c>
      <c r="AI86" s="304"/>
      <c r="AJ86" s="333" t="e">
        <f>SUM(AF86:AH86)/SUM(W86:Y86)</f>
        <v>#DIV/0!</v>
      </c>
      <c r="AK86" s="334" t="e">
        <f t="shared" ref="AK86:AK93" si="128">SUM(AF86)/SUM(W86)</f>
        <v>#DIV/0!</v>
      </c>
      <c r="AL86" s="304"/>
      <c r="AM86" s="310">
        <f>SUM(AM80:AM85)</f>
        <v>0</v>
      </c>
      <c r="AN86" s="311">
        <f>SUM(AN80:AN85)</f>
        <v>0</v>
      </c>
      <c r="AO86" s="312">
        <f>SUM(AO80:AO85)</f>
        <v>0</v>
      </c>
      <c r="AP86" s="304"/>
      <c r="AQ86" s="305"/>
      <c r="AR86" s="305"/>
      <c r="AS86" s="304"/>
    </row>
    <row r="87" spans="1:45" x14ac:dyDescent="0.3">
      <c r="A87" s="85">
        <f t="shared" si="116"/>
        <v>80</v>
      </c>
      <c r="B87" s="709" t="str">
        <f>'WA Volumes &amp; Revenues'!B75</f>
        <v>42I Inter Transpt</v>
      </c>
      <c r="C87" s="710" t="s">
        <v>4</v>
      </c>
      <c r="D87" s="161"/>
      <c r="E87" s="121">
        <f>ROUND('Rates in Detail'!AC73,5)</f>
        <v>3.3300000000000001E-3</v>
      </c>
      <c r="F87" s="121"/>
      <c r="G87" s="161"/>
      <c r="H87" s="368">
        <f>ROUND('Rates in Detail'!R73,5)</f>
        <v>0.14133000000000001</v>
      </c>
      <c r="I87" s="758">
        <f t="shared" si="118"/>
        <v>0.14466000000000001</v>
      </c>
      <c r="J87" s="161"/>
      <c r="K87" s="154">
        <f>'WA Volumes &amp; Revenues'!O75</f>
        <v>1550</v>
      </c>
      <c r="L87" s="155">
        <f>'WA Volumes &amp; Revenues'!N75</f>
        <v>1550</v>
      </c>
      <c r="M87" s="121">
        <f>'Rates in Detail'!AR73</f>
        <v>0</v>
      </c>
      <c r="N87" s="121">
        <f>'Rates in Detail'!AS73</f>
        <v>0</v>
      </c>
      <c r="O87" s="121">
        <f>'Rates in Detail'!AT73</f>
        <v>0</v>
      </c>
      <c r="P87" s="758">
        <f>'Rates in Detail'!AU73</f>
        <v>0</v>
      </c>
      <c r="Q87" s="161"/>
      <c r="R87" s="293">
        <f>'WA Volumes &amp; Revenues'!E75</f>
        <v>844078</v>
      </c>
      <c r="S87" s="306"/>
      <c r="T87" s="295">
        <f>'WA Volumes &amp; Revenues'!H75</f>
        <v>7</v>
      </c>
      <c r="U87" s="296">
        <f>'WA Volumes &amp; Revenues'!I75</f>
        <v>95634</v>
      </c>
      <c r="V87" s="161"/>
      <c r="W87" s="308">
        <f t="shared" ref="W87:W92" si="129">(H87*R87)</f>
        <v>119293.54374000001</v>
      </c>
      <c r="X87" s="304">
        <f t="shared" ref="X87:X92" si="130">(K87*T87*12)</f>
        <v>130200</v>
      </c>
      <c r="Y87" s="304">
        <f t="shared" ref="Y87:Y92" si="131">(S87*(M87+O87))*12</f>
        <v>0</v>
      </c>
      <c r="Z87" s="309"/>
      <c r="AA87" s="315"/>
      <c r="AB87" s="308">
        <f t="shared" ref="AB87:AB92" si="132">(I87*R87)</f>
        <v>122104.32348000001</v>
      </c>
      <c r="AC87" s="304">
        <f t="shared" ref="AC87:AC92" si="133">(L87*T87*12)</f>
        <v>130200</v>
      </c>
      <c r="AD87" s="309">
        <f t="shared" ref="AD87:AD92" si="134">(S87*(N87+P87))*12</f>
        <v>0</v>
      </c>
      <c r="AE87" s="315"/>
      <c r="AF87" s="308">
        <f t="shared" ref="AF87:AH92" si="135">AB87-W87</f>
        <v>2810.7797399999981</v>
      </c>
      <c r="AG87" s="304">
        <f t="shared" si="135"/>
        <v>0</v>
      </c>
      <c r="AH87" s="309">
        <f t="shared" si="135"/>
        <v>0</v>
      </c>
      <c r="AI87" s="315"/>
      <c r="AJ87" s="333"/>
      <c r="AK87" s="335">
        <f t="shared" si="128"/>
        <v>2.3561876459350439E-2</v>
      </c>
      <c r="AL87" s="315"/>
      <c r="AM87" s="308">
        <f t="shared" ref="AM87:AM92" si="136">(F87*R87)</f>
        <v>0</v>
      </c>
      <c r="AN87" s="304">
        <v>0</v>
      </c>
      <c r="AO87" s="309">
        <f t="shared" ref="AO87:AO92" si="137">(AE87*(Y87+AB87))*12</f>
        <v>0</v>
      </c>
      <c r="AP87" s="315"/>
      <c r="AQ87" s="305"/>
      <c r="AR87" s="305"/>
      <c r="AS87" s="315"/>
    </row>
    <row r="88" spans="1:45" x14ac:dyDescent="0.3">
      <c r="A88" s="85">
        <f t="shared" si="116"/>
        <v>81</v>
      </c>
      <c r="B88" s="709"/>
      <c r="C88" s="710" t="s">
        <v>5</v>
      </c>
      <c r="D88" s="161"/>
      <c r="E88" s="121">
        <f>ROUND('Rates in Detail'!AC74,5)</f>
        <v>2.98E-3</v>
      </c>
      <c r="F88" s="121"/>
      <c r="G88" s="161"/>
      <c r="H88" s="368">
        <f>ROUND('Rates in Detail'!R74,5)</f>
        <v>0.12651000000000001</v>
      </c>
      <c r="I88" s="758">
        <f t="shared" si="118"/>
        <v>0.12949000000000002</v>
      </c>
      <c r="J88" s="161"/>
      <c r="K88" s="727"/>
      <c r="L88" s="367"/>
      <c r="M88" s="121"/>
      <c r="N88" s="121"/>
      <c r="O88" s="121"/>
      <c r="P88" s="758"/>
      <c r="Q88" s="161"/>
      <c r="R88" s="293">
        <f>'WA Volumes &amp; Revenues'!E76</f>
        <v>1445175</v>
      </c>
      <c r="S88" s="159"/>
      <c r="T88" s="156"/>
      <c r="U88" s="157"/>
      <c r="V88" s="161"/>
      <c r="W88" s="308">
        <f t="shared" si="129"/>
        <v>182829.08925000002</v>
      </c>
      <c r="X88" s="304">
        <f t="shared" si="130"/>
        <v>0</v>
      </c>
      <c r="Y88" s="304">
        <f t="shared" si="131"/>
        <v>0</v>
      </c>
      <c r="Z88" s="309"/>
      <c r="AA88" s="315"/>
      <c r="AB88" s="308">
        <f t="shared" si="132"/>
        <v>187135.71075000003</v>
      </c>
      <c r="AC88" s="304">
        <f t="shared" si="133"/>
        <v>0</v>
      </c>
      <c r="AD88" s="309">
        <f t="shared" si="134"/>
        <v>0</v>
      </c>
      <c r="AE88" s="315"/>
      <c r="AF88" s="308">
        <f t="shared" si="135"/>
        <v>4306.6215000000084</v>
      </c>
      <c r="AG88" s="304">
        <f t="shared" si="135"/>
        <v>0</v>
      </c>
      <c r="AH88" s="309">
        <f t="shared" si="135"/>
        <v>0</v>
      </c>
      <c r="AI88" s="315"/>
      <c r="AJ88" s="333"/>
      <c r="AK88" s="335">
        <f t="shared" si="128"/>
        <v>2.3555450162042569E-2</v>
      </c>
      <c r="AL88" s="315"/>
      <c r="AM88" s="308">
        <f t="shared" si="136"/>
        <v>0</v>
      </c>
      <c r="AN88" s="304">
        <v>0</v>
      </c>
      <c r="AO88" s="309">
        <f t="shared" si="137"/>
        <v>0</v>
      </c>
      <c r="AP88" s="315"/>
      <c r="AQ88" s="305"/>
      <c r="AR88" s="155"/>
      <c r="AS88" s="315"/>
    </row>
    <row r="89" spans="1:45" x14ac:dyDescent="0.3">
      <c r="A89" s="85">
        <f t="shared" si="116"/>
        <v>82</v>
      </c>
      <c r="B89" s="709"/>
      <c r="C89" s="710" t="s">
        <v>6</v>
      </c>
      <c r="D89" s="161"/>
      <c r="E89" s="121">
        <f>ROUND('Rates in Detail'!AC75,5)</f>
        <v>2.2799999999999999E-3</v>
      </c>
      <c r="F89" s="121"/>
      <c r="G89" s="161"/>
      <c r="H89" s="368">
        <f>ROUND('Rates in Detail'!R75,5)</f>
        <v>9.7009999999999999E-2</v>
      </c>
      <c r="I89" s="758">
        <f t="shared" si="118"/>
        <v>9.9290000000000003E-2</v>
      </c>
      <c r="J89" s="161"/>
      <c r="K89" s="154"/>
      <c r="L89" s="155"/>
      <c r="M89" s="121"/>
      <c r="N89" s="121"/>
      <c r="O89" s="121"/>
      <c r="P89" s="758"/>
      <c r="Q89" s="161"/>
      <c r="R89" s="293">
        <f>'WA Volumes &amp; Revenues'!E77</f>
        <v>1034978</v>
      </c>
      <c r="S89" s="159"/>
      <c r="T89" s="156"/>
      <c r="U89" s="157"/>
      <c r="V89" s="161"/>
      <c r="W89" s="308">
        <f t="shared" si="129"/>
        <v>100403.21578</v>
      </c>
      <c r="X89" s="304">
        <f t="shared" si="130"/>
        <v>0</v>
      </c>
      <c r="Y89" s="304">
        <f t="shared" si="131"/>
        <v>0</v>
      </c>
      <c r="Z89" s="309"/>
      <c r="AA89" s="315"/>
      <c r="AB89" s="308">
        <f t="shared" si="132"/>
        <v>102762.96562</v>
      </c>
      <c r="AC89" s="304">
        <f t="shared" si="133"/>
        <v>0</v>
      </c>
      <c r="AD89" s="309">
        <f t="shared" si="134"/>
        <v>0</v>
      </c>
      <c r="AE89" s="315"/>
      <c r="AF89" s="308">
        <f t="shared" si="135"/>
        <v>2359.749840000004</v>
      </c>
      <c r="AG89" s="304">
        <f t="shared" si="135"/>
        <v>0</v>
      </c>
      <c r="AH89" s="309">
        <f t="shared" si="135"/>
        <v>0</v>
      </c>
      <c r="AI89" s="315"/>
      <c r="AJ89" s="333"/>
      <c r="AK89" s="335">
        <f t="shared" si="128"/>
        <v>2.3502731677146727E-2</v>
      </c>
      <c r="AL89" s="315"/>
      <c r="AM89" s="308">
        <f t="shared" si="136"/>
        <v>0</v>
      </c>
      <c r="AN89" s="304">
        <v>0</v>
      </c>
      <c r="AO89" s="309">
        <f t="shared" si="137"/>
        <v>0</v>
      </c>
      <c r="AP89" s="315"/>
      <c r="AQ89" s="305"/>
      <c r="AR89" s="155"/>
      <c r="AS89" s="315"/>
    </row>
    <row r="90" spans="1:45" x14ac:dyDescent="0.3">
      <c r="A90" s="85">
        <f t="shared" si="116"/>
        <v>83</v>
      </c>
      <c r="B90" s="709"/>
      <c r="C90" s="710" t="s">
        <v>7</v>
      </c>
      <c r="D90" s="161"/>
      <c r="E90" s="121">
        <f>ROUND('Rates in Detail'!AC76,5)</f>
        <v>1.83E-3</v>
      </c>
      <c r="F90" s="121"/>
      <c r="G90" s="161"/>
      <c r="H90" s="368">
        <f>ROUND('Rates in Detail'!R76,5)</f>
        <v>7.7619999999999995E-2</v>
      </c>
      <c r="I90" s="758">
        <f t="shared" si="118"/>
        <v>7.9449999999999993E-2</v>
      </c>
      <c r="J90" s="161"/>
      <c r="K90" s="154"/>
      <c r="L90" s="155"/>
      <c r="M90" s="121"/>
      <c r="N90" s="121"/>
      <c r="O90" s="121"/>
      <c r="P90" s="758"/>
      <c r="Q90" s="161"/>
      <c r="R90" s="293">
        <f>'WA Volumes &amp; Revenues'!E78</f>
        <v>3359916</v>
      </c>
      <c r="S90" s="159"/>
      <c r="T90" s="156"/>
      <c r="U90" s="157"/>
      <c r="V90" s="161"/>
      <c r="W90" s="308">
        <f t="shared" si="129"/>
        <v>260796.67992</v>
      </c>
      <c r="X90" s="304">
        <f t="shared" si="130"/>
        <v>0</v>
      </c>
      <c r="Y90" s="304">
        <f t="shared" si="131"/>
        <v>0</v>
      </c>
      <c r="Z90" s="309"/>
      <c r="AA90" s="315"/>
      <c r="AB90" s="308">
        <f t="shared" si="132"/>
        <v>266945.32619999995</v>
      </c>
      <c r="AC90" s="304">
        <f t="shared" si="133"/>
        <v>0</v>
      </c>
      <c r="AD90" s="309">
        <f t="shared" si="134"/>
        <v>0</v>
      </c>
      <c r="AE90" s="315"/>
      <c r="AF90" s="308">
        <f t="shared" si="135"/>
        <v>6148.6462799999572</v>
      </c>
      <c r="AG90" s="304">
        <f t="shared" si="135"/>
        <v>0</v>
      </c>
      <c r="AH90" s="309">
        <f t="shared" si="135"/>
        <v>0</v>
      </c>
      <c r="AI90" s="315"/>
      <c r="AJ90" s="333"/>
      <c r="AK90" s="335">
        <f t="shared" si="128"/>
        <v>2.3576397835609216E-2</v>
      </c>
      <c r="AL90" s="315"/>
      <c r="AM90" s="308">
        <f t="shared" si="136"/>
        <v>0</v>
      </c>
      <c r="AN90" s="304">
        <v>0</v>
      </c>
      <c r="AO90" s="309">
        <f t="shared" si="137"/>
        <v>0</v>
      </c>
      <c r="AP90" s="315"/>
      <c r="AQ90" s="305"/>
      <c r="AR90" s="155"/>
      <c r="AS90" s="315"/>
    </row>
    <row r="91" spans="1:45" x14ac:dyDescent="0.3">
      <c r="A91" s="85">
        <f t="shared" si="116"/>
        <v>84</v>
      </c>
      <c r="B91" s="709"/>
      <c r="C91" s="710" t="s">
        <v>8</v>
      </c>
      <c r="D91" s="161"/>
      <c r="E91" s="121">
        <f>ROUND('Rates in Detail'!AC77,5)</f>
        <v>1.2199999999999999E-3</v>
      </c>
      <c r="F91" s="121"/>
      <c r="G91" s="161"/>
      <c r="H91" s="368">
        <f>ROUND('Rates in Detail'!R77,5)</f>
        <v>5.1749999999999997E-2</v>
      </c>
      <c r="I91" s="758">
        <f t="shared" si="118"/>
        <v>5.2969999999999996E-2</v>
      </c>
      <c r="J91" s="161"/>
      <c r="K91" s="154"/>
      <c r="L91" s="155"/>
      <c r="M91" s="121"/>
      <c r="N91" s="121"/>
      <c r="O91" s="121"/>
      <c r="P91" s="758"/>
      <c r="Q91" s="161"/>
      <c r="R91" s="293">
        <f>'WA Volumes &amp; Revenues'!E79</f>
        <v>1349120</v>
      </c>
      <c r="S91" s="159"/>
      <c r="T91" s="156"/>
      <c r="U91" s="157"/>
      <c r="V91" s="161"/>
      <c r="W91" s="308">
        <f t="shared" si="129"/>
        <v>69816.959999999992</v>
      </c>
      <c r="X91" s="304">
        <f t="shared" si="130"/>
        <v>0</v>
      </c>
      <c r="Y91" s="304">
        <f t="shared" si="131"/>
        <v>0</v>
      </c>
      <c r="Z91" s="309"/>
      <c r="AA91" s="315"/>
      <c r="AB91" s="308">
        <f t="shared" si="132"/>
        <v>71462.886399999988</v>
      </c>
      <c r="AC91" s="304">
        <f t="shared" si="133"/>
        <v>0</v>
      </c>
      <c r="AD91" s="309">
        <f t="shared" si="134"/>
        <v>0</v>
      </c>
      <c r="AE91" s="315"/>
      <c r="AF91" s="308">
        <f t="shared" si="135"/>
        <v>1645.9263999999966</v>
      </c>
      <c r="AG91" s="304">
        <f t="shared" si="135"/>
        <v>0</v>
      </c>
      <c r="AH91" s="309">
        <f t="shared" si="135"/>
        <v>0</v>
      </c>
      <c r="AI91" s="315"/>
      <c r="AJ91" s="333"/>
      <c r="AK91" s="335">
        <f t="shared" si="128"/>
        <v>2.3574879227053095E-2</v>
      </c>
      <c r="AL91" s="315"/>
      <c r="AM91" s="308">
        <f t="shared" si="136"/>
        <v>0</v>
      </c>
      <c r="AN91" s="304">
        <v>0</v>
      </c>
      <c r="AO91" s="309">
        <f t="shared" si="137"/>
        <v>0</v>
      </c>
      <c r="AP91" s="315"/>
      <c r="AQ91" s="305"/>
      <c r="AR91" s="153"/>
      <c r="AS91" s="315"/>
    </row>
    <row r="92" spans="1:45" x14ac:dyDescent="0.3">
      <c r="A92" s="85">
        <f t="shared" si="116"/>
        <v>85</v>
      </c>
      <c r="B92" s="709"/>
      <c r="C92" s="710" t="s">
        <v>9</v>
      </c>
      <c r="D92" s="161"/>
      <c r="E92" s="121">
        <f>ROUND('Rates in Detail'!AC78,5)</f>
        <v>4.6000000000000001E-4</v>
      </c>
      <c r="F92" s="121"/>
      <c r="G92" s="161"/>
      <c r="H92" s="368">
        <f>ROUND('Rates in Detail'!R78,5)</f>
        <v>1.9400000000000001E-2</v>
      </c>
      <c r="I92" s="758">
        <f t="shared" si="118"/>
        <v>1.9859999999999999E-2</v>
      </c>
      <c r="J92" s="161"/>
      <c r="K92" s="154"/>
      <c r="L92" s="155"/>
      <c r="M92" s="121"/>
      <c r="N92" s="121"/>
      <c r="O92" s="121"/>
      <c r="P92" s="758"/>
      <c r="Q92" s="161"/>
      <c r="R92" s="293">
        <f>'WA Volumes &amp; Revenues'!E80</f>
        <v>0</v>
      </c>
      <c r="S92" s="159"/>
      <c r="T92" s="156"/>
      <c r="U92" s="157"/>
      <c r="V92" s="161"/>
      <c r="W92" s="308">
        <f t="shared" si="129"/>
        <v>0</v>
      </c>
      <c r="X92" s="304">
        <f t="shared" si="130"/>
        <v>0</v>
      </c>
      <c r="Y92" s="304">
        <f t="shared" si="131"/>
        <v>0</v>
      </c>
      <c r="Z92" s="309"/>
      <c r="AA92" s="315"/>
      <c r="AB92" s="308">
        <f t="shared" si="132"/>
        <v>0</v>
      </c>
      <c r="AC92" s="304">
        <f t="shared" si="133"/>
        <v>0</v>
      </c>
      <c r="AD92" s="309">
        <f t="shared" si="134"/>
        <v>0</v>
      </c>
      <c r="AE92" s="315"/>
      <c r="AF92" s="308">
        <f t="shared" si="135"/>
        <v>0</v>
      </c>
      <c r="AG92" s="304">
        <f t="shared" si="135"/>
        <v>0</v>
      </c>
      <c r="AH92" s="309">
        <f t="shared" si="135"/>
        <v>0</v>
      </c>
      <c r="AI92" s="315"/>
      <c r="AJ92" s="333"/>
      <c r="AK92" s="335" t="e">
        <f t="shared" si="128"/>
        <v>#DIV/0!</v>
      </c>
      <c r="AL92" s="315"/>
      <c r="AM92" s="308">
        <f t="shared" si="136"/>
        <v>0</v>
      </c>
      <c r="AN92" s="304">
        <v>0</v>
      </c>
      <c r="AO92" s="309">
        <f t="shared" si="137"/>
        <v>0</v>
      </c>
      <c r="AP92" s="315"/>
      <c r="AQ92" s="305"/>
      <c r="AR92" s="153"/>
      <c r="AS92" s="315"/>
    </row>
    <row r="93" spans="1:45" x14ac:dyDescent="0.3">
      <c r="A93" s="85">
        <f t="shared" si="116"/>
        <v>86</v>
      </c>
      <c r="B93" s="707"/>
      <c r="C93" s="726" t="s">
        <v>76</v>
      </c>
      <c r="D93" s="162"/>
      <c r="E93" s="122"/>
      <c r="F93" s="122"/>
      <c r="G93" s="162"/>
      <c r="H93" s="363"/>
      <c r="I93" s="757"/>
      <c r="J93" s="161"/>
      <c r="K93" s="154"/>
      <c r="L93" s="155"/>
      <c r="M93" s="121"/>
      <c r="N93" s="121"/>
      <c r="O93" s="121"/>
      <c r="P93" s="758"/>
      <c r="Q93" s="161"/>
      <c r="R93" s="293"/>
      <c r="S93" s="159"/>
      <c r="T93" s="156"/>
      <c r="U93" s="157"/>
      <c r="V93" s="161"/>
      <c r="W93" s="310">
        <f>SUM(W87:W92)</f>
        <v>733139.48869000003</v>
      </c>
      <c r="X93" s="311">
        <f>SUM(X87:X92)</f>
        <v>130200</v>
      </c>
      <c r="Y93" s="311">
        <f>SUM(Y87:Y92)</f>
        <v>0</v>
      </c>
      <c r="Z93" s="312">
        <f>'Rate Spread SETTLEMENT'!X$76-SUM(W93:Y93)</f>
        <v>-14.917587083415128</v>
      </c>
      <c r="AA93" s="315"/>
      <c r="AB93" s="310">
        <f>SUM(AB87:AB92)</f>
        <v>750411.21244999999</v>
      </c>
      <c r="AC93" s="311">
        <f>SUM(AC87:AC92)</f>
        <v>130200</v>
      </c>
      <c r="AD93" s="312">
        <f>SUM(AD87:AD92)</f>
        <v>0</v>
      </c>
      <c r="AE93" s="315"/>
      <c r="AF93" s="310">
        <f>SUM(AF87:AF92)</f>
        <v>17271.723759999964</v>
      </c>
      <c r="AG93" s="311">
        <f>SUM(AG87:AG92)</f>
        <v>0</v>
      </c>
      <c r="AH93" s="312">
        <f>SUM(AH87:AH92)</f>
        <v>0</v>
      </c>
      <c r="AI93" s="315"/>
      <c r="AJ93" s="333">
        <f>SUM(AF93:AH93)/SUM(W93:Y93)</f>
        <v>2.000571500118389E-2</v>
      </c>
      <c r="AK93" s="334">
        <f t="shared" si="128"/>
        <v>2.3558577905633895E-2</v>
      </c>
      <c r="AL93" s="315"/>
      <c r="AM93" s="310">
        <f>SUM(AM87:AM92)</f>
        <v>0</v>
      </c>
      <c r="AN93" s="311">
        <f>SUM(AN87:AN92)</f>
        <v>0</v>
      </c>
      <c r="AO93" s="312">
        <f>SUM(AO87:AO92)</f>
        <v>0</v>
      </c>
      <c r="AP93" s="315"/>
      <c r="AQ93" s="305"/>
      <c r="AR93" s="153"/>
      <c r="AS93" s="315"/>
    </row>
    <row r="94" spans="1:45" x14ac:dyDescent="0.3">
      <c r="A94" s="85">
        <f t="shared" si="116"/>
        <v>87</v>
      </c>
      <c r="B94" s="707" t="str">
        <f>'WA Volumes &amp; Revenues'!B81</f>
        <v>43 Firm Transpt</v>
      </c>
      <c r="C94" s="707" t="s">
        <v>270</v>
      </c>
      <c r="D94" s="161"/>
      <c r="E94" s="387">
        <f>ROUND('Rates in Detail'!AC79,5)</f>
        <v>0</v>
      </c>
      <c r="F94" s="387"/>
      <c r="G94" s="161"/>
      <c r="H94" s="388">
        <f>ROUND('Rates in Detail'!R79,5)</f>
        <v>4.9100000000000003E-3</v>
      </c>
      <c r="I94" s="759">
        <f t="shared" si="118"/>
        <v>4.9100000000000003E-3</v>
      </c>
      <c r="J94" s="161"/>
      <c r="K94" s="154">
        <f>'WA Volumes &amp; Revenues'!O81</f>
        <v>38000</v>
      </c>
      <c r="L94" s="155">
        <f>'WA Volumes &amp; Revenues'!N81</f>
        <v>38000</v>
      </c>
      <c r="M94" s="121">
        <f>'Rates in Detail'!AR79</f>
        <v>0.15748000000000001</v>
      </c>
      <c r="N94" s="121">
        <f>'Rates in Detail'!AS79</f>
        <v>0</v>
      </c>
      <c r="O94" s="121">
        <f>'Rates in Detail'!AT79</f>
        <v>0</v>
      </c>
      <c r="P94" s="758">
        <f>'Rates in Detail'!AU79</f>
        <v>0</v>
      </c>
      <c r="Q94" s="161"/>
      <c r="R94" s="293">
        <f>'WA Volumes &amp; Revenues'!E81</f>
        <v>0</v>
      </c>
      <c r="S94" s="306"/>
      <c r="T94" s="295">
        <f>'WA Volumes &amp; Revenues'!H81</f>
        <v>0</v>
      </c>
      <c r="U94" s="296">
        <f>'WA Volumes &amp; Revenues'!I81</f>
        <v>0</v>
      </c>
      <c r="V94" s="161"/>
      <c r="W94" s="301">
        <f t="shared" ref="W94:W96" si="138">(H94*R94)</f>
        <v>0</v>
      </c>
      <c r="X94" s="302">
        <f t="shared" ref="X94:X96" si="139">(K94*T94*12)</f>
        <v>0</v>
      </c>
      <c r="Y94" s="302">
        <f>(S94*(M94+O94))*12</f>
        <v>0</v>
      </c>
      <c r="Z94" s="303"/>
      <c r="AA94" s="316"/>
      <c r="AB94" s="301">
        <f>(I94*R94)</f>
        <v>0</v>
      </c>
      <c r="AC94" s="302">
        <f>(L94*T94*12)</f>
        <v>0</v>
      </c>
      <c r="AD94" s="303">
        <f>(S94*(N94+P94))*12</f>
        <v>0</v>
      </c>
      <c r="AE94" s="316"/>
      <c r="AF94" s="301">
        <f t="shared" ref="AF94:AH96" si="140">AB94-W94</f>
        <v>0</v>
      </c>
      <c r="AG94" s="302">
        <f t="shared" si="140"/>
        <v>0</v>
      </c>
      <c r="AH94" s="303">
        <f t="shared" si="140"/>
        <v>0</v>
      </c>
      <c r="AI94" s="315"/>
      <c r="AJ94" s="333"/>
      <c r="AK94" s="334"/>
      <c r="AL94" s="315"/>
      <c r="AM94" s="301">
        <f>(F94*R94)</f>
        <v>0</v>
      </c>
      <c r="AN94" s="302">
        <v>0</v>
      </c>
      <c r="AO94" s="303">
        <f t="shared" ref="AO94:AO96" si="141">(AE94*(Y94+AB94))*12</f>
        <v>0</v>
      </c>
      <c r="AP94" s="315"/>
      <c r="AQ94" s="153"/>
      <c r="AR94" s="153"/>
      <c r="AS94" s="315"/>
    </row>
    <row r="95" spans="1:45" x14ac:dyDescent="0.3">
      <c r="A95" s="85">
        <f t="shared" si="116"/>
        <v>88</v>
      </c>
      <c r="B95" s="707" t="str">
        <f>'WA Volumes &amp; Revenues'!B82</f>
        <v>43 Interr Transpt</v>
      </c>
      <c r="C95" s="708" t="s">
        <v>270</v>
      </c>
      <c r="D95" s="161"/>
      <c r="E95" s="387">
        <f>ROUND('Rates in Detail'!AC80,5)</f>
        <v>0</v>
      </c>
      <c r="F95" s="387"/>
      <c r="G95" s="161"/>
      <c r="H95" s="391">
        <f>ROUND('Rates in Detail'!R80,5)</f>
        <v>4.9100000000000003E-3</v>
      </c>
      <c r="I95" s="760">
        <f t="shared" si="118"/>
        <v>4.9100000000000003E-3</v>
      </c>
      <c r="J95" s="161"/>
      <c r="K95" s="154">
        <f>'WA Volumes &amp; Revenues'!O82</f>
        <v>38000</v>
      </c>
      <c r="L95" s="155">
        <f>'WA Volumes &amp; Revenues'!N82</f>
        <v>38000</v>
      </c>
      <c r="M95" s="121">
        <f>'Rates in Detail'!AR80</f>
        <v>0</v>
      </c>
      <c r="N95" s="121">
        <f>'Rates in Detail'!AS80</f>
        <v>0</v>
      </c>
      <c r="O95" s="121">
        <f>'Rates in Detail'!AT80</f>
        <v>0</v>
      </c>
      <c r="P95" s="758">
        <f>'Rates in Detail'!AU80</f>
        <v>0</v>
      </c>
      <c r="Q95" s="161"/>
      <c r="R95" s="293">
        <f>'WA Volumes &amp; Revenues'!E82</f>
        <v>0</v>
      </c>
      <c r="S95" s="159"/>
      <c r="T95" s="295">
        <f>'WA Volumes &amp; Revenues'!H82</f>
        <v>0</v>
      </c>
      <c r="U95" s="296">
        <f>'WA Volumes &amp; Revenues'!I82</f>
        <v>0</v>
      </c>
      <c r="V95" s="161"/>
      <c r="W95" s="317">
        <f t="shared" si="138"/>
        <v>0</v>
      </c>
      <c r="X95" s="316">
        <f t="shared" si="139"/>
        <v>0</v>
      </c>
      <c r="Y95" s="316">
        <f>(S95*(M95+O95))*12</f>
        <v>0</v>
      </c>
      <c r="Z95" s="318"/>
      <c r="AA95" s="315"/>
      <c r="AB95" s="317">
        <f>(I95*R95)</f>
        <v>0</v>
      </c>
      <c r="AC95" s="316">
        <f>(L95*T95*12)</f>
        <v>0</v>
      </c>
      <c r="AD95" s="318">
        <f>(S95*(N95+P95))*12</f>
        <v>0</v>
      </c>
      <c r="AE95" s="315"/>
      <c r="AF95" s="317">
        <f t="shared" si="140"/>
        <v>0</v>
      </c>
      <c r="AG95" s="316">
        <f t="shared" si="140"/>
        <v>0</v>
      </c>
      <c r="AH95" s="318">
        <f t="shared" si="140"/>
        <v>0</v>
      </c>
      <c r="AI95" s="315"/>
      <c r="AJ95" s="315"/>
      <c r="AK95" s="315"/>
      <c r="AL95" s="315"/>
      <c r="AM95" s="317">
        <f>(F95*R95)</f>
        <v>0</v>
      </c>
      <c r="AN95" s="316">
        <v>0</v>
      </c>
      <c r="AO95" s="318">
        <f t="shared" si="141"/>
        <v>0</v>
      </c>
      <c r="AP95" s="315"/>
      <c r="AQ95" s="153"/>
      <c r="AR95" s="153"/>
      <c r="AS95" s="315"/>
    </row>
    <row r="96" spans="1:45" ht="13.5" thickBot="1" x14ac:dyDescent="0.35">
      <c r="A96" s="85">
        <f t="shared" si="116"/>
        <v>89</v>
      </c>
      <c r="B96" s="763" t="str">
        <f>'WA Volumes &amp; Revenues'!B83</f>
        <v>Special Contract</v>
      </c>
      <c r="C96" s="764" t="s">
        <v>270</v>
      </c>
      <c r="D96" s="165"/>
      <c r="E96" s="765">
        <f>ROUND('Rates in Detail'!AC81,5)</f>
        <v>0</v>
      </c>
      <c r="F96" s="819"/>
      <c r="G96" s="766"/>
      <c r="H96" s="761">
        <f>ROUND('Rates in Detail'!R81,5)</f>
        <v>0</v>
      </c>
      <c r="I96" s="762">
        <f t="shared" si="118"/>
        <v>0</v>
      </c>
      <c r="J96" s="161"/>
      <c r="K96" s="769">
        <f>'WA Volumes &amp; Revenues'!O83</f>
        <v>0</v>
      </c>
      <c r="L96" s="770">
        <f>'WA Volumes &amp; Revenues'!N83</f>
        <v>0</v>
      </c>
      <c r="M96" s="779">
        <f>'Rates in Detail'!AR81</f>
        <v>0</v>
      </c>
      <c r="N96" s="779">
        <f>'Rates in Detail'!AS81</f>
        <v>0</v>
      </c>
      <c r="O96" s="779">
        <f>'Rates in Detail'!AT81</f>
        <v>0</v>
      </c>
      <c r="P96" s="762">
        <f>'Rates in Detail'!AU81</f>
        <v>0</v>
      </c>
      <c r="Q96" s="161"/>
      <c r="R96" s="780">
        <f>'WA Volumes &amp; Revenues'!E83</f>
        <v>2895114</v>
      </c>
      <c r="S96" s="166"/>
      <c r="T96" s="785">
        <f>'WA Volumes &amp; Revenues'!H83</f>
        <v>1</v>
      </c>
      <c r="U96" s="786">
        <f>'WA Volumes &amp; Revenues'!I83</f>
        <v>241259.5</v>
      </c>
      <c r="V96" s="161"/>
      <c r="W96" s="589">
        <f t="shared" si="138"/>
        <v>0</v>
      </c>
      <c r="X96" s="590">
        <f t="shared" si="139"/>
        <v>0</v>
      </c>
      <c r="Y96" s="590">
        <f>(S96*(M96+O96))*12</f>
        <v>0</v>
      </c>
      <c r="Z96" s="591"/>
      <c r="AA96" s="315"/>
      <c r="AB96" s="319">
        <f>(I96*R96)</f>
        <v>0</v>
      </c>
      <c r="AC96" s="320">
        <f>(L96*T96*12)</f>
        <v>0</v>
      </c>
      <c r="AD96" s="321">
        <f>(S96*(N96+P96))*12</f>
        <v>0</v>
      </c>
      <c r="AE96" s="315"/>
      <c r="AF96" s="319">
        <f t="shared" si="140"/>
        <v>0</v>
      </c>
      <c r="AG96" s="320">
        <f t="shared" si="140"/>
        <v>0</v>
      </c>
      <c r="AH96" s="321">
        <f t="shared" si="140"/>
        <v>0</v>
      </c>
      <c r="AI96" s="315"/>
      <c r="AJ96" s="315"/>
      <c r="AK96" s="315"/>
      <c r="AL96" s="315"/>
      <c r="AM96" s="589">
        <f>(F96*R96)</f>
        <v>0</v>
      </c>
      <c r="AN96" s="590">
        <v>0</v>
      </c>
      <c r="AO96" s="591">
        <f t="shared" si="141"/>
        <v>0</v>
      </c>
      <c r="AP96" s="315"/>
      <c r="AQ96" s="161"/>
      <c r="AR96" s="161"/>
      <c r="AS96" s="315"/>
    </row>
    <row r="97" spans="1:45" x14ac:dyDescent="0.3">
      <c r="A97" s="85">
        <f t="shared" si="116"/>
        <v>90</v>
      </c>
      <c r="F97" s="1090"/>
    </row>
    <row r="98" spans="1:45" x14ac:dyDescent="0.3">
      <c r="A98" s="85">
        <f t="shared" si="116"/>
        <v>91</v>
      </c>
      <c r="B98" s="167" t="s">
        <v>58</v>
      </c>
    </row>
    <row r="99" spans="1:45" x14ac:dyDescent="0.3">
      <c r="A99" s="85">
        <f t="shared" si="116"/>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49"/>
      <c r="AJ99" s="749"/>
      <c r="AK99" s="749"/>
      <c r="AL99" s="749"/>
      <c r="AM99" s="782"/>
      <c r="AN99" s="782"/>
      <c r="AO99" s="782"/>
      <c r="AP99" s="783"/>
      <c r="AS99" s="54"/>
    </row>
    <row r="100" spans="1:45" x14ac:dyDescent="0.3">
      <c r="A100" s="85">
        <f t="shared" si="116"/>
        <v>93</v>
      </c>
      <c r="B100" s="168"/>
      <c r="R100" s="322"/>
      <c r="S100" s="322"/>
      <c r="T100" s="322"/>
    </row>
    <row r="101" spans="1:45" x14ac:dyDescent="0.3">
      <c r="A101" s="85">
        <f t="shared" si="116"/>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84"/>
      <c r="AS101" s="54"/>
    </row>
    <row r="102" spans="1:45" x14ac:dyDescent="0.3">
      <c r="A102" s="85">
        <f t="shared" si="116"/>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84"/>
      <c r="AS102" s="54"/>
    </row>
    <row r="103" spans="1:45" x14ac:dyDescent="0.3">
      <c r="A103" s="85"/>
      <c r="B103" s="168"/>
      <c r="F103" s="1090"/>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BF105"/>
  <sheetViews>
    <sheetView workbookViewId="0"/>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7.19921875" style="55" hidden="1" customWidth="1"/>
    <col min="6" max="11" width="14.796875" style="55" customWidth="1"/>
    <col min="12" max="12" width="2.796875" style="55" customWidth="1"/>
    <col min="13" max="13" width="19.296875" style="55" hidden="1" customWidth="1"/>
    <col min="14" max="14" width="17.19921875" style="55" customWidth="1"/>
    <col min="15" max="17" width="15.796875" style="55" customWidth="1"/>
    <col min="18" max="18" width="2.796875" style="55" customWidth="1"/>
    <col min="19" max="21" width="15.796875" style="55" hidden="1" customWidth="1" outlineLevel="1"/>
    <col min="22" max="22" width="2.796875" style="55" hidden="1" customWidth="1" outlineLevel="1"/>
    <col min="23" max="23" width="15.796875" style="55" customWidth="1" collapsed="1"/>
    <col min="24" max="25" width="15.796875" style="55" customWidth="1"/>
    <col min="26" max="26" width="2.796875" style="55" customWidth="1"/>
    <col min="27" max="29" width="15.796875" style="55" customWidth="1"/>
    <col min="30" max="30" width="2.796875" style="55" customWidth="1"/>
    <col min="31" max="31" width="15.796875" style="55" customWidth="1" collapsed="1"/>
    <col min="32" max="33" width="15.796875" style="55" customWidth="1"/>
    <col min="34" max="34" width="2.796875" style="55" customWidth="1"/>
    <col min="35" max="35" width="15.796875" style="55" customWidth="1" collapsed="1"/>
    <col min="36" max="37" width="15.796875" style="55" customWidth="1"/>
    <col min="38" max="38" width="2.796875" style="55" customWidth="1"/>
    <col min="39" max="41" width="15.796875" style="55" customWidth="1"/>
    <col min="42" max="42" width="2.796875" style="55" customWidth="1"/>
    <col min="43" max="45" width="15.796875" style="55" customWidth="1"/>
    <col min="46" max="46" width="2.796875" style="55" customWidth="1"/>
    <col min="47" max="49" width="15.796875" style="55" customWidth="1"/>
    <col min="50" max="50" width="2.796875" style="55" customWidth="1"/>
    <col min="51" max="51" width="23.796875" style="55" customWidth="1"/>
    <col min="52" max="52" width="22.19921875" style="55" customWidth="1"/>
    <col min="53" max="53" width="2.796875" style="55" customWidth="1"/>
    <col min="54" max="54" width="9.296875" style="54"/>
    <col min="55" max="55" width="15.69921875" style="54" bestFit="1" customWidth="1"/>
    <col min="56" max="16384" width="9.296875" style="54"/>
  </cols>
  <sheetData>
    <row r="1" spans="1:58" ht="15" thickBot="1" x14ac:dyDescent="0.4">
      <c r="A1" s="172" t="str">
        <f>+'WA Volumes &amp; Revenues'!A1</f>
        <v>NW Natural</v>
      </c>
    </row>
    <row r="2" spans="1:58" ht="15" thickBot="1" x14ac:dyDescent="0.4">
      <c r="A2" s="172" t="str">
        <f>+'WA Volumes &amp; Revenues'!A2</f>
        <v>Rates &amp; Regulatory Affairs</v>
      </c>
      <c r="E2" s="139"/>
      <c r="F2" s="139"/>
      <c r="N2" s="259"/>
      <c r="P2" s="260"/>
      <c r="S2" s="261" t="s">
        <v>111</v>
      </c>
      <c r="T2" s="262" t="s">
        <v>112</v>
      </c>
      <c r="U2" s="263" t="s">
        <v>96</v>
      </c>
      <c r="W2" s="261" t="s">
        <v>111</v>
      </c>
      <c r="X2" s="262" t="s">
        <v>112</v>
      </c>
      <c r="Y2" s="263" t="s">
        <v>96</v>
      </c>
      <c r="AA2" s="261" t="s">
        <v>111</v>
      </c>
      <c r="AB2" s="262" t="s">
        <v>112</v>
      </c>
      <c r="AC2" s="263" t="s">
        <v>96</v>
      </c>
      <c r="AD2" s="144"/>
      <c r="AE2" s="261" t="s">
        <v>111</v>
      </c>
      <c r="AF2" s="262" t="s">
        <v>112</v>
      </c>
      <c r="AG2" s="263" t="s">
        <v>96</v>
      </c>
      <c r="AI2" s="261" t="s">
        <v>111</v>
      </c>
      <c r="AJ2" s="262" t="s">
        <v>112</v>
      </c>
      <c r="AK2" s="263" t="s">
        <v>96</v>
      </c>
      <c r="AM2" s="261" t="s">
        <v>111</v>
      </c>
      <c r="AN2" s="262" t="s">
        <v>112</v>
      </c>
      <c r="AO2" s="263" t="s">
        <v>96</v>
      </c>
      <c r="AP2" s="144"/>
      <c r="AQ2" s="261" t="s">
        <v>111</v>
      </c>
      <c r="AR2" s="262" t="s">
        <v>112</v>
      </c>
      <c r="AS2" s="263" t="s">
        <v>96</v>
      </c>
      <c r="AU2" s="261" t="s">
        <v>111</v>
      </c>
      <c r="AV2" s="262" t="s">
        <v>112</v>
      </c>
      <c r="AW2" s="263" t="s">
        <v>96</v>
      </c>
      <c r="AY2" s="1849" t="s">
        <v>267</v>
      </c>
      <c r="AZ2" s="1850"/>
    </row>
    <row r="3" spans="1:58" ht="14.5" x14ac:dyDescent="0.35">
      <c r="A3" s="172" t="str">
        <f>+'WA Volumes &amp; Revenues'!A3</f>
        <v>Test Year Ending September 30, 2020</v>
      </c>
      <c r="E3" s="139"/>
      <c r="F3" s="139"/>
      <c r="N3" s="259"/>
      <c r="S3" s="264">
        <f>SUM(S14:S19)+S22+S28+S31+S37+S44+S51+S58+S65+S72+S79+S93+S94+S25+S34+S86+S95+S96</f>
        <v>0</v>
      </c>
      <c r="T3" s="265">
        <f t="shared" ref="T3:U3" si="0">SUM(T14:T19)+T22+T28+T31+T37+T44+T51+T58+T65+T72+T79+T93+T94+T25+T34+T86+T95+T96</f>
        <v>0</v>
      </c>
      <c r="U3" s="266">
        <f t="shared" si="0"/>
        <v>0</v>
      </c>
      <c r="W3" s="264">
        <f t="shared" ref="W3:Y3" si="1">SUM(W14:W19)+W22+W28+W31+W37+W44+W51+W58+W65+W72+W79+W93+W94+W25+W34+W86+W95+W96</f>
        <v>-770801.0344698329</v>
      </c>
      <c r="X3" s="265">
        <f t="shared" si="1"/>
        <v>0</v>
      </c>
      <c r="Y3" s="266">
        <f t="shared" si="1"/>
        <v>0</v>
      </c>
      <c r="AA3" s="264">
        <f>SUM(AA14:AA19)+AA22+AA28+AA31+AA37+AA44+AA51+AA58+AA65+AA72+AA79+AA93+AA94+AA25+AA34+AA86+AA95+AA96</f>
        <v>-437544.81737369846</v>
      </c>
      <c r="AB3" s="265">
        <f t="shared" ref="AB3:AC3" si="2">SUM(AB14:AB19)+AB22+AB28+AB31+AB37+AB44+AB51+AB58+AB65+AB72+AB79+AB93+AB94+AB25+AB34+AB86+AB95+AB96</f>
        <v>0</v>
      </c>
      <c r="AC3" s="266">
        <f t="shared" si="2"/>
        <v>0</v>
      </c>
      <c r="AD3" s="265"/>
      <c r="AE3" s="264">
        <f t="shared" ref="AE3:AG3" si="3">SUM(AE14:AE19)+AE22+AE28+AE31+AE37+AE44+AE51+AE58+AE65+AE72+AE79+AE93+AE94+AE25+AE34+AE86+AE95+AE96</f>
        <v>154321.70340641376</v>
      </c>
      <c r="AF3" s="265">
        <f t="shared" si="3"/>
        <v>0</v>
      </c>
      <c r="AG3" s="266">
        <f t="shared" si="3"/>
        <v>0</v>
      </c>
      <c r="AI3" s="264">
        <f t="shared" ref="AI3:AK3" si="4">SUM(AI14:AI19)+AI22+AI28+AI31+AI37+AI44+AI51+AI58+AI65+AI72+AI79+AI93+AI94+AI25+AI34+AI86+AI95+AI96</f>
        <v>-770801.0344698329</v>
      </c>
      <c r="AJ3" s="265">
        <f t="shared" si="4"/>
        <v>0</v>
      </c>
      <c r="AK3" s="266">
        <f t="shared" si="4"/>
        <v>0</v>
      </c>
      <c r="AM3" s="264">
        <f>SUM(AM14:AM19)+AM22+AM28+AM31+AM37+AM44+AM51+AM58+AM65+AM72+AM79+AM93+AM94+AM25+AM34+AM86+AM95+AM96</f>
        <v>-438192.71031602036</v>
      </c>
      <c r="AN3" s="265">
        <f t="shared" ref="AN3:AO3" si="5">SUM(AN14:AN19)+AN22+AN28+AN31+AN37+AN44+AN51+AN58+AN65+AN72+AN79+AN93+AN94+AN25+AN34+AN86+AN95+AN96</f>
        <v>0</v>
      </c>
      <c r="AO3" s="266">
        <f t="shared" si="5"/>
        <v>0</v>
      </c>
      <c r="AP3" s="265"/>
      <c r="AQ3" s="264">
        <f t="shared" ref="AQ3:AS3" si="6">SUM(AQ14:AQ19)+AQ22+AQ28+AQ31+AQ37+AQ44+AQ51+AQ58+AQ65+AQ72+AQ79+AQ93+AQ94+AQ25+AQ34+AQ86+AQ95+AQ96</f>
        <v>-44647.663027564136</v>
      </c>
      <c r="AR3" s="265">
        <f t="shared" si="6"/>
        <v>0</v>
      </c>
      <c r="AS3" s="266">
        <f t="shared" si="6"/>
        <v>0</v>
      </c>
      <c r="AU3" s="264">
        <f t="shared" ref="AU3:AW3" si="7">SUM(AU14:AU19)+AU22+AU28+AU31+AU37+AU44+AU51+AU58+AU65+AU72+AU79+AU93+AU94+AU25+AU34+AU86+AU95+AU96</f>
        <v>-1252993.5148710953</v>
      </c>
      <c r="AV3" s="265">
        <f t="shared" si="7"/>
        <v>0</v>
      </c>
      <c r="AW3" s="266">
        <f t="shared" si="7"/>
        <v>0</v>
      </c>
      <c r="AY3" s="167" t="s">
        <v>402</v>
      </c>
      <c r="AZ3" s="267"/>
    </row>
    <row r="4" spans="1:58" ht="14.5" x14ac:dyDescent="0.35">
      <c r="A4" s="172" t="s">
        <v>604</v>
      </c>
      <c r="D4" s="139"/>
      <c r="E4" s="139"/>
      <c r="F4" s="139"/>
      <c r="L4" s="139"/>
      <c r="M4" s="139"/>
      <c r="N4" s="259"/>
      <c r="R4" s="139"/>
      <c r="S4" s="268"/>
      <c r="T4" s="54"/>
      <c r="U4" s="269" t="s">
        <v>76</v>
      </c>
      <c r="V4" s="139"/>
      <c r="W4" s="268"/>
      <c r="X4" s="54"/>
      <c r="Y4" s="269" t="s">
        <v>76</v>
      </c>
      <c r="Z4" s="139"/>
      <c r="AA4" s="268"/>
      <c r="AB4" s="54"/>
      <c r="AC4" s="269" t="s">
        <v>76</v>
      </c>
      <c r="AD4" s="144"/>
      <c r="AE4" s="268"/>
      <c r="AF4" s="54"/>
      <c r="AG4" s="269" t="s">
        <v>76</v>
      </c>
      <c r="AH4" s="139"/>
      <c r="AI4" s="268"/>
      <c r="AJ4" s="54"/>
      <c r="AK4" s="269" t="s">
        <v>76</v>
      </c>
      <c r="AL4" s="139"/>
      <c r="AM4" s="268"/>
      <c r="AN4" s="54"/>
      <c r="AO4" s="269" t="s">
        <v>76</v>
      </c>
      <c r="AP4" s="144"/>
      <c r="AQ4" s="268"/>
      <c r="AR4" s="54"/>
      <c r="AS4" s="269" t="s">
        <v>76</v>
      </c>
      <c r="AT4" s="139"/>
      <c r="AU4" s="268"/>
      <c r="AV4" s="54"/>
      <c r="AW4" s="269" t="s">
        <v>76</v>
      </c>
      <c r="AX4" s="139"/>
      <c r="AY4" s="55" t="s">
        <v>448</v>
      </c>
      <c r="AZ4" s="267">
        <f>Y5</f>
        <v>-770801.0344698329</v>
      </c>
    </row>
    <row r="5" spans="1:58" ht="15" thickBot="1" x14ac:dyDescent="0.4">
      <c r="A5" s="788"/>
      <c r="E5" s="139"/>
      <c r="F5" s="139"/>
      <c r="S5" s="270"/>
      <c r="T5" s="271"/>
      <c r="U5" s="272">
        <f>SUM(S3:U3)</f>
        <v>0</v>
      </c>
      <c r="W5" s="270"/>
      <c r="X5" s="271"/>
      <c r="Y5" s="272">
        <f>SUM(W3:Y3)</f>
        <v>-770801.0344698329</v>
      </c>
      <c r="AA5" s="270"/>
      <c r="AB5" s="271"/>
      <c r="AC5" s="272">
        <f>SUM(AA3:AC3)</f>
        <v>-437544.81737369846</v>
      </c>
      <c r="AD5" s="265"/>
      <c r="AE5" s="270"/>
      <c r="AF5" s="271"/>
      <c r="AG5" s="272">
        <f>SUM(AE3:AG3)</f>
        <v>154321.70340641376</v>
      </c>
      <c r="AI5" s="270"/>
      <c r="AJ5" s="271"/>
      <c r="AK5" s="272">
        <f>SUM(AI3:AK3)</f>
        <v>-770801.0344698329</v>
      </c>
      <c r="AM5" s="270"/>
      <c r="AN5" s="271"/>
      <c r="AO5" s="272">
        <f>SUM(AM3:AO3)</f>
        <v>-438192.71031602036</v>
      </c>
      <c r="AP5" s="265"/>
      <c r="AQ5" s="270"/>
      <c r="AR5" s="271"/>
      <c r="AS5" s="272">
        <f>SUM(AQ3:AS3)</f>
        <v>-44647.663027564136</v>
      </c>
      <c r="AU5" s="270"/>
      <c r="AV5" s="271"/>
      <c r="AW5" s="272">
        <f>SUM(AU3:AW3)</f>
        <v>-1252993.5148710953</v>
      </c>
      <c r="AY5" s="55" t="s">
        <v>387</v>
      </c>
      <c r="AZ5" s="267">
        <f>AC5</f>
        <v>-437544.81737369846</v>
      </c>
    </row>
    <row r="6" spans="1:58" ht="15" thickBot="1" x14ac:dyDescent="0.4">
      <c r="A6" s="131"/>
      <c r="E6" s="139"/>
      <c r="F6" s="139"/>
      <c r="S6" s="54"/>
      <c r="T6" s="273" t="s">
        <v>181</v>
      </c>
      <c r="U6" s="265"/>
      <c r="W6" s="54"/>
      <c r="X6" s="273" t="s">
        <v>181</v>
      </c>
      <c r="Y6" s="265"/>
      <c r="AA6" s="54"/>
      <c r="AB6" s="273" t="s">
        <v>181</v>
      </c>
      <c r="AC6" s="265"/>
      <c r="AD6" s="265"/>
      <c r="AE6" s="54"/>
      <c r="AF6" s="273" t="s">
        <v>181</v>
      </c>
      <c r="AG6" s="265"/>
      <c r="AI6" s="54"/>
      <c r="AJ6" s="273" t="s">
        <v>181</v>
      </c>
      <c r="AK6" s="265"/>
      <c r="AM6" s="54"/>
      <c r="AN6" s="273" t="s">
        <v>181</v>
      </c>
      <c r="AO6" s="265"/>
      <c r="AP6" s="265"/>
      <c r="AQ6" s="54"/>
      <c r="AR6" s="273" t="s">
        <v>181</v>
      </c>
      <c r="AS6" s="265"/>
      <c r="AU6" s="54"/>
      <c r="AV6" s="273" t="s">
        <v>189</v>
      </c>
      <c r="AW6" s="265"/>
      <c r="AY6" s="55" t="s">
        <v>659</v>
      </c>
      <c r="AZ6" s="267">
        <f>AG5</f>
        <v>154321.70340641376</v>
      </c>
    </row>
    <row r="7" spans="1:58" ht="13.5" thickBot="1" x14ac:dyDescent="0.35">
      <c r="E7" s="139"/>
      <c r="F7" s="1102" t="s">
        <v>402</v>
      </c>
      <c r="G7" s="436" t="s">
        <v>402</v>
      </c>
      <c r="H7" s="436" t="s">
        <v>402</v>
      </c>
      <c r="I7" s="436" t="s">
        <v>397</v>
      </c>
      <c r="J7" s="436" t="s">
        <v>397</v>
      </c>
      <c r="K7" s="436" t="s">
        <v>397</v>
      </c>
      <c r="M7" s="552"/>
      <c r="N7" s="1851" t="s">
        <v>119</v>
      </c>
      <c r="O7" s="1853"/>
      <c r="P7" s="1853"/>
      <c r="Q7" s="1852"/>
      <c r="T7" s="274"/>
      <c r="U7" s="275"/>
      <c r="X7" s="1103" t="s">
        <v>402</v>
      </c>
      <c r="Y7" s="275"/>
      <c r="AB7" s="1103" t="s">
        <v>402</v>
      </c>
      <c r="AC7" s="275"/>
      <c r="AD7" s="275"/>
      <c r="AF7" s="1103" t="s">
        <v>402</v>
      </c>
      <c r="AG7" s="275"/>
      <c r="AJ7" s="1103" t="s">
        <v>397</v>
      </c>
      <c r="AK7" s="275"/>
      <c r="AN7" s="1103" t="s">
        <v>397</v>
      </c>
      <c r="AO7" s="275"/>
      <c r="AP7" s="275"/>
      <c r="AR7" s="1103" t="s">
        <v>397</v>
      </c>
      <c r="AS7" s="275"/>
      <c r="AV7" s="274"/>
      <c r="AW7" s="275"/>
      <c r="AY7" s="55" t="s">
        <v>449</v>
      </c>
      <c r="AZ7" s="276">
        <f>SUM(AZ4:AZ6)</f>
        <v>-1054024.1484371175</v>
      </c>
    </row>
    <row r="8" spans="1:58" x14ac:dyDescent="0.3">
      <c r="A8" s="85">
        <v>1</v>
      </c>
      <c r="D8" s="141"/>
      <c r="E8" s="512" t="str">
        <f>'Allocation = ¢ per Therm'!D11</f>
        <v>UG XXXXXX</v>
      </c>
      <c r="F8" s="512" t="s">
        <v>599</v>
      </c>
      <c r="G8" s="512" t="str">
        <f>F8</f>
        <v>UG-200994</v>
      </c>
      <c r="H8" s="512" t="str">
        <f>G8</f>
        <v>UG-200994</v>
      </c>
      <c r="I8" s="512" t="str">
        <f>H8</f>
        <v>UG-200994</v>
      </c>
      <c r="J8" s="512" t="str">
        <f t="shared" ref="J8:K8" si="8">I8</f>
        <v>UG-200994</v>
      </c>
      <c r="K8" s="512" t="str">
        <f t="shared" si="8"/>
        <v>UG-200994</v>
      </c>
      <c r="L8" s="141"/>
      <c r="M8" s="553" t="s">
        <v>233</v>
      </c>
      <c r="N8" s="140"/>
      <c r="O8" s="277"/>
      <c r="P8" s="277"/>
      <c r="Q8" s="278"/>
      <c r="R8" s="141"/>
      <c r="S8" s="273"/>
      <c r="T8" s="1052" t="s">
        <v>360</v>
      </c>
      <c r="U8" s="273"/>
      <c r="V8" s="141"/>
      <c r="W8" s="273"/>
      <c r="X8" s="274" t="s">
        <v>381</v>
      </c>
      <c r="Y8" s="273"/>
      <c r="Z8" s="141"/>
      <c r="AA8" s="273"/>
      <c r="AB8" s="274" t="s">
        <v>387</v>
      </c>
      <c r="AC8" s="273"/>
      <c r="AD8" s="273"/>
      <c r="AE8" s="273"/>
      <c r="AF8" s="274" t="s">
        <v>660</v>
      </c>
      <c r="AG8" s="273"/>
      <c r="AH8" s="141"/>
      <c r="AI8" s="273"/>
      <c r="AJ8" s="274" t="s">
        <v>381</v>
      </c>
      <c r="AK8" s="273"/>
      <c r="AL8" s="141"/>
      <c r="AM8" s="273"/>
      <c r="AN8" s="274" t="s">
        <v>387</v>
      </c>
      <c r="AO8" s="273"/>
      <c r="AP8" s="273"/>
      <c r="AQ8" s="273"/>
      <c r="AR8" s="1130" t="s">
        <v>446</v>
      </c>
      <c r="AS8" s="273"/>
      <c r="AT8" s="141"/>
      <c r="AU8" s="273"/>
      <c r="AV8" s="791" t="s">
        <v>76</v>
      </c>
      <c r="AW8" s="273"/>
      <c r="AX8" s="141"/>
      <c r="AY8" s="167" t="s">
        <v>397</v>
      </c>
    </row>
    <row r="9" spans="1:58" ht="13.5" thickBot="1" x14ac:dyDescent="0.35">
      <c r="A9" s="85">
        <f>+A8+1</f>
        <v>2</v>
      </c>
      <c r="D9" s="142"/>
      <c r="E9" s="1051" t="s">
        <v>365</v>
      </c>
      <c r="F9" s="258" t="s">
        <v>381</v>
      </c>
      <c r="G9" s="258" t="s">
        <v>392</v>
      </c>
      <c r="H9" s="258" t="s">
        <v>659</v>
      </c>
      <c r="I9" s="258" t="s">
        <v>381</v>
      </c>
      <c r="J9" s="258" t="s">
        <v>392</v>
      </c>
      <c r="K9" s="1131" t="s">
        <v>447</v>
      </c>
      <c r="L9" s="142"/>
      <c r="M9" s="554" t="s">
        <v>228</v>
      </c>
      <c r="N9" s="973" t="str">
        <f>F8</f>
        <v>UG-200994</v>
      </c>
      <c r="O9" s="974" t="str">
        <f>N9</f>
        <v>UG-200994</v>
      </c>
      <c r="P9" s="974" t="str">
        <f>O9</f>
        <v>UG-200994</v>
      </c>
      <c r="Q9" s="975" t="str">
        <f>P9</f>
        <v>UG-200994</v>
      </c>
      <c r="R9" s="142"/>
      <c r="S9" s="273"/>
      <c r="T9" s="274"/>
      <c r="U9" s="273"/>
      <c r="V9" s="142"/>
      <c r="W9" s="273"/>
      <c r="X9" s="274" t="s">
        <v>236</v>
      </c>
      <c r="Y9" s="273"/>
      <c r="Z9" s="142"/>
      <c r="AA9" s="273"/>
      <c r="AB9" s="274"/>
      <c r="AC9" s="273"/>
      <c r="AD9" s="273"/>
      <c r="AE9" s="273"/>
      <c r="AF9" s="274"/>
      <c r="AG9" s="273"/>
      <c r="AH9" s="142"/>
      <c r="AI9" s="273"/>
      <c r="AJ9" s="274"/>
      <c r="AK9" s="273"/>
      <c r="AL9" s="142"/>
      <c r="AM9" s="273"/>
      <c r="AN9" s="274"/>
      <c r="AO9" s="273"/>
      <c r="AP9" s="273"/>
      <c r="AQ9" s="273"/>
      <c r="AR9" s="274"/>
      <c r="AS9" s="273"/>
      <c r="AT9" s="142"/>
      <c r="AU9" s="273"/>
      <c r="AV9" s="274"/>
      <c r="AW9" s="273"/>
      <c r="AX9" s="142"/>
      <c r="AY9" s="55" t="s">
        <v>448</v>
      </c>
      <c r="AZ9" s="259">
        <f>AK5</f>
        <v>-770801.0344698329</v>
      </c>
      <c r="BC9" s="267">
        <f>'Allocation = % of Margin'!S10+'Allocation = % of Margin'!AE10</f>
        <v>-1541432</v>
      </c>
      <c r="BD9" s="294" t="str">
        <f>X8</f>
        <v>Historical EE</v>
      </c>
    </row>
    <row r="10" spans="1:58" ht="13.5" thickBot="1" x14ac:dyDescent="0.35">
      <c r="A10" s="85">
        <f t="shared" ref="A10:A73" si="9">+A9+1</f>
        <v>3</v>
      </c>
      <c r="D10" s="144"/>
      <c r="E10" s="976" t="s">
        <v>362</v>
      </c>
      <c r="F10" s="58" t="s">
        <v>363</v>
      </c>
      <c r="G10" s="58" t="s">
        <v>363</v>
      </c>
      <c r="H10" s="58" t="s">
        <v>363</v>
      </c>
      <c r="I10" s="57" t="s">
        <v>364</v>
      </c>
      <c r="J10" s="57" t="s">
        <v>364</v>
      </c>
      <c r="K10" s="57" t="s">
        <v>364</v>
      </c>
      <c r="L10" s="144"/>
      <c r="M10" s="554" t="s">
        <v>107</v>
      </c>
      <c r="N10" s="279" t="s">
        <v>107</v>
      </c>
      <c r="O10" s="273" t="s">
        <v>107</v>
      </c>
      <c r="P10" s="273" t="s">
        <v>116</v>
      </c>
      <c r="Q10" s="280" t="s">
        <v>68</v>
      </c>
      <c r="R10" s="144"/>
      <c r="S10" s="1846" t="s">
        <v>114</v>
      </c>
      <c r="T10" s="1847"/>
      <c r="U10" s="1848"/>
      <c r="V10" s="144"/>
      <c r="W10" s="1846" t="s">
        <v>114</v>
      </c>
      <c r="X10" s="1847"/>
      <c r="Y10" s="1848"/>
      <c r="Z10" s="144"/>
      <c r="AA10" s="1846" t="s">
        <v>114</v>
      </c>
      <c r="AB10" s="1847"/>
      <c r="AC10" s="1848"/>
      <c r="AD10" s="57"/>
      <c r="AE10" s="1846" t="s">
        <v>114</v>
      </c>
      <c r="AF10" s="1847"/>
      <c r="AG10" s="1848"/>
      <c r="AH10" s="144"/>
      <c r="AI10" s="1846" t="s">
        <v>114</v>
      </c>
      <c r="AJ10" s="1847"/>
      <c r="AK10" s="1848"/>
      <c r="AL10" s="144"/>
      <c r="AM10" s="1846" t="s">
        <v>114</v>
      </c>
      <c r="AN10" s="1847"/>
      <c r="AO10" s="1848"/>
      <c r="AP10" s="57"/>
      <c r="AQ10" s="1846" t="s">
        <v>114</v>
      </c>
      <c r="AR10" s="1847"/>
      <c r="AS10" s="1848"/>
      <c r="AT10" s="144"/>
      <c r="AU10" s="1846" t="s">
        <v>114</v>
      </c>
      <c r="AV10" s="1847"/>
      <c r="AW10" s="1848"/>
      <c r="AX10" s="144"/>
      <c r="AY10" s="55" t="s">
        <v>387</v>
      </c>
      <c r="AZ10" s="259">
        <f>AO5</f>
        <v>-438192.71031602036</v>
      </c>
      <c r="BC10" s="267">
        <f>'Allocation = % of Margin'!V10+'Allocation = % of Margin'!AH10</f>
        <v>-875740</v>
      </c>
      <c r="BD10" s="54" t="str">
        <f>AB8</f>
        <v>Block 24 (Truck Lot) Sale</v>
      </c>
    </row>
    <row r="11" spans="1:58" s="56" customFormat="1" ht="13.5" thickBot="1" x14ac:dyDescent="0.35">
      <c r="A11" s="85">
        <f t="shared" si="9"/>
        <v>4</v>
      </c>
      <c r="B11" s="146"/>
      <c r="C11" s="146"/>
      <c r="D11" s="144"/>
      <c r="E11" s="171" t="s">
        <v>179</v>
      </c>
      <c r="F11" s="171" t="s">
        <v>179</v>
      </c>
      <c r="G11" s="171" t="s">
        <v>179</v>
      </c>
      <c r="H11" s="171" t="s">
        <v>179</v>
      </c>
      <c r="I11" s="171" t="s">
        <v>179</v>
      </c>
      <c r="J11" s="171" t="s">
        <v>179</v>
      </c>
      <c r="K11" s="171" t="s">
        <v>179</v>
      </c>
      <c r="L11" s="144"/>
      <c r="M11" s="555" t="s">
        <v>108</v>
      </c>
      <c r="N11" s="281" t="s">
        <v>108</v>
      </c>
      <c r="O11" s="282" t="s">
        <v>110</v>
      </c>
      <c r="P11" s="282" t="s">
        <v>73</v>
      </c>
      <c r="Q11" s="283" t="s">
        <v>109</v>
      </c>
      <c r="R11" s="144"/>
      <c r="S11" s="284" t="s">
        <v>111</v>
      </c>
      <c r="T11" s="144" t="s">
        <v>112</v>
      </c>
      <c r="U11" s="269" t="s">
        <v>96</v>
      </c>
      <c r="V11" s="144"/>
      <c r="W11" s="284" t="s">
        <v>111</v>
      </c>
      <c r="X11" s="144" t="s">
        <v>112</v>
      </c>
      <c r="Y11" s="269" t="s">
        <v>96</v>
      </c>
      <c r="Z11" s="144"/>
      <c r="AA11" s="284" t="s">
        <v>111</v>
      </c>
      <c r="AB11" s="144" t="s">
        <v>112</v>
      </c>
      <c r="AC11" s="269" t="s">
        <v>96</v>
      </c>
      <c r="AD11" s="144"/>
      <c r="AE11" s="284" t="s">
        <v>111</v>
      </c>
      <c r="AF11" s="144" t="s">
        <v>112</v>
      </c>
      <c r="AG11" s="269" t="s">
        <v>96</v>
      </c>
      <c r="AH11" s="144"/>
      <c r="AI11" s="284" t="s">
        <v>111</v>
      </c>
      <c r="AJ11" s="144" t="s">
        <v>112</v>
      </c>
      <c r="AK11" s="269" t="s">
        <v>96</v>
      </c>
      <c r="AL11" s="144"/>
      <c r="AM11" s="284" t="s">
        <v>111</v>
      </c>
      <c r="AN11" s="144" t="s">
        <v>112</v>
      </c>
      <c r="AO11" s="269" t="s">
        <v>96</v>
      </c>
      <c r="AP11" s="144"/>
      <c r="AQ11" s="284" t="s">
        <v>111</v>
      </c>
      <c r="AR11" s="144" t="s">
        <v>112</v>
      </c>
      <c r="AS11" s="269" t="s">
        <v>96</v>
      </c>
      <c r="AT11" s="144"/>
      <c r="AU11" s="284" t="s">
        <v>111</v>
      </c>
      <c r="AV11" s="144" t="s">
        <v>112</v>
      </c>
      <c r="AW11" s="269" t="s">
        <v>96</v>
      </c>
      <c r="AX11" s="144"/>
      <c r="AY11" s="1104" t="s">
        <v>446</v>
      </c>
      <c r="AZ11" s="461">
        <f>AS5</f>
        <v>-44647.663027564136</v>
      </c>
      <c r="BA11" s="144"/>
      <c r="BC11" s="267">
        <f>'Allocation = % of Margin'!Y10</f>
        <v>154421</v>
      </c>
      <c r="BD11" s="54" t="str">
        <f>AF8</f>
        <v>Conservation Potential Assessment</v>
      </c>
    </row>
    <row r="12" spans="1:58" s="56" customFormat="1" ht="13.5" thickBot="1" x14ac:dyDescent="0.35">
      <c r="A12" s="85">
        <f t="shared" si="9"/>
        <v>5</v>
      </c>
      <c r="B12" s="55"/>
      <c r="C12" s="55"/>
      <c r="D12" s="57"/>
      <c r="E12" s="149"/>
      <c r="F12" s="149"/>
      <c r="K12" s="149"/>
      <c r="L12" s="57"/>
      <c r="M12" s="541"/>
      <c r="N12" s="285"/>
      <c r="O12" s="145"/>
      <c r="P12" s="145"/>
      <c r="Q12" s="286"/>
      <c r="R12" s="57"/>
      <c r="S12" s="150"/>
      <c r="U12" s="148"/>
      <c r="V12" s="57"/>
      <c r="W12" s="150"/>
      <c r="Y12" s="148"/>
      <c r="Z12" s="57"/>
      <c r="AA12" s="150"/>
      <c r="AC12" s="148"/>
      <c r="AE12" s="150"/>
      <c r="AG12" s="148"/>
      <c r="AH12" s="57"/>
      <c r="AI12" s="150"/>
      <c r="AK12" s="148"/>
      <c r="AL12" s="57"/>
      <c r="AM12" s="150"/>
      <c r="AO12" s="148"/>
      <c r="AQ12" s="150"/>
      <c r="AS12" s="148"/>
      <c r="AT12" s="57"/>
      <c r="AU12" s="150"/>
      <c r="AW12" s="148"/>
      <c r="AX12" s="57"/>
      <c r="AY12" s="1105" t="s">
        <v>450</v>
      </c>
      <c r="AZ12" s="1106">
        <f>SUM(AZ9:AZ11)</f>
        <v>-1253641.4078134173</v>
      </c>
      <c r="BC12" s="1107">
        <f>'Allocation = % of Margin'!AK10</f>
        <v>-44544</v>
      </c>
      <c r="BD12" s="1108" t="s">
        <v>446</v>
      </c>
      <c r="BE12" s="1109"/>
      <c r="BF12" s="1109"/>
    </row>
    <row r="13" spans="1:58" s="56" customFormat="1" ht="14" thickTop="1" thickBot="1" x14ac:dyDescent="0.35">
      <c r="A13" s="85">
        <f t="shared" si="9"/>
        <v>6</v>
      </c>
      <c r="B13" s="755" t="s">
        <v>2</v>
      </c>
      <c r="C13" s="755" t="s">
        <v>3</v>
      </c>
      <c r="D13" s="289"/>
      <c r="E13" s="289" t="s">
        <v>35</v>
      </c>
      <c r="F13" s="289" t="s">
        <v>36</v>
      </c>
      <c r="G13" s="289" t="s">
        <v>13</v>
      </c>
      <c r="H13" s="1491" t="s">
        <v>13</v>
      </c>
      <c r="I13" s="289"/>
      <c r="J13" s="289"/>
      <c r="K13" s="289" t="s">
        <v>37</v>
      </c>
      <c r="L13" s="289"/>
      <c r="M13" s="543" t="s">
        <v>38</v>
      </c>
      <c r="N13" s="290" t="s">
        <v>37</v>
      </c>
      <c r="O13" s="289" t="s">
        <v>38</v>
      </c>
      <c r="P13" s="289" t="s">
        <v>39</v>
      </c>
      <c r="Q13" s="291" t="s">
        <v>40</v>
      </c>
      <c r="R13" s="57"/>
      <c r="S13" s="147" t="s">
        <v>41</v>
      </c>
      <c r="T13" s="57" t="s">
        <v>42</v>
      </c>
      <c r="U13" s="292" t="s">
        <v>124</v>
      </c>
      <c r="V13" s="57"/>
      <c r="W13" s="147" t="s">
        <v>125</v>
      </c>
      <c r="X13" s="57" t="s">
        <v>43</v>
      </c>
      <c r="Y13" s="292" t="s">
        <v>126</v>
      </c>
      <c r="Z13" s="57"/>
      <c r="AA13" s="147" t="s">
        <v>127</v>
      </c>
      <c r="AB13" s="57" t="s">
        <v>128</v>
      </c>
      <c r="AC13" s="292" t="s">
        <v>129</v>
      </c>
      <c r="AD13" s="57"/>
      <c r="AE13" s="147" t="s">
        <v>125</v>
      </c>
      <c r="AF13" s="57" t="s">
        <v>43</v>
      </c>
      <c r="AG13" s="292" t="s">
        <v>126</v>
      </c>
      <c r="AH13" s="57"/>
      <c r="AI13" s="147" t="s">
        <v>125</v>
      </c>
      <c r="AJ13" s="57" t="s">
        <v>43</v>
      </c>
      <c r="AK13" s="292" t="s">
        <v>126</v>
      </c>
      <c r="AL13" s="57"/>
      <c r="AM13" s="147" t="s">
        <v>127</v>
      </c>
      <c r="AN13" s="57" t="s">
        <v>128</v>
      </c>
      <c r="AO13" s="292" t="s">
        <v>129</v>
      </c>
      <c r="AP13" s="57"/>
      <c r="AQ13" s="147" t="s">
        <v>127</v>
      </c>
      <c r="AR13" s="57" t="s">
        <v>128</v>
      </c>
      <c r="AS13" s="292" t="s">
        <v>129</v>
      </c>
      <c r="AT13" s="57"/>
      <c r="AU13" s="147" t="s">
        <v>130</v>
      </c>
      <c r="AV13" s="57" t="s">
        <v>86</v>
      </c>
      <c r="AW13" s="292" t="s">
        <v>89</v>
      </c>
      <c r="AX13" s="57"/>
      <c r="AY13" s="59" t="s">
        <v>88</v>
      </c>
      <c r="AZ13" s="468">
        <f>AZ7+AZ12</f>
        <v>-2307665.556250535</v>
      </c>
      <c r="BC13" s="603">
        <f>SUM(BC9:BC12)</f>
        <v>-2307295</v>
      </c>
      <c r="BD13" s="138" t="s">
        <v>32</v>
      </c>
    </row>
    <row r="14" spans="1:58" ht="13" customHeight="1" x14ac:dyDescent="0.3">
      <c r="A14" s="85">
        <f t="shared" si="9"/>
        <v>7</v>
      </c>
      <c r="B14" s="707" t="str">
        <f>'Rev Req Proof Yr1'!B14</f>
        <v>1R</v>
      </c>
      <c r="C14" s="707" t="str">
        <f>'Rev Req Proof Yr1'!C14</f>
        <v>n/a</v>
      </c>
      <c r="D14" s="153"/>
      <c r="E14" s="158">
        <f>ROUND('Allocation = ¢ per Therm'!K17,5)</f>
        <v>0</v>
      </c>
      <c r="F14" s="152">
        <f>ROUND('Allocation = % of Margin'!U14,5)</f>
        <v>-1.627E-2</v>
      </c>
      <c r="G14" s="158">
        <f>ROUND('Allocation = % of Margin'!X14,5)</f>
        <v>-8.6499999999999997E-3</v>
      </c>
      <c r="H14" s="158">
        <f>ROUND('Allocation = % of Margin'!AA14,5)</f>
        <v>3.0500000000000002E-3</v>
      </c>
      <c r="I14" s="158">
        <f>ROUND('Allocation = % of Margin'!AG14,5)</f>
        <v>-1.627E-2</v>
      </c>
      <c r="J14" s="158">
        <f>ROUND('Allocation = % of Margin'!AJ14,5)</f>
        <v>-8.6700000000000006E-3</v>
      </c>
      <c r="K14" s="158">
        <f>ROUND('Allocation = % of Margin'!AM14,5)</f>
        <v>-8.8000000000000003E-4</v>
      </c>
      <c r="L14" s="153"/>
      <c r="M14" s="792">
        <f>'WA Volumes &amp; Revenues'!F15</f>
        <v>218577.4</v>
      </c>
      <c r="N14" s="293">
        <f>'Rev Req Proof Yr1'!R14</f>
        <v>214704.20066131229</v>
      </c>
      <c r="O14" s="294">
        <f>'Rev Req Proof Yr1'!S14</f>
        <v>0</v>
      </c>
      <c r="P14" s="295">
        <f>'Rev Req Proof Yr1'!T14</f>
        <v>911</v>
      </c>
      <c r="Q14" s="296">
        <f>'Rev Req Proof Yr1'!U14</f>
        <v>19.639970000000002</v>
      </c>
      <c r="R14" s="153"/>
      <c r="S14" s="297">
        <f t="shared" ref="S14:S15" si="10">((E14)*N14)</f>
        <v>0</v>
      </c>
      <c r="T14" s="298">
        <v>0</v>
      </c>
      <c r="U14" s="299">
        <v>0</v>
      </c>
      <c r="V14" s="153"/>
      <c r="W14" s="297">
        <f>((F14)*N14)</f>
        <v>-3493.237344759551</v>
      </c>
      <c r="X14" s="298">
        <v>0</v>
      </c>
      <c r="Y14" s="299">
        <v>0</v>
      </c>
      <c r="Z14" s="153"/>
      <c r="AA14" s="297">
        <f>((G14)*N14)</f>
        <v>-1857.1913357203514</v>
      </c>
      <c r="AB14" s="298">
        <v>0</v>
      </c>
      <c r="AC14" s="299">
        <v>0</v>
      </c>
      <c r="AD14" s="304"/>
      <c r="AE14" s="297">
        <f>((H14)*N14)</f>
        <v>654.84781201700252</v>
      </c>
      <c r="AF14" s="298">
        <v>0</v>
      </c>
      <c r="AG14" s="299">
        <v>0</v>
      </c>
      <c r="AH14" s="153"/>
      <c r="AI14" s="297">
        <f>((I14)*N14)</f>
        <v>-3493.237344759551</v>
      </c>
      <c r="AJ14" s="298">
        <v>0</v>
      </c>
      <c r="AK14" s="299">
        <v>0</v>
      </c>
      <c r="AL14" s="153"/>
      <c r="AM14" s="297">
        <f t="shared" ref="AM14:AM21" si="11">((J14)*N14)</f>
        <v>-1861.4854197335778</v>
      </c>
      <c r="AN14" s="298">
        <v>0</v>
      </c>
      <c r="AO14" s="299">
        <v>0</v>
      </c>
      <c r="AP14" s="304"/>
      <c r="AQ14" s="297">
        <f>((K14)*N14)</f>
        <v>-188.93969658195482</v>
      </c>
      <c r="AR14" s="298">
        <v>0</v>
      </c>
      <c r="AS14" s="299">
        <v>0</v>
      </c>
      <c r="AT14" s="153"/>
      <c r="AU14" s="297">
        <f>((E14+F14+G14+K14)*N14)</f>
        <v>-5539.3683770618563</v>
      </c>
      <c r="AV14" s="298">
        <v>0</v>
      </c>
      <c r="AW14" s="299">
        <v>0</v>
      </c>
      <c r="AX14" s="300"/>
    </row>
    <row r="15" spans="1:58" x14ac:dyDescent="0.3">
      <c r="A15" s="85">
        <f t="shared" si="9"/>
        <v>8</v>
      </c>
      <c r="B15" s="707" t="str">
        <f>'Rev Req Proof Yr1'!B15</f>
        <v>1C</v>
      </c>
      <c r="C15" s="707" t="str">
        <f>'Rev Req Proof Yr1'!C15</f>
        <v>n/a</v>
      </c>
      <c r="D15" s="156"/>
      <c r="E15" s="158">
        <f>ROUND('Allocation = ¢ per Therm'!K18,5)</f>
        <v>0</v>
      </c>
      <c r="F15" s="152">
        <f>ROUND('Allocation = % of Margin'!U15,5)</f>
        <v>-1.354E-2</v>
      </c>
      <c r="G15" s="158">
        <f>ROUND('Allocation = % of Margin'!X15,5)</f>
        <v>-7.1999999999999998E-3</v>
      </c>
      <c r="H15" s="158">
        <f>ROUND('Allocation = % of Margin'!AA15,5)</f>
        <v>2.5400000000000002E-3</v>
      </c>
      <c r="I15" s="158">
        <f>ROUND('Allocation = % of Margin'!AG15,5)</f>
        <v>-1.354E-2</v>
      </c>
      <c r="J15" s="158">
        <f>ROUND('Allocation = % of Margin'!AJ15,5)</f>
        <v>-7.1999999999999998E-3</v>
      </c>
      <c r="K15" s="158">
        <f>ROUND('Allocation = % of Margin'!AM15,5)</f>
        <v>-7.2999999999999996E-4</v>
      </c>
      <c r="L15" s="156"/>
      <c r="M15" s="792">
        <f>'WA Volumes &amp; Revenues'!F16</f>
        <v>38726</v>
      </c>
      <c r="N15" s="293">
        <f>'Rev Req Proof Yr1'!R15</f>
        <v>46539.057144390383</v>
      </c>
      <c r="O15" s="294">
        <f>'Rev Req Proof Yr1'!S15</f>
        <v>0</v>
      </c>
      <c r="P15" s="295">
        <f>'Rev Req Proof Yr1'!T15</f>
        <v>34</v>
      </c>
      <c r="Q15" s="296">
        <f>'Rev Req Proof Yr1'!U15</f>
        <v>114.06632</v>
      </c>
      <c r="R15" s="156"/>
      <c r="S15" s="301">
        <f t="shared" si="10"/>
        <v>0</v>
      </c>
      <c r="T15" s="302">
        <v>0</v>
      </c>
      <c r="U15" s="303">
        <v>0</v>
      </c>
      <c r="V15" s="156"/>
      <c r="W15" s="301">
        <f t="shared" ref="W15:W36" si="12">((F15)*N15)</f>
        <v>-630.13883373504575</v>
      </c>
      <c r="X15" s="302">
        <v>0</v>
      </c>
      <c r="Y15" s="303">
        <v>0</v>
      </c>
      <c r="Z15" s="156"/>
      <c r="AA15" s="301">
        <f t="shared" ref="AA15" si="13">((G15)*N15)</f>
        <v>-335.08121143961074</v>
      </c>
      <c r="AB15" s="302">
        <v>0</v>
      </c>
      <c r="AC15" s="303">
        <v>0</v>
      </c>
      <c r="AD15" s="304"/>
      <c r="AE15" s="301">
        <f t="shared" ref="AE15:AE81" si="14">((H15)*N15)</f>
        <v>118.20920514675159</v>
      </c>
      <c r="AF15" s="302">
        <v>0</v>
      </c>
      <c r="AG15" s="303">
        <v>0</v>
      </c>
      <c r="AH15" s="156"/>
      <c r="AI15" s="301">
        <f t="shared" ref="AI15:AI81" si="15">((I15)*N15)</f>
        <v>-630.13883373504575</v>
      </c>
      <c r="AJ15" s="302">
        <v>0</v>
      </c>
      <c r="AK15" s="303">
        <v>0</v>
      </c>
      <c r="AL15" s="156"/>
      <c r="AM15" s="301">
        <f t="shared" si="11"/>
        <v>-335.08121143961074</v>
      </c>
      <c r="AN15" s="302">
        <v>0</v>
      </c>
      <c r="AO15" s="303">
        <v>0</v>
      </c>
      <c r="AP15" s="304"/>
      <c r="AQ15" s="301">
        <f t="shared" ref="AQ15:AQ80" si="16">((K15)*N15)</f>
        <v>-33.973511715404975</v>
      </c>
      <c r="AR15" s="302">
        <v>0</v>
      </c>
      <c r="AS15" s="303">
        <v>0</v>
      </c>
      <c r="AT15" s="156"/>
      <c r="AU15" s="301">
        <f t="shared" ref="AU15:AU21" si="17">((E15+F15+G15+K15)*N15)</f>
        <v>-999.1935568900617</v>
      </c>
      <c r="AV15" s="302">
        <v>0</v>
      </c>
      <c r="AW15" s="303">
        <v>0</v>
      </c>
      <c r="AX15" s="304"/>
      <c r="AY15" s="144"/>
      <c r="AZ15" s="287">
        <f>BC13</f>
        <v>-2307295</v>
      </c>
      <c r="BA15" s="288" t="s">
        <v>152</v>
      </c>
      <c r="BB15" s="56"/>
    </row>
    <row r="16" spans="1:58" x14ac:dyDescent="0.3">
      <c r="A16" s="85">
        <f t="shared" si="9"/>
        <v>9</v>
      </c>
      <c r="B16" s="707" t="str">
        <f>'Rev Req Proof Yr1'!B16</f>
        <v>2R</v>
      </c>
      <c r="C16" s="707" t="str">
        <f>'Rev Req Proof Yr1'!C16</f>
        <v>n/a</v>
      </c>
      <c r="D16" s="156"/>
      <c r="E16" s="158">
        <f>ROUND('Allocation = ¢ per Therm'!K19,5)</f>
        <v>0</v>
      </c>
      <c r="F16" s="158">
        <f>ROUND('Allocation = % of Margin'!U16,5)</f>
        <v>-1.03E-2</v>
      </c>
      <c r="G16" s="158">
        <f>ROUND('Allocation = % of Margin'!X16,5)</f>
        <v>-5.47E-3</v>
      </c>
      <c r="H16" s="158">
        <f>ROUND('Allocation = % of Margin'!AA16,5)</f>
        <v>1.9300000000000001E-3</v>
      </c>
      <c r="I16" s="158">
        <f>ROUND('Allocation = % of Margin'!AG16,5)</f>
        <v>-1.03E-2</v>
      </c>
      <c r="J16" s="158">
        <f>ROUND('Allocation = % of Margin'!AJ16,5)</f>
        <v>-5.4900000000000001E-3</v>
      </c>
      <c r="K16" s="158">
        <f>ROUND('Allocation = % of Margin'!AM16,5)</f>
        <v>-5.5999999999999995E-4</v>
      </c>
      <c r="L16" s="156"/>
      <c r="M16" s="557">
        <f>'WA Volumes &amp; Revenues'!F17</f>
        <v>55009539.100000001</v>
      </c>
      <c r="N16" s="293">
        <f>'Rev Req Proof Yr1'!R16</f>
        <v>54953515.785084128</v>
      </c>
      <c r="O16" s="294">
        <f>'Rev Req Proof Yr1'!S16</f>
        <v>0</v>
      </c>
      <c r="P16" s="295">
        <f>'Rev Req Proof Yr1'!T16</f>
        <v>81119</v>
      </c>
      <c r="Q16" s="296">
        <f>'Rev Req Proof Yr1'!U16</f>
        <v>56.453600000000002</v>
      </c>
      <c r="R16" s="156"/>
      <c r="S16" s="301">
        <f>((E16)*N16)</f>
        <v>0</v>
      </c>
      <c r="T16" s="302">
        <v>0</v>
      </c>
      <c r="U16" s="303">
        <v>0</v>
      </c>
      <c r="V16" s="156"/>
      <c r="W16" s="301">
        <f t="shared" si="12"/>
        <v>-566021.21258636657</v>
      </c>
      <c r="X16" s="302">
        <v>0</v>
      </c>
      <c r="Y16" s="303">
        <v>0</v>
      </c>
      <c r="Z16" s="156"/>
      <c r="AA16" s="301">
        <f t="shared" ref="AA16:AA21" si="18">((G16)*N16)</f>
        <v>-300595.73134441016</v>
      </c>
      <c r="AB16" s="302">
        <v>0</v>
      </c>
      <c r="AC16" s="303">
        <v>0</v>
      </c>
      <c r="AD16" s="304"/>
      <c r="AE16" s="301">
        <f t="shared" si="14"/>
        <v>106060.28546521238</v>
      </c>
      <c r="AF16" s="302">
        <v>0</v>
      </c>
      <c r="AG16" s="303">
        <v>0</v>
      </c>
      <c r="AH16" s="156"/>
      <c r="AI16" s="301">
        <f t="shared" si="15"/>
        <v>-566021.21258636657</v>
      </c>
      <c r="AJ16" s="302">
        <v>0</v>
      </c>
      <c r="AK16" s="303">
        <v>0</v>
      </c>
      <c r="AL16" s="156"/>
      <c r="AM16" s="301">
        <f t="shared" si="11"/>
        <v>-301694.80166011187</v>
      </c>
      <c r="AN16" s="302">
        <v>0</v>
      </c>
      <c r="AO16" s="303">
        <v>0</v>
      </c>
      <c r="AP16" s="304"/>
      <c r="AQ16" s="301">
        <f t="shared" si="16"/>
        <v>-30773.96883964711</v>
      </c>
      <c r="AR16" s="302">
        <v>0</v>
      </c>
      <c r="AS16" s="303">
        <v>0</v>
      </c>
      <c r="AT16" s="156"/>
      <c r="AU16" s="301">
        <f t="shared" si="17"/>
        <v>-897390.91277042381</v>
      </c>
      <c r="AV16" s="302">
        <v>0</v>
      </c>
      <c r="AW16" s="303">
        <v>0</v>
      </c>
      <c r="AX16" s="304"/>
      <c r="AY16" s="56"/>
      <c r="AZ16" s="1129">
        <f>AZ15-AZ13</f>
        <v>370.55625053495169</v>
      </c>
      <c r="BA16" s="288" t="s">
        <v>162</v>
      </c>
      <c r="BB16" s="56"/>
    </row>
    <row r="17" spans="1:53" x14ac:dyDescent="0.3">
      <c r="A17" s="85">
        <f t="shared" si="9"/>
        <v>10</v>
      </c>
      <c r="B17" s="707" t="str">
        <f>'Rev Req Proof Yr1'!B17</f>
        <v>3 CFS</v>
      </c>
      <c r="C17" s="707" t="str">
        <f>'Rev Req Proof Yr1'!C17</f>
        <v>n/a</v>
      </c>
      <c r="D17" s="156"/>
      <c r="E17" s="158">
        <f>ROUND('Allocation = ¢ per Therm'!K20,5)</f>
        <v>0</v>
      </c>
      <c r="F17" s="152">
        <f>ROUND('Allocation = % of Margin'!U17,5)</f>
        <v>-9.2399999999999999E-3</v>
      </c>
      <c r="G17" s="158">
        <f>ROUND('Allocation = % of Margin'!X17,5)</f>
        <v>-4.9100000000000003E-3</v>
      </c>
      <c r="H17" s="158">
        <f>ROUND('Allocation = % of Margin'!AA17,5)</f>
        <v>1.73E-3</v>
      </c>
      <c r="I17" s="158">
        <f>ROUND('Allocation = % of Margin'!AG17,5)</f>
        <v>-9.2399999999999999E-3</v>
      </c>
      <c r="J17" s="158">
        <f>ROUND('Allocation = % of Margin'!AJ17,5)</f>
        <v>-4.9300000000000004E-3</v>
      </c>
      <c r="K17" s="158">
        <f>ROUND('Allocation = % of Margin'!AM17,5)</f>
        <v>-5.0000000000000001E-4</v>
      </c>
      <c r="L17" s="156"/>
      <c r="M17" s="557">
        <f>'WA Volumes &amp; Revenues'!F18</f>
        <v>18385904.899999999</v>
      </c>
      <c r="N17" s="293">
        <f>'Rev Req Proof Yr1'!R17</f>
        <v>17867210.60654201</v>
      </c>
      <c r="O17" s="294">
        <f>'Rev Req Proof Yr1'!S17</f>
        <v>0</v>
      </c>
      <c r="P17" s="295">
        <f>'Rev Req Proof Yr1'!T17</f>
        <v>6318</v>
      </c>
      <c r="Q17" s="296">
        <f>'Rev Req Proof Yr1'!U17</f>
        <v>235.66542999999999</v>
      </c>
      <c r="R17" s="156"/>
      <c r="S17" s="301">
        <f t="shared" ref="S17:S21" si="19">((E17)*N17)</f>
        <v>0</v>
      </c>
      <c r="T17" s="302">
        <v>0</v>
      </c>
      <c r="U17" s="303">
        <v>0</v>
      </c>
      <c r="V17" s="156"/>
      <c r="W17" s="301">
        <f t="shared" si="12"/>
        <v>-165093.02600444818</v>
      </c>
      <c r="X17" s="302">
        <v>0</v>
      </c>
      <c r="Y17" s="303">
        <v>0</v>
      </c>
      <c r="Z17" s="156"/>
      <c r="AA17" s="301">
        <f t="shared" si="18"/>
        <v>-87728.004078121274</v>
      </c>
      <c r="AB17" s="302">
        <v>0</v>
      </c>
      <c r="AC17" s="303">
        <v>0</v>
      </c>
      <c r="AD17" s="304"/>
      <c r="AE17" s="301">
        <f t="shared" si="14"/>
        <v>30910.274349317679</v>
      </c>
      <c r="AF17" s="302">
        <v>0</v>
      </c>
      <c r="AG17" s="303">
        <v>0</v>
      </c>
      <c r="AH17" s="156"/>
      <c r="AI17" s="301">
        <f t="shared" si="15"/>
        <v>-165093.02600444818</v>
      </c>
      <c r="AJ17" s="302">
        <v>0</v>
      </c>
      <c r="AK17" s="303">
        <v>0</v>
      </c>
      <c r="AL17" s="156"/>
      <c r="AM17" s="301">
        <f t="shared" si="11"/>
        <v>-88085.348290252121</v>
      </c>
      <c r="AN17" s="302">
        <v>0</v>
      </c>
      <c r="AO17" s="303">
        <v>0</v>
      </c>
      <c r="AP17" s="304"/>
      <c r="AQ17" s="301">
        <f t="shared" si="16"/>
        <v>-8933.6053032710042</v>
      </c>
      <c r="AR17" s="302">
        <v>0</v>
      </c>
      <c r="AS17" s="303">
        <v>0</v>
      </c>
      <c r="AT17" s="156"/>
      <c r="AU17" s="301">
        <f t="shared" si="17"/>
        <v>-261754.63538584043</v>
      </c>
      <c r="AV17" s="302">
        <v>0</v>
      </c>
      <c r="AW17" s="303">
        <v>0</v>
      </c>
      <c r="AX17" s="304"/>
      <c r="AY17" s="1855" t="s">
        <v>163</v>
      </c>
      <c r="AZ17" s="1855"/>
      <c r="BA17" s="1855"/>
    </row>
    <row r="18" spans="1:53" x14ac:dyDescent="0.3">
      <c r="A18" s="85">
        <f t="shared" si="9"/>
        <v>11</v>
      </c>
      <c r="B18" s="707" t="str">
        <f>'Rev Req Proof Yr1'!B18</f>
        <v>3 IFS</v>
      </c>
      <c r="C18" s="707" t="str">
        <f>'Rev Req Proof Yr1'!C18</f>
        <v>n/a</v>
      </c>
      <c r="D18" s="156"/>
      <c r="E18" s="158">
        <f>ROUND('Allocation = ¢ per Therm'!K21,5)</f>
        <v>0</v>
      </c>
      <c r="F18" s="152">
        <f>ROUND('Allocation = % of Margin'!U18,5)</f>
        <v>0</v>
      </c>
      <c r="G18" s="158">
        <f>ROUND('Allocation = % of Margin'!X18,5)</f>
        <v>-4.45E-3</v>
      </c>
      <c r="H18" s="158">
        <f>ROUND('Allocation = % of Margin'!AA18,5)</f>
        <v>1.57E-3</v>
      </c>
      <c r="I18" s="158">
        <f>ROUND('Allocation = % of Margin'!AG18,5)</f>
        <v>0</v>
      </c>
      <c r="J18" s="158">
        <f>ROUND('Allocation = % of Margin'!AJ18,5)</f>
        <v>-4.4600000000000004E-3</v>
      </c>
      <c r="K18" s="158">
        <f>ROUND('Allocation = % of Margin'!AM18,5)</f>
        <v>-4.4999999999999999E-4</v>
      </c>
      <c r="L18" s="156"/>
      <c r="M18" s="557">
        <f>'WA Volumes &amp; Revenues'!F19</f>
        <v>263842</v>
      </c>
      <c r="N18" s="293">
        <f>'Rev Req Proof Yr1'!R18</f>
        <v>283651.99999999994</v>
      </c>
      <c r="O18" s="294">
        <f>'Rev Req Proof Yr1'!S18</f>
        <v>0</v>
      </c>
      <c r="P18" s="295">
        <f>'Rev Req Proof Yr1'!T18</f>
        <v>24.25</v>
      </c>
      <c r="Q18" s="296">
        <f>'Rev Req Proof Yr1'!U18</f>
        <v>974.74914000000001</v>
      </c>
      <c r="R18" s="156"/>
      <c r="S18" s="301">
        <f t="shared" si="19"/>
        <v>0</v>
      </c>
      <c r="T18" s="302">
        <v>0</v>
      </c>
      <c r="U18" s="303">
        <v>0</v>
      </c>
      <c r="V18" s="156"/>
      <c r="W18" s="301">
        <f t="shared" si="12"/>
        <v>0</v>
      </c>
      <c r="X18" s="302">
        <v>0</v>
      </c>
      <c r="Y18" s="303">
        <v>0</v>
      </c>
      <c r="Z18" s="156"/>
      <c r="AA18" s="301">
        <f t="shared" si="18"/>
        <v>-1262.2513999999996</v>
      </c>
      <c r="AB18" s="302">
        <v>0</v>
      </c>
      <c r="AC18" s="303">
        <v>0</v>
      </c>
      <c r="AD18" s="304"/>
      <c r="AE18" s="301">
        <f t="shared" si="14"/>
        <v>445.33363999999989</v>
      </c>
      <c r="AF18" s="302">
        <v>0</v>
      </c>
      <c r="AG18" s="303">
        <v>0</v>
      </c>
      <c r="AH18" s="156"/>
      <c r="AI18" s="301">
        <f t="shared" si="15"/>
        <v>0</v>
      </c>
      <c r="AJ18" s="302">
        <v>0</v>
      </c>
      <c r="AK18" s="303">
        <v>0</v>
      </c>
      <c r="AL18" s="156"/>
      <c r="AM18" s="301">
        <f t="shared" si="11"/>
        <v>-1265.0879199999999</v>
      </c>
      <c r="AN18" s="302">
        <v>0</v>
      </c>
      <c r="AO18" s="303">
        <v>0</v>
      </c>
      <c r="AP18" s="304"/>
      <c r="AQ18" s="301">
        <f t="shared" si="16"/>
        <v>-127.64339999999997</v>
      </c>
      <c r="AR18" s="302">
        <v>0</v>
      </c>
      <c r="AS18" s="303">
        <v>0</v>
      </c>
      <c r="AT18" s="156"/>
      <c r="AU18" s="301">
        <f t="shared" si="17"/>
        <v>-1389.8947999999996</v>
      </c>
      <c r="AV18" s="302">
        <v>0</v>
      </c>
      <c r="AW18" s="303">
        <v>0</v>
      </c>
      <c r="AX18" s="304"/>
      <c r="AY18" s="305"/>
      <c r="AZ18" s="305"/>
      <c r="BA18" s="304"/>
    </row>
    <row r="19" spans="1:53" x14ac:dyDescent="0.3">
      <c r="A19" s="85">
        <f t="shared" si="9"/>
        <v>12</v>
      </c>
      <c r="B19" s="707" t="str">
        <f>'Rev Req Proof Yr1'!B19</f>
        <v>27R</v>
      </c>
      <c r="C19" s="707" t="str">
        <f>'Rev Req Proof Yr1'!C19</f>
        <v>n/a</v>
      </c>
      <c r="D19" s="156"/>
      <c r="E19" s="158">
        <f>ROUND('Allocation = ¢ per Therm'!K22,5)</f>
        <v>0</v>
      </c>
      <c r="F19" s="152">
        <f>ROUND('Allocation = % of Margin'!U19,5)</f>
        <v>-7.3299999999999997E-3</v>
      </c>
      <c r="G19" s="158">
        <f>ROUND('Allocation = % of Margin'!X19,5)</f>
        <v>-3.8899999999999998E-3</v>
      </c>
      <c r="H19" s="158">
        <f>ROUND('Allocation = % of Margin'!AA19,5)</f>
        <v>1.3699999999999999E-3</v>
      </c>
      <c r="I19" s="158">
        <f>ROUND('Allocation = % of Margin'!AG19,5)</f>
        <v>-7.3299999999999997E-3</v>
      </c>
      <c r="J19" s="158">
        <f>ROUND('Allocation = % of Margin'!AJ19,5)</f>
        <v>-3.8999999999999998E-3</v>
      </c>
      <c r="K19" s="158">
        <f>ROUND('Allocation = % of Margin'!AM19,5)</f>
        <v>-4.0000000000000002E-4</v>
      </c>
      <c r="L19" s="156"/>
      <c r="M19" s="557">
        <f>'WA Volumes &amp; Revenues'!F20</f>
        <v>591910</v>
      </c>
      <c r="N19" s="293">
        <f>'Rev Req Proof Yr1'!R19</f>
        <v>461371.76933137607</v>
      </c>
      <c r="O19" s="294">
        <f>'Rev Req Proof Yr1'!S19</f>
        <v>0</v>
      </c>
      <c r="P19" s="295">
        <f>'Rev Req Proof Yr1'!T19</f>
        <v>776</v>
      </c>
      <c r="Q19" s="296">
        <f>'Rev Req Proof Yr1'!U19</f>
        <v>49.545940000000002</v>
      </c>
      <c r="R19" s="156"/>
      <c r="S19" s="301">
        <f t="shared" si="19"/>
        <v>0</v>
      </c>
      <c r="T19" s="302">
        <v>0</v>
      </c>
      <c r="U19" s="303">
        <v>0</v>
      </c>
      <c r="V19" s="156"/>
      <c r="W19" s="301">
        <f t="shared" si="12"/>
        <v>-3381.8550691989863</v>
      </c>
      <c r="X19" s="302">
        <v>0</v>
      </c>
      <c r="Y19" s="303">
        <v>0</v>
      </c>
      <c r="Z19" s="156"/>
      <c r="AA19" s="301">
        <f t="shared" si="18"/>
        <v>-1794.7361826990527</v>
      </c>
      <c r="AB19" s="302">
        <v>0</v>
      </c>
      <c r="AC19" s="303">
        <v>0</v>
      </c>
      <c r="AD19" s="304"/>
      <c r="AE19" s="301">
        <f t="shared" si="14"/>
        <v>632.0793239839852</v>
      </c>
      <c r="AF19" s="302">
        <v>0</v>
      </c>
      <c r="AG19" s="303">
        <v>0</v>
      </c>
      <c r="AH19" s="156"/>
      <c r="AI19" s="301">
        <f t="shared" si="15"/>
        <v>-3381.8550691989863</v>
      </c>
      <c r="AJ19" s="302">
        <v>0</v>
      </c>
      <c r="AK19" s="303">
        <v>0</v>
      </c>
      <c r="AL19" s="156"/>
      <c r="AM19" s="301">
        <f t="shared" si="11"/>
        <v>-1799.3499003923666</v>
      </c>
      <c r="AN19" s="302">
        <v>0</v>
      </c>
      <c r="AO19" s="303">
        <v>0</v>
      </c>
      <c r="AP19" s="304"/>
      <c r="AQ19" s="301">
        <f t="shared" si="16"/>
        <v>-184.54870773255044</v>
      </c>
      <c r="AR19" s="302">
        <v>0</v>
      </c>
      <c r="AS19" s="303">
        <v>0</v>
      </c>
      <c r="AT19" s="156"/>
      <c r="AU19" s="301">
        <f t="shared" si="17"/>
        <v>-5361.1399596305891</v>
      </c>
      <c r="AV19" s="302">
        <v>0</v>
      </c>
      <c r="AW19" s="303">
        <v>0</v>
      </c>
      <c r="AX19" s="304"/>
      <c r="AY19" s="305"/>
      <c r="AZ19" s="305"/>
      <c r="BA19" s="304"/>
    </row>
    <row r="20" spans="1:53" x14ac:dyDescent="0.3">
      <c r="A20" s="85">
        <f t="shared" si="9"/>
        <v>13</v>
      </c>
      <c r="B20" s="717" t="str">
        <f>'Rev Req Proof Yr1'!B20</f>
        <v>41C Firm Sales</v>
      </c>
      <c r="C20" s="710" t="s">
        <v>4</v>
      </c>
      <c r="D20" s="156"/>
      <c r="E20" s="156">
        <f>ROUND('Allocation = ¢ per Therm'!K23,5)</f>
        <v>0</v>
      </c>
      <c r="F20" s="156">
        <f>ROUND('Allocation = % of Margin'!U20,5)</f>
        <v>-7.3400000000000002E-3</v>
      </c>
      <c r="G20" s="307">
        <f>ROUND('Allocation = % of Margin'!X20,5)</f>
        <v>-3.8999999999999998E-3</v>
      </c>
      <c r="H20" s="307">
        <f>ROUND('Allocation = % of Margin'!AA20,5)</f>
        <v>1.3799999999999999E-3</v>
      </c>
      <c r="I20" s="307">
        <f>ROUND('Allocation = % of Margin'!AG20,5)</f>
        <v>-7.3400000000000002E-3</v>
      </c>
      <c r="J20" s="307">
        <f>ROUND('Allocation = % of Margin'!AJ20,5)</f>
        <v>-3.9100000000000003E-3</v>
      </c>
      <c r="K20" s="307">
        <f>ROUND('Allocation = % of Margin'!AM20,5)</f>
        <v>-4.0000000000000002E-4</v>
      </c>
      <c r="L20" s="156"/>
      <c r="M20" s="557">
        <f>'WA Volumes &amp; Revenues'!F21</f>
        <v>1992236.2</v>
      </c>
      <c r="N20" s="293">
        <f>'Rev Req Proof Yr1'!R20</f>
        <v>1777065.1510316674</v>
      </c>
      <c r="O20" s="294">
        <f>'Rev Req Proof Yr1'!S20</f>
        <v>0</v>
      </c>
      <c r="P20" s="295">
        <f>'Rev Req Proof Yr1'!T20</f>
        <v>91</v>
      </c>
      <c r="Q20" s="296">
        <f>'Rev Req Proof Yr1'!U20</f>
        <v>3436</v>
      </c>
      <c r="R20" s="156"/>
      <c r="S20" s="308">
        <f t="shared" si="19"/>
        <v>0</v>
      </c>
      <c r="T20" s="304">
        <v>0</v>
      </c>
      <c r="U20" s="309">
        <v>0</v>
      </c>
      <c r="V20" s="156"/>
      <c r="W20" s="308">
        <f t="shared" si="12"/>
        <v>-13043.658208572439</v>
      </c>
      <c r="X20" s="304">
        <v>0</v>
      </c>
      <c r="Y20" s="309">
        <v>0</v>
      </c>
      <c r="Z20" s="156"/>
      <c r="AA20" s="308">
        <f t="shared" si="18"/>
        <v>-6930.5540890235025</v>
      </c>
      <c r="AB20" s="304">
        <v>0</v>
      </c>
      <c r="AC20" s="309">
        <v>0</v>
      </c>
      <c r="AD20" s="304"/>
      <c r="AE20" s="308">
        <f t="shared" si="14"/>
        <v>2452.349908423701</v>
      </c>
      <c r="AF20" s="304">
        <v>0</v>
      </c>
      <c r="AG20" s="309">
        <v>0</v>
      </c>
      <c r="AH20" s="156"/>
      <c r="AI20" s="308">
        <f t="shared" si="15"/>
        <v>-13043.658208572439</v>
      </c>
      <c r="AJ20" s="304">
        <v>0</v>
      </c>
      <c r="AK20" s="309">
        <v>0</v>
      </c>
      <c r="AL20" s="156"/>
      <c r="AM20" s="308">
        <f t="shared" si="11"/>
        <v>-6948.3247405338197</v>
      </c>
      <c r="AN20" s="304">
        <v>0</v>
      </c>
      <c r="AO20" s="309">
        <v>0</v>
      </c>
      <c r="AP20" s="304"/>
      <c r="AQ20" s="308">
        <f t="shared" si="16"/>
        <v>-710.82606041266695</v>
      </c>
      <c r="AR20" s="304">
        <v>0</v>
      </c>
      <c r="AS20" s="309">
        <v>0</v>
      </c>
      <c r="AT20" s="156"/>
      <c r="AU20" s="308">
        <f t="shared" si="17"/>
        <v>-20685.038358008605</v>
      </c>
      <c r="AV20" s="304">
        <v>0</v>
      </c>
      <c r="AW20" s="309">
        <v>0</v>
      </c>
      <c r="AX20" s="304"/>
      <c r="AY20" s="305"/>
      <c r="AZ20" s="305"/>
      <c r="BA20" s="304"/>
    </row>
    <row r="21" spans="1:53" x14ac:dyDescent="0.3">
      <c r="A21" s="85">
        <f t="shared" si="9"/>
        <v>14</v>
      </c>
      <c r="B21" s="709"/>
      <c r="C21" s="710" t="s">
        <v>5</v>
      </c>
      <c r="D21" s="156"/>
      <c r="E21" s="156">
        <f>ROUND('Allocation = ¢ per Therm'!K24,5)</f>
        <v>0</v>
      </c>
      <c r="F21" s="156">
        <f>ROUND('Allocation = % of Margin'!U21,5)</f>
        <v>-6.4700000000000001E-3</v>
      </c>
      <c r="G21" s="156">
        <f>ROUND('Allocation = % of Margin'!X21,5)</f>
        <v>-3.4399999999999999E-3</v>
      </c>
      <c r="H21" s="156">
        <f>ROUND('Allocation = % of Margin'!AA21,5)</f>
        <v>1.2099999999999999E-3</v>
      </c>
      <c r="I21" s="156">
        <f>ROUND('Allocation = % of Margin'!AG21,5)</f>
        <v>-6.4700000000000001E-3</v>
      </c>
      <c r="J21" s="156">
        <f>ROUND('Allocation = % of Margin'!AJ21,5)</f>
        <v>-3.4499999999999999E-3</v>
      </c>
      <c r="K21" s="156">
        <f>ROUND('Allocation = % of Margin'!AM21,5)</f>
        <v>-3.5E-4</v>
      </c>
      <c r="L21" s="156"/>
      <c r="M21" s="557">
        <f>'WA Volumes &amp; Revenues'!F22</f>
        <v>2142067.7000000002</v>
      </c>
      <c r="N21" s="293">
        <f>'Rev Req Proof Yr1'!R21</f>
        <v>1974656.4658023661</v>
      </c>
      <c r="O21" s="294">
        <f>'Rev Req Proof Yr1'!S21</f>
        <v>0</v>
      </c>
      <c r="P21" s="295">
        <f>'Rev Req Proof Yr1'!T21</f>
        <v>0</v>
      </c>
      <c r="Q21" s="296">
        <f>'Rev Req Proof Yr1'!U21</f>
        <v>0</v>
      </c>
      <c r="R21" s="156"/>
      <c r="S21" s="308">
        <f t="shared" si="19"/>
        <v>0</v>
      </c>
      <c r="T21" s="304">
        <v>0</v>
      </c>
      <c r="U21" s="309">
        <v>0</v>
      </c>
      <c r="V21" s="156"/>
      <c r="W21" s="308">
        <f t="shared" si="12"/>
        <v>-12776.027333741309</v>
      </c>
      <c r="X21" s="304">
        <v>0</v>
      </c>
      <c r="Y21" s="309">
        <v>0</v>
      </c>
      <c r="Z21" s="156"/>
      <c r="AA21" s="308">
        <f t="shared" si="18"/>
        <v>-6792.8182423601393</v>
      </c>
      <c r="AB21" s="304">
        <v>0</v>
      </c>
      <c r="AC21" s="309">
        <v>0</v>
      </c>
      <c r="AD21" s="304"/>
      <c r="AE21" s="308">
        <f t="shared" si="14"/>
        <v>2389.334323620863</v>
      </c>
      <c r="AF21" s="304">
        <v>0</v>
      </c>
      <c r="AG21" s="309">
        <v>0</v>
      </c>
      <c r="AH21" s="156"/>
      <c r="AI21" s="308">
        <f t="shared" si="15"/>
        <v>-12776.027333741309</v>
      </c>
      <c r="AJ21" s="304">
        <v>0</v>
      </c>
      <c r="AK21" s="309">
        <v>0</v>
      </c>
      <c r="AL21" s="156"/>
      <c r="AM21" s="308">
        <f t="shared" si="11"/>
        <v>-6812.5648070181633</v>
      </c>
      <c r="AN21" s="304">
        <v>0</v>
      </c>
      <c r="AO21" s="309">
        <v>0</v>
      </c>
      <c r="AP21" s="304"/>
      <c r="AQ21" s="308">
        <f t="shared" si="16"/>
        <v>-691.12976303082814</v>
      </c>
      <c r="AR21" s="304">
        <v>0</v>
      </c>
      <c r="AS21" s="309">
        <v>0</v>
      </c>
      <c r="AT21" s="156"/>
      <c r="AU21" s="308">
        <f t="shared" si="17"/>
        <v>-20259.975339132277</v>
      </c>
      <c r="AV21" s="304">
        <v>0</v>
      </c>
      <c r="AW21" s="309">
        <v>0</v>
      </c>
      <c r="AX21" s="304"/>
      <c r="AY21" s="305"/>
      <c r="AZ21" s="305"/>
      <c r="BA21" s="304"/>
    </row>
    <row r="22" spans="1:53" x14ac:dyDescent="0.3">
      <c r="A22" s="85">
        <f t="shared" si="9"/>
        <v>15</v>
      </c>
      <c r="B22" s="707"/>
      <c r="C22" s="726" t="s">
        <v>76</v>
      </c>
      <c r="D22" s="152"/>
      <c r="E22" s="152"/>
      <c r="F22" s="152"/>
      <c r="G22" s="794"/>
      <c r="H22" s="794"/>
      <c r="I22" s="794"/>
      <c r="J22" s="794"/>
      <c r="K22" s="794"/>
      <c r="L22" s="152"/>
      <c r="M22" s="557"/>
      <c r="N22" s="293"/>
      <c r="O22" s="294"/>
      <c r="P22" s="295"/>
      <c r="Q22" s="296"/>
      <c r="R22" s="156"/>
      <c r="S22" s="310">
        <f>SUM(S20:S21)</f>
        <v>0</v>
      </c>
      <c r="T22" s="311">
        <f t="shared" ref="T22:U22" si="20">SUM(T20:T21)</f>
        <v>0</v>
      </c>
      <c r="U22" s="312">
        <f t="shared" si="20"/>
        <v>0</v>
      </c>
      <c r="V22" s="156"/>
      <c r="W22" s="310">
        <f>SUM(W20:W21)</f>
        <v>-25819.685542313746</v>
      </c>
      <c r="X22" s="311">
        <f t="shared" ref="X22:Y22" si="21">SUM(X20:X21)</f>
        <v>0</v>
      </c>
      <c r="Y22" s="312">
        <f t="shared" si="21"/>
        <v>0</v>
      </c>
      <c r="Z22" s="156"/>
      <c r="AA22" s="310">
        <f>SUM(AA20:AA21)</f>
        <v>-13723.372331383642</v>
      </c>
      <c r="AB22" s="311">
        <f t="shared" ref="AB22:AC22" si="22">SUM(AB20:AB21)</f>
        <v>0</v>
      </c>
      <c r="AC22" s="312">
        <f t="shared" si="22"/>
        <v>0</v>
      </c>
      <c r="AD22" s="323"/>
      <c r="AE22" s="310">
        <f>SUM(AE20:AE21)</f>
        <v>4841.6842320445639</v>
      </c>
      <c r="AF22" s="311">
        <f t="shared" ref="AF22:AG22" si="23">SUM(AF20:AF21)</f>
        <v>0</v>
      </c>
      <c r="AG22" s="312">
        <f t="shared" si="23"/>
        <v>0</v>
      </c>
      <c r="AH22" s="156"/>
      <c r="AI22" s="310">
        <f>SUM(AI20:AI21)</f>
        <v>-25819.685542313746</v>
      </c>
      <c r="AJ22" s="311">
        <f t="shared" ref="AJ22:AK22" si="24">SUM(AJ20:AJ21)</f>
        <v>0</v>
      </c>
      <c r="AK22" s="312">
        <f t="shared" si="24"/>
        <v>0</v>
      </c>
      <c r="AL22" s="156"/>
      <c r="AM22" s="310">
        <f>SUM(AM20:AM21)</f>
        <v>-13760.889547551982</v>
      </c>
      <c r="AN22" s="311">
        <f t="shared" ref="AN22:AO22" si="25">SUM(AN20:AN21)</f>
        <v>0</v>
      </c>
      <c r="AO22" s="312">
        <f t="shared" si="25"/>
        <v>0</v>
      </c>
      <c r="AP22" s="323"/>
      <c r="AQ22" s="310">
        <f>SUM(AQ20:AQ21)</f>
        <v>-1401.9558234434951</v>
      </c>
      <c r="AR22" s="311">
        <f t="shared" ref="AR22:AS22" si="26">SUM(AR20:AR21)</f>
        <v>0</v>
      </c>
      <c r="AS22" s="312">
        <f t="shared" si="26"/>
        <v>0</v>
      </c>
      <c r="AT22" s="156"/>
      <c r="AU22" s="310">
        <f>SUM(AU20:AU21)</f>
        <v>-40945.013697140879</v>
      </c>
      <c r="AV22" s="311">
        <f t="shared" ref="AV22" si="27">SUM(AV20:AV21)</f>
        <v>0</v>
      </c>
      <c r="AW22" s="312">
        <f t="shared" ref="AW22" si="28">SUM(AW20:AW21)</f>
        <v>0</v>
      </c>
      <c r="AX22" s="304"/>
      <c r="AY22" s="305"/>
      <c r="AZ22" s="305"/>
      <c r="BA22" s="304"/>
    </row>
    <row r="23" spans="1:53" x14ac:dyDescent="0.3">
      <c r="A23" s="85">
        <f t="shared" si="9"/>
        <v>16</v>
      </c>
      <c r="B23" s="717" t="str">
        <f>'Rev Req Proof Yr1'!B23</f>
        <v>41I Firm Sales</v>
      </c>
      <c r="C23" s="710" t="s">
        <v>4</v>
      </c>
      <c r="D23" s="156"/>
      <c r="E23" s="156">
        <f>ROUND('Allocation = ¢ per Therm'!K25,5)</f>
        <v>0</v>
      </c>
      <c r="F23" s="156">
        <f>ROUND('Allocation = % of Margin'!U22,5)</f>
        <v>0</v>
      </c>
      <c r="G23" s="307">
        <f>ROUND('Allocation = % of Margin'!X22,5)</f>
        <v>-3.5200000000000001E-3</v>
      </c>
      <c r="H23" s="307">
        <f>ROUND('Allocation = % of Margin'!AA22,5)</f>
        <v>1.24E-3</v>
      </c>
      <c r="I23" s="307">
        <f>ROUND('Allocation = % of Margin'!AG22,5)</f>
        <v>0</v>
      </c>
      <c r="J23" s="307">
        <f>ROUND('Allocation = % of Margin'!AJ22,5)</f>
        <v>-3.3999999999999998E-3</v>
      </c>
      <c r="K23" s="307">
        <f>ROUND('Allocation = % of Margin'!AM22,5)</f>
        <v>-3.5E-4</v>
      </c>
      <c r="L23" s="156"/>
      <c r="M23" s="557">
        <f>'WA Volumes &amp; Revenues'!F23</f>
        <v>399967</v>
      </c>
      <c r="N23" s="293">
        <f>'Rev Req Proof Yr1'!R23</f>
        <v>392890.20000000007</v>
      </c>
      <c r="O23" s="294">
        <f>'Rev Req Proof Yr1'!S23</f>
        <v>0</v>
      </c>
      <c r="P23" s="295">
        <f>'Rev Req Proof Yr1'!T23</f>
        <v>17.833333333333332</v>
      </c>
      <c r="Q23" s="296">
        <f>'Rev Req Proof Yr1'!U23</f>
        <v>4741</v>
      </c>
      <c r="R23" s="156"/>
      <c r="S23" s="308">
        <f t="shared" ref="S23:S24" si="29">((E23)*N23)</f>
        <v>0</v>
      </c>
      <c r="T23" s="304">
        <v>0</v>
      </c>
      <c r="U23" s="309">
        <v>0</v>
      </c>
      <c r="V23" s="156"/>
      <c r="W23" s="308">
        <f t="shared" si="12"/>
        <v>0</v>
      </c>
      <c r="X23" s="304">
        <v>0</v>
      </c>
      <c r="Y23" s="309">
        <v>0</v>
      </c>
      <c r="Z23" s="156"/>
      <c r="AA23" s="308">
        <f t="shared" ref="AA23:AA24" si="30">((G23)*N23)</f>
        <v>-1382.9735040000003</v>
      </c>
      <c r="AB23" s="304">
        <v>0</v>
      </c>
      <c r="AC23" s="309">
        <v>0</v>
      </c>
      <c r="AD23" s="304"/>
      <c r="AE23" s="308">
        <f t="shared" si="14"/>
        <v>487.18384800000007</v>
      </c>
      <c r="AF23" s="304">
        <v>0</v>
      </c>
      <c r="AG23" s="309">
        <v>0</v>
      </c>
      <c r="AH23" s="156"/>
      <c r="AI23" s="308">
        <f t="shared" si="15"/>
        <v>0</v>
      </c>
      <c r="AJ23" s="304">
        <v>0</v>
      </c>
      <c r="AK23" s="309">
        <v>0</v>
      </c>
      <c r="AL23" s="156"/>
      <c r="AM23" s="308">
        <f>((J23)*N23)</f>
        <v>-1335.8266800000001</v>
      </c>
      <c r="AN23" s="304">
        <v>0</v>
      </c>
      <c r="AO23" s="309">
        <v>0</v>
      </c>
      <c r="AP23" s="304"/>
      <c r="AQ23" s="308">
        <f t="shared" si="16"/>
        <v>-137.51157000000003</v>
      </c>
      <c r="AR23" s="304">
        <v>0</v>
      </c>
      <c r="AS23" s="309">
        <v>0</v>
      </c>
      <c r="AT23" s="156"/>
      <c r="AU23" s="308">
        <f t="shared" ref="AU23:AU24" si="31">((E23+F23+G23+K23)*N23)</f>
        <v>-1520.4850740000004</v>
      </c>
      <c r="AV23" s="304">
        <v>0</v>
      </c>
      <c r="AW23" s="309">
        <v>0</v>
      </c>
      <c r="AX23" s="304"/>
      <c r="AY23" s="305"/>
      <c r="AZ23" s="305"/>
      <c r="BA23" s="304"/>
    </row>
    <row r="24" spans="1:53" x14ac:dyDescent="0.3">
      <c r="A24" s="85">
        <f t="shared" si="9"/>
        <v>17</v>
      </c>
      <c r="B24" s="709"/>
      <c r="C24" s="710" t="s">
        <v>5</v>
      </c>
      <c r="D24" s="156"/>
      <c r="E24" s="156">
        <f>ROUND('Allocation = ¢ per Therm'!K26,5)</f>
        <v>0</v>
      </c>
      <c r="F24" s="156">
        <f>ROUND('Allocation = % of Margin'!U23,5)</f>
        <v>0</v>
      </c>
      <c r="G24" s="156">
        <f>ROUND('Allocation = % of Margin'!X23,5)</f>
        <v>-3.0999999999999999E-3</v>
      </c>
      <c r="H24" s="156">
        <f>ROUND('Allocation = % of Margin'!AA23,5)</f>
        <v>1.09E-3</v>
      </c>
      <c r="I24" s="156">
        <f>ROUND('Allocation = % of Margin'!AG23,5)</f>
        <v>0</v>
      </c>
      <c r="J24" s="156">
        <f>ROUND('Allocation = % of Margin'!AJ23,5)</f>
        <v>-2.99E-3</v>
      </c>
      <c r="K24" s="156">
        <f>ROUND('Allocation = % of Margin'!AM23,5)</f>
        <v>-2.9999999999999997E-4</v>
      </c>
      <c r="L24" s="156"/>
      <c r="M24" s="557">
        <f>'WA Volumes &amp; Revenues'!F24</f>
        <v>630361</v>
      </c>
      <c r="N24" s="293">
        <f>'Rev Req Proof Yr1'!R24</f>
        <v>621650.00000000012</v>
      </c>
      <c r="O24" s="294">
        <f>'Rev Req Proof Yr1'!S24</f>
        <v>0</v>
      </c>
      <c r="P24" s="295">
        <f>'Rev Req Proof Yr1'!T24</f>
        <v>0</v>
      </c>
      <c r="Q24" s="296">
        <f>'Rev Req Proof Yr1'!U24</f>
        <v>0</v>
      </c>
      <c r="R24" s="156"/>
      <c r="S24" s="308">
        <f t="shared" si="29"/>
        <v>0</v>
      </c>
      <c r="T24" s="304">
        <v>0</v>
      </c>
      <c r="U24" s="309">
        <v>0</v>
      </c>
      <c r="V24" s="156"/>
      <c r="W24" s="308">
        <f t="shared" si="12"/>
        <v>0</v>
      </c>
      <c r="X24" s="304">
        <v>0</v>
      </c>
      <c r="Y24" s="309">
        <v>0</v>
      </c>
      <c r="Z24" s="156"/>
      <c r="AA24" s="308">
        <f t="shared" si="30"/>
        <v>-1927.1150000000002</v>
      </c>
      <c r="AB24" s="304">
        <v>0</v>
      </c>
      <c r="AC24" s="309">
        <v>0</v>
      </c>
      <c r="AD24" s="304"/>
      <c r="AE24" s="308">
        <f t="shared" si="14"/>
        <v>677.59850000000017</v>
      </c>
      <c r="AF24" s="304">
        <v>0</v>
      </c>
      <c r="AG24" s="309">
        <v>0</v>
      </c>
      <c r="AH24" s="156"/>
      <c r="AI24" s="308">
        <f t="shared" si="15"/>
        <v>0</v>
      </c>
      <c r="AJ24" s="304">
        <v>0</v>
      </c>
      <c r="AK24" s="309">
        <v>0</v>
      </c>
      <c r="AL24" s="156"/>
      <c r="AM24" s="308">
        <f>((J24)*N24)</f>
        <v>-1858.7335000000003</v>
      </c>
      <c r="AN24" s="304">
        <v>0</v>
      </c>
      <c r="AO24" s="309">
        <v>0</v>
      </c>
      <c r="AP24" s="304"/>
      <c r="AQ24" s="308">
        <f t="shared" si="16"/>
        <v>-186.495</v>
      </c>
      <c r="AR24" s="304">
        <v>0</v>
      </c>
      <c r="AS24" s="309">
        <v>0</v>
      </c>
      <c r="AT24" s="156"/>
      <c r="AU24" s="308">
        <f t="shared" si="31"/>
        <v>-2113.61</v>
      </c>
      <c r="AV24" s="304">
        <v>0</v>
      </c>
      <c r="AW24" s="309">
        <v>0</v>
      </c>
      <c r="AX24" s="304"/>
      <c r="AY24" s="305"/>
      <c r="AZ24" s="305"/>
      <c r="BA24" s="304"/>
    </row>
    <row r="25" spans="1:53" x14ac:dyDescent="0.3">
      <c r="A25" s="85">
        <f t="shared" si="9"/>
        <v>18</v>
      </c>
      <c r="B25" s="707"/>
      <c r="C25" s="726" t="s">
        <v>76</v>
      </c>
      <c r="D25" s="152"/>
      <c r="E25" s="152"/>
      <c r="F25" s="152"/>
      <c r="G25" s="794"/>
      <c r="H25" s="794"/>
      <c r="I25" s="794"/>
      <c r="J25" s="794"/>
      <c r="K25" s="794"/>
      <c r="L25" s="152"/>
      <c r="M25" s="557"/>
      <c r="N25" s="293"/>
      <c r="O25" s="294"/>
      <c r="P25" s="295"/>
      <c r="Q25" s="296"/>
      <c r="R25" s="156"/>
      <c r="S25" s="310">
        <f>SUM(S23:S24)</f>
        <v>0</v>
      </c>
      <c r="T25" s="311">
        <f t="shared" ref="T25:U25" si="32">SUM(T23:T24)</f>
        <v>0</v>
      </c>
      <c r="U25" s="312">
        <f t="shared" si="32"/>
        <v>0</v>
      </c>
      <c r="V25" s="156"/>
      <c r="W25" s="310">
        <f>SUM(W23:W24)</f>
        <v>0</v>
      </c>
      <c r="X25" s="311">
        <f t="shared" ref="X25:Y25" si="33">SUM(X23:X24)</f>
        <v>0</v>
      </c>
      <c r="Y25" s="312">
        <f t="shared" si="33"/>
        <v>0</v>
      </c>
      <c r="Z25" s="156"/>
      <c r="AA25" s="310">
        <f>SUM(AA23:AA24)</f>
        <v>-3310.0885040000003</v>
      </c>
      <c r="AB25" s="311">
        <f t="shared" ref="AB25:AC25" si="34">SUM(AB23:AB24)</f>
        <v>0</v>
      </c>
      <c r="AC25" s="312">
        <f t="shared" si="34"/>
        <v>0</v>
      </c>
      <c r="AD25" s="323"/>
      <c r="AE25" s="310">
        <f>SUM(AE23:AE24)</f>
        <v>1164.7823480000002</v>
      </c>
      <c r="AF25" s="311">
        <f t="shared" ref="AF25:AG25" si="35">SUM(AF23:AF24)</f>
        <v>0</v>
      </c>
      <c r="AG25" s="312">
        <f t="shared" si="35"/>
        <v>0</v>
      </c>
      <c r="AH25" s="156"/>
      <c r="AI25" s="310">
        <f>SUM(AI23:AI24)</f>
        <v>0</v>
      </c>
      <c r="AJ25" s="311">
        <f t="shared" ref="AJ25:AK25" si="36">SUM(AJ23:AJ24)</f>
        <v>0</v>
      </c>
      <c r="AK25" s="312">
        <f t="shared" si="36"/>
        <v>0</v>
      </c>
      <c r="AL25" s="156"/>
      <c r="AM25" s="310">
        <f>SUM(AM23:AM24)</f>
        <v>-3194.5601800000004</v>
      </c>
      <c r="AN25" s="311">
        <f t="shared" ref="AN25:AO25" si="37">SUM(AN23:AN24)</f>
        <v>0</v>
      </c>
      <c r="AO25" s="312">
        <f t="shared" si="37"/>
        <v>0</v>
      </c>
      <c r="AP25" s="323"/>
      <c r="AQ25" s="310">
        <f>SUM(AQ23:AQ24)</f>
        <v>-324.00657000000001</v>
      </c>
      <c r="AR25" s="311">
        <f t="shared" ref="AR25:AS25" si="38">SUM(AR23:AR24)</f>
        <v>0</v>
      </c>
      <c r="AS25" s="312">
        <f t="shared" si="38"/>
        <v>0</v>
      </c>
      <c r="AT25" s="156"/>
      <c r="AU25" s="310">
        <f>SUM(AU23:AU24)</f>
        <v>-3634.0950740000007</v>
      </c>
      <c r="AV25" s="311">
        <f t="shared" ref="AV25:AW25" si="39">SUM(AV23:AV24)</f>
        <v>0</v>
      </c>
      <c r="AW25" s="312">
        <f t="shared" si="39"/>
        <v>0</v>
      </c>
      <c r="AX25" s="304"/>
      <c r="AY25" s="305"/>
      <c r="AZ25" s="305"/>
      <c r="BA25" s="304"/>
    </row>
    <row r="26" spans="1:53" x14ac:dyDescent="0.3">
      <c r="A26" s="85">
        <f t="shared" si="9"/>
        <v>19</v>
      </c>
      <c r="B26" s="709" t="str">
        <f>'Rev Req Proof Yr1'!B26</f>
        <v>41C Interr Sales</v>
      </c>
      <c r="C26" s="710" t="s">
        <v>4</v>
      </c>
      <c r="D26" s="156"/>
      <c r="E26" s="156">
        <f>ROUND('Allocation = ¢ per Therm'!K27,5)</f>
        <v>0</v>
      </c>
      <c r="F26" s="156">
        <f>ROUND('Allocation = % of Margin'!U24,5)</f>
        <v>-6.8599999999999998E-3</v>
      </c>
      <c r="G26" s="307">
        <f>ROUND('Allocation = % of Margin'!X24,5)</f>
        <v>-3.0300000000000001E-3</v>
      </c>
      <c r="H26" s="307">
        <f>ROUND('Allocation = % of Margin'!AA24,5)</f>
        <v>1.3799999999999999E-3</v>
      </c>
      <c r="I26" s="307">
        <f>ROUND('Allocation = % of Margin'!AG24,5)</f>
        <v>-6.7799999999999996E-3</v>
      </c>
      <c r="J26" s="307">
        <f>ROUND('Allocation = % of Margin'!AJ24,5)</f>
        <v>-3.0400000000000002E-3</v>
      </c>
      <c r="K26" s="307">
        <f>ROUND('Allocation = % of Margin'!AM24,5)</f>
        <v>-3.1E-4</v>
      </c>
      <c r="L26" s="156"/>
      <c r="M26" s="557">
        <f>'WA Volumes &amp; Revenues'!F25</f>
        <v>0</v>
      </c>
      <c r="N26" s="293">
        <f>'Rev Req Proof Yr1'!R26</f>
        <v>0</v>
      </c>
      <c r="O26" s="294">
        <f>'Rev Req Proof Yr1'!S26</f>
        <v>0</v>
      </c>
      <c r="P26" s="295">
        <f>'Rev Req Proof Yr1'!T26</f>
        <v>0</v>
      </c>
      <c r="Q26" s="296">
        <f>'Rev Req Proof Yr1'!U26</f>
        <v>0</v>
      </c>
      <c r="R26" s="156"/>
      <c r="S26" s="308">
        <f>((E26)*N26)</f>
        <v>0</v>
      </c>
      <c r="T26" s="304">
        <v>0</v>
      </c>
      <c r="U26" s="309">
        <v>0</v>
      </c>
      <c r="V26" s="156"/>
      <c r="W26" s="308">
        <f t="shared" si="12"/>
        <v>0</v>
      </c>
      <c r="X26" s="304">
        <v>0</v>
      </c>
      <c r="Y26" s="309">
        <v>0</v>
      </c>
      <c r="Z26" s="156"/>
      <c r="AA26" s="308">
        <f>((G26)*N26)</f>
        <v>0</v>
      </c>
      <c r="AB26" s="304">
        <v>0</v>
      </c>
      <c r="AC26" s="309">
        <v>0</v>
      </c>
      <c r="AD26" s="304"/>
      <c r="AE26" s="308">
        <f t="shared" si="14"/>
        <v>0</v>
      </c>
      <c r="AF26" s="304">
        <v>0</v>
      </c>
      <c r="AG26" s="309">
        <v>0</v>
      </c>
      <c r="AH26" s="156"/>
      <c r="AI26" s="308">
        <f t="shared" si="15"/>
        <v>0</v>
      </c>
      <c r="AJ26" s="304">
        <v>0</v>
      </c>
      <c r="AK26" s="309">
        <v>0</v>
      </c>
      <c r="AL26" s="156"/>
      <c r="AM26" s="308">
        <f>((J26)*N26)</f>
        <v>0</v>
      </c>
      <c r="AN26" s="304">
        <v>0</v>
      </c>
      <c r="AO26" s="309">
        <v>0</v>
      </c>
      <c r="AP26" s="304"/>
      <c r="AQ26" s="308">
        <f t="shared" si="16"/>
        <v>0</v>
      </c>
      <c r="AR26" s="304">
        <v>0</v>
      </c>
      <c r="AS26" s="309">
        <v>0</v>
      </c>
      <c r="AT26" s="156"/>
      <c r="AU26" s="308">
        <f t="shared" ref="AU26:AU27" si="40">((E26+F26+G26+K26)*N26)</f>
        <v>0</v>
      </c>
      <c r="AV26" s="304">
        <v>0</v>
      </c>
      <c r="AW26" s="309">
        <v>0</v>
      </c>
      <c r="AX26" s="304"/>
      <c r="AY26" s="305"/>
      <c r="AZ26" s="305"/>
      <c r="BA26" s="304"/>
    </row>
    <row r="27" spans="1:53" x14ac:dyDescent="0.3">
      <c r="A27" s="85">
        <f t="shared" si="9"/>
        <v>20</v>
      </c>
      <c r="B27" s="709"/>
      <c r="C27" s="710" t="s">
        <v>5</v>
      </c>
      <c r="D27" s="156"/>
      <c r="E27" s="156">
        <f>ROUND('Allocation = ¢ per Therm'!K28,5)</f>
        <v>0</v>
      </c>
      <c r="F27" s="156">
        <f>ROUND('Allocation = % of Margin'!U25,5)</f>
        <v>-6.0499999999999998E-3</v>
      </c>
      <c r="G27" s="156">
        <f>ROUND('Allocation = % of Margin'!X25,5)</f>
        <v>-2.6700000000000001E-3</v>
      </c>
      <c r="H27" s="156">
        <f>ROUND('Allocation = % of Margin'!AA25,5)</f>
        <v>1.2099999999999999E-3</v>
      </c>
      <c r="I27" s="156">
        <f>ROUND('Allocation = % of Margin'!AG25,5)</f>
        <v>-5.9699999999999996E-3</v>
      </c>
      <c r="J27" s="156">
        <f>ROUND('Allocation = % of Margin'!AJ25,5)</f>
        <v>-2.6800000000000001E-3</v>
      </c>
      <c r="K27" s="156">
        <f>ROUND('Allocation = % of Margin'!AM25,5)</f>
        <v>-2.7E-4</v>
      </c>
      <c r="L27" s="156"/>
      <c r="M27" s="557">
        <f>'WA Volumes &amp; Revenues'!F26</f>
        <v>0</v>
      </c>
      <c r="N27" s="293">
        <f>'Rev Req Proof Yr1'!R27</f>
        <v>0</v>
      </c>
      <c r="O27" s="294">
        <f>'Rev Req Proof Yr1'!S27</f>
        <v>0</v>
      </c>
      <c r="P27" s="295">
        <f>'Rev Req Proof Yr1'!T27</f>
        <v>0</v>
      </c>
      <c r="Q27" s="296">
        <f>'Rev Req Proof Yr1'!U27</f>
        <v>0</v>
      </c>
      <c r="R27" s="156"/>
      <c r="S27" s="308">
        <f>((E27)*N27)</f>
        <v>0</v>
      </c>
      <c r="T27" s="304">
        <v>0</v>
      </c>
      <c r="U27" s="309">
        <v>0</v>
      </c>
      <c r="V27" s="156"/>
      <c r="W27" s="308">
        <f t="shared" si="12"/>
        <v>0</v>
      </c>
      <c r="X27" s="304">
        <v>0</v>
      </c>
      <c r="Y27" s="309">
        <v>0</v>
      </c>
      <c r="Z27" s="156"/>
      <c r="AA27" s="308">
        <f>((G27)*N27)</f>
        <v>0</v>
      </c>
      <c r="AB27" s="304">
        <v>0</v>
      </c>
      <c r="AC27" s="309">
        <v>0</v>
      </c>
      <c r="AD27" s="304"/>
      <c r="AE27" s="308">
        <f t="shared" si="14"/>
        <v>0</v>
      </c>
      <c r="AF27" s="304">
        <v>0</v>
      </c>
      <c r="AG27" s="309">
        <v>0</v>
      </c>
      <c r="AH27" s="156"/>
      <c r="AI27" s="308">
        <f t="shared" si="15"/>
        <v>0</v>
      </c>
      <c r="AJ27" s="304">
        <v>0</v>
      </c>
      <c r="AK27" s="309">
        <v>0</v>
      </c>
      <c r="AL27" s="156"/>
      <c r="AM27" s="308">
        <f>((J27)*N27)</f>
        <v>0</v>
      </c>
      <c r="AN27" s="304">
        <v>0</v>
      </c>
      <c r="AO27" s="309">
        <v>0</v>
      </c>
      <c r="AP27" s="304"/>
      <c r="AQ27" s="308">
        <f t="shared" si="16"/>
        <v>0</v>
      </c>
      <c r="AR27" s="304">
        <v>0</v>
      </c>
      <c r="AS27" s="309">
        <v>0</v>
      </c>
      <c r="AT27" s="156"/>
      <c r="AU27" s="308">
        <f t="shared" si="40"/>
        <v>0</v>
      </c>
      <c r="AV27" s="304">
        <v>0</v>
      </c>
      <c r="AW27" s="309">
        <v>0</v>
      </c>
      <c r="AX27" s="304"/>
      <c r="AY27" s="305"/>
      <c r="AZ27" s="305"/>
      <c r="BA27" s="304"/>
    </row>
    <row r="28" spans="1:53" x14ac:dyDescent="0.3">
      <c r="A28" s="85">
        <f t="shared" si="9"/>
        <v>21</v>
      </c>
      <c r="B28" s="707"/>
      <c r="C28" s="726" t="s">
        <v>76</v>
      </c>
      <c r="D28" s="152"/>
      <c r="E28" s="152"/>
      <c r="F28" s="152"/>
      <c r="G28" s="794"/>
      <c r="H28" s="794"/>
      <c r="I28" s="794"/>
      <c r="J28" s="794"/>
      <c r="K28" s="794"/>
      <c r="L28" s="152"/>
      <c r="M28" s="557"/>
      <c r="N28" s="293"/>
      <c r="O28" s="294"/>
      <c r="P28" s="295"/>
      <c r="Q28" s="296"/>
      <c r="R28" s="156"/>
      <c r="S28" s="310">
        <f>SUM(S26:S27)</f>
        <v>0</v>
      </c>
      <c r="T28" s="311">
        <f t="shared" ref="T28:U28" si="41">SUM(T26:T27)</f>
        <v>0</v>
      </c>
      <c r="U28" s="312">
        <f t="shared" si="41"/>
        <v>0</v>
      </c>
      <c r="V28" s="156"/>
      <c r="W28" s="310">
        <f>SUM(W26:W27)</f>
        <v>0</v>
      </c>
      <c r="X28" s="311">
        <f t="shared" ref="X28:Y28" si="42">SUM(X26:X27)</f>
        <v>0</v>
      </c>
      <c r="Y28" s="312">
        <f t="shared" si="42"/>
        <v>0</v>
      </c>
      <c r="Z28" s="156"/>
      <c r="AA28" s="310">
        <f>SUM(AA26:AA27)</f>
        <v>0</v>
      </c>
      <c r="AB28" s="311">
        <f t="shared" ref="AB28:AC28" si="43">SUM(AB26:AB27)</f>
        <v>0</v>
      </c>
      <c r="AC28" s="312">
        <f t="shared" si="43"/>
        <v>0</v>
      </c>
      <c r="AD28" s="323"/>
      <c r="AE28" s="310">
        <f>SUM(AE26:AE27)</f>
        <v>0</v>
      </c>
      <c r="AF28" s="311">
        <f t="shared" ref="AF28:AG28" si="44">SUM(AF26:AF27)</f>
        <v>0</v>
      </c>
      <c r="AG28" s="312">
        <f t="shared" si="44"/>
        <v>0</v>
      </c>
      <c r="AH28" s="156"/>
      <c r="AI28" s="310">
        <f>SUM(AI26:AI27)</f>
        <v>0</v>
      </c>
      <c r="AJ28" s="311">
        <f t="shared" ref="AJ28:AK28" si="45">SUM(AJ26:AJ27)</f>
        <v>0</v>
      </c>
      <c r="AK28" s="312">
        <f t="shared" si="45"/>
        <v>0</v>
      </c>
      <c r="AL28" s="156"/>
      <c r="AM28" s="310">
        <f>SUM(AM26:AM27)</f>
        <v>0</v>
      </c>
      <c r="AN28" s="311">
        <f t="shared" ref="AN28:AO28" si="46">SUM(AN26:AN27)</f>
        <v>0</v>
      </c>
      <c r="AO28" s="312">
        <f t="shared" si="46"/>
        <v>0</v>
      </c>
      <c r="AP28" s="323"/>
      <c r="AQ28" s="310">
        <f>SUM(AQ26:AQ27)</f>
        <v>0</v>
      </c>
      <c r="AR28" s="311">
        <f t="shared" ref="AR28:AS28" si="47">SUM(AR26:AR27)</f>
        <v>0</v>
      </c>
      <c r="AS28" s="312">
        <f t="shared" si="47"/>
        <v>0</v>
      </c>
      <c r="AT28" s="156"/>
      <c r="AU28" s="310">
        <f>SUM(AU26:AU27)</f>
        <v>0</v>
      </c>
      <c r="AV28" s="311">
        <f t="shared" ref="AV28" si="48">SUM(AV26:AV27)</f>
        <v>0</v>
      </c>
      <c r="AW28" s="312">
        <f t="shared" ref="AW28" si="49">SUM(AW26:AW27)</f>
        <v>0</v>
      </c>
      <c r="AX28" s="304"/>
      <c r="AY28" s="305"/>
      <c r="AZ28" s="305"/>
      <c r="BA28" s="304"/>
    </row>
    <row r="29" spans="1:53" x14ac:dyDescent="0.3">
      <c r="A29" s="85">
        <f t="shared" si="9"/>
        <v>22</v>
      </c>
      <c r="B29" s="709" t="str">
        <f>'Rev Req Proof Yr1'!B29</f>
        <v>41I Interr Sales</v>
      </c>
      <c r="C29" s="710" t="s">
        <v>4</v>
      </c>
      <c r="D29" s="156"/>
      <c r="E29" s="156">
        <f>ROUND('Allocation = ¢ per Therm'!K29,5)</f>
        <v>0</v>
      </c>
      <c r="F29" s="156">
        <f>ROUND('Allocation = % of Margin'!U26,5)</f>
        <v>0</v>
      </c>
      <c r="G29" s="307">
        <f>ROUND('Allocation = % of Margin'!X26,5)</f>
        <v>-2.8700000000000002E-3</v>
      </c>
      <c r="H29" s="307">
        <f>ROUND('Allocation = % of Margin'!AA26,5)</f>
        <v>1.2999999999999999E-3</v>
      </c>
      <c r="I29" s="307">
        <f>ROUND('Allocation = % of Margin'!AG26,5)</f>
        <v>0</v>
      </c>
      <c r="J29" s="307">
        <f>ROUND('Allocation = % of Margin'!AJ26,5)</f>
        <v>-2.7699999999999999E-3</v>
      </c>
      <c r="K29" s="307">
        <f>ROUND('Allocation = % of Margin'!AM26,5)</f>
        <v>-2.7999999999999998E-4</v>
      </c>
      <c r="L29" s="156"/>
      <c r="M29" s="557">
        <f>'WA Volumes &amp; Revenues'!F27</f>
        <v>0</v>
      </c>
      <c r="N29" s="293">
        <f>'Rev Req Proof Yr1'!R29</f>
        <v>0</v>
      </c>
      <c r="O29" s="294">
        <f>'Rev Req Proof Yr1'!S29</f>
        <v>0</v>
      </c>
      <c r="P29" s="295">
        <f>'Rev Req Proof Yr1'!T29</f>
        <v>0</v>
      </c>
      <c r="Q29" s="296">
        <f>'Rev Req Proof Yr1'!U29</f>
        <v>0</v>
      </c>
      <c r="R29" s="156"/>
      <c r="S29" s="308">
        <f>((E29)*N29)</f>
        <v>0</v>
      </c>
      <c r="T29" s="304">
        <v>0</v>
      </c>
      <c r="U29" s="309">
        <v>0</v>
      </c>
      <c r="V29" s="156"/>
      <c r="W29" s="308">
        <f t="shared" si="12"/>
        <v>0</v>
      </c>
      <c r="X29" s="304">
        <v>0</v>
      </c>
      <c r="Y29" s="309">
        <v>0</v>
      </c>
      <c r="Z29" s="156"/>
      <c r="AA29" s="308">
        <f>((G29)*N29)</f>
        <v>0</v>
      </c>
      <c r="AB29" s="304">
        <v>0</v>
      </c>
      <c r="AC29" s="309">
        <v>0</v>
      </c>
      <c r="AD29" s="304"/>
      <c r="AE29" s="308">
        <f t="shared" si="14"/>
        <v>0</v>
      </c>
      <c r="AF29" s="304">
        <v>0</v>
      </c>
      <c r="AG29" s="309">
        <v>0</v>
      </c>
      <c r="AH29" s="156"/>
      <c r="AI29" s="308">
        <f t="shared" si="15"/>
        <v>0</v>
      </c>
      <c r="AJ29" s="304">
        <v>0</v>
      </c>
      <c r="AK29" s="309">
        <v>0</v>
      </c>
      <c r="AL29" s="156"/>
      <c r="AM29" s="308">
        <f>((J29)*N29)</f>
        <v>0</v>
      </c>
      <c r="AN29" s="304">
        <v>0</v>
      </c>
      <c r="AO29" s="309">
        <v>0</v>
      </c>
      <c r="AP29" s="304"/>
      <c r="AQ29" s="308">
        <f t="shared" si="16"/>
        <v>0</v>
      </c>
      <c r="AR29" s="304">
        <v>0</v>
      </c>
      <c r="AS29" s="309">
        <v>0</v>
      </c>
      <c r="AT29" s="156"/>
      <c r="AU29" s="308">
        <f t="shared" ref="AU29:AU30" si="50">((E29+F29+G29+K29)*N29)</f>
        <v>0</v>
      </c>
      <c r="AV29" s="304">
        <v>0</v>
      </c>
      <c r="AW29" s="309">
        <v>0</v>
      </c>
      <c r="AX29" s="304"/>
      <c r="AY29" s="305"/>
      <c r="AZ29" s="305"/>
      <c r="BA29" s="304"/>
    </row>
    <row r="30" spans="1:53" x14ac:dyDescent="0.3">
      <c r="A30" s="85">
        <f t="shared" si="9"/>
        <v>23</v>
      </c>
      <c r="B30" s="709"/>
      <c r="C30" s="710" t="s">
        <v>5</v>
      </c>
      <c r="D30" s="156"/>
      <c r="E30" s="156">
        <f>ROUND('Allocation = ¢ per Therm'!K30,5)</f>
        <v>0</v>
      </c>
      <c r="F30" s="156">
        <f>ROUND('Allocation = % of Margin'!U27,5)</f>
        <v>0</v>
      </c>
      <c r="G30" s="156">
        <f>ROUND('Allocation = % of Margin'!X27,5)</f>
        <v>-2.5300000000000001E-3</v>
      </c>
      <c r="H30" s="156">
        <f>ROUND('Allocation = % of Margin'!AA27,5)</f>
        <v>1.15E-3</v>
      </c>
      <c r="I30" s="156">
        <f>ROUND('Allocation = % of Margin'!AG27,5)</f>
        <v>0</v>
      </c>
      <c r="J30" s="156">
        <f>ROUND('Allocation = % of Margin'!AJ27,5)</f>
        <v>-2.4399999999999999E-3</v>
      </c>
      <c r="K30" s="156">
        <f>ROUND('Allocation = % of Margin'!AM27,5)</f>
        <v>-2.5000000000000001E-4</v>
      </c>
      <c r="L30" s="156"/>
      <c r="M30" s="557">
        <f>'WA Volumes &amp; Revenues'!F28</f>
        <v>0</v>
      </c>
      <c r="N30" s="293">
        <f>'Rev Req Proof Yr1'!R30</f>
        <v>0</v>
      </c>
      <c r="O30" s="294">
        <f>'Rev Req Proof Yr1'!S30</f>
        <v>0</v>
      </c>
      <c r="P30" s="295">
        <f>'Rev Req Proof Yr1'!T30</f>
        <v>0</v>
      </c>
      <c r="Q30" s="296">
        <f>'Rev Req Proof Yr1'!U30</f>
        <v>0</v>
      </c>
      <c r="R30" s="156"/>
      <c r="S30" s="308">
        <f>((E30)*N30)</f>
        <v>0</v>
      </c>
      <c r="T30" s="304">
        <v>0</v>
      </c>
      <c r="U30" s="309">
        <v>0</v>
      </c>
      <c r="V30" s="156"/>
      <c r="W30" s="308">
        <f t="shared" si="12"/>
        <v>0</v>
      </c>
      <c r="X30" s="304">
        <v>0</v>
      </c>
      <c r="Y30" s="309">
        <v>0</v>
      </c>
      <c r="Z30" s="156"/>
      <c r="AA30" s="308">
        <f>((G30)*N30)</f>
        <v>0</v>
      </c>
      <c r="AB30" s="304">
        <v>0</v>
      </c>
      <c r="AC30" s="309">
        <v>0</v>
      </c>
      <c r="AD30" s="304"/>
      <c r="AE30" s="308">
        <f t="shared" si="14"/>
        <v>0</v>
      </c>
      <c r="AF30" s="304">
        <v>0</v>
      </c>
      <c r="AG30" s="309">
        <v>0</v>
      </c>
      <c r="AH30" s="156"/>
      <c r="AI30" s="308">
        <f t="shared" si="15"/>
        <v>0</v>
      </c>
      <c r="AJ30" s="304">
        <v>0</v>
      </c>
      <c r="AK30" s="309">
        <v>0</v>
      </c>
      <c r="AL30" s="156"/>
      <c r="AM30" s="308">
        <f>((J30)*N30)</f>
        <v>0</v>
      </c>
      <c r="AN30" s="304">
        <v>0</v>
      </c>
      <c r="AO30" s="309">
        <v>0</v>
      </c>
      <c r="AP30" s="304"/>
      <c r="AQ30" s="308">
        <f t="shared" si="16"/>
        <v>0</v>
      </c>
      <c r="AR30" s="304">
        <v>0</v>
      </c>
      <c r="AS30" s="309">
        <v>0</v>
      </c>
      <c r="AT30" s="156"/>
      <c r="AU30" s="308">
        <f t="shared" si="50"/>
        <v>0</v>
      </c>
      <c r="AV30" s="304">
        <v>0</v>
      </c>
      <c r="AW30" s="309">
        <v>0</v>
      </c>
      <c r="AX30" s="304"/>
      <c r="AY30" s="305"/>
      <c r="AZ30" s="305"/>
      <c r="BA30" s="304"/>
    </row>
    <row r="31" spans="1:53" x14ac:dyDescent="0.3">
      <c r="A31" s="85">
        <f t="shared" si="9"/>
        <v>24</v>
      </c>
      <c r="B31" s="707"/>
      <c r="C31" s="726" t="s">
        <v>76</v>
      </c>
      <c r="D31" s="152"/>
      <c r="E31" s="152"/>
      <c r="F31" s="152"/>
      <c r="G31" s="794"/>
      <c r="H31" s="794"/>
      <c r="I31" s="794"/>
      <c r="J31" s="794"/>
      <c r="K31" s="794"/>
      <c r="L31" s="152"/>
      <c r="M31" s="557"/>
      <c r="N31" s="293"/>
      <c r="O31" s="294"/>
      <c r="P31" s="295"/>
      <c r="Q31" s="296"/>
      <c r="R31" s="156"/>
      <c r="S31" s="310">
        <f>SUM(S29:S30)</f>
        <v>0</v>
      </c>
      <c r="T31" s="311">
        <f t="shared" ref="T31:U31" si="51">SUM(T29:T30)</f>
        <v>0</v>
      </c>
      <c r="U31" s="312">
        <f t="shared" si="51"/>
        <v>0</v>
      </c>
      <c r="V31" s="156"/>
      <c r="W31" s="310">
        <f>SUM(W29:W30)</f>
        <v>0</v>
      </c>
      <c r="X31" s="311">
        <f t="shared" ref="X31:Y31" si="52">SUM(X29:X30)</f>
        <v>0</v>
      </c>
      <c r="Y31" s="312">
        <f t="shared" si="52"/>
        <v>0</v>
      </c>
      <c r="Z31" s="156"/>
      <c r="AA31" s="310">
        <f>SUM(AA29:AA30)</f>
        <v>0</v>
      </c>
      <c r="AB31" s="311">
        <f t="shared" ref="AB31:AC31" si="53">SUM(AB29:AB30)</f>
        <v>0</v>
      </c>
      <c r="AC31" s="312">
        <f t="shared" si="53"/>
        <v>0</v>
      </c>
      <c r="AD31" s="323"/>
      <c r="AE31" s="310">
        <f>SUM(AE29:AE30)</f>
        <v>0</v>
      </c>
      <c r="AF31" s="311">
        <f t="shared" ref="AF31:AG31" si="54">SUM(AF29:AF30)</f>
        <v>0</v>
      </c>
      <c r="AG31" s="312">
        <f t="shared" si="54"/>
        <v>0</v>
      </c>
      <c r="AH31" s="156"/>
      <c r="AI31" s="310">
        <f>SUM(AI29:AI30)</f>
        <v>0</v>
      </c>
      <c r="AJ31" s="311">
        <f t="shared" ref="AJ31:AK31" si="55">SUM(AJ29:AJ30)</f>
        <v>0</v>
      </c>
      <c r="AK31" s="312">
        <f t="shared" si="55"/>
        <v>0</v>
      </c>
      <c r="AL31" s="156"/>
      <c r="AM31" s="310">
        <f>SUM(AM29:AM30)</f>
        <v>0</v>
      </c>
      <c r="AN31" s="311">
        <f t="shared" ref="AN31:AO31" si="56">SUM(AN29:AN30)</f>
        <v>0</v>
      </c>
      <c r="AO31" s="312">
        <f t="shared" si="56"/>
        <v>0</v>
      </c>
      <c r="AP31" s="323"/>
      <c r="AQ31" s="310">
        <f>SUM(AQ29:AQ30)</f>
        <v>0</v>
      </c>
      <c r="AR31" s="311">
        <f t="shared" ref="AR31:AS31" si="57">SUM(AR29:AR30)</f>
        <v>0</v>
      </c>
      <c r="AS31" s="312">
        <f t="shared" si="57"/>
        <v>0</v>
      </c>
      <c r="AT31" s="156"/>
      <c r="AU31" s="310">
        <f>SUM(AU29:AU30)</f>
        <v>0</v>
      </c>
      <c r="AV31" s="311">
        <f t="shared" ref="AV31" si="58">SUM(AV29:AV30)</f>
        <v>0</v>
      </c>
      <c r="AW31" s="312">
        <f t="shared" ref="AW31" si="59">SUM(AW29:AW30)</f>
        <v>0</v>
      </c>
      <c r="AX31" s="304"/>
      <c r="AY31" s="305"/>
      <c r="AZ31" s="305"/>
      <c r="BA31" s="304"/>
    </row>
    <row r="32" spans="1:53" x14ac:dyDescent="0.3">
      <c r="A32" s="85">
        <f t="shared" si="9"/>
        <v>25</v>
      </c>
      <c r="B32" s="709" t="str">
        <f>'Rev Req Proof Yr1'!B32</f>
        <v>41C Firm Transpt</v>
      </c>
      <c r="C32" s="710" t="s">
        <v>4</v>
      </c>
      <c r="D32" s="156"/>
      <c r="E32" s="156">
        <f>ROUND('Allocation = ¢ per Therm'!K31,5)</f>
        <v>0</v>
      </c>
      <c r="F32" s="156">
        <f>ROUND('Allocation = % of Margin'!U28,5)</f>
        <v>0</v>
      </c>
      <c r="G32" s="307">
        <f>ROUND('Allocation = % of Margin'!X28,5)</f>
        <v>-3.9100000000000003E-3</v>
      </c>
      <c r="H32" s="307">
        <f>ROUND('Allocation = % of Margin'!AA28,5)</f>
        <v>1.3799999999999999E-3</v>
      </c>
      <c r="I32" s="307">
        <f>ROUND('Allocation = % of Margin'!AG28,5)</f>
        <v>0</v>
      </c>
      <c r="J32" s="307">
        <f>ROUND('Allocation = % of Margin'!AJ28,5)</f>
        <v>-3.7799999999999999E-3</v>
      </c>
      <c r="K32" s="307">
        <f>ROUND('Allocation = % of Margin'!AM28,5)</f>
        <v>-3.8000000000000002E-4</v>
      </c>
      <c r="L32" s="156"/>
      <c r="M32" s="557">
        <f>'WA Volumes &amp; Revenues'!F29</f>
        <v>169264</v>
      </c>
      <c r="N32" s="293">
        <f>'Rev Req Proof Yr1'!R32</f>
        <v>168721</v>
      </c>
      <c r="O32" s="294">
        <f>'Rev Req Proof Yr1'!S32</f>
        <v>0</v>
      </c>
      <c r="P32" s="295">
        <f>'Rev Req Proof Yr1'!T32</f>
        <v>7.916666666666667</v>
      </c>
      <c r="Q32" s="296">
        <f>'Rev Req Proof Yr1'!U32</f>
        <v>4648</v>
      </c>
      <c r="R32" s="156"/>
      <c r="S32" s="308">
        <f>((E32)*N32)</f>
        <v>0</v>
      </c>
      <c r="T32" s="304">
        <v>0</v>
      </c>
      <c r="U32" s="309">
        <v>0</v>
      </c>
      <c r="V32" s="156"/>
      <c r="W32" s="308">
        <f t="shared" si="12"/>
        <v>0</v>
      </c>
      <c r="X32" s="304">
        <v>0</v>
      </c>
      <c r="Y32" s="309">
        <v>0</v>
      </c>
      <c r="Z32" s="156"/>
      <c r="AA32" s="308">
        <f>((G32)*N32)</f>
        <v>-659.69911000000002</v>
      </c>
      <c r="AB32" s="304">
        <v>0</v>
      </c>
      <c r="AC32" s="309">
        <v>0</v>
      </c>
      <c r="AD32" s="304"/>
      <c r="AE32" s="308">
        <f t="shared" si="14"/>
        <v>232.83498</v>
      </c>
      <c r="AF32" s="304">
        <v>0</v>
      </c>
      <c r="AG32" s="309">
        <v>0</v>
      </c>
      <c r="AH32" s="156"/>
      <c r="AI32" s="308">
        <f t="shared" si="15"/>
        <v>0</v>
      </c>
      <c r="AJ32" s="304">
        <v>0</v>
      </c>
      <c r="AK32" s="309">
        <v>0</v>
      </c>
      <c r="AL32" s="156"/>
      <c r="AM32" s="308">
        <f>((J32)*N32)</f>
        <v>-637.76537999999994</v>
      </c>
      <c r="AN32" s="304">
        <v>0</v>
      </c>
      <c r="AO32" s="309">
        <v>0</v>
      </c>
      <c r="AP32" s="304"/>
      <c r="AQ32" s="308">
        <f t="shared" si="16"/>
        <v>-64.113979999999998</v>
      </c>
      <c r="AR32" s="304">
        <v>0</v>
      </c>
      <c r="AS32" s="309">
        <v>0</v>
      </c>
      <c r="AT32" s="156"/>
      <c r="AU32" s="308">
        <f t="shared" ref="AU32:AU33" si="60">((E32+F32+G32+K32)*N32)</f>
        <v>-723.8130900000001</v>
      </c>
      <c r="AV32" s="304">
        <v>0</v>
      </c>
      <c r="AW32" s="309">
        <v>0</v>
      </c>
      <c r="AX32" s="304"/>
      <c r="AY32" s="305"/>
      <c r="AZ32" s="305"/>
      <c r="BA32" s="304"/>
    </row>
    <row r="33" spans="1:53" x14ac:dyDescent="0.3">
      <c r="A33" s="85">
        <f t="shared" si="9"/>
        <v>26</v>
      </c>
      <c r="B33" s="709"/>
      <c r="C33" s="710" t="s">
        <v>5</v>
      </c>
      <c r="D33" s="156"/>
      <c r="E33" s="156">
        <f>ROUND('Allocation = ¢ per Therm'!K32,5)</f>
        <v>0</v>
      </c>
      <c r="F33" s="156">
        <f>ROUND('Allocation = % of Margin'!U29,5)</f>
        <v>0</v>
      </c>
      <c r="G33" s="156">
        <f>ROUND('Allocation = % of Margin'!X29,5)</f>
        <v>-3.4399999999999999E-3</v>
      </c>
      <c r="H33" s="156">
        <f>ROUND('Allocation = % of Margin'!AA29,5)</f>
        <v>1.2099999999999999E-3</v>
      </c>
      <c r="I33" s="156">
        <f>ROUND('Allocation = % of Margin'!AG29,5)</f>
        <v>0</v>
      </c>
      <c r="J33" s="156">
        <f>ROUND('Allocation = % of Margin'!AJ29,5)</f>
        <v>-3.3300000000000001E-3</v>
      </c>
      <c r="K33" s="156">
        <f>ROUND('Allocation = % of Margin'!AM29,5)</f>
        <v>-3.4000000000000002E-4</v>
      </c>
      <c r="L33" s="156"/>
      <c r="M33" s="557">
        <f>'WA Volumes &amp; Revenues'!F30</f>
        <v>260994</v>
      </c>
      <c r="N33" s="293">
        <f>'Rev Req Proof Yr1'!R33</f>
        <v>272866</v>
      </c>
      <c r="O33" s="294">
        <f>'Rev Req Proof Yr1'!S33</f>
        <v>0</v>
      </c>
      <c r="P33" s="295">
        <f>'Rev Req Proof Yr1'!T33</f>
        <v>0</v>
      </c>
      <c r="Q33" s="296">
        <f>'Rev Req Proof Yr1'!U33</f>
        <v>0</v>
      </c>
      <c r="R33" s="156"/>
      <c r="S33" s="308">
        <f>((E33)*N33)</f>
        <v>0</v>
      </c>
      <c r="T33" s="304">
        <v>0</v>
      </c>
      <c r="U33" s="309">
        <v>0</v>
      </c>
      <c r="V33" s="156"/>
      <c r="W33" s="308">
        <f t="shared" si="12"/>
        <v>0</v>
      </c>
      <c r="X33" s="304">
        <v>0</v>
      </c>
      <c r="Y33" s="309">
        <v>0</v>
      </c>
      <c r="Z33" s="156"/>
      <c r="AA33" s="308">
        <f>((G33)*N33)</f>
        <v>-938.65904</v>
      </c>
      <c r="AB33" s="304">
        <v>0</v>
      </c>
      <c r="AC33" s="309">
        <v>0</v>
      </c>
      <c r="AD33" s="304"/>
      <c r="AE33" s="308">
        <f t="shared" si="14"/>
        <v>330.16785999999996</v>
      </c>
      <c r="AF33" s="304">
        <v>0</v>
      </c>
      <c r="AG33" s="309">
        <v>0</v>
      </c>
      <c r="AH33" s="156"/>
      <c r="AI33" s="308">
        <f t="shared" si="15"/>
        <v>0</v>
      </c>
      <c r="AJ33" s="304">
        <v>0</v>
      </c>
      <c r="AK33" s="309">
        <v>0</v>
      </c>
      <c r="AL33" s="156"/>
      <c r="AM33" s="308">
        <f>((J33)*N33)</f>
        <v>-908.64377999999999</v>
      </c>
      <c r="AN33" s="304">
        <v>0</v>
      </c>
      <c r="AO33" s="309">
        <v>0</v>
      </c>
      <c r="AP33" s="304"/>
      <c r="AQ33" s="308">
        <f t="shared" si="16"/>
        <v>-92.774440000000013</v>
      </c>
      <c r="AR33" s="304">
        <v>0</v>
      </c>
      <c r="AS33" s="309">
        <v>0</v>
      </c>
      <c r="AT33" s="156"/>
      <c r="AU33" s="308">
        <f t="shared" si="60"/>
        <v>-1031.4334799999999</v>
      </c>
      <c r="AV33" s="304">
        <v>0</v>
      </c>
      <c r="AW33" s="309">
        <v>0</v>
      </c>
      <c r="AX33" s="304"/>
      <c r="AY33" s="305"/>
      <c r="AZ33" s="305"/>
      <c r="BA33" s="304"/>
    </row>
    <row r="34" spans="1:53" x14ac:dyDescent="0.3">
      <c r="A34" s="85">
        <f t="shared" si="9"/>
        <v>27</v>
      </c>
      <c r="B34" s="707"/>
      <c r="C34" s="726" t="s">
        <v>76</v>
      </c>
      <c r="D34" s="152"/>
      <c r="E34" s="152"/>
      <c r="F34" s="152"/>
      <c r="G34" s="794"/>
      <c r="H34" s="794"/>
      <c r="I34" s="794"/>
      <c r="J34" s="794"/>
      <c r="K34" s="794"/>
      <c r="L34" s="152"/>
      <c r="M34" s="557"/>
      <c r="N34" s="293"/>
      <c r="O34" s="294"/>
      <c r="P34" s="295"/>
      <c r="Q34" s="296"/>
      <c r="R34" s="156"/>
      <c r="S34" s="310">
        <f>SUM(S32:S33)</f>
        <v>0</v>
      </c>
      <c r="T34" s="311">
        <f t="shared" ref="T34:U34" si="61">SUM(T32:T33)</f>
        <v>0</v>
      </c>
      <c r="U34" s="312">
        <f t="shared" si="61"/>
        <v>0</v>
      </c>
      <c r="V34" s="156"/>
      <c r="W34" s="310">
        <f>SUM(W32:W33)</f>
        <v>0</v>
      </c>
      <c r="X34" s="311">
        <f t="shared" ref="X34:Y34" si="62">SUM(X32:X33)</f>
        <v>0</v>
      </c>
      <c r="Y34" s="312">
        <f t="shared" si="62"/>
        <v>0</v>
      </c>
      <c r="Z34" s="156"/>
      <c r="AA34" s="310">
        <f>SUM(AA32:AA33)</f>
        <v>-1598.35815</v>
      </c>
      <c r="AB34" s="311">
        <f t="shared" ref="AB34:AC34" si="63">SUM(AB32:AB33)</f>
        <v>0</v>
      </c>
      <c r="AC34" s="312">
        <f t="shared" si="63"/>
        <v>0</v>
      </c>
      <c r="AD34" s="323"/>
      <c r="AE34" s="310">
        <f>SUM(AE32:AE33)</f>
        <v>563.00283999999999</v>
      </c>
      <c r="AF34" s="311">
        <f t="shared" ref="AF34:AG34" si="64">SUM(AF32:AF33)</f>
        <v>0</v>
      </c>
      <c r="AG34" s="312">
        <f t="shared" si="64"/>
        <v>0</v>
      </c>
      <c r="AH34" s="156"/>
      <c r="AI34" s="310">
        <f>SUM(AI32:AI33)</f>
        <v>0</v>
      </c>
      <c r="AJ34" s="311">
        <f t="shared" ref="AJ34:AK34" si="65">SUM(AJ32:AJ33)</f>
        <v>0</v>
      </c>
      <c r="AK34" s="312">
        <f t="shared" si="65"/>
        <v>0</v>
      </c>
      <c r="AL34" s="156"/>
      <c r="AM34" s="310">
        <f>SUM(AM32:AM33)</f>
        <v>-1546.4091599999999</v>
      </c>
      <c r="AN34" s="311">
        <f t="shared" ref="AN34:AO34" si="66">SUM(AN32:AN33)</f>
        <v>0</v>
      </c>
      <c r="AO34" s="312">
        <f t="shared" si="66"/>
        <v>0</v>
      </c>
      <c r="AP34" s="323"/>
      <c r="AQ34" s="310">
        <f>SUM(AQ32:AQ33)</f>
        <v>-156.88842</v>
      </c>
      <c r="AR34" s="311">
        <f t="shared" ref="AR34:AS34" si="67">SUM(AR32:AR33)</f>
        <v>0</v>
      </c>
      <c r="AS34" s="312">
        <f t="shared" si="67"/>
        <v>0</v>
      </c>
      <c r="AT34" s="156"/>
      <c r="AU34" s="310">
        <f>SUM(AU32:AU33)</f>
        <v>-1755.24657</v>
      </c>
      <c r="AV34" s="311">
        <f t="shared" ref="AV34:AW34" si="68">SUM(AV32:AV33)</f>
        <v>0</v>
      </c>
      <c r="AW34" s="312">
        <f t="shared" si="68"/>
        <v>0</v>
      </c>
      <c r="AX34" s="304"/>
      <c r="AY34" s="305"/>
      <c r="AZ34" s="305"/>
      <c r="BA34" s="304"/>
    </row>
    <row r="35" spans="1:53" x14ac:dyDescent="0.3">
      <c r="A35" s="85">
        <f t="shared" si="9"/>
        <v>28</v>
      </c>
      <c r="B35" s="709" t="str">
        <f>'Rev Req Proof Yr1'!B35</f>
        <v>41I Firm Transpt</v>
      </c>
      <c r="C35" s="710" t="s">
        <v>4</v>
      </c>
      <c r="D35" s="156"/>
      <c r="E35" s="156">
        <f>ROUND('Allocation = ¢ per Therm'!K33,5)</f>
        <v>0</v>
      </c>
      <c r="F35" s="156">
        <f>ROUND('Allocation = % of Margin'!U30,5)</f>
        <v>0</v>
      </c>
      <c r="G35" s="156">
        <f>ROUND('Allocation = % of Margin'!X30,5)</f>
        <v>-2.8999999999999998E-3</v>
      </c>
      <c r="H35" s="156">
        <f>ROUND('Allocation = % of Margin'!AA30,5)</f>
        <v>1.32E-3</v>
      </c>
      <c r="I35" s="156">
        <f>ROUND('Allocation = % of Margin'!AG30,5)</f>
        <v>0</v>
      </c>
      <c r="J35" s="156">
        <f>ROUND('Allocation = % of Margin'!AJ30,5)</f>
        <v>-2.81E-3</v>
      </c>
      <c r="K35" s="156">
        <f>ROUND('Allocation = % of Margin'!AM30,5)</f>
        <v>-2.9E-4</v>
      </c>
      <c r="L35" s="156"/>
      <c r="M35" s="557">
        <f>'WA Volumes &amp; Revenues'!F31</f>
        <v>0</v>
      </c>
      <c r="N35" s="293">
        <f>'Rev Req Proof Yr1'!R35</f>
        <v>0</v>
      </c>
      <c r="O35" s="294">
        <f>'Rev Req Proof Yr1'!S35</f>
        <v>0</v>
      </c>
      <c r="P35" s="295">
        <f>'Rev Req Proof Yr1'!T35</f>
        <v>0</v>
      </c>
      <c r="Q35" s="296">
        <f>'Rev Req Proof Yr1'!U35</f>
        <v>0</v>
      </c>
      <c r="R35" s="156"/>
      <c r="S35" s="308">
        <f>((E35)*N35)</f>
        <v>0</v>
      </c>
      <c r="T35" s="304">
        <v>0</v>
      </c>
      <c r="U35" s="309">
        <v>0</v>
      </c>
      <c r="V35" s="156"/>
      <c r="W35" s="308">
        <f t="shared" si="12"/>
        <v>0</v>
      </c>
      <c r="X35" s="304">
        <v>0</v>
      </c>
      <c r="Y35" s="309">
        <v>0</v>
      </c>
      <c r="Z35" s="156"/>
      <c r="AA35" s="308">
        <f>((G35)*N35)</f>
        <v>0</v>
      </c>
      <c r="AB35" s="304">
        <v>0</v>
      </c>
      <c r="AC35" s="309">
        <v>0</v>
      </c>
      <c r="AD35" s="304"/>
      <c r="AE35" s="308">
        <f t="shared" si="14"/>
        <v>0</v>
      </c>
      <c r="AF35" s="304">
        <v>0</v>
      </c>
      <c r="AG35" s="309">
        <v>0</v>
      </c>
      <c r="AH35" s="156"/>
      <c r="AI35" s="308">
        <f t="shared" si="15"/>
        <v>0</v>
      </c>
      <c r="AJ35" s="304">
        <v>0</v>
      </c>
      <c r="AK35" s="309">
        <v>0</v>
      </c>
      <c r="AL35" s="156"/>
      <c r="AM35" s="308">
        <f>((J35)*N35)</f>
        <v>0</v>
      </c>
      <c r="AN35" s="304">
        <v>0</v>
      </c>
      <c r="AO35" s="309">
        <v>0</v>
      </c>
      <c r="AP35" s="304"/>
      <c r="AQ35" s="308">
        <f t="shared" si="16"/>
        <v>0</v>
      </c>
      <c r="AR35" s="304">
        <v>0</v>
      </c>
      <c r="AS35" s="309">
        <v>0</v>
      </c>
      <c r="AT35" s="156"/>
      <c r="AU35" s="308">
        <f t="shared" ref="AU35:AU36" si="69">((E35+F35+G35+K35)*N35)</f>
        <v>0</v>
      </c>
      <c r="AV35" s="304">
        <v>0</v>
      </c>
      <c r="AW35" s="309">
        <v>0</v>
      </c>
      <c r="AX35" s="304"/>
      <c r="AY35" s="305"/>
      <c r="AZ35" s="305"/>
      <c r="BA35" s="304"/>
    </row>
    <row r="36" spans="1:53" x14ac:dyDescent="0.3">
      <c r="A36" s="85">
        <f t="shared" si="9"/>
        <v>29</v>
      </c>
      <c r="B36" s="709"/>
      <c r="C36" s="710" t="s">
        <v>5</v>
      </c>
      <c r="D36" s="156"/>
      <c r="E36" s="156">
        <f>ROUND('Allocation = ¢ per Therm'!K34,5)</f>
        <v>0</v>
      </c>
      <c r="F36" s="156">
        <f>ROUND('Allocation = % of Margin'!U31,5)</f>
        <v>0</v>
      </c>
      <c r="G36" s="156">
        <f>ROUND('Allocation = % of Margin'!X31,5)</f>
        <v>-2.5600000000000002E-3</v>
      </c>
      <c r="H36" s="156">
        <f>ROUND('Allocation = % of Margin'!AA31,5)</f>
        <v>1.16E-3</v>
      </c>
      <c r="I36" s="156">
        <f>ROUND('Allocation = % of Margin'!AG31,5)</f>
        <v>0</v>
      </c>
      <c r="J36" s="156">
        <f>ROUND('Allocation = % of Margin'!AJ31,5)</f>
        <v>-2.47E-3</v>
      </c>
      <c r="K36" s="156">
        <f>ROUND('Allocation = % of Margin'!AM31,5)</f>
        <v>-2.5000000000000001E-4</v>
      </c>
      <c r="L36" s="156"/>
      <c r="M36" s="557">
        <f>'WA Volumes &amp; Revenues'!F32</f>
        <v>0</v>
      </c>
      <c r="N36" s="293">
        <f>'Rev Req Proof Yr1'!R36</f>
        <v>0</v>
      </c>
      <c r="O36" s="294">
        <f>'Rev Req Proof Yr1'!S36</f>
        <v>0</v>
      </c>
      <c r="P36" s="295">
        <f>'Rev Req Proof Yr1'!T36</f>
        <v>0</v>
      </c>
      <c r="Q36" s="296">
        <f>'Rev Req Proof Yr1'!U36</f>
        <v>0</v>
      </c>
      <c r="R36" s="156"/>
      <c r="S36" s="308">
        <f>((E36)*N36)</f>
        <v>0</v>
      </c>
      <c r="T36" s="304">
        <v>0</v>
      </c>
      <c r="U36" s="309">
        <v>0</v>
      </c>
      <c r="V36" s="156"/>
      <c r="W36" s="308">
        <f t="shared" si="12"/>
        <v>0</v>
      </c>
      <c r="X36" s="304">
        <v>0</v>
      </c>
      <c r="Y36" s="309">
        <v>0</v>
      </c>
      <c r="Z36" s="156"/>
      <c r="AA36" s="308">
        <f>((G36)*N36)</f>
        <v>0</v>
      </c>
      <c r="AB36" s="304">
        <v>0</v>
      </c>
      <c r="AC36" s="309">
        <v>0</v>
      </c>
      <c r="AD36" s="304"/>
      <c r="AE36" s="308">
        <f t="shared" si="14"/>
        <v>0</v>
      </c>
      <c r="AF36" s="304">
        <v>0</v>
      </c>
      <c r="AG36" s="309">
        <v>0</v>
      </c>
      <c r="AH36" s="156"/>
      <c r="AI36" s="308">
        <f t="shared" si="15"/>
        <v>0</v>
      </c>
      <c r="AJ36" s="304">
        <v>0</v>
      </c>
      <c r="AK36" s="309">
        <v>0</v>
      </c>
      <c r="AL36" s="156"/>
      <c r="AM36" s="308">
        <f>((J36)*N36)</f>
        <v>0</v>
      </c>
      <c r="AN36" s="304">
        <v>0</v>
      </c>
      <c r="AO36" s="309">
        <v>0</v>
      </c>
      <c r="AP36" s="304"/>
      <c r="AQ36" s="308">
        <f t="shared" si="16"/>
        <v>0</v>
      </c>
      <c r="AR36" s="304">
        <v>0</v>
      </c>
      <c r="AS36" s="309">
        <v>0</v>
      </c>
      <c r="AT36" s="156"/>
      <c r="AU36" s="308">
        <f t="shared" si="69"/>
        <v>0</v>
      </c>
      <c r="AV36" s="304">
        <v>0</v>
      </c>
      <c r="AW36" s="309">
        <v>0</v>
      </c>
      <c r="AX36" s="304"/>
      <c r="AY36" s="305"/>
      <c r="AZ36" s="305"/>
      <c r="BA36" s="304"/>
    </row>
    <row r="37" spans="1:53" x14ac:dyDescent="0.3">
      <c r="A37" s="85">
        <f t="shared" si="9"/>
        <v>30</v>
      </c>
      <c r="B37" s="707"/>
      <c r="C37" s="726" t="s">
        <v>76</v>
      </c>
      <c r="D37" s="152"/>
      <c r="E37" s="152"/>
      <c r="F37" s="152"/>
      <c r="G37" s="794"/>
      <c r="H37" s="794"/>
      <c r="I37" s="794"/>
      <c r="J37" s="794"/>
      <c r="K37" s="794"/>
      <c r="L37" s="152"/>
      <c r="M37" s="557"/>
      <c r="N37" s="293"/>
      <c r="O37" s="294"/>
      <c r="P37" s="295"/>
      <c r="Q37" s="296"/>
      <c r="R37" s="156"/>
      <c r="S37" s="310">
        <f>SUM(S35:S36)</f>
        <v>0</v>
      </c>
      <c r="T37" s="311">
        <f t="shared" ref="T37:U37" si="70">SUM(T35:T36)</f>
        <v>0</v>
      </c>
      <c r="U37" s="312">
        <f t="shared" si="70"/>
        <v>0</v>
      </c>
      <c r="V37" s="156"/>
      <c r="W37" s="310">
        <f>SUM(W35:W36)</f>
        <v>0</v>
      </c>
      <c r="X37" s="311">
        <f t="shared" ref="X37:Y37" si="71">SUM(X35:X36)</f>
        <v>0</v>
      </c>
      <c r="Y37" s="312">
        <f t="shared" si="71"/>
        <v>0</v>
      </c>
      <c r="Z37" s="156"/>
      <c r="AA37" s="310">
        <f>SUM(AA35:AA36)</f>
        <v>0</v>
      </c>
      <c r="AB37" s="311">
        <f t="shared" ref="AB37:AC37" si="72">SUM(AB35:AB36)</f>
        <v>0</v>
      </c>
      <c r="AC37" s="312">
        <f t="shared" si="72"/>
        <v>0</v>
      </c>
      <c r="AD37" s="323"/>
      <c r="AE37" s="310">
        <f>SUM(AE35:AE36)</f>
        <v>0</v>
      </c>
      <c r="AF37" s="311">
        <f t="shared" ref="AF37:AG37" si="73">SUM(AF35:AF36)</f>
        <v>0</v>
      </c>
      <c r="AG37" s="312">
        <f t="shared" si="73"/>
        <v>0</v>
      </c>
      <c r="AH37" s="156"/>
      <c r="AI37" s="310">
        <f>SUM(AI35:AI36)</f>
        <v>0</v>
      </c>
      <c r="AJ37" s="311">
        <f t="shared" ref="AJ37:AK37" si="74">SUM(AJ35:AJ36)</f>
        <v>0</v>
      </c>
      <c r="AK37" s="312">
        <f t="shared" si="74"/>
        <v>0</v>
      </c>
      <c r="AL37" s="156"/>
      <c r="AM37" s="310">
        <f>SUM(AM35:AM36)</f>
        <v>0</v>
      </c>
      <c r="AN37" s="311">
        <f t="shared" ref="AN37:AO37" si="75">SUM(AN35:AN36)</f>
        <v>0</v>
      </c>
      <c r="AO37" s="312">
        <f t="shared" si="75"/>
        <v>0</v>
      </c>
      <c r="AP37" s="323"/>
      <c r="AQ37" s="310">
        <f>SUM(AQ35:AQ36)</f>
        <v>0</v>
      </c>
      <c r="AR37" s="311">
        <f t="shared" ref="AR37:AS37" si="76">SUM(AR35:AR36)</f>
        <v>0</v>
      </c>
      <c r="AS37" s="312">
        <f t="shared" si="76"/>
        <v>0</v>
      </c>
      <c r="AT37" s="156"/>
      <c r="AU37" s="310">
        <f>SUM(AU35:AU36)</f>
        <v>0</v>
      </c>
      <c r="AV37" s="311">
        <f t="shared" ref="AV37" si="77">SUM(AV35:AV36)</f>
        <v>0</v>
      </c>
      <c r="AW37" s="312">
        <f t="shared" ref="AW37" si="78">SUM(AW35:AW36)</f>
        <v>0</v>
      </c>
      <c r="AX37" s="304"/>
      <c r="AY37" s="305"/>
      <c r="AZ37" s="305"/>
      <c r="BA37" s="304"/>
    </row>
    <row r="38" spans="1:53" x14ac:dyDescent="0.3">
      <c r="A38" s="85">
        <f t="shared" si="9"/>
        <v>31</v>
      </c>
      <c r="B38" s="709" t="str">
        <f>'Rev Req Proof Yr1'!B38</f>
        <v>42C Firm Sales</v>
      </c>
      <c r="C38" s="710" t="s">
        <v>4</v>
      </c>
      <c r="D38" s="156"/>
      <c r="E38" s="156">
        <f>ROUND('Allocation = ¢ per Therm'!K35,5)</f>
        <v>0</v>
      </c>
      <c r="F38" s="156">
        <f>ROUND('Allocation = % of Margin'!U32,5)</f>
        <v>-5.5300000000000002E-3</v>
      </c>
      <c r="G38" s="156">
        <f>ROUND('Allocation = % of Margin'!X32,5)</f>
        <v>-2.9399999999999999E-3</v>
      </c>
      <c r="H38" s="156">
        <f>ROUND('Allocation = % of Margin'!AA32,5)</f>
        <v>1.0399999999999999E-3</v>
      </c>
      <c r="I38" s="156">
        <f>ROUND('Allocation = % of Margin'!AG32,5)</f>
        <v>-5.5300000000000002E-3</v>
      </c>
      <c r="J38" s="156">
        <f>ROUND('Allocation = % of Margin'!AJ32,5)</f>
        <v>-2.9399999999999999E-3</v>
      </c>
      <c r="K38" s="156">
        <f>ROUND('Allocation = % of Margin'!AM32,5)</f>
        <v>-2.9999999999999997E-4</v>
      </c>
      <c r="L38" s="156"/>
      <c r="M38" s="557">
        <f>'WA Volumes &amp; Revenues'!F33</f>
        <v>542975.5</v>
      </c>
      <c r="N38" s="293">
        <f>'Rev Req Proof Yr1'!R38</f>
        <v>350769.66174469434</v>
      </c>
      <c r="O38" s="294">
        <f>'Rev Req Proof Yr1'!S38</f>
        <v>6761</v>
      </c>
      <c r="P38" s="295">
        <f>'Rev Req Proof Yr1'!T38</f>
        <v>5</v>
      </c>
      <c r="Q38" s="296">
        <f>'Rev Req Proof Yr1'!U38</f>
        <v>11949</v>
      </c>
      <c r="R38" s="156"/>
      <c r="S38" s="308">
        <f t="shared" ref="S38:S43" si="79">((E38)*N38)</f>
        <v>0</v>
      </c>
      <c r="T38" s="304">
        <v>0</v>
      </c>
      <c r="U38" s="309">
        <v>0</v>
      </c>
      <c r="V38" s="156"/>
      <c r="W38" s="308">
        <f>((F38)*N38)</f>
        <v>-1939.7562294481597</v>
      </c>
      <c r="X38" s="304">
        <v>0</v>
      </c>
      <c r="Y38" s="309">
        <v>0</v>
      </c>
      <c r="Z38" s="156"/>
      <c r="AA38" s="308">
        <f t="shared" ref="AA38:AA43" si="80">((G38)*N38)</f>
        <v>-1031.2628055294012</v>
      </c>
      <c r="AB38" s="304">
        <v>0</v>
      </c>
      <c r="AC38" s="309">
        <v>0</v>
      </c>
      <c r="AD38" s="304"/>
      <c r="AE38" s="308">
        <f t="shared" si="14"/>
        <v>364.80044821448206</v>
      </c>
      <c r="AF38" s="304">
        <v>0</v>
      </c>
      <c r="AG38" s="309">
        <v>0</v>
      </c>
      <c r="AH38" s="156"/>
      <c r="AI38" s="308">
        <f t="shared" si="15"/>
        <v>-1939.7562294481597</v>
      </c>
      <c r="AJ38" s="304">
        <v>0</v>
      </c>
      <c r="AK38" s="309">
        <v>0</v>
      </c>
      <c r="AL38" s="156"/>
      <c r="AM38" s="308">
        <f>((J38)*N38)</f>
        <v>-1031.2628055294012</v>
      </c>
      <c r="AN38" s="304">
        <v>0</v>
      </c>
      <c r="AO38" s="309">
        <v>0</v>
      </c>
      <c r="AP38" s="304"/>
      <c r="AQ38" s="308">
        <f t="shared" si="16"/>
        <v>-105.2308985234083</v>
      </c>
      <c r="AR38" s="304">
        <v>0</v>
      </c>
      <c r="AS38" s="309">
        <v>0</v>
      </c>
      <c r="AT38" s="156"/>
      <c r="AU38" s="308">
        <f t="shared" ref="AU38:AU43" si="81">((E38+F38+G38+K38)*N38)</f>
        <v>-3076.2499335009693</v>
      </c>
      <c r="AV38" s="304">
        <v>0</v>
      </c>
      <c r="AW38" s="309">
        <v>0</v>
      </c>
      <c r="AX38" s="304"/>
      <c r="AY38" s="305"/>
      <c r="AZ38" s="305"/>
      <c r="BA38" s="304"/>
    </row>
    <row r="39" spans="1:53" x14ac:dyDescent="0.3">
      <c r="A39" s="85">
        <f t="shared" si="9"/>
        <v>32</v>
      </c>
      <c r="B39" s="709"/>
      <c r="C39" s="710" t="s">
        <v>5</v>
      </c>
      <c r="D39" s="156"/>
      <c r="E39" s="156">
        <f>ROUND('Allocation = ¢ per Therm'!K36,5)</f>
        <v>0</v>
      </c>
      <c r="F39" s="156">
        <f>ROUND('Allocation = % of Margin'!U33,5)</f>
        <v>-4.9500000000000004E-3</v>
      </c>
      <c r="G39" s="156">
        <f>ROUND('Allocation = % of Margin'!X33,5)</f>
        <v>-2.63E-3</v>
      </c>
      <c r="H39" s="156">
        <f>ROUND('Allocation = % of Margin'!AA33,5)</f>
        <v>9.3000000000000005E-4</v>
      </c>
      <c r="I39" s="156">
        <f>ROUND('Allocation = % of Margin'!AG33,5)</f>
        <v>-4.9500000000000004E-3</v>
      </c>
      <c r="J39" s="156">
        <f>ROUND('Allocation = % of Margin'!AJ33,5)</f>
        <v>-2.64E-3</v>
      </c>
      <c r="K39" s="156">
        <f>ROUND('Allocation = % of Margin'!AM33,5)</f>
        <v>-2.7E-4</v>
      </c>
      <c r="L39" s="156"/>
      <c r="M39" s="557">
        <f>'WA Volumes &amp; Revenues'!F34</f>
        <v>474167</v>
      </c>
      <c r="N39" s="293">
        <f>'Rev Req Proof Yr1'!R39</f>
        <v>303088.75426472601</v>
      </c>
      <c r="O39" s="294">
        <f>'Rev Req Proof Yr1'!S39</f>
        <v>0</v>
      </c>
      <c r="P39" s="295">
        <f>'Rev Req Proof Yr1'!T39</f>
        <v>0</v>
      </c>
      <c r="Q39" s="296">
        <f>'Rev Req Proof Yr1'!U39</f>
        <v>0</v>
      </c>
      <c r="R39" s="156"/>
      <c r="S39" s="308">
        <f t="shared" si="79"/>
        <v>0</v>
      </c>
      <c r="T39" s="304">
        <v>0</v>
      </c>
      <c r="U39" s="309">
        <v>0</v>
      </c>
      <c r="V39" s="156"/>
      <c r="W39" s="308">
        <f t="shared" ref="W39:W43" si="82">((F39)*N39)</f>
        <v>-1500.2893336103939</v>
      </c>
      <c r="X39" s="304">
        <v>0</v>
      </c>
      <c r="Y39" s="309">
        <v>0</v>
      </c>
      <c r="Z39" s="156"/>
      <c r="AA39" s="308">
        <f t="shared" si="80"/>
        <v>-797.12342371622935</v>
      </c>
      <c r="AB39" s="304">
        <v>0</v>
      </c>
      <c r="AC39" s="309">
        <v>0</v>
      </c>
      <c r="AD39" s="304"/>
      <c r="AE39" s="308">
        <f t="shared" si="14"/>
        <v>281.87254146619523</v>
      </c>
      <c r="AF39" s="304">
        <v>0</v>
      </c>
      <c r="AG39" s="309">
        <v>0</v>
      </c>
      <c r="AH39" s="156"/>
      <c r="AI39" s="308">
        <f t="shared" si="15"/>
        <v>-1500.2893336103939</v>
      </c>
      <c r="AJ39" s="304">
        <v>0</v>
      </c>
      <c r="AK39" s="309">
        <v>0</v>
      </c>
      <c r="AL39" s="156"/>
      <c r="AM39" s="308">
        <f>((J39)*N39)</f>
        <v>-800.15431125887665</v>
      </c>
      <c r="AN39" s="304">
        <v>0</v>
      </c>
      <c r="AO39" s="309">
        <v>0</v>
      </c>
      <c r="AP39" s="304"/>
      <c r="AQ39" s="308">
        <f t="shared" si="16"/>
        <v>-81.833963651476026</v>
      </c>
      <c r="AR39" s="304">
        <v>0</v>
      </c>
      <c r="AS39" s="309">
        <v>0</v>
      </c>
      <c r="AT39" s="156"/>
      <c r="AU39" s="308">
        <f t="shared" si="81"/>
        <v>-2379.2467209780989</v>
      </c>
      <c r="AV39" s="304">
        <v>0</v>
      </c>
      <c r="AW39" s="309">
        <v>0</v>
      </c>
      <c r="AX39" s="304"/>
      <c r="AY39" s="305"/>
      <c r="AZ39" s="305"/>
      <c r="BA39" s="304"/>
    </row>
    <row r="40" spans="1:53" x14ac:dyDescent="0.3">
      <c r="A40" s="85">
        <f t="shared" si="9"/>
        <v>33</v>
      </c>
      <c r="B40" s="709"/>
      <c r="C40" s="710" t="s">
        <v>6</v>
      </c>
      <c r="D40" s="156"/>
      <c r="E40" s="156">
        <f>ROUND('Allocation = ¢ per Therm'!K37,5)</f>
        <v>0</v>
      </c>
      <c r="F40" s="156">
        <f>ROUND('Allocation = % of Margin'!U34,5)</f>
        <v>-3.8E-3</v>
      </c>
      <c r="G40" s="156">
        <f>ROUND('Allocation = % of Margin'!X34,5)</f>
        <v>-2.0200000000000001E-3</v>
      </c>
      <c r="H40" s="156">
        <f>ROUND('Allocation = % of Margin'!AA34,5)</f>
        <v>7.1000000000000002E-4</v>
      </c>
      <c r="I40" s="156">
        <f>ROUND('Allocation = % of Margin'!AG34,5)</f>
        <v>-3.8E-3</v>
      </c>
      <c r="J40" s="156">
        <f>ROUND('Allocation = % of Margin'!AJ34,5)</f>
        <v>-2.0200000000000001E-3</v>
      </c>
      <c r="K40" s="156">
        <f>ROUND('Allocation = % of Margin'!AM34,5)</f>
        <v>-2.1000000000000001E-4</v>
      </c>
      <c r="L40" s="156"/>
      <c r="M40" s="557">
        <f>'WA Volumes &amp; Revenues'!F35</f>
        <v>97890.5</v>
      </c>
      <c r="N40" s="293">
        <f>'Rev Req Proof Yr1'!R40</f>
        <v>59441.942130257296</v>
      </c>
      <c r="O40" s="294">
        <f>'Rev Req Proof Yr1'!S40</f>
        <v>0</v>
      </c>
      <c r="P40" s="295">
        <f>'Rev Req Proof Yr1'!T40</f>
        <v>0</v>
      </c>
      <c r="Q40" s="296">
        <f>'Rev Req Proof Yr1'!U40</f>
        <v>0</v>
      </c>
      <c r="R40" s="156"/>
      <c r="S40" s="308">
        <f t="shared" si="79"/>
        <v>0</v>
      </c>
      <c r="T40" s="304">
        <v>0</v>
      </c>
      <c r="U40" s="309">
        <v>0</v>
      </c>
      <c r="V40" s="156"/>
      <c r="W40" s="308">
        <f t="shared" si="82"/>
        <v>-225.87938009497773</v>
      </c>
      <c r="X40" s="304">
        <v>0</v>
      </c>
      <c r="Y40" s="309">
        <v>0</v>
      </c>
      <c r="Z40" s="156"/>
      <c r="AA40" s="308">
        <f t="shared" si="80"/>
        <v>-120.07272310311974</v>
      </c>
      <c r="AB40" s="304">
        <v>0</v>
      </c>
      <c r="AC40" s="309">
        <v>0</v>
      </c>
      <c r="AD40" s="304"/>
      <c r="AE40" s="308">
        <f t="shared" si="14"/>
        <v>42.203778912482683</v>
      </c>
      <c r="AF40" s="304">
        <v>0</v>
      </c>
      <c r="AG40" s="309">
        <v>0</v>
      </c>
      <c r="AH40" s="156"/>
      <c r="AI40" s="308">
        <f t="shared" si="15"/>
        <v>-225.87938009497773</v>
      </c>
      <c r="AJ40" s="304">
        <v>0</v>
      </c>
      <c r="AK40" s="309">
        <v>0</v>
      </c>
      <c r="AL40" s="156"/>
      <c r="AM40" s="308">
        <f t="shared" ref="AM40:AM96" si="83">((J40)*N40)</f>
        <v>-120.07272310311974</v>
      </c>
      <c r="AN40" s="304">
        <v>0</v>
      </c>
      <c r="AO40" s="309">
        <v>0</v>
      </c>
      <c r="AP40" s="304"/>
      <c r="AQ40" s="308">
        <f t="shared" si="16"/>
        <v>-12.482807847354033</v>
      </c>
      <c r="AR40" s="304">
        <v>0</v>
      </c>
      <c r="AS40" s="309">
        <v>0</v>
      </c>
      <c r="AT40" s="156"/>
      <c r="AU40" s="308">
        <f t="shared" si="81"/>
        <v>-358.43491104545154</v>
      </c>
      <c r="AV40" s="304">
        <v>0</v>
      </c>
      <c r="AW40" s="309">
        <v>0</v>
      </c>
      <c r="AX40" s="304"/>
      <c r="AY40" s="305"/>
      <c r="AZ40" s="305"/>
      <c r="BA40" s="304"/>
    </row>
    <row r="41" spans="1:53" x14ac:dyDescent="0.3">
      <c r="A41" s="85">
        <f t="shared" si="9"/>
        <v>34</v>
      </c>
      <c r="B41" s="709"/>
      <c r="C41" s="710" t="s">
        <v>7</v>
      </c>
      <c r="D41" s="156"/>
      <c r="E41" s="156">
        <f>ROUND('Allocation = ¢ per Therm'!K38,5)</f>
        <v>0</v>
      </c>
      <c r="F41" s="156">
        <f>ROUND('Allocation = % of Margin'!U35,5)</f>
        <v>-3.0400000000000002E-3</v>
      </c>
      <c r="G41" s="156">
        <f>ROUND('Allocation = % of Margin'!X35,5)</f>
        <v>-1.6100000000000001E-3</v>
      </c>
      <c r="H41" s="156">
        <f>ROUND('Allocation = % of Margin'!AA35,5)</f>
        <v>5.6999999999999998E-4</v>
      </c>
      <c r="I41" s="156">
        <f>ROUND('Allocation = % of Margin'!AG35,5)</f>
        <v>-3.0400000000000002E-3</v>
      </c>
      <c r="J41" s="156">
        <f>ROUND('Allocation = % of Margin'!AJ35,5)</f>
        <v>-1.6199999999999999E-3</v>
      </c>
      <c r="K41" s="156">
        <f>ROUND('Allocation = % of Margin'!AM35,5)</f>
        <v>-1.6000000000000001E-4</v>
      </c>
      <c r="L41" s="156"/>
      <c r="M41" s="557">
        <f>'WA Volumes &amp; Revenues'!F36</f>
        <v>6094</v>
      </c>
      <c r="N41" s="293">
        <f>'Rev Req Proof Yr1'!R41</f>
        <v>3614.6071898605187</v>
      </c>
      <c r="O41" s="294">
        <f>'Rev Req Proof Yr1'!S41</f>
        <v>0</v>
      </c>
      <c r="P41" s="295">
        <f>'Rev Req Proof Yr1'!T41</f>
        <v>0</v>
      </c>
      <c r="Q41" s="296">
        <f>'Rev Req Proof Yr1'!U41</f>
        <v>0</v>
      </c>
      <c r="R41" s="156"/>
      <c r="S41" s="308">
        <f t="shared" si="79"/>
        <v>0</v>
      </c>
      <c r="T41" s="304">
        <v>0</v>
      </c>
      <c r="U41" s="309">
        <v>0</v>
      </c>
      <c r="V41" s="156"/>
      <c r="W41" s="308">
        <f t="shared" si="82"/>
        <v>-10.988405857175977</v>
      </c>
      <c r="X41" s="304">
        <v>0</v>
      </c>
      <c r="Y41" s="309">
        <v>0</v>
      </c>
      <c r="Z41" s="156"/>
      <c r="AA41" s="308">
        <f t="shared" si="80"/>
        <v>-5.8195175756754356</v>
      </c>
      <c r="AB41" s="304">
        <v>0</v>
      </c>
      <c r="AC41" s="309">
        <v>0</v>
      </c>
      <c r="AD41" s="304"/>
      <c r="AE41" s="308">
        <f t="shared" si="14"/>
        <v>2.0603260982204956</v>
      </c>
      <c r="AF41" s="304">
        <v>0</v>
      </c>
      <c r="AG41" s="309">
        <v>0</v>
      </c>
      <c r="AH41" s="156"/>
      <c r="AI41" s="308">
        <f t="shared" si="15"/>
        <v>-10.988405857175977</v>
      </c>
      <c r="AJ41" s="304">
        <v>0</v>
      </c>
      <c r="AK41" s="309">
        <v>0</v>
      </c>
      <c r="AL41" s="156"/>
      <c r="AM41" s="308">
        <f t="shared" si="83"/>
        <v>-5.8556636475740396</v>
      </c>
      <c r="AN41" s="304">
        <v>0</v>
      </c>
      <c r="AO41" s="309">
        <v>0</v>
      </c>
      <c r="AP41" s="304"/>
      <c r="AQ41" s="308">
        <f t="shared" si="16"/>
        <v>-0.57833715037768307</v>
      </c>
      <c r="AR41" s="304">
        <v>0</v>
      </c>
      <c r="AS41" s="309">
        <v>0</v>
      </c>
      <c r="AT41" s="156"/>
      <c r="AU41" s="308">
        <f t="shared" si="81"/>
        <v>-17.386260583229099</v>
      </c>
      <c r="AV41" s="304">
        <v>0</v>
      </c>
      <c r="AW41" s="309">
        <v>0</v>
      </c>
      <c r="AX41" s="304"/>
      <c r="AY41" s="305"/>
      <c r="AZ41" s="305"/>
      <c r="BA41" s="304"/>
    </row>
    <row r="42" spans="1:53" x14ac:dyDescent="0.3">
      <c r="A42" s="85">
        <f t="shared" si="9"/>
        <v>35</v>
      </c>
      <c r="B42" s="709"/>
      <c r="C42" s="710" t="s">
        <v>8</v>
      </c>
      <c r="D42" s="156"/>
      <c r="E42" s="156">
        <f>ROUND('Allocation = ¢ per Therm'!K39,5)</f>
        <v>0</v>
      </c>
      <c r="F42" s="156">
        <f>ROUND('Allocation = % of Margin'!U36,5)</f>
        <v>-2.0200000000000001E-3</v>
      </c>
      <c r="G42" s="156">
        <f>ROUND('Allocation = % of Margin'!X36,5)</f>
        <v>-1.08E-3</v>
      </c>
      <c r="H42" s="156">
        <f>ROUND('Allocation = % of Margin'!AA36,5)</f>
        <v>3.8000000000000002E-4</v>
      </c>
      <c r="I42" s="156">
        <f>ROUND('Allocation = % of Margin'!AG36,5)</f>
        <v>-2.0200000000000001E-3</v>
      </c>
      <c r="J42" s="156">
        <f>ROUND('Allocation = % of Margin'!AJ36,5)</f>
        <v>-1.08E-3</v>
      </c>
      <c r="K42" s="156">
        <f>ROUND('Allocation = % of Margin'!AM36,5)</f>
        <v>-1.1E-4</v>
      </c>
      <c r="L42" s="156"/>
      <c r="M42" s="557">
        <f>'WA Volumes &amp; Revenues'!F37</f>
        <v>0</v>
      </c>
      <c r="N42" s="293">
        <f>'Rev Req Proof Yr1'!R42</f>
        <v>0</v>
      </c>
      <c r="O42" s="294">
        <f>'Rev Req Proof Yr1'!S42</f>
        <v>0</v>
      </c>
      <c r="P42" s="295">
        <f>'Rev Req Proof Yr1'!T42</f>
        <v>0</v>
      </c>
      <c r="Q42" s="296">
        <f>'Rev Req Proof Yr1'!U42</f>
        <v>0</v>
      </c>
      <c r="R42" s="156"/>
      <c r="S42" s="308">
        <f t="shared" si="79"/>
        <v>0</v>
      </c>
      <c r="T42" s="304">
        <v>0</v>
      </c>
      <c r="U42" s="309">
        <v>0</v>
      </c>
      <c r="V42" s="156"/>
      <c r="W42" s="308">
        <f t="shared" si="82"/>
        <v>0</v>
      </c>
      <c r="X42" s="304">
        <v>0</v>
      </c>
      <c r="Y42" s="309">
        <v>0</v>
      </c>
      <c r="Z42" s="156"/>
      <c r="AA42" s="308">
        <f t="shared" si="80"/>
        <v>0</v>
      </c>
      <c r="AB42" s="304">
        <v>0</v>
      </c>
      <c r="AC42" s="309">
        <v>0</v>
      </c>
      <c r="AD42" s="304"/>
      <c r="AE42" s="308">
        <f t="shared" si="14"/>
        <v>0</v>
      </c>
      <c r="AF42" s="304">
        <v>0</v>
      </c>
      <c r="AG42" s="309">
        <v>0</v>
      </c>
      <c r="AH42" s="156"/>
      <c r="AI42" s="308">
        <f t="shared" si="15"/>
        <v>0</v>
      </c>
      <c r="AJ42" s="304">
        <v>0</v>
      </c>
      <c r="AK42" s="309">
        <v>0</v>
      </c>
      <c r="AL42" s="156"/>
      <c r="AM42" s="308">
        <f t="shared" si="83"/>
        <v>0</v>
      </c>
      <c r="AN42" s="304">
        <v>0</v>
      </c>
      <c r="AO42" s="309">
        <v>0</v>
      </c>
      <c r="AP42" s="304"/>
      <c r="AQ42" s="308">
        <f t="shared" si="16"/>
        <v>0</v>
      </c>
      <c r="AR42" s="304">
        <v>0</v>
      </c>
      <c r="AS42" s="309">
        <v>0</v>
      </c>
      <c r="AT42" s="156"/>
      <c r="AU42" s="308">
        <f t="shared" si="81"/>
        <v>0</v>
      </c>
      <c r="AV42" s="304">
        <v>0</v>
      </c>
      <c r="AW42" s="309">
        <v>0</v>
      </c>
      <c r="AX42" s="304"/>
      <c r="AY42" s="305"/>
      <c r="AZ42" s="305"/>
      <c r="BA42" s="304"/>
    </row>
    <row r="43" spans="1:53" x14ac:dyDescent="0.3">
      <c r="A43" s="85">
        <f t="shared" si="9"/>
        <v>36</v>
      </c>
      <c r="B43" s="709"/>
      <c r="C43" s="710" t="s">
        <v>9</v>
      </c>
      <c r="D43" s="156"/>
      <c r="E43" s="156">
        <f>ROUND('Allocation = ¢ per Therm'!K40,5)</f>
        <v>0</v>
      </c>
      <c r="F43" s="156">
        <f>ROUND('Allocation = % of Margin'!U37,5)</f>
        <v>-7.6000000000000004E-4</v>
      </c>
      <c r="G43" s="156">
        <f>ROUND('Allocation = % of Margin'!X37,5)</f>
        <v>-4.0000000000000002E-4</v>
      </c>
      <c r="H43" s="156">
        <f>ROUND('Allocation = % of Margin'!AA37,5)</f>
        <v>1.3999999999999999E-4</v>
      </c>
      <c r="I43" s="156">
        <f>ROUND('Allocation = % of Margin'!AG37,5)</f>
        <v>-7.6000000000000004E-4</v>
      </c>
      <c r="J43" s="156">
        <f>ROUND('Allocation = % of Margin'!AJ37,5)</f>
        <v>-4.0000000000000002E-4</v>
      </c>
      <c r="K43" s="156">
        <f>ROUND('Allocation = % of Margin'!AM37,5)</f>
        <v>-4.0000000000000003E-5</v>
      </c>
      <c r="L43" s="156"/>
      <c r="M43" s="557">
        <f>'WA Volumes &amp; Revenues'!F38</f>
        <v>0</v>
      </c>
      <c r="N43" s="293">
        <f>'Rev Req Proof Yr1'!R43</f>
        <v>0</v>
      </c>
      <c r="O43" s="294">
        <f>'Rev Req Proof Yr1'!S43</f>
        <v>0</v>
      </c>
      <c r="P43" s="295">
        <f>'Rev Req Proof Yr1'!T43</f>
        <v>0</v>
      </c>
      <c r="Q43" s="296">
        <f>'Rev Req Proof Yr1'!U43</f>
        <v>0</v>
      </c>
      <c r="R43" s="156"/>
      <c r="S43" s="308">
        <f t="shared" si="79"/>
        <v>0</v>
      </c>
      <c r="T43" s="304">
        <v>0</v>
      </c>
      <c r="U43" s="309">
        <v>0</v>
      </c>
      <c r="V43" s="156"/>
      <c r="W43" s="308">
        <f t="shared" si="82"/>
        <v>0</v>
      </c>
      <c r="X43" s="304">
        <v>0</v>
      </c>
      <c r="Y43" s="309">
        <v>0</v>
      </c>
      <c r="Z43" s="156"/>
      <c r="AA43" s="308">
        <f t="shared" si="80"/>
        <v>0</v>
      </c>
      <c r="AB43" s="304">
        <v>0</v>
      </c>
      <c r="AC43" s="309">
        <v>0</v>
      </c>
      <c r="AD43" s="304"/>
      <c r="AE43" s="308">
        <f t="shared" si="14"/>
        <v>0</v>
      </c>
      <c r="AF43" s="304">
        <v>0</v>
      </c>
      <c r="AG43" s="309">
        <v>0</v>
      </c>
      <c r="AH43" s="156"/>
      <c r="AI43" s="308">
        <f t="shared" si="15"/>
        <v>0</v>
      </c>
      <c r="AJ43" s="304">
        <v>0</v>
      </c>
      <c r="AK43" s="309">
        <v>0</v>
      </c>
      <c r="AL43" s="156"/>
      <c r="AM43" s="308">
        <f t="shared" si="83"/>
        <v>0</v>
      </c>
      <c r="AN43" s="304">
        <v>0</v>
      </c>
      <c r="AO43" s="309">
        <v>0</v>
      </c>
      <c r="AP43" s="304"/>
      <c r="AQ43" s="308">
        <f t="shared" si="16"/>
        <v>0</v>
      </c>
      <c r="AR43" s="304">
        <v>0</v>
      </c>
      <c r="AS43" s="309">
        <v>0</v>
      </c>
      <c r="AT43" s="156"/>
      <c r="AU43" s="308">
        <f t="shared" si="81"/>
        <v>0</v>
      </c>
      <c r="AV43" s="304">
        <v>0</v>
      </c>
      <c r="AW43" s="309">
        <v>0</v>
      </c>
      <c r="AX43" s="304"/>
      <c r="AY43" s="305"/>
      <c r="AZ43" s="305"/>
      <c r="BA43" s="304"/>
    </row>
    <row r="44" spans="1:53" x14ac:dyDescent="0.3">
      <c r="A44" s="85">
        <f t="shared" si="9"/>
        <v>37</v>
      </c>
      <c r="B44" s="707"/>
      <c r="C44" s="726" t="s">
        <v>76</v>
      </c>
      <c r="D44" s="152"/>
      <c r="E44" s="152"/>
      <c r="F44" s="152"/>
      <c r="G44" s="794"/>
      <c r="H44" s="794"/>
      <c r="I44" s="794"/>
      <c r="J44" s="794"/>
      <c r="K44" s="794"/>
      <c r="L44" s="152"/>
      <c r="M44" s="557"/>
      <c r="N44" s="293"/>
      <c r="O44" s="294"/>
      <c r="P44" s="295"/>
      <c r="Q44" s="296"/>
      <c r="R44" s="156"/>
      <c r="S44" s="310">
        <f>SUM(S38:S43)</f>
        <v>0</v>
      </c>
      <c r="T44" s="311">
        <f>SUM(T38:T43)</f>
        <v>0</v>
      </c>
      <c r="U44" s="312">
        <f>SUM(U38:U43)</f>
        <v>0</v>
      </c>
      <c r="V44" s="156"/>
      <c r="W44" s="310">
        <f>SUM(W38:W43)</f>
        <v>-3676.9133490107079</v>
      </c>
      <c r="X44" s="311">
        <f>SUM(X38:X43)</f>
        <v>0</v>
      </c>
      <c r="Y44" s="312">
        <f>SUM(Y38:Y43)</f>
        <v>0</v>
      </c>
      <c r="Z44" s="156"/>
      <c r="AA44" s="310">
        <f>SUM(AA38:AA43)</f>
        <v>-1954.2784699244257</v>
      </c>
      <c r="AB44" s="311">
        <f>SUM(AB38:AB43)</f>
        <v>0</v>
      </c>
      <c r="AC44" s="312">
        <f>SUM(AC38:AC43)</f>
        <v>0</v>
      </c>
      <c r="AD44" s="323"/>
      <c r="AE44" s="310">
        <f>SUM(AE38:AE43)</f>
        <v>690.93709469138048</v>
      </c>
      <c r="AF44" s="311">
        <f>SUM(AF38:AF43)</f>
        <v>0</v>
      </c>
      <c r="AG44" s="312">
        <f>SUM(AG38:AG43)</f>
        <v>0</v>
      </c>
      <c r="AH44" s="156"/>
      <c r="AI44" s="310">
        <f>SUM(AI38:AI43)</f>
        <v>-3676.9133490107079</v>
      </c>
      <c r="AJ44" s="311">
        <f>SUM(AJ38:AJ43)</f>
        <v>0</v>
      </c>
      <c r="AK44" s="312">
        <f>SUM(AK38:AK43)</f>
        <v>0</v>
      </c>
      <c r="AL44" s="156"/>
      <c r="AM44" s="310">
        <f>SUM(AM38:AM43)</f>
        <v>-1957.3455035389716</v>
      </c>
      <c r="AN44" s="311">
        <f>SUM(AN38:AN43)</f>
        <v>0</v>
      </c>
      <c r="AO44" s="312">
        <f>SUM(AO38:AO43)</f>
        <v>0</v>
      </c>
      <c r="AP44" s="323"/>
      <c r="AQ44" s="310">
        <f>SUM(AQ38:AQ43)</f>
        <v>-200.12600717261603</v>
      </c>
      <c r="AR44" s="311">
        <f>SUM(AR38:AR43)</f>
        <v>0</v>
      </c>
      <c r="AS44" s="312">
        <f>SUM(AS38:AS43)</f>
        <v>0</v>
      </c>
      <c r="AT44" s="156"/>
      <c r="AU44" s="310">
        <f>SUM(AU38:AU43)</f>
        <v>-5831.3178261077483</v>
      </c>
      <c r="AV44" s="311">
        <f>SUM(AV38:AV43)</f>
        <v>0</v>
      </c>
      <c r="AW44" s="312">
        <f>SUM(AW38:AW43)</f>
        <v>0</v>
      </c>
      <c r="AX44" s="304"/>
      <c r="AY44" s="305"/>
      <c r="AZ44" s="305"/>
      <c r="BA44" s="304"/>
    </row>
    <row r="45" spans="1:53" x14ac:dyDescent="0.3">
      <c r="A45" s="85">
        <f t="shared" si="9"/>
        <v>38</v>
      </c>
      <c r="B45" s="709" t="str">
        <f>'Rev Req Proof Yr1'!B45</f>
        <v>42I Firm Sales</v>
      </c>
      <c r="C45" s="710" t="s">
        <v>4</v>
      </c>
      <c r="D45" s="156"/>
      <c r="E45" s="156">
        <f>ROUND('Allocation = ¢ per Therm'!K41,5)</f>
        <v>0</v>
      </c>
      <c r="F45" s="156">
        <f>ROUND('Allocation = % of Margin'!U38,5)</f>
        <v>0</v>
      </c>
      <c r="G45" s="156">
        <f>ROUND('Allocation = % of Margin'!X38,5)</f>
        <v>-2.47E-3</v>
      </c>
      <c r="H45" s="156">
        <f>ROUND('Allocation = % of Margin'!AA38,5)</f>
        <v>8.7000000000000001E-4</v>
      </c>
      <c r="I45" s="156">
        <f>ROUND('Allocation = % of Margin'!AG38,5)</f>
        <v>0</v>
      </c>
      <c r="J45" s="156">
        <f>ROUND('Allocation = % of Margin'!AJ38,5)</f>
        <v>-2.3900000000000002E-3</v>
      </c>
      <c r="K45" s="156">
        <f>ROUND('Allocation = % of Margin'!AM38,5)</f>
        <v>-2.4000000000000001E-4</v>
      </c>
      <c r="L45" s="156"/>
      <c r="M45" s="557">
        <f>'WA Volumes &amp; Revenues'!F39</f>
        <v>1086353</v>
      </c>
      <c r="N45" s="293">
        <f>'Rev Req Proof Yr1'!R45</f>
        <v>1093724.2000000002</v>
      </c>
      <c r="O45" s="294">
        <f>'Rev Req Proof Yr1'!S45</f>
        <v>9556</v>
      </c>
      <c r="P45" s="295">
        <f>'Rev Req Proof Yr1'!T45</f>
        <v>11.916666666666666</v>
      </c>
      <c r="Q45" s="296">
        <f>'Rev Req Proof Yr1'!U45</f>
        <v>12869</v>
      </c>
      <c r="R45" s="156"/>
      <c r="S45" s="308">
        <f t="shared" ref="S45:S50" si="84">((E45)*N45)</f>
        <v>0</v>
      </c>
      <c r="T45" s="304">
        <v>0</v>
      </c>
      <c r="U45" s="309">
        <v>0</v>
      </c>
      <c r="V45" s="156"/>
      <c r="W45" s="308">
        <f>((F45)*N45)</f>
        <v>0</v>
      </c>
      <c r="X45" s="304">
        <v>0</v>
      </c>
      <c r="Y45" s="309">
        <v>0</v>
      </c>
      <c r="Z45" s="156"/>
      <c r="AA45" s="308">
        <f t="shared" ref="AA45:AA50" si="85">((G45)*N45)</f>
        <v>-2701.4987740000006</v>
      </c>
      <c r="AB45" s="304">
        <v>0</v>
      </c>
      <c r="AC45" s="309">
        <v>0</v>
      </c>
      <c r="AD45" s="304"/>
      <c r="AE45" s="308">
        <f t="shared" si="14"/>
        <v>951.54005400000017</v>
      </c>
      <c r="AF45" s="304">
        <v>0</v>
      </c>
      <c r="AG45" s="309">
        <v>0</v>
      </c>
      <c r="AH45" s="156"/>
      <c r="AI45" s="308">
        <f t="shared" si="15"/>
        <v>0</v>
      </c>
      <c r="AJ45" s="304">
        <v>0</v>
      </c>
      <c r="AK45" s="309">
        <v>0</v>
      </c>
      <c r="AL45" s="156"/>
      <c r="AM45" s="308">
        <f t="shared" si="83"/>
        <v>-2614.0008380000008</v>
      </c>
      <c r="AN45" s="304">
        <v>0</v>
      </c>
      <c r="AO45" s="309">
        <v>0</v>
      </c>
      <c r="AP45" s="304"/>
      <c r="AQ45" s="308">
        <f t="shared" si="16"/>
        <v>-262.49380800000006</v>
      </c>
      <c r="AR45" s="304">
        <v>0</v>
      </c>
      <c r="AS45" s="309">
        <v>0</v>
      </c>
      <c r="AT45" s="156"/>
      <c r="AU45" s="308">
        <f t="shared" ref="AU45:AU50" si="86">((E45+F45+G45+K45)*N45)</f>
        <v>-2963.9925820000008</v>
      </c>
      <c r="AV45" s="304">
        <v>0</v>
      </c>
      <c r="AW45" s="309">
        <v>0</v>
      </c>
      <c r="AX45" s="304"/>
      <c r="AY45" s="305"/>
      <c r="AZ45" s="305"/>
      <c r="BA45" s="304"/>
    </row>
    <row r="46" spans="1:53" x14ac:dyDescent="0.3">
      <c r="A46" s="85">
        <f t="shared" si="9"/>
        <v>39</v>
      </c>
      <c r="B46" s="709"/>
      <c r="C46" s="710" t="s">
        <v>5</v>
      </c>
      <c r="D46" s="156"/>
      <c r="E46" s="156">
        <f>ROUND('Allocation = ¢ per Therm'!K42,5)</f>
        <v>0</v>
      </c>
      <c r="F46" s="156">
        <f>ROUND('Allocation = % of Margin'!U39,5)</f>
        <v>0</v>
      </c>
      <c r="G46" s="156">
        <f>ROUND('Allocation = % of Margin'!X39,5)</f>
        <v>-2.2200000000000002E-3</v>
      </c>
      <c r="H46" s="156">
        <f>ROUND('Allocation = % of Margin'!AA39,5)</f>
        <v>7.7999999999999999E-4</v>
      </c>
      <c r="I46" s="156">
        <f>ROUND('Allocation = % of Margin'!AG39,5)</f>
        <v>0</v>
      </c>
      <c r="J46" s="156">
        <f>ROUND('Allocation = % of Margin'!AJ39,5)</f>
        <v>-2.14E-3</v>
      </c>
      <c r="K46" s="156">
        <f>ROUND('Allocation = % of Margin'!AM39,5)</f>
        <v>-2.2000000000000001E-4</v>
      </c>
      <c r="L46" s="156"/>
      <c r="M46" s="557">
        <f>'WA Volumes &amp; Revenues'!F40</f>
        <v>638955</v>
      </c>
      <c r="N46" s="293">
        <f>'Rev Req Proof Yr1'!R46</f>
        <v>655939.80000000005</v>
      </c>
      <c r="O46" s="294">
        <f>'Rev Req Proof Yr1'!S46</f>
        <v>0</v>
      </c>
      <c r="P46" s="295">
        <f>'Rev Req Proof Yr1'!T46</f>
        <v>0</v>
      </c>
      <c r="Q46" s="296">
        <f>'Rev Req Proof Yr1'!U46</f>
        <v>0</v>
      </c>
      <c r="R46" s="156"/>
      <c r="S46" s="308">
        <f t="shared" si="84"/>
        <v>0</v>
      </c>
      <c r="T46" s="304">
        <v>0</v>
      </c>
      <c r="U46" s="309">
        <v>0</v>
      </c>
      <c r="V46" s="156"/>
      <c r="W46" s="308">
        <f t="shared" ref="W46:W50" si="87">((F46)*N46)</f>
        <v>0</v>
      </c>
      <c r="X46" s="304">
        <v>0</v>
      </c>
      <c r="Y46" s="309">
        <v>0</v>
      </c>
      <c r="Z46" s="156"/>
      <c r="AA46" s="308">
        <f t="shared" si="85"/>
        <v>-1456.1863560000002</v>
      </c>
      <c r="AB46" s="304">
        <v>0</v>
      </c>
      <c r="AC46" s="309">
        <v>0</v>
      </c>
      <c r="AD46" s="304"/>
      <c r="AE46" s="308">
        <f t="shared" si="14"/>
        <v>511.63304400000004</v>
      </c>
      <c r="AF46" s="304">
        <v>0</v>
      </c>
      <c r="AG46" s="309">
        <v>0</v>
      </c>
      <c r="AH46" s="156"/>
      <c r="AI46" s="308">
        <f t="shared" si="15"/>
        <v>0</v>
      </c>
      <c r="AJ46" s="304">
        <v>0</v>
      </c>
      <c r="AK46" s="309">
        <v>0</v>
      </c>
      <c r="AL46" s="156"/>
      <c r="AM46" s="308">
        <f t="shared" si="83"/>
        <v>-1403.711172</v>
      </c>
      <c r="AN46" s="304">
        <v>0</v>
      </c>
      <c r="AO46" s="309">
        <v>0</v>
      </c>
      <c r="AP46" s="304"/>
      <c r="AQ46" s="308">
        <f t="shared" si="16"/>
        <v>-144.30675600000001</v>
      </c>
      <c r="AR46" s="304">
        <v>0</v>
      </c>
      <c r="AS46" s="309">
        <v>0</v>
      </c>
      <c r="AT46" s="156"/>
      <c r="AU46" s="308">
        <f t="shared" si="86"/>
        <v>-1600.4931120000003</v>
      </c>
      <c r="AV46" s="304">
        <v>0</v>
      </c>
      <c r="AW46" s="309">
        <v>0</v>
      </c>
      <c r="AX46" s="304"/>
      <c r="AY46" s="305"/>
      <c r="AZ46" s="305"/>
      <c r="BA46" s="304"/>
    </row>
    <row r="47" spans="1:53" x14ac:dyDescent="0.3">
      <c r="A47" s="85">
        <f t="shared" si="9"/>
        <v>40</v>
      </c>
      <c r="B47" s="709"/>
      <c r="C47" s="710" t="s">
        <v>6</v>
      </c>
      <c r="D47" s="156"/>
      <c r="E47" s="156">
        <f>ROUND('Allocation = ¢ per Therm'!K43,5)</f>
        <v>0</v>
      </c>
      <c r="F47" s="156">
        <f>ROUND('Allocation = % of Margin'!U40,5)</f>
        <v>0</v>
      </c>
      <c r="G47" s="156">
        <f>ROUND('Allocation = % of Margin'!X40,5)</f>
        <v>-1.6999999999999999E-3</v>
      </c>
      <c r="H47" s="156">
        <f>ROUND('Allocation = % of Margin'!AA40,5)</f>
        <v>5.9999999999999995E-4</v>
      </c>
      <c r="I47" s="156">
        <f>ROUND('Allocation = % of Margin'!AG40,5)</f>
        <v>0</v>
      </c>
      <c r="J47" s="156">
        <f>ROUND('Allocation = % of Margin'!AJ40,5)</f>
        <v>-1.64E-3</v>
      </c>
      <c r="K47" s="156">
        <f>ROUND('Allocation = % of Margin'!AM40,5)</f>
        <v>-1.7000000000000001E-4</v>
      </c>
      <c r="L47" s="156"/>
      <c r="M47" s="557">
        <f>'WA Volumes &amp; Revenues'!F41</f>
        <v>68923</v>
      </c>
      <c r="N47" s="293">
        <f>'Rev Req Proof Yr1'!R47</f>
        <v>81241.3</v>
      </c>
      <c r="O47" s="294">
        <f>'Rev Req Proof Yr1'!S47</f>
        <v>0</v>
      </c>
      <c r="P47" s="295">
        <f>'Rev Req Proof Yr1'!T47</f>
        <v>0</v>
      </c>
      <c r="Q47" s="296">
        <f>'Rev Req Proof Yr1'!U47</f>
        <v>0</v>
      </c>
      <c r="R47" s="156"/>
      <c r="S47" s="308">
        <f t="shared" si="84"/>
        <v>0</v>
      </c>
      <c r="T47" s="304">
        <v>0</v>
      </c>
      <c r="U47" s="309">
        <v>0</v>
      </c>
      <c r="V47" s="156"/>
      <c r="W47" s="308">
        <f t="shared" si="87"/>
        <v>0</v>
      </c>
      <c r="X47" s="304">
        <v>0</v>
      </c>
      <c r="Y47" s="309">
        <v>0</v>
      </c>
      <c r="Z47" s="156"/>
      <c r="AA47" s="308">
        <f t="shared" si="85"/>
        <v>-138.11021</v>
      </c>
      <c r="AB47" s="304">
        <v>0</v>
      </c>
      <c r="AC47" s="309">
        <v>0</v>
      </c>
      <c r="AD47" s="304"/>
      <c r="AE47" s="308">
        <f t="shared" si="14"/>
        <v>48.744779999999999</v>
      </c>
      <c r="AF47" s="304">
        <v>0</v>
      </c>
      <c r="AG47" s="309">
        <v>0</v>
      </c>
      <c r="AH47" s="156"/>
      <c r="AI47" s="308">
        <f t="shared" si="15"/>
        <v>0</v>
      </c>
      <c r="AJ47" s="304">
        <v>0</v>
      </c>
      <c r="AK47" s="309">
        <v>0</v>
      </c>
      <c r="AL47" s="156"/>
      <c r="AM47" s="308">
        <f t="shared" si="83"/>
        <v>-133.23573200000001</v>
      </c>
      <c r="AN47" s="304">
        <v>0</v>
      </c>
      <c r="AO47" s="309">
        <v>0</v>
      </c>
      <c r="AP47" s="304"/>
      <c r="AQ47" s="308">
        <f t="shared" si="16"/>
        <v>-13.811021000000002</v>
      </c>
      <c r="AR47" s="304">
        <v>0</v>
      </c>
      <c r="AS47" s="309">
        <v>0</v>
      </c>
      <c r="AT47" s="156"/>
      <c r="AU47" s="308">
        <f t="shared" si="86"/>
        <v>-151.92123100000001</v>
      </c>
      <c r="AV47" s="304">
        <v>0</v>
      </c>
      <c r="AW47" s="309">
        <v>0</v>
      </c>
      <c r="AX47" s="304"/>
      <c r="AY47" s="305"/>
      <c r="AZ47" s="305"/>
      <c r="BA47" s="304"/>
    </row>
    <row r="48" spans="1:53" x14ac:dyDescent="0.3">
      <c r="A48" s="85">
        <f t="shared" si="9"/>
        <v>41</v>
      </c>
      <c r="B48" s="709"/>
      <c r="C48" s="710" t="s">
        <v>7</v>
      </c>
      <c r="D48" s="156"/>
      <c r="E48" s="156">
        <f>ROUND('Allocation = ¢ per Therm'!K44,5)</f>
        <v>0</v>
      </c>
      <c r="F48" s="156">
        <f>ROUND('Allocation = % of Margin'!U41,5)</f>
        <v>0</v>
      </c>
      <c r="G48" s="156">
        <f>ROUND('Allocation = % of Margin'!X41,5)</f>
        <v>-1.3600000000000001E-3</v>
      </c>
      <c r="H48" s="156">
        <f>ROUND('Allocation = % of Margin'!AA41,5)</f>
        <v>4.8000000000000001E-4</v>
      </c>
      <c r="I48" s="156">
        <f>ROUND('Allocation = % of Margin'!AG41,5)</f>
        <v>0</v>
      </c>
      <c r="J48" s="156">
        <f>ROUND('Allocation = % of Margin'!AJ41,5)</f>
        <v>-1.31E-3</v>
      </c>
      <c r="K48" s="156">
        <f>ROUND('Allocation = % of Margin'!AM41,5)</f>
        <v>-1.2999999999999999E-4</v>
      </c>
      <c r="L48" s="156"/>
      <c r="M48" s="557">
        <f>'WA Volumes &amp; Revenues'!F42</f>
        <v>0</v>
      </c>
      <c r="N48" s="293">
        <f>'Rev Req Proof Yr1'!R48</f>
        <v>9320.1</v>
      </c>
      <c r="O48" s="294">
        <f>'Rev Req Proof Yr1'!S48</f>
        <v>0</v>
      </c>
      <c r="P48" s="295">
        <f>'Rev Req Proof Yr1'!T48</f>
        <v>0</v>
      </c>
      <c r="Q48" s="296">
        <f>'Rev Req Proof Yr1'!U48</f>
        <v>0</v>
      </c>
      <c r="R48" s="156"/>
      <c r="S48" s="308">
        <f t="shared" si="84"/>
        <v>0</v>
      </c>
      <c r="T48" s="304">
        <v>0</v>
      </c>
      <c r="U48" s="309">
        <v>0</v>
      </c>
      <c r="V48" s="156"/>
      <c r="W48" s="308">
        <f t="shared" si="87"/>
        <v>0</v>
      </c>
      <c r="X48" s="304">
        <v>0</v>
      </c>
      <c r="Y48" s="309">
        <v>0</v>
      </c>
      <c r="Z48" s="156"/>
      <c r="AA48" s="308">
        <f t="shared" si="85"/>
        <v>-12.675336000000001</v>
      </c>
      <c r="AB48" s="304">
        <v>0</v>
      </c>
      <c r="AC48" s="309">
        <v>0</v>
      </c>
      <c r="AD48" s="304"/>
      <c r="AE48" s="308">
        <f t="shared" si="14"/>
        <v>4.4736479999999998</v>
      </c>
      <c r="AF48" s="304">
        <v>0</v>
      </c>
      <c r="AG48" s="309">
        <v>0</v>
      </c>
      <c r="AH48" s="156"/>
      <c r="AI48" s="308">
        <f t="shared" si="15"/>
        <v>0</v>
      </c>
      <c r="AJ48" s="304">
        <v>0</v>
      </c>
      <c r="AK48" s="309">
        <v>0</v>
      </c>
      <c r="AL48" s="156"/>
      <c r="AM48" s="308">
        <f t="shared" si="83"/>
        <v>-12.209331000000001</v>
      </c>
      <c r="AN48" s="304">
        <v>0</v>
      </c>
      <c r="AO48" s="309">
        <v>0</v>
      </c>
      <c r="AP48" s="304"/>
      <c r="AQ48" s="308">
        <f t="shared" si="16"/>
        <v>-1.2116130000000001</v>
      </c>
      <c r="AR48" s="304">
        <v>0</v>
      </c>
      <c r="AS48" s="309">
        <v>0</v>
      </c>
      <c r="AT48" s="156"/>
      <c r="AU48" s="308">
        <f t="shared" si="86"/>
        <v>-13.886949000000001</v>
      </c>
      <c r="AV48" s="304">
        <v>0</v>
      </c>
      <c r="AW48" s="309">
        <v>0</v>
      </c>
      <c r="AX48" s="304"/>
      <c r="AY48" s="305"/>
      <c r="AZ48" s="305"/>
      <c r="BA48" s="304"/>
    </row>
    <row r="49" spans="1:53" x14ac:dyDescent="0.3">
      <c r="A49" s="85">
        <f t="shared" si="9"/>
        <v>42</v>
      </c>
      <c r="B49" s="709"/>
      <c r="C49" s="710" t="s">
        <v>8</v>
      </c>
      <c r="D49" s="156"/>
      <c r="E49" s="156">
        <f>ROUND('Allocation = ¢ per Therm'!K45,5)</f>
        <v>0</v>
      </c>
      <c r="F49" s="156">
        <f>ROUND('Allocation = % of Margin'!U42,5)</f>
        <v>0</v>
      </c>
      <c r="G49" s="156">
        <f>ROUND('Allocation = % of Margin'!X42,5)</f>
        <v>-9.1E-4</v>
      </c>
      <c r="H49" s="156">
        <f>ROUND('Allocation = % of Margin'!AA42,5)</f>
        <v>3.2000000000000003E-4</v>
      </c>
      <c r="I49" s="156">
        <f>ROUND('Allocation = % of Margin'!AG42,5)</f>
        <v>0</v>
      </c>
      <c r="J49" s="156">
        <f>ROUND('Allocation = % of Margin'!AJ42,5)</f>
        <v>-8.8000000000000003E-4</v>
      </c>
      <c r="K49" s="156">
        <f>ROUND('Allocation = % of Margin'!AM42,5)</f>
        <v>-9.0000000000000006E-5</v>
      </c>
      <c r="L49" s="156"/>
      <c r="M49" s="557">
        <f>'WA Volumes &amp; Revenues'!F43</f>
        <v>0</v>
      </c>
      <c r="N49" s="293">
        <f>'Rev Req Proof Yr1'!R49</f>
        <v>0</v>
      </c>
      <c r="O49" s="294">
        <f>'Rev Req Proof Yr1'!S49</f>
        <v>0</v>
      </c>
      <c r="P49" s="295">
        <f>'Rev Req Proof Yr1'!T49</f>
        <v>0</v>
      </c>
      <c r="Q49" s="296">
        <f>'Rev Req Proof Yr1'!U49</f>
        <v>0</v>
      </c>
      <c r="R49" s="156"/>
      <c r="S49" s="308">
        <f t="shared" si="84"/>
        <v>0</v>
      </c>
      <c r="T49" s="304">
        <v>0</v>
      </c>
      <c r="U49" s="309">
        <v>0</v>
      </c>
      <c r="V49" s="156"/>
      <c r="W49" s="308">
        <f t="shared" si="87"/>
        <v>0</v>
      </c>
      <c r="X49" s="304">
        <v>0</v>
      </c>
      <c r="Y49" s="309">
        <v>0</v>
      </c>
      <c r="Z49" s="156"/>
      <c r="AA49" s="308">
        <f t="shared" si="85"/>
        <v>0</v>
      </c>
      <c r="AB49" s="304">
        <v>0</v>
      </c>
      <c r="AC49" s="309">
        <v>0</v>
      </c>
      <c r="AD49" s="304"/>
      <c r="AE49" s="308">
        <f t="shared" si="14"/>
        <v>0</v>
      </c>
      <c r="AF49" s="304">
        <v>0</v>
      </c>
      <c r="AG49" s="309">
        <v>0</v>
      </c>
      <c r="AH49" s="156"/>
      <c r="AI49" s="308">
        <f t="shared" si="15"/>
        <v>0</v>
      </c>
      <c r="AJ49" s="304">
        <v>0</v>
      </c>
      <c r="AK49" s="309">
        <v>0</v>
      </c>
      <c r="AL49" s="156"/>
      <c r="AM49" s="308">
        <f t="shared" si="83"/>
        <v>0</v>
      </c>
      <c r="AN49" s="304">
        <v>0</v>
      </c>
      <c r="AO49" s="309">
        <v>0</v>
      </c>
      <c r="AP49" s="304"/>
      <c r="AQ49" s="308">
        <f t="shared" si="16"/>
        <v>0</v>
      </c>
      <c r="AR49" s="304">
        <v>0</v>
      </c>
      <c r="AS49" s="309">
        <v>0</v>
      </c>
      <c r="AT49" s="156"/>
      <c r="AU49" s="308">
        <f t="shared" si="86"/>
        <v>0</v>
      </c>
      <c r="AV49" s="304">
        <v>0</v>
      </c>
      <c r="AW49" s="309">
        <v>0</v>
      </c>
      <c r="AX49" s="304"/>
      <c r="AY49" s="305"/>
      <c r="AZ49" s="305"/>
      <c r="BA49" s="304"/>
    </row>
    <row r="50" spans="1:53" x14ac:dyDescent="0.3">
      <c r="A50" s="85">
        <f t="shared" si="9"/>
        <v>43</v>
      </c>
      <c r="B50" s="709"/>
      <c r="C50" s="710" t="s">
        <v>9</v>
      </c>
      <c r="D50" s="156"/>
      <c r="E50" s="156">
        <f>ROUND('Allocation = ¢ per Therm'!K46,5)</f>
        <v>0</v>
      </c>
      <c r="F50" s="156">
        <f>ROUND('Allocation = % of Margin'!U43,5)</f>
        <v>0</v>
      </c>
      <c r="G50" s="156">
        <f>ROUND('Allocation = % of Margin'!X43,5)</f>
        <v>-3.4000000000000002E-4</v>
      </c>
      <c r="H50" s="156">
        <f>ROUND('Allocation = % of Margin'!AA43,5)</f>
        <v>1.2E-4</v>
      </c>
      <c r="I50" s="156">
        <f>ROUND('Allocation = % of Margin'!AG43,5)</f>
        <v>0</v>
      </c>
      <c r="J50" s="156">
        <f>ROUND('Allocation = % of Margin'!AJ43,5)</f>
        <v>-3.3E-4</v>
      </c>
      <c r="K50" s="156">
        <f>ROUND('Allocation = % of Margin'!AM43,5)</f>
        <v>-3.0000000000000001E-5</v>
      </c>
      <c r="L50" s="156"/>
      <c r="M50" s="557">
        <f>'WA Volumes &amp; Revenues'!F44</f>
        <v>0</v>
      </c>
      <c r="N50" s="293">
        <f>'Rev Req Proof Yr1'!R50</f>
        <v>0</v>
      </c>
      <c r="O50" s="294">
        <f>'Rev Req Proof Yr1'!S50</f>
        <v>0</v>
      </c>
      <c r="P50" s="295">
        <f>'Rev Req Proof Yr1'!T50</f>
        <v>0</v>
      </c>
      <c r="Q50" s="296">
        <f>'Rev Req Proof Yr1'!U50</f>
        <v>0</v>
      </c>
      <c r="R50" s="156"/>
      <c r="S50" s="308">
        <f t="shared" si="84"/>
        <v>0</v>
      </c>
      <c r="T50" s="304">
        <v>0</v>
      </c>
      <c r="U50" s="309">
        <v>0</v>
      </c>
      <c r="V50" s="156"/>
      <c r="W50" s="308">
        <f t="shared" si="87"/>
        <v>0</v>
      </c>
      <c r="X50" s="304">
        <v>0</v>
      </c>
      <c r="Y50" s="309">
        <v>0</v>
      </c>
      <c r="Z50" s="156"/>
      <c r="AA50" s="308">
        <f t="shared" si="85"/>
        <v>0</v>
      </c>
      <c r="AB50" s="304">
        <v>0</v>
      </c>
      <c r="AC50" s="309">
        <v>0</v>
      </c>
      <c r="AD50" s="304"/>
      <c r="AE50" s="308">
        <f t="shared" si="14"/>
        <v>0</v>
      </c>
      <c r="AF50" s="304">
        <v>0</v>
      </c>
      <c r="AG50" s="309">
        <v>0</v>
      </c>
      <c r="AH50" s="156"/>
      <c r="AI50" s="308">
        <f t="shared" si="15"/>
        <v>0</v>
      </c>
      <c r="AJ50" s="304">
        <v>0</v>
      </c>
      <c r="AK50" s="309">
        <v>0</v>
      </c>
      <c r="AL50" s="156"/>
      <c r="AM50" s="308">
        <f t="shared" si="83"/>
        <v>0</v>
      </c>
      <c r="AN50" s="304">
        <v>0</v>
      </c>
      <c r="AO50" s="309">
        <v>0</v>
      </c>
      <c r="AP50" s="304"/>
      <c r="AQ50" s="308">
        <f t="shared" si="16"/>
        <v>0</v>
      </c>
      <c r="AR50" s="304">
        <v>0</v>
      </c>
      <c r="AS50" s="309">
        <v>0</v>
      </c>
      <c r="AT50" s="156"/>
      <c r="AU50" s="308">
        <f t="shared" si="86"/>
        <v>0</v>
      </c>
      <c r="AV50" s="304">
        <v>0</v>
      </c>
      <c r="AW50" s="309">
        <v>0</v>
      </c>
      <c r="AX50" s="304"/>
      <c r="AY50" s="305"/>
      <c r="AZ50" s="305"/>
      <c r="BA50" s="304"/>
    </row>
    <row r="51" spans="1:53" x14ac:dyDescent="0.3">
      <c r="A51" s="85">
        <f t="shared" si="9"/>
        <v>44</v>
      </c>
      <c r="B51" s="707"/>
      <c r="C51" s="726" t="s">
        <v>76</v>
      </c>
      <c r="D51" s="152"/>
      <c r="E51" s="152"/>
      <c r="F51" s="152"/>
      <c r="G51" s="794"/>
      <c r="H51" s="794"/>
      <c r="I51" s="794"/>
      <c r="J51" s="794"/>
      <c r="K51" s="794"/>
      <c r="L51" s="152"/>
      <c r="M51" s="557"/>
      <c r="N51" s="293"/>
      <c r="O51" s="294"/>
      <c r="P51" s="295"/>
      <c r="Q51" s="296"/>
      <c r="R51" s="156"/>
      <c r="S51" s="310">
        <f>SUM(S45:S50)</f>
        <v>0</v>
      </c>
      <c r="T51" s="311">
        <f>SUM(T45:T50)</f>
        <v>0</v>
      </c>
      <c r="U51" s="312">
        <f>SUM(U45:U50)</f>
        <v>0</v>
      </c>
      <c r="V51" s="156"/>
      <c r="W51" s="310">
        <f>SUM(W45:W50)</f>
        <v>0</v>
      </c>
      <c r="X51" s="311">
        <f>SUM(X45:X50)</f>
        <v>0</v>
      </c>
      <c r="Y51" s="312">
        <f>SUM(Y45:Y50)</f>
        <v>0</v>
      </c>
      <c r="Z51" s="156"/>
      <c r="AA51" s="310">
        <f>SUM(AA45:AA50)</f>
        <v>-4308.4706760000008</v>
      </c>
      <c r="AB51" s="311">
        <f>SUM(AB45:AB50)</f>
        <v>0</v>
      </c>
      <c r="AC51" s="312">
        <f>SUM(AC45:AC50)</f>
        <v>0</v>
      </c>
      <c r="AD51" s="323"/>
      <c r="AE51" s="310">
        <f>SUM(AE45:AE50)</f>
        <v>1516.3915260000001</v>
      </c>
      <c r="AF51" s="311">
        <f>SUM(AF45:AF50)</f>
        <v>0</v>
      </c>
      <c r="AG51" s="312">
        <f>SUM(AG45:AG50)</f>
        <v>0</v>
      </c>
      <c r="AH51" s="156"/>
      <c r="AI51" s="310">
        <f>SUM(AI45:AI50)</f>
        <v>0</v>
      </c>
      <c r="AJ51" s="311">
        <f>SUM(AJ45:AJ50)</f>
        <v>0</v>
      </c>
      <c r="AK51" s="312">
        <f>SUM(AK45:AK50)</f>
        <v>0</v>
      </c>
      <c r="AL51" s="156"/>
      <c r="AM51" s="310">
        <f>SUM(AM45:AM50)</f>
        <v>-4163.1570730000012</v>
      </c>
      <c r="AN51" s="311">
        <f>SUM(AN45:AN50)</f>
        <v>0</v>
      </c>
      <c r="AO51" s="312">
        <f>SUM(AO45:AO50)</f>
        <v>0</v>
      </c>
      <c r="AP51" s="323"/>
      <c r="AQ51" s="310">
        <f>SUM(AQ45:AQ50)</f>
        <v>-421.82319800000005</v>
      </c>
      <c r="AR51" s="311">
        <f>SUM(AR45:AR50)</f>
        <v>0</v>
      </c>
      <c r="AS51" s="312">
        <f>SUM(AS45:AS50)</f>
        <v>0</v>
      </c>
      <c r="AT51" s="156"/>
      <c r="AU51" s="310">
        <f>SUM(AU45:AU50)</f>
        <v>-4730.2938740000009</v>
      </c>
      <c r="AV51" s="311">
        <f>SUM(AV45:AV50)</f>
        <v>0</v>
      </c>
      <c r="AW51" s="312">
        <f>SUM(AW45:AW50)</f>
        <v>0</v>
      </c>
      <c r="AX51" s="304"/>
      <c r="AY51" s="305"/>
      <c r="AZ51" s="305"/>
      <c r="BA51" s="304"/>
    </row>
    <row r="52" spans="1:53" x14ac:dyDescent="0.3">
      <c r="A52" s="85">
        <f t="shared" si="9"/>
        <v>45</v>
      </c>
      <c r="B52" s="709" t="str">
        <f>'Rev Req Proof Yr1'!B52</f>
        <v>42C Firm Transpt</v>
      </c>
      <c r="C52" s="710" t="s">
        <v>4</v>
      </c>
      <c r="D52" s="156"/>
      <c r="E52" s="156">
        <f>ROUND('Allocation = ¢ per Therm'!K47,5)</f>
        <v>0</v>
      </c>
      <c r="F52" s="156">
        <f>ROUND('Allocation = % of Margin'!U44,5)</f>
        <v>0</v>
      </c>
      <c r="G52" s="156">
        <f>ROUND('Allocation = % of Margin'!X44,5)</f>
        <v>-1.5900000000000001E-3</v>
      </c>
      <c r="H52" s="156">
        <f>ROUND('Allocation = % of Margin'!AA44,5)</f>
        <v>5.5999999999999995E-4</v>
      </c>
      <c r="I52" s="156">
        <f>ROUND('Allocation = % of Margin'!AG44,5)</f>
        <v>0</v>
      </c>
      <c r="J52" s="156">
        <f>ROUND('Allocation = % of Margin'!AJ44,5)</f>
        <v>-1.56E-3</v>
      </c>
      <c r="K52" s="156">
        <f>ROUND('Allocation = % of Margin'!AM44,5)</f>
        <v>-1.6000000000000001E-4</v>
      </c>
      <c r="L52" s="156"/>
      <c r="M52" s="557">
        <f>'WA Volumes &amp; Revenues'!F45</f>
        <v>479847</v>
      </c>
      <c r="N52" s="293">
        <f>'Rev Req Proof Yr1'!R52</f>
        <v>480000</v>
      </c>
      <c r="O52" s="294">
        <f>'Rev Req Proof Yr1'!S52</f>
        <v>10479</v>
      </c>
      <c r="P52" s="295">
        <f>'Rev Req Proof Yr1'!T52</f>
        <v>4</v>
      </c>
      <c r="Q52" s="296">
        <f>'Rev Req Proof Yr1'!U52</f>
        <v>51470</v>
      </c>
      <c r="R52" s="156"/>
      <c r="S52" s="308">
        <f t="shared" ref="S52:S57" si="88">((E52)*N52)</f>
        <v>0</v>
      </c>
      <c r="T52" s="304">
        <v>0</v>
      </c>
      <c r="U52" s="309">
        <v>0</v>
      </c>
      <c r="V52" s="156"/>
      <c r="W52" s="308">
        <f>((F52)*N52)</f>
        <v>0</v>
      </c>
      <c r="X52" s="304">
        <v>0</v>
      </c>
      <c r="Y52" s="309">
        <v>0</v>
      </c>
      <c r="Z52" s="156"/>
      <c r="AA52" s="308">
        <f t="shared" ref="AA52:AA57" si="89">((G52)*N52)</f>
        <v>-763.2</v>
      </c>
      <c r="AB52" s="304">
        <v>0</v>
      </c>
      <c r="AC52" s="309">
        <v>0</v>
      </c>
      <c r="AD52" s="304"/>
      <c r="AE52" s="308">
        <f t="shared" si="14"/>
        <v>268.79999999999995</v>
      </c>
      <c r="AF52" s="304">
        <v>0</v>
      </c>
      <c r="AG52" s="309">
        <v>0</v>
      </c>
      <c r="AH52" s="156"/>
      <c r="AI52" s="308">
        <f t="shared" si="15"/>
        <v>0</v>
      </c>
      <c r="AJ52" s="304">
        <v>0</v>
      </c>
      <c r="AK52" s="309">
        <v>0</v>
      </c>
      <c r="AL52" s="156"/>
      <c r="AM52" s="308">
        <f t="shared" si="83"/>
        <v>-748.8</v>
      </c>
      <c r="AN52" s="304">
        <v>0</v>
      </c>
      <c r="AO52" s="309">
        <v>0</v>
      </c>
      <c r="AP52" s="304"/>
      <c r="AQ52" s="308">
        <f t="shared" si="16"/>
        <v>-76.800000000000011</v>
      </c>
      <c r="AR52" s="304">
        <v>0</v>
      </c>
      <c r="AS52" s="309">
        <v>0</v>
      </c>
      <c r="AT52" s="156"/>
      <c r="AU52" s="308">
        <f t="shared" ref="AU52:AU57" si="90">((E52+F52+G52+K52)*N52)</f>
        <v>-840</v>
      </c>
      <c r="AV52" s="304">
        <v>0</v>
      </c>
      <c r="AW52" s="309">
        <v>0</v>
      </c>
      <c r="AX52" s="304"/>
      <c r="AY52" s="305"/>
      <c r="AZ52" s="305"/>
      <c r="BA52" s="304"/>
    </row>
    <row r="53" spans="1:53" x14ac:dyDescent="0.3">
      <c r="A53" s="85">
        <f t="shared" si="9"/>
        <v>46</v>
      </c>
      <c r="B53" s="709"/>
      <c r="C53" s="710" t="s">
        <v>5</v>
      </c>
      <c r="D53" s="156"/>
      <c r="E53" s="156">
        <f>ROUND('Allocation = ¢ per Therm'!K48,5)</f>
        <v>0</v>
      </c>
      <c r="F53" s="156">
        <f>ROUND('Allocation = % of Margin'!U45,5)</f>
        <v>0</v>
      </c>
      <c r="G53" s="156">
        <f>ROUND('Allocation = % of Margin'!X45,5)</f>
        <v>-1.4300000000000001E-3</v>
      </c>
      <c r="H53" s="156">
        <f>ROUND('Allocation = % of Margin'!AA45,5)</f>
        <v>5.0000000000000001E-4</v>
      </c>
      <c r="I53" s="156">
        <f>ROUND('Allocation = % of Margin'!AG45,5)</f>
        <v>0</v>
      </c>
      <c r="J53" s="156">
        <f>ROUND('Allocation = % of Margin'!AJ45,5)</f>
        <v>-1.39E-3</v>
      </c>
      <c r="K53" s="156">
        <f>ROUND('Allocation = % of Margin'!AM45,5)</f>
        <v>-1.3999999999999999E-4</v>
      </c>
      <c r="L53" s="156"/>
      <c r="M53" s="557">
        <f>'WA Volumes &amp; Revenues'!F46</f>
        <v>792463</v>
      </c>
      <c r="N53" s="293">
        <f>'Rev Req Proof Yr1'!R53</f>
        <v>807846</v>
      </c>
      <c r="O53" s="294">
        <f>'Rev Req Proof Yr1'!S53</f>
        <v>0</v>
      </c>
      <c r="P53" s="295">
        <f>'Rev Req Proof Yr1'!T53</f>
        <v>0</v>
      </c>
      <c r="Q53" s="296">
        <f>'Rev Req Proof Yr1'!U53</f>
        <v>0</v>
      </c>
      <c r="R53" s="156"/>
      <c r="S53" s="308">
        <f t="shared" si="88"/>
        <v>0</v>
      </c>
      <c r="T53" s="304">
        <v>0</v>
      </c>
      <c r="U53" s="309">
        <v>0</v>
      </c>
      <c r="V53" s="156"/>
      <c r="W53" s="308">
        <f t="shared" ref="W53:W57" si="91">((F53)*N53)</f>
        <v>0</v>
      </c>
      <c r="X53" s="304">
        <v>0</v>
      </c>
      <c r="Y53" s="309">
        <v>0</v>
      </c>
      <c r="Z53" s="156"/>
      <c r="AA53" s="308">
        <f t="shared" si="89"/>
        <v>-1155.2197800000001</v>
      </c>
      <c r="AB53" s="304">
        <v>0</v>
      </c>
      <c r="AC53" s="309">
        <v>0</v>
      </c>
      <c r="AD53" s="304"/>
      <c r="AE53" s="308">
        <f t="shared" si="14"/>
        <v>403.923</v>
      </c>
      <c r="AF53" s="304">
        <v>0</v>
      </c>
      <c r="AG53" s="309">
        <v>0</v>
      </c>
      <c r="AH53" s="156"/>
      <c r="AI53" s="308">
        <f t="shared" si="15"/>
        <v>0</v>
      </c>
      <c r="AJ53" s="304">
        <v>0</v>
      </c>
      <c r="AK53" s="309">
        <v>0</v>
      </c>
      <c r="AL53" s="156"/>
      <c r="AM53" s="308">
        <f t="shared" si="83"/>
        <v>-1122.9059399999999</v>
      </c>
      <c r="AN53" s="304">
        <v>0</v>
      </c>
      <c r="AO53" s="309">
        <v>0</v>
      </c>
      <c r="AP53" s="304"/>
      <c r="AQ53" s="308">
        <f t="shared" si="16"/>
        <v>-113.09844</v>
      </c>
      <c r="AR53" s="304">
        <v>0</v>
      </c>
      <c r="AS53" s="309">
        <v>0</v>
      </c>
      <c r="AT53" s="156"/>
      <c r="AU53" s="308">
        <f t="shared" si="90"/>
        <v>-1268.3182200000001</v>
      </c>
      <c r="AV53" s="304">
        <v>0</v>
      </c>
      <c r="AW53" s="309">
        <v>0</v>
      </c>
      <c r="AX53" s="304"/>
      <c r="AY53" s="305"/>
      <c r="AZ53" s="305"/>
      <c r="BA53" s="304"/>
    </row>
    <row r="54" spans="1:53" x14ac:dyDescent="0.3">
      <c r="A54" s="85">
        <f t="shared" si="9"/>
        <v>47</v>
      </c>
      <c r="B54" s="709"/>
      <c r="C54" s="710" t="s">
        <v>6</v>
      </c>
      <c r="D54" s="156"/>
      <c r="E54" s="156">
        <f>ROUND('Allocation = ¢ per Therm'!K49,5)</f>
        <v>0</v>
      </c>
      <c r="F54" s="156">
        <f>ROUND('Allocation = % of Margin'!U46,5)</f>
        <v>0</v>
      </c>
      <c r="G54" s="156">
        <f>ROUND('Allocation = % of Margin'!X46,5)</f>
        <v>-1.09E-3</v>
      </c>
      <c r="H54" s="156">
        <f>ROUND('Allocation = % of Margin'!AA46,5)</f>
        <v>3.8999999999999999E-4</v>
      </c>
      <c r="I54" s="156">
        <f>ROUND('Allocation = % of Margin'!AG46,5)</f>
        <v>0</v>
      </c>
      <c r="J54" s="156">
        <f>ROUND('Allocation = % of Margin'!AJ46,5)</f>
        <v>-1.07E-3</v>
      </c>
      <c r="K54" s="156">
        <f>ROUND('Allocation = % of Margin'!AM46,5)</f>
        <v>-1.1E-4</v>
      </c>
      <c r="L54" s="156"/>
      <c r="M54" s="557">
        <f>'WA Volumes &amp; Revenues'!F47</f>
        <v>542281</v>
      </c>
      <c r="N54" s="293">
        <f>'Rev Req Proof Yr1'!R54</f>
        <v>583779</v>
      </c>
      <c r="O54" s="294">
        <f>'Rev Req Proof Yr1'!S54</f>
        <v>0</v>
      </c>
      <c r="P54" s="295">
        <f>'Rev Req Proof Yr1'!T54</f>
        <v>0</v>
      </c>
      <c r="Q54" s="296">
        <f>'Rev Req Proof Yr1'!U54</f>
        <v>0</v>
      </c>
      <c r="R54" s="156"/>
      <c r="S54" s="308">
        <f t="shared" si="88"/>
        <v>0</v>
      </c>
      <c r="T54" s="304">
        <v>0</v>
      </c>
      <c r="U54" s="309">
        <v>0</v>
      </c>
      <c r="V54" s="156"/>
      <c r="W54" s="308">
        <f t="shared" si="91"/>
        <v>0</v>
      </c>
      <c r="X54" s="304">
        <v>0</v>
      </c>
      <c r="Y54" s="309">
        <v>0</v>
      </c>
      <c r="Z54" s="156"/>
      <c r="AA54" s="308">
        <f t="shared" si="89"/>
        <v>-636.31911000000002</v>
      </c>
      <c r="AB54" s="304">
        <v>0</v>
      </c>
      <c r="AC54" s="309">
        <v>0</v>
      </c>
      <c r="AD54" s="304"/>
      <c r="AE54" s="308">
        <f t="shared" si="14"/>
        <v>227.67381</v>
      </c>
      <c r="AF54" s="304">
        <v>0</v>
      </c>
      <c r="AG54" s="309">
        <v>0</v>
      </c>
      <c r="AH54" s="156"/>
      <c r="AI54" s="308">
        <f t="shared" si="15"/>
        <v>0</v>
      </c>
      <c r="AJ54" s="304">
        <v>0</v>
      </c>
      <c r="AK54" s="309">
        <v>0</v>
      </c>
      <c r="AL54" s="156"/>
      <c r="AM54" s="308">
        <f t="shared" si="83"/>
        <v>-624.64352999999994</v>
      </c>
      <c r="AN54" s="304">
        <v>0</v>
      </c>
      <c r="AO54" s="309">
        <v>0</v>
      </c>
      <c r="AP54" s="304"/>
      <c r="AQ54" s="308">
        <f t="shared" si="16"/>
        <v>-64.215690000000009</v>
      </c>
      <c r="AR54" s="304">
        <v>0</v>
      </c>
      <c r="AS54" s="309">
        <v>0</v>
      </c>
      <c r="AT54" s="156"/>
      <c r="AU54" s="308">
        <f t="shared" si="90"/>
        <v>-700.53480000000002</v>
      </c>
      <c r="AV54" s="304">
        <v>0</v>
      </c>
      <c r="AW54" s="309">
        <v>0</v>
      </c>
      <c r="AX54" s="304"/>
      <c r="AY54" s="305"/>
      <c r="AZ54" s="305"/>
      <c r="BA54" s="304"/>
    </row>
    <row r="55" spans="1:53" x14ac:dyDescent="0.3">
      <c r="A55" s="85">
        <f t="shared" si="9"/>
        <v>48</v>
      </c>
      <c r="B55" s="709"/>
      <c r="C55" s="710" t="s">
        <v>7</v>
      </c>
      <c r="D55" s="156"/>
      <c r="E55" s="156">
        <f>ROUND('Allocation = ¢ per Therm'!K50,5)</f>
        <v>0</v>
      </c>
      <c r="F55" s="156">
        <f>ROUND('Allocation = % of Margin'!U47,5)</f>
        <v>0</v>
      </c>
      <c r="G55" s="156">
        <f>ROUND('Allocation = % of Margin'!X47,5)</f>
        <v>-8.8000000000000003E-4</v>
      </c>
      <c r="H55" s="156">
        <f>ROUND('Allocation = % of Margin'!AA47,5)</f>
        <v>3.1E-4</v>
      </c>
      <c r="I55" s="156">
        <f>ROUND('Allocation = % of Margin'!AG47,5)</f>
        <v>0</v>
      </c>
      <c r="J55" s="156">
        <f>ROUND('Allocation = % of Margin'!AJ47,5)</f>
        <v>-8.4999999999999995E-4</v>
      </c>
      <c r="K55" s="156">
        <f>ROUND('Allocation = % of Margin'!AM47,5)</f>
        <v>-9.0000000000000006E-5</v>
      </c>
      <c r="L55" s="156"/>
      <c r="M55" s="557">
        <f>'WA Volumes &amp; Revenues'!F48</f>
        <v>537117</v>
      </c>
      <c r="N55" s="293">
        <f>'Rev Req Proof Yr1'!R55</f>
        <v>598933</v>
      </c>
      <c r="O55" s="294">
        <f>'Rev Req Proof Yr1'!S55</f>
        <v>0</v>
      </c>
      <c r="P55" s="295">
        <f>'Rev Req Proof Yr1'!T55</f>
        <v>0</v>
      </c>
      <c r="Q55" s="296">
        <f>'Rev Req Proof Yr1'!U55</f>
        <v>0</v>
      </c>
      <c r="R55" s="156"/>
      <c r="S55" s="308">
        <f t="shared" si="88"/>
        <v>0</v>
      </c>
      <c r="T55" s="304">
        <v>0</v>
      </c>
      <c r="U55" s="309">
        <v>0</v>
      </c>
      <c r="V55" s="156"/>
      <c r="W55" s="308">
        <f t="shared" si="91"/>
        <v>0</v>
      </c>
      <c r="X55" s="304">
        <v>0</v>
      </c>
      <c r="Y55" s="309">
        <v>0</v>
      </c>
      <c r="Z55" s="156"/>
      <c r="AA55" s="308">
        <f t="shared" si="89"/>
        <v>-527.06104000000005</v>
      </c>
      <c r="AB55" s="304">
        <v>0</v>
      </c>
      <c r="AC55" s="309">
        <v>0</v>
      </c>
      <c r="AD55" s="304"/>
      <c r="AE55" s="308">
        <f t="shared" si="14"/>
        <v>185.66923</v>
      </c>
      <c r="AF55" s="304">
        <v>0</v>
      </c>
      <c r="AG55" s="309">
        <v>0</v>
      </c>
      <c r="AH55" s="156"/>
      <c r="AI55" s="308">
        <f t="shared" si="15"/>
        <v>0</v>
      </c>
      <c r="AJ55" s="304">
        <v>0</v>
      </c>
      <c r="AK55" s="309">
        <v>0</v>
      </c>
      <c r="AL55" s="156"/>
      <c r="AM55" s="308">
        <f t="shared" si="83"/>
        <v>-509.09304999999995</v>
      </c>
      <c r="AN55" s="304">
        <v>0</v>
      </c>
      <c r="AO55" s="309">
        <v>0</v>
      </c>
      <c r="AP55" s="304"/>
      <c r="AQ55" s="308">
        <f t="shared" si="16"/>
        <v>-53.903970000000001</v>
      </c>
      <c r="AR55" s="304">
        <v>0</v>
      </c>
      <c r="AS55" s="309">
        <v>0</v>
      </c>
      <c r="AT55" s="156"/>
      <c r="AU55" s="308">
        <f t="shared" si="90"/>
        <v>-580.96501000000001</v>
      </c>
      <c r="AV55" s="304">
        <v>0</v>
      </c>
      <c r="AW55" s="309">
        <v>0</v>
      </c>
      <c r="AX55" s="304"/>
      <c r="AY55" s="305"/>
      <c r="AZ55" s="305"/>
      <c r="BA55" s="304"/>
    </row>
    <row r="56" spans="1:53" x14ac:dyDescent="0.3">
      <c r="A56" s="85">
        <f t="shared" si="9"/>
        <v>49</v>
      </c>
      <c r="B56" s="709"/>
      <c r="C56" s="710" t="s">
        <v>8</v>
      </c>
      <c r="D56" s="156"/>
      <c r="E56" s="156">
        <f>ROUND('Allocation = ¢ per Therm'!K51,5)</f>
        <v>0</v>
      </c>
      <c r="F56" s="156">
        <f>ROUND('Allocation = % of Margin'!U48,5)</f>
        <v>0</v>
      </c>
      <c r="G56" s="156">
        <f>ROUND('Allocation = % of Margin'!X48,5)</f>
        <v>-5.8E-4</v>
      </c>
      <c r="H56" s="156">
        <f>ROUND('Allocation = % of Margin'!AA48,5)</f>
        <v>2.1000000000000001E-4</v>
      </c>
      <c r="I56" s="156">
        <f>ROUND('Allocation = % of Margin'!AG48,5)</f>
        <v>0</v>
      </c>
      <c r="J56" s="156">
        <f>ROUND('Allocation = % of Margin'!AJ48,5)</f>
        <v>-5.6999999999999998E-4</v>
      </c>
      <c r="K56" s="156">
        <f>ROUND('Allocation = % of Margin'!AM48,5)</f>
        <v>-6.0000000000000002E-5</v>
      </c>
      <c r="L56" s="156"/>
      <c r="M56" s="557">
        <f>'WA Volumes &amp; Revenues'!F49</f>
        <v>0</v>
      </c>
      <c r="N56" s="293">
        <f>'Rev Req Proof Yr1'!R56</f>
        <v>0</v>
      </c>
      <c r="O56" s="294">
        <f>'Rev Req Proof Yr1'!S56</f>
        <v>0</v>
      </c>
      <c r="P56" s="295">
        <f>'Rev Req Proof Yr1'!T56</f>
        <v>0</v>
      </c>
      <c r="Q56" s="296">
        <f>'Rev Req Proof Yr1'!U56</f>
        <v>0</v>
      </c>
      <c r="R56" s="156"/>
      <c r="S56" s="308">
        <f t="shared" si="88"/>
        <v>0</v>
      </c>
      <c r="T56" s="304">
        <v>0</v>
      </c>
      <c r="U56" s="309">
        <v>0</v>
      </c>
      <c r="V56" s="156"/>
      <c r="W56" s="308">
        <f t="shared" si="91"/>
        <v>0</v>
      </c>
      <c r="X56" s="304">
        <v>0</v>
      </c>
      <c r="Y56" s="309">
        <v>0</v>
      </c>
      <c r="Z56" s="156"/>
      <c r="AA56" s="308">
        <f t="shared" si="89"/>
        <v>0</v>
      </c>
      <c r="AB56" s="304">
        <v>0</v>
      </c>
      <c r="AC56" s="309">
        <v>0</v>
      </c>
      <c r="AD56" s="304"/>
      <c r="AE56" s="308">
        <f t="shared" si="14"/>
        <v>0</v>
      </c>
      <c r="AF56" s="304">
        <v>0</v>
      </c>
      <c r="AG56" s="309">
        <v>0</v>
      </c>
      <c r="AH56" s="156"/>
      <c r="AI56" s="308">
        <f t="shared" si="15"/>
        <v>0</v>
      </c>
      <c r="AJ56" s="304">
        <v>0</v>
      </c>
      <c r="AK56" s="309">
        <v>0</v>
      </c>
      <c r="AL56" s="156"/>
      <c r="AM56" s="308">
        <f t="shared" si="83"/>
        <v>0</v>
      </c>
      <c r="AN56" s="304">
        <v>0</v>
      </c>
      <c r="AO56" s="309">
        <v>0</v>
      </c>
      <c r="AP56" s="304"/>
      <c r="AQ56" s="308">
        <f t="shared" si="16"/>
        <v>0</v>
      </c>
      <c r="AR56" s="304">
        <v>0</v>
      </c>
      <c r="AS56" s="309">
        <v>0</v>
      </c>
      <c r="AT56" s="156"/>
      <c r="AU56" s="308">
        <f t="shared" si="90"/>
        <v>0</v>
      </c>
      <c r="AV56" s="304">
        <v>0</v>
      </c>
      <c r="AW56" s="309">
        <v>0</v>
      </c>
      <c r="AX56" s="304"/>
      <c r="AY56" s="305"/>
      <c r="AZ56" s="305"/>
      <c r="BA56" s="304"/>
    </row>
    <row r="57" spans="1:53" x14ac:dyDescent="0.3">
      <c r="A57" s="85">
        <f t="shared" si="9"/>
        <v>50</v>
      </c>
      <c r="B57" s="709"/>
      <c r="C57" s="710" t="s">
        <v>9</v>
      </c>
      <c r="D57" s="156"/>
      <c r="E57" s="156">
        <f>ROUND('Allocation = ¢ per Therm'!K52,5)</f>
        <v>0</v>
      </c>
      <c r="F57" s="156">
        <f>ROUND('Allocation = % of Margin'!U49,5)</f>
        <v>0</v>
      </c>
      <c r="G57" s="156">
        <f>ROUND('Allocation = % of Margin'!X49,5)</f>
        <v>-2.2000000000000001E-4</v>
      </c>
      <c r="H57" s="156">
        <f>ROUND('Allocation = % of Margin'!AA49,5)</f>
        <v>8.0000000000000007E-5</v>
      </c>
      <c r="I57" s="156">
        <f>ROUND('Allocation = % of Margin'!AG49,5)</f>
        <v>0</v>
      </c>
      <c r="J57" s="156">
        <f>ROUND('Allocation = % of Margin'!AJ49,5)</f>
        <v>-2.1000000000000001E-4</v>
      </c>
      <c r="K57" s="156">
        <f>ROUND('Allocation = % of Margin'!AM49,5)</f>
        <v>-2.0000000000000002E-5</v>
      </c>
      <c r="L57" s="156"/>
      <c r="M57" s="557">
        <f>'WA Volumes &amp; Revenues'!F50</f>
        <v>0</v>
      </c>
      <c r="N57" s="293">
        <f>'Rev Req Proof Yr1'!R57</f>
        <v>0</v>
      </c>
      <c r="O57" s="294">
        <f>'Rev Req Proof Yr1'!S57</f>
        <v>0</v>
      </c>
      <c r="P57" s="295">
        <f>'Rev Req Proof Yr1'!T57</f>
        <v>0</v>
      </c>
      <c r="Q57" s="296">
        <f>'Rev Req Proof Yr1'!U57</f>
        <v>0</v>
      </c>
      <c r="R57" s="156"/>
      <c r="S57" s="308">
        <f t="shared" si="88"/>
        <v>0</v>
      </c>
      <c r="T57" s="304">
        <v>0</v>
      </c>
      <c r="U57" s="309">
        <v>0</v>
      </c>
      <c r="V57" s="156"/>
      <c r="W57" s="308">
        <f t="shared" si="91"/>
        <v>0</v>
      </c>
      <c r="X57" s="304">
        <v>0</v>
      </c>
      <c r="Y57" s="309">
        <v>0</v>
      </c>
      <c r="Z57" s="156"/>
      <c r="AA57" s="308">
        <f t="shared" si="89"/>
        <v>0</v>
      </c>
      <c r="AB57" s="304">
        <v>0</v>
      </c>
      <c r="AC57" s="309">
        <v>0</v>
      </c>
      <c r="AD57" s="304"/>
      <c r="AE57" s="308">
        <f t="shared" si="14"/>
        <v>0</v>
      </c>
      <c r="AF57" s="304">
        <v>0</v>
      </c>
      <c r="AG57" s="309">
        <v>0</v>
      </c>
      <c r="AH57" s="156"/>
      <c r="AI57" s="308">
        <f t="shared" si="15"/>
        <v>0</v>
      </c>
      <c r="AJ57" s="304">
        <v>0</v>
      </c>
      <c r="AK57" s="309">
        <v>0</v>
      </c>
      <c r="AL57" s="156"/>
      <c r="AM57" s="308">
        <f t="shared" si="83"/>
        <v>0</v>
      </c>
      <c r="AN57" s="304">
        <v>0</v>
      </c>
      <c r="AO57" s="309">
        <v>0</v>
      </c>
      <c r="AP57" s="304"/>
      <c r="AQ57" s="308">
        <f t="shared" si="16"/>
        <v>0</v>
      </c>
      <c r="AR57" s="304">
        <v>0</v>
      </c>
      <c r="AS57" s="309">
        <v>0</v>
      </c>
      <c r="AT57" s="156"/>
      <c r="AU57" s="308">
        <f t="shared" si="90"/>
        <v>0</v>
      </c>
      <c r="AV57" s="304">
        <v>0</v>
      </c>
      <c r="AW57" s="309">
        <v>0</v>
      </c>
      <c r="AX57" s="304"/>
      <c r="AY57" s="313"/>
      <c r="AZ57" s="305"/>
      <c r="BA57" s="304"/>
    </row>
    <row r="58" spans="1:53" x14ac:dyDescent="0.3">
      <c r="A58" s="85">
        <f t="shared" si="9"/>
        <v>51</v>
      </c>
      <c r="B58" s="707"/>
      <c r="C58" s="726" t="s">
        <v>76</v>
      </c>
      <c r="D58" s="152"/>
      <c r="E58" s="152"/>
      <c r="F58" s="152"/>
      <c r="G58" s="794"/>
      <c r="H58" s="794"/>
      <c r="I58" s="794"/>
      <c r="J58" s="794"/>
      <c r="K58" s="794"/>
      <c r="L58" s="152"/>
      <c r="M58" s="557"/>
      <c r="N58" s="293"/>
      <c r="O58" s="294"/>
      <c r="P58" s="295"/>
      <c r="Q58" s="296"/>
      <c r="R58" s="156"/>
      <c r="S58" s="310">
        <f>SUM(S52:S57)</f>
        <v>0</v>
      </c>
      <c r="T58" s="311">
        <f>SUM(T52:T57)</f>
        <v>0</v>
      </c>
      <c r="U58" s="312">
        <f>SUM(U52:U57)</f>
        <v>0</v>
      </c>
      <c r="V58" s="156"/>
      <c r="W58" s="310">
        <f>SUM(W52:W57)</f>
        <v>0</v>
      </c>
      <c r="X58" s="311">
        <f>SUM(X52:X57)</f>
        <v>0</v>
      </c>
      <c r="Y58" s="312">
        <f>SUM(Y52:Y57)</f>
        <v>0</v>
      </c>
      <c r="Z58" s="156"/>
      <c r="AA58" s="310">
        <f>SUM(AA52:AA57)</f>
        <v>-3081.7999300000001</v>
      </c>
      <c r="AB58" s="311">
        <f>SUM(AB52:AB57)</f>
        <v>0</v>
      </c>
      <c r="AC58" s="312">
        <f>SUM(AC52:AC57)</f>
        <v>0</v>
      </c>
      <c r="AD58" s="323"/>
      <c r="AE58" s="310">
        <f>SUM(AE52:AE57)</f>
        <v>1086.0660399999999</v>
      </c>
      <c r="AF58" s="311">
        <f>SUM(AF52:AF57)</f>
        <v>0</v>
      </c>
      <c r="AG58" s="312">
        <f>SUM(AG52:AG57)</f>
        <v>0</v>
      </c>
      <c r="AH58" s="156"/>
      <c r="AI58" s="310">
        <f>SUM(AI52:AI57)</f>
        <v>0</v>
      </c>
      <c r="AJ58" s="311">
        <f>SUM(AJ52:AJ57)</f>
        <v>0</v>
      </c>
      <c r="AK58" s="312">
        <f>SUM(AK52:AK57)</f>
        <v>0</v>
      </c>
      <c r="AL58" s="156"/>
      <c r="AM58" s="310">
        <f>SUM(AM52:AM57)</f>
        <v>-3005.4425199999996</v>
      </c>
      <c r="AN58" s="311">
        <f>SUM(AN52:AN57)</f>
        <v>0</v>
      </c>
      <c r="AO58" s="312">
        <f>SUM(AO52:AO57)</f>
        <v>0</v>
      </c>
      <c r="AP58" s="323"/>
      <c r="AQ58" s="310">
        <f>SUM(AQ52:AQ57)</f>
        <v>-308.0181</v>
      </c>
      <c r="AR58" s="311">
        <f>SUM(AR52:AR57)</f>
        <v>0</v>
      </c>
      <c r="AS58" s="312">
        <f>SUM(AS52:AS57)</f>
        <v>0</v>
      </c>
      <c r="AT58" s="156"/>
      <c r="AU58" s="310">
        <f>SUM(AU52:AU57)</f>
        <v>-3389.8180299999999</v>
      </c>
      <c r="AV58" s="311">
        <f>SUM(AV52:AV57)</f>
        <v>0</v>
      </c>
      <c r="AW58" s="312">
        <f>SUM(AW52:AW57)</f>
        <v>0</v>
      </c>
      <c r="AX58" s="304"/>
      <c r="AY58" s="305"/>
      <c r="AZ58" s="305"/>
      <c r="BA58" s="304"/>
    </row>
    <row r="59" spans="1:53" x14ac:dyDescent="0.3">
      <c r="A59" s="85">
        <f t="shared" si="9"/>
        <v>52</v>
      </c>
      <c r="B59" s="709" t="str">
        <f>'Rev Req Proof Yr1'!B59</f>
        <v>42I Firm Transpt</v>
      </c>
      <c r="C59" s="710" t="s">
        <v>4</v>
      </c>
      <c r="D59" s="156"/>
      <c r="E59" s="156">
        <f>ROUND('Allocation = ¢ per Therm'!K53,5)</f>
        <v>0</v>
      </c>
      <c r="F59" s="156">
        <f>ROUND('Allocation = % of Margin'!U50,5)</f>
        <v>0</v>
      </c>
      <c r="G59" s="156">
        <f>ROUND('Allocation = % of Margin'!X50,5)</f>
        <v>-1.5900000000000001E-3</v>
      </c>
      <c r="H59" s="156">
        <f>ROUND('Allocation = % of Margin'!AA50,5)</f>
        <v>5.5999999999999995E-4</v>
      </c>
      <c r="I59" s="156">
        <f>ROUND('Allocation = % of Margin'!AG50,5)</f>
        <v>0</v>
      </c>
      <c r="J59" s="156">
        <f>ROUND('Allocation = % of Margin'!AJ50,5)</f>
        <v>-1.5399999999999999E-3</v>
      </c>
      <c r="K59" s="156">
        <f>ROUND('Allocation = % of Margin'!AM50,5)</f>
        <v>-1.6000000000000001E-4</v>
      </c>
      <c r="L59" s="156"/>
      <c r="M59" s="557">
        <f>'WA Volumes &amp; Revenues'!F51</f>
        <v>901597</v>
      </c>
      <c r="N59" s="293">
        <f>'Rev Req Proof Yr1'!R59</f>
        <v>924395</v>
      </c>
      <c r="O59" s="294">
        <f>'Rev Req Proof Yr1'!S59</f>
        <v>26810</v>
      </c>
      <c r="P59" s="295">
        <f>'Rev Req Proof Yr1'!T59</f>
        <v>8.9166666666666661</v>
      </c>
      <c r="Q59" s="296">
        <f>'Rev Req Proof Yr1'!U59</f>
        <v>63374</v>
      </c>
      <c r="R59" s="156"/>
      <c r="S59" s="308">
        <f t="shared" ref="S59:S64" si="92">((E59)*N59)</f>
        <v>0</v>
      </c>
      <c r="T59" s="304">
        <v>0</v>
      </c>
      <c r="U59" s="309">
        <v>0</v>
      </c>
      <c r="V59" s="156"/>
      <c r="W59" s="308">
        <f>((F59)*N59)</f>
        <v>0</v>
      </c>
      <c r="X59" s="304">
        <v>0</v>
      </c>
      <c r="Y59" s="309">
        <v>0</v>
      </c>
      <c r="Z59" s="156"/>
      <c r="AA59" s="308">
        <f t="shared" ref="AA59:AA64" si="93">((G59)*N59)</f>
        <v>-1469.7880500000001</v>
      </c>
      <c r="AB59" s="304">
        <v>0</v>
      </c>
      <c r="AC59" s="309">
        <v>0</v>
      </c>
      <c r="AD59" s="304"/>
      <c r="AE59" s="308">
        <f t="shared" si="14"/>
        <v>517.66120000000001</v>
      </c>
      <c r="AF59" s="304">
        <v>0</v>
      </c>
      <c r="AG59" s="309">
        <v>0</v>
      </c>
      <c r="AH59" s="156"/>
      <c r="AI59" s="308">
        <f t="shared" si="15"/>
        <v>0</v>
      </c>
      <c r="AJ59" s="304">
        <v>0</v>
      </c>
      <c r="AK59" s="309">
        <v>0</v>
      </c>
      <c r="AL59" s="156"/>
      <c r="AM59" s="308">
        <f t="shared" si="83"/>
        <v>-1423.5682999999999</v>
      </c>
      <c r="AN59" s="304">
        <v>0</v>
      </c>
      <c r="AO59" s="309">
        <v>0</v>
      </c>
      <c r="AP59" s="304"/>
      <c r="AQ59" s="308">
        <f t="shared" si="16"/>
        <v>-147.9032</v>
      </c>
      <c r="AR59" s="304">
        <v>0</v>
      </c>
      <c r="AS59" s="309">
        <v>0</v>
      </c>
      <c r="AT59" s="156"/>
      <c r="AU59" s="308">
        <f t="shared" ref="AU59:AU64" si="94">((E59+F59+G59+K59)*N59)</f>
        <v>-1617.6912500000001</v>
      </c>
      <c r="AV59" s="304">
        <v>0</v>
      </c>
      <c r="AW59" s="309">
        <v>0</v>
      </c>
      <c r="AX59" s="304"/>
      <c r="AY59" s="305"/>
      <c r="AZ59" s="305"/>
      <c r="BA59" s="304"/>
    </row>
    <row r="60" spans="1:53" x14ac:dyDescent="0.3">
      <c r="A60" s="85">
        <f t="shared" si="9"/>
        <v>53</v>
      </c>
      <c r="B60" s="709"/>
      <c r="C60" s="710" t="s">
        <v>5</v>
      </c>
      <c r="D60" s="156"/>
      <c r="E60" s="156">
        <f>ROUND('Allocation = ¢ per Therm'!K54,5)</f>
        <v>0</v>
      </c>
      <c r="F60" s="156">
        <f>ROUND('Allocation = % of Margin'!U51,5)</f>
        <v>0</v>
      </c>
      <c r="G60" s="156">
        <f>ROUND('Allocation = % of Margin'!X51,5)</f>
        <v>-1.4300000000000001E-3</v>
      </c>
      <c r="H60" s="156">
        <f>ROUND('Allocation = % of Margin'!AA51,5)</f>
        <v>5.0000000000000001E-4</v>
      </c>
      <c r="I60" s="156">
        <f>ROUND('Allocation = % of Margin'!AG51,5)</f>
        <v>0</v>
      </c>
      <c r="J60" s="156">
        <f>ROUND('Allocation = % of Margin'!AJ51,5)</f>
        <v>-1.3799999999999999E-3</v>
      </c>
      <c r="K60" s="156">
        <f>ROUND('Allocation = % of Margin'!AM51,5)</f>
        <v>-1.3999999999999999E-4</v>
      </c>
      <c r="L60" s="156"/>
      <c r="M60" s="557">
        <f>'WA Volumes &amp; Revenues'!F52</f>
        <v>1041722</v>
      </c>
      <c r="N60" s="293">
        <f>'Rev Req Proof Yr1'!R60</f>
        <v>1036796</v>
      </c>
      <c r="O60" s="294">
        <f>'Rev Req Proof Yr1'!S60</f>
        <v>0</v>
      </c>
      <c r="P60" s="295">
        <f>'Rev Req Proof Yr1'!T60</f>
        <v>0</v>
      </c>
      <c r="Q60" s="296">
        <f>'Rev Req Proof Yr1'!U60</f>
        <v>0</v>
      </c>
      <c r="R60" s="156"/>
      <c r="S60" s="308">
        <f t="shared" si="92"/>
        <v>0</v>
      </c>
      <c r="T60" s="304">
        <v>0</v>
      </c>
      <c r="U60" s="309">
        <v>0</v>
      </c>
      <c r="V60" s="156"/>
      <c r="W60" s="308">
        <f t="shared" ref="W60:W64" si="95">((F60)*N60)</f>
        <v>0</v>
      </c>
      <c r="X60" s="304">
        <v>0</v>
      </c>
      <c r="Y60" s="309">
        <v>0</v>
      </c>
      <c r="Z60" s="156"/>
      <c r="AA60" s="308">
        <f t="shared" si="93"/>
        <v>-1482.6182800000001</v>
      </c>
      <c r="AB60" s="304">
        <v>0</v>
      </c>
      <c r="AC60" s="309">
        <v>0</v>
      </c>
      <c r="AD60" s="304"/>
      <c r="AE60" s="308">
        <f t="shared" si="14"/>
        <v>518.39800000000002</v>
      </c>
      <c r="AF60" s="304">
        <v>0</v>
      </c>
      <c r="AG60" s="309">
        <v>0</v>
      </c>
      <c r="AH60" s="156"/>
      <c r="AI60" s="308">
        <f t="shared" si="15"/>
        <v>0</v>
      </c>
      <c r="AJ60" s="304">
        <v>0</v>
      </c>
      <c r="AK60" s="309">
        <v>0</v>
      </c>
      <c r="AL60" s="156"/>
      <c r="AM60" s="308">
        <f t="shared" si="83"/>
        <v>-1430.7784799999999</v>
      </c>
      <c r="AN60" s="304">
        <v>0</v>
      </c>
      <c r="AO60" s="309">
        <v>0</v>
      </c>
      <c r="AP60" s="304"/>
      <c r="AQ60" s="308">
        <f t="shared" si="16"/>
        <v>-145.15143999999998</v>
      </c>
      <c r="AR60" s="304">
        <v>0</v>
      </c>
      <c r="AS60" s="309">
        <v>0</v>
      </c>
      <c r="AT60" s="156"/>
      <c r="AU60" s="308">
        <f t="shared" si="94"/>
        <v>-1627.76972</v>
      </c>
      <c r="AV60" s="304">
        <v>0</v>
      </c>
      <c r="AW60" s="309">
        <v>0</v>
      </c>
      <c r="AX60" s="304"/>
      <c r="AY60" s="305"/>
      <c r="AZ60" s="305"/>
      <c r="BA60" s="304"/>
    </row>
    <row r="61" spans="1:53" x14ac:dyDescent="0.3">
      <c r="A61" s="85">
        <f t="shared" si="9"/>
        <v>54</v>
      </c>
      <c r="B61" s="709"/>
      <c r="C61" s="710" t="s">
        <v>6</v>
      </c>
      <c r="D61" s="156"/>
      <c r="E61" s="156">
        <f>ROUND('Allocation = ¢ per Therm'!K55,5)</f>
        <v>0</v>
      </c>
      <c r="F61" s="156">
        <f>ROUND('Allocation = % of Margin'!U52,5)</f>
        <v>0</v>
      </c>
      <c r="G61" s="156">
        <f>ROUND('Allocation = % of Margin'!X52,5)</f>
        <v>-1.09E-3</v>
      </c>
      <c r="H61" s="156">
        <f>ROUND('Allocation = % of Margin'!AA52,5)</f>
        <v>3.8999999999999999E-4</v>
      </c>
      <c r="I61" s="156">
        <f>ROUND('Allocation = % of Margin'!AG52,5)</f>
        <v>0</v>
      </c>
      <c r="J61" s="156">
        <f>ROUND('Allocation = % of Margin'!AJ52,5)</f>
        <v>-1.06E-3</v>
      </c>
      <c r="K61" s="156">
        <f>ROUND('Allocation = % of Margin'!AM52,5)</f>
        <v>-1.1E-4</v>
      </c>
      <c r="L61" s="156"/>
      <c r="M61" s="557">
        <f>'WA Volumes &amp; Revenues'!F53</f>
        <v>957215</v>
      </c>
      <c r="N61" s="293">
        <f>'Rev Req Proof Yr1'!R61</f>
        <v>937215</v>
      </c>
      <c r="O61" s="294">
        <f>'Rev Req Proof Yr1'!S61</f>
        <v>0</v>
      </c>
      <c r="P61" s="295">
        <f>'Rev Req Proof Yr1'!T61</f>
        <v>0</v>
      </c>
      <c r="Q61" s="296">
        <f>'Rev Req Proof Yr1'!U61</f>
        <v>0</v>
      </c>
      <c r="R61" s="156"/>
      <c r="S61" s="308">
        <f t="shared" si="92"/>
        <v>0</v>
      </c>
      <c r="T61" s="304">
        <v>0</v>
      </c>
      <c r="U61" s="309">
        <v>0</v>
      </c>
      <c r="V61" s="156"/>
      <c r="W61" s="308">
        <f t="shared" si="95"/>
        <v>0</v>
      </c>
      <c r="X61" s="304">
        <v>0</v>
      </c>
      <c r="Y61" s="309">
        <v>0</v>
      </c>
      <c r="Z61" s="156"/>
      <c r="AA61" s="308">
        <f t="shared" si="93"/>
        <v>-1021.56435</v>
      </c>
      <c r="AB61" s="304">
        <v>0</v>
      </c>
      <c r="AC61" s="309">
        <v>0</v>
      </c>
      <c r="AD61" s="304"/>
      <c r="AE61" s="308">
        <f t="shared" si="14"/>
        <v>365.51384999999999</v>
      </c>
      <c r="AF61" s="304">
        <v>0</v>
      </c>
      <c r="AG61" s="309">
        <v>0</v>
      </c>
      <c r="AH61" s="156"/>
      <c r="AI61" s="308">
        <f t="shared" si="15"/>
        <v>0</v>
      </c>
      <c r="AJ61" s="304">
        <v>0</v>
      </c>
      <c r="AK61" s="309">
        <v>0</v>
      </c>
      <c r="AL61" s="156"/>
      <c r="AM61" s="308">
        <f t="shared" si="83"/>
        <v>-993.4479</v>
      </c>
      <c r="AN61" s="304">
        <v>0</v>
      </c>
      <c r="AO61" s="309">
        <v>0</v>
      </c>
      <c r="AP61" s="304"/>
      <c r="AQ61" s="308">
        <f t="shared" si="16"/>
        <v>-103.09365</v>
      </c>
      <c r="AR61" s="304">
        <v>0</v>
      </c>
      <c r="AS61" s="309">
        <v>0</v>
      </c>
      <c r="AT61" s="156"/>
      <c r="AU61" s="308">
        <f t="shared" si="94"/>
        <v>-1124.6580000000001</v>
      </c>
      <c r="AV61" s="304">
        <v>0</v>
      </c>
      <c r="AW61" s="309">
        <v>0</v>
      </c>
      <c r="AX61" s="304"/>
      <c r="AY61" s="305"/>
      <c r="AZ61" s="305"/>
      <c r="BA61" s="304"/>
    </row>
    <row r="62" spans="1:53" x14ac:dyDescent="0.3">
      <c r="A62" s="85">
        <f t="shared" si="9"/>
        <v>55</v>
      </c>
      <c r="B62" s="709"/>
      <c r="C62" s="710" t="s">
        <v>7</v>
      </c>
      <c r="D62" s="156"/>
      <c r="E62" s="156">
        <f>ROUND('Allocation = ¢ per Therm'!K56,5)</f>
        <v>0</v>
      </c>
      <c r="F62" s="156">
        <f>ROUND('Allocation = % of Margin'!U53,5)</f>
        <v>0</v>
      </c>
      <c r="G62" s="156">
        <f>ROUND('Allocation = % of Margin'!X53,5)</f>
        <v>-8.7000000000000001E-4</v>
      </c>
      <c r="H62" s="156">
        <f>ROUND('Allocation = % of Margin'!AA53,5)</f>
        <v>3.1E-4</v>
      </c>
      <c r="I62" s="156">
        <f>ROUND('Allocation = % of Margin'!AG53,5)</f>
        <v>0</v>
      </c>
      <c r="J62" s="156">
        <f>ROUND('Allocation = % of Margin'!AJ53,5)</f>
        <v>-8.4999999999999995E-4</v>
      </c>
      <c r="K62" s="156">
        <f>ROUND('Allocation = % of Margin'!AM53,5)</f>
        <v>-9.0000000000000006E-5</v>
      </c>
      <c r="L62" s="156"/>
      <c r="M62" s="557">
        <f>'WA Volumes &amp; Revenues'!F54</f>
        <v>2490044</v>
      </c>
      <c r="N62" s="293">
        <f>'Rev Req Proof Yr1'!R62</f>
        <v>2390318</v>
      </c>
      <c r="O62" s="294">
        <f>'Rev Req Proof Yr1'!S62</f>
        <v>0</v>
      </c>
      <c r="P62" s="295">
        <f>'Rev Req Proof Yr1'!T62</f>
        <v>0</v>
      </c>
      <c r="Q62" s="296">
        <f>'Rev Req Proof Yr1'!U62</f>
        <v>0</v>
      </c>
      <c r="R62" s="156"/>
      <c r="S62" s="308">
        <f t="shared" si="92"/>
        <v>0</v>
      </c>
      <c r="T62" s="304">
        <v>0</v>
      </c>
      <c r="U62" s="309">
        <v>0</v>
      </c>
      <c r="V62" s="156"/>
      <c r="W62" s="308">
        <f t="shared" si="95"/>
        <v>0</v>
      </c>
      <c r="X62" s="304">
        <v>0</v>
      </c>
      <c r="Y62" s="309">
        <v>0</v>
      </c>
      <c r="Z62" s="156"/>
      <c r="AA62" s="308">
        <f t="shared" si="93"/>
        <v>-2079.5766600000002</v>
      </c>
      <c r="AB62" s="304">
        <v>0</v>
      </c>
      <c r="AC62" s="309">
        <v>0</v>
      </c>
      <c r="AD62" s="304"/>
      <c r="AE62" s="308">
        <f t="shared" si="14"/>
        <v>740.99857999999995</v>
      </c>
      <c r="AF62" s="304">
        <v>0</v>
      </c>
      <c r="AG62" s="309">
        <v>0</v>
      </c>
      <c r="AH62" s="156"/>
      <c r="AI62" s="308">
        <f t="shared" si="15"/>
        <v>0</v>
      </c>
      <c r="AJ62" s="304">
        <v>0</v>
      </c>
      <c r="AK62" s="309">
        <v>0</v>
      </c>
      <c r="AL62" s="156"/>
      <c r="AM62" s="308">
        <f t="shared" si="83"/>
        <v>-2031.7702999999999</v>
      </c>
      <c r="AN62" s="304">
        <v>0</v>
      </c>
      <c r="AO62" s="309">
        <v>0</v>
      </c>
      <c r="AP62" s="304"/>
      <c r="AQ62" s="308">
        <f t="shared" si="16"/>
        <v>-215.12862000000001</v>
      </c>
      <c r="AR62" s="304">
        <v>0</v>
      </c>
      <c r="AS62" s="309">
        <v>0</v>
      </c>
      <c r="AT62" s="156"/>
      <c r="AU62" s="308">
        <f t="shared" si="94"/>
        <v>-2294.7052800000001</v>
      </c>
      <c r="AV62" s="304">
        <v>0</v>
      </c>
      <c r="AW62" s="309">
        <v>0</v>
      </c>
      <c r="AX62" s="304"/>
      <c r="AY62" s="305"/>
      <c r="AZ62" s="305"/>
      <c r="BA62" s="304"/>
    </row>
    <row r="63" spans="1:53" x14ac:dyDescent="0.3">
      <c r="A63" s="85">
        <f t="shared" si="9"/>
        <v>56</v>
      </c>
      <c r="B63" s="709"/>
      <c r="C63" s="710" t="s">
        <v>8</v>
      </c>
      <c r="D63" s="156"/>
      <c r="E63" s="156">
        <f>ROUND('Allocation = ¢ per Therm'!K57,5)</f>
        <v>0</v>
      </c>
      <c r="F63" s="156">
        <f>ROUND('Allocation = % of Margin'!U54,5)</f>
        <v>0</v>
      </c>
      <c r="G63" s="156">
        <f>ROUND('Allocation = % of Margin'!X54,5)</f>
        <v>-5.8E-4</v>
      </c>
      <c r="H63" s="156">
        <f>ROUND('Allocation = % of Margin'!AA54,5)</f>
        <v>2.1000000000000001E-4</v>
      </c>
      <c r="I63" s="156">
        <f>ROUND('Allocation = % of Margin'!AG54,5)</f>
        <v>0</v>
      </c>
      <c r="J63" s="156">
        <f>ROUND('Allocation = % of Margin'!AJ54,5)</f>
        <v>-5.5999999999999995E-4</v>
      </c>
      <c r="K63" s="156">
        <f>ROUND('Allocation = % of Margin'!AM54,5)</f>
        <v>-6.0000000000000002E-5</v>
      </c>
      <c r="L63" s="156"/>
      <c r="M63" s="557">
        <f>'WA Volumes &amp; Revenues'!F55</f>
        <v>1426372</v>
      </c>
      <c r="N63" s="293">
        <f>'Rev Req Proof Yr1'!R63</f>
        <v>1492257</v>
      </c>
      <c r="O63" s="294">
        <f>'Rev Req Proof Yr1'!S63</f>
        <v>0</v>
      </c>
      <c r="P63" s="295">
        <f>'Rev Req Proof Yr1'!T63</f>
        <v>0</v>
      </c>
      <c r="Q63" s="296">
        <f>'Rev Req Proof Yr1'!U63</f>
        <v>0</v>
      </c>
      <c r="R63" s="156"/>
      <c r="S63" s="308">
        <f t="shared" si="92"/>
        <v>0</v>
      </c>
      <c r="T63" s="304">
        <v>0</v>
      </c>
      <c r="U63" s="309">
        <v>0</v>
      </c>
      <c r="V63" s="156"/>
      <c r="W63" s="308">
        <f t="shared" si="95"/>
        <v>0</v>
      </c>
      <c r="X63" s="304">
        <v>0</v>
      </c>
      <c r="Y63" s="309">
        <v>0</v>
      </c>
      <c r="Z63" s="156"/>
      <c r="AA63" s="308">
        <f t="shared" si="93"/>
        <v>-865.50905999999998</v>
      </c>
      <c r="AB63" s="304">
        <v>0</v>
      </c>
      <c r="AC63" s="309">
        <v>0</v>
      </c>
      <c r="AD63" s="304"/>
      <c r="AE63" s="308">
        <f t="shared" si="14"/>
        <v>313.37396999999999</v>
      </c>
      <c r="AF63" s="304">
        <v>0</v>
      </c>
      <c r="AG63" s="309">
        <v>0</v>
      </c>
      <c r="AH63" s="156"/>
      <c r="AI63" s="308">
        <f t="shared" si="15"/>
        <v>0</v>
      </c>
      <c r="AJ63" s="304">
        <v>0</v>
      </c>
      <c r="AK63" s="309">
        <v>0</v>
      </c>
      <c r="AL63" s="156"/>
      <c r="AM63" s="308">
        <f t="shared" si="83"/>
        <v>-835.66391999999996</v>
      </c>
      <c r="AN63" s="304">
        <v>0</v>
      </c>
      <c r="AO63" s="309">
        <v>0</v>
      </c>
      <c r="AP63" s="304"/>
      <c r="AQ63" s="308">
        <f t="shared" si="16"/>
        <v>-89.535420000000002</v>
      </c>
      <c r="AR63" s="304">
        <v>0</v>
      </c>
      <c r="AS63" s="309">
        <v>0</v>
      </c>
      <c r="AT63" s="156"/>
      <c r="AU63" s="308">
        <f t="shared" si="94"/>
        <v>-955.04448000000002</v>
      </c>
      <c r="AV63" s="304">
        <v>0</v>
      </c>
      <c r="AW63" s="309">
        <v>0</v>
      </c>
      <c r="AX63" s="304"/>
      <c r="AY63" s="305"/>
      <c r="AZ63" s="305"/>
      <c r="BA63" s="304"/>
    </row>
    <row r="64" spans="1:53" x14ac:dyDescent="0.3">
      <c r="A64" s="85">
        <f t="shared" si="9"/>
        <v>57</v>
      </c>
      <c r="B64" s="709"/>
      <c r="C64" s="710" t="s">
        <v>9</v>
      </c>
      <c r="D64" s="156"/>
      <c r="E64" s="156">
        <f>ROUND('Allocation = ¢ per Therm'!K58,5)</f>
        <v>0</v>
      </c>
      <c r="F64" s="156">
        <f>ROUND('Allocation = % of Margin'!U55,5)</f>
        <v>0</v>
      </c>
      <c r="G64" s="156">
        <f>ROUND('Allocation = % of Margin'!X55,5)</f>
        <v>-2.2000000000000001E-4</v>
      </c>
      <c r="H64" s="156">
        <f>ROUND('Allocation = % of Margin'!AA55,5)</f>
        <v>8.0000000000000007E-5</v>
      </c>
      <c r="I64" s="156">
        <f>ROUND('Allocation = % of Margin'!AG55,5)</f>
        <v>0</v>
      </c>
      <c r="J64" s="156">
        <f>ROUND('Allocation = % of Margin'!AJ55,5)</f>
        <v>-2.1000000000000001E-4</v>
      </c>
      <c r="K64" s="156">
        <f>ROUND('Allocation = % of Margin'!AM55,5)</f>
        <v>-2.0000000000000002E-5</v>
      </c>
      <c r="L64" s="156"/>
      <c r="M64" s="557">
        <f>'WA Volumes &amp; Revenues'!F56</f>
        <v>0</v>
      </c>
      <c r="N64" s="293">
        <f>'Rev Req Proof Yr1'!R64</f>
        <v>0</v>
      </c>
      <c r="O64" s="294">
        <f>'Rev Req Proof Yr1'!S64</f>
        <v>0</v>
      </c>
      <c r="P64" s="295">
        <f>'Rev Req Proof Yr1'!T64</f>
        <v>0</v>
      </c>
      <c r="Q64" s="296">
        <f>'Rev Req Proof Yr1'!U64</f>
        <v>0</v>
      </c>
      <c r="R64" s="156"/>
      <c r="S64" s="308">
        <f t="shared" si="92"/>
        <v>0</v>
      </c>
      <c r="T64" s="304">
        <v>0</v>
      </c>
      <c r="U64" s="309">
        <v>0</v>
      </c>
      <c r="V64" s="156"/>
      <c r="W64" s="308">
        <f t="shared" si="95"/>
        <v>0</v>
      </c>
      <c r="X64" s="304">
        <v>0</v>
      </c>
      <c r="Y64" s="309">
        <v>0</v>
      </c>
      <c r="Z64" s="156"/>
      <c r="AA64" s="308">
        <f t="shared" si="93"/>
        <v>0</v>
      </c>
      <c r="AB64" s="304">
        <v>0</v>
      </c>
      <c r="AC64" s="309">
        <v>0</v>
      </c>
      <c r="AD64" s="304"/>
      <c r="AE64" s="308">
        <f t="shared" si="14"/>
        <v>0</v>
      </c>
      <c r="AF64" s="304">
        <v>0</v>
      </c>
      <c r="AG64" s="309">
        <v>0</v>
      </c>
      <c r="AH64" s="156"/>
      <c r="AI64" s="308">
        <f t="shared" si="15"/>
        <v>0</v>
      </c>
      <c r="AJ64" s="304">
        <v>0</v>
      </c>
      <c r="AK64" s="309">
        <v>0</v>
      </c>
      <c r="AL64" s="156"/>
      <c r="AM64" s="308">
        <f t="shared" si="83"/>
        <v>0</v>
      </c>
      <c r="AN64" s="304">
        <v>0</v>
      </c>
      <c r="AO64" s="309">
        <v>0</v>
      </c>
      <c r="AP64" s="304"/>
      <c r="AQ64" s="308">
        <f t="shared" si="16"/>
        <v>0</v>
      </c>
      <c r="AR64" s="304">
        <v>0</v>
      </c>
      <c r="AS64" s="309">
        <v>0</v>
      </c>
      <c r="AT64" s="156"/>
      <c r="AU64" s="308">
        <f t="shared" si="94"/>
        <v>0</v>
      </c>
      <c r="AV64" s="304">
        <v>0</v>
      </c>
      <c r="AW64" s="309">
        <v>0</v>
      </c>
      <c r="AX64" s="304"/>
      <c r="AY64" s="305"/>
      <c r="AZ64" s="305"/>
      <c r="BA64" s="304"/>
    </row>
    <row r="65" spans="1:53" x14ac:dyDescent="0.3">
      <c r="A65" s="85">
        <f t="shared" si="9"/>
        <v>58</v>
      </c>
      <c r="B65" s="707"/>
      <c r="C65" s="726" t="s">
        <v>76</v>
      </c>
      <c r="D65" s="152"/>
      <c r="E65" s="152"/>
      <c r="F65" s="152"/>
      <c r="G65" s="794"/>
      <c r="H65" s="794"/>
      <c r="I65" s="794"/>
      <c r="J65" s="794"/>
      <c r="K65" s="794"/>
      <c r="L65" s="152"/>
      <c r="M65" s="557"/>
      <c r="N65" s="293"/>
      <c r="O65" s="294"/>
      <c r="P65" s="295"/>
      <c r="Q65" s="296"/>
      <c r="R65" s="156"/>
      <c r="S65" s="310">
        <f>SUM(S59:S64)</f>
        <v>0</v>
      </c>
      <c r="T65" s="311">
        <f>SUM(T59:T64)</f>
        <v>0</v>
      </c>
      <c r="U65" s="312">
        <f>SUM(U59:U64)</f>
        <v>0</v>
      </c>
      <c r="V65" s="156"/>
      <c r="W65" s="310">
        <f>SUM(W59:W64)</f>
        <v>0</v>
      </c>
      <c r="X65" s="311">
        <f>SUM(X59:X64)</f>
        <v>0</v>
      </c>
      <c r="Y65" s="312">
        <f>SUM(Y59:Y64)</f>
        <v>0</v>
      </c>
      <c r="Z65" s="156"/>
      <c r="AA65" s="310">
        <f>SUM(AA59:AA64)</f>
        <v>-6919.0564000000013</v>
      </c>
      <c r="AB65" s="311">
        <f>SUM(AB59:AB64)</f>
        <v>0</v>
      </c>
      <c r="AC65" s="312">
        <f>SUM(AC59:AC64)</f>
        <v>0</v>
      </c>
      <c r="AD65" s="323"/>
      <c r="AE65" s="310">
        <f>SUM(AE59:AE64)</f>
        <v>2455.9456000000005</v>
      </c>
      <c r="AF65" s="311">
        <f>SUM(AF59:AF64)</f>
        <v>0</v>
      </c>
      <c r="AG65" s="312">
        <f>SUM(AG59:AG64)</f>
        <v>0</v>
      </c>
      <c r="AH65" s="156"/>
      <c r="AI65" s="310">
        <f>SUM(AI59:AI64)</f>
        <v>0</v>
      </c>
      <c r="AJ65" s="311">
        <f>SUM(AJ59:AJ64)</f>
        <v>0</v>
      </c>
      <c r="AK65" s="312">
        <f>SUM(AK59:AK64)</f>
        <v>0</v>
      </c>
      <c r="AL65" s="156"/>
      <c r="AM65" s="310">
        <f>SUM(AM59:AM64)</f>
        <v>-6715.2289000000001</v>
      </c>
      <c r="AN65" s="311">
        <f>SUM(AN59:AN64)</f>
        <v>0</v>
      </c>
      <c r="AO65" s="312">
        <f>SUM(AO59:AO64)</f>
        <v>0</v>
      </c>
      <c r="AP65" s="323"/>
      <c r="AQ65" s="310">
        <f>SUM(AQ59:AQ64)</f>
        <v>-700.81233000000009</v>
      </c>
      <c r="AR65" s="311">
        <f>SUM(AR59:AR64)</f>
        <v>0</v>
      </c>
      <c r="AS65" s="312">
        <f>SUM(AS59:AS64)</f>
        <v>0</v>
      </c>
      <c r="AT65" s="156"/>
      <c r="AU65" s="310">
        <f>SUM(AU59:AU64)</f>
        <v>-7619.8687300000001</v>
      </c>
      <c r="AV65" s="311">
        <f>SUM(AV59:AV64)</f>
        <v>0</v>
      </c>
      <c r="AW65" s="312">
        <f>SUM(AW59:AW64)</f>
        <v>0</v>
      </c>
      <c r="AX65" s="304"/>
      <c r="AY65" s="305"/>
      <c r="AZ65" s="305"/>
      <c r="BA65" s="304"/>
    </row>
    <row r="66" spans="1:53" x14ac:dyDescent="0.3">
      <c r="A66" s="85">
        <f t="shared" si="9"/>
        <v>59</v>
      </c>
      <c r="B66" s="709" t="str">
        <f>'Rev Req Proof Yr1'!B66</f>
        <v>42C Interr Sales</v>
      </c>
      <c r="C66" s="710" t="s">
        <v>4</v>
      </c>
      <c r="D66" s="156"/>
      <c r="E66" s="156">
        <f>ROUND('Allocation = ¢ per Therm'!K59,5)</f>
        <v>0</v>
      </c>
      <c r="F66" s="156">
        <f>ROUND('Allocation = % of Margin'!U56,5)</f>
        <v>-3.2799999999999999E-3</v>
      </c>
      <c r="G66" s="156">
        <f>ROUND('Allocation = % of Margin'!X56,5)</f>
        <v>-1.75E-3</v>
      </c>
      <c r="H66" s="156">
        <f>ROUND('Allocation = % of Margin'!AA56,5)</f>
        <v>6.2E-4</v>
      </c>
      <c r="I66" s="156">
        <f>ROUND('Allocation = % of Margin'!AG56,5)</f>
        <v>-3.2799999999999999E-3</v>
      </c>
      <c r="J66" s="156">
        <f>ROUND('Allocation = % of Margin'!AJ56,5)</f>
        <v>-1.75E-3</v>
      </c>
      <c r="K66" s="156">
        <f>ROUND('Allocation = % of Margin'!AM56,5)</f>
        <v>-1.8000000000000001E-4</v>
      </c>
      <c r="L66" s="156"/>
      <c r="M66" s="557">
        <f>'WA Volumes &amp; Revenues'!F57</f>
        <v>239999</v>
      </c>
      <c r="N66" s="293">
        <f>'Rev Req Proof Yr1'!R66</f>
        <v>240000</v>
      </c>
      <c r="O66" s="294">
        <f>'Rev Req Proof Yr1'!S66</f>
        <v>4620</v>
      </c>
      <c r="P66" s="295">
        <f>'Rev Req Proof Yr1'!T66</f>
        <v>2</v>
      </c>
      <c r="Q66" s="296">
        <f>'Rev Req Proof Yr1'!U66</f>
        <v>39322</v>
      </c>
      <c r="R66" s="156"/>
      <c r="S66" s="308">
        <f t="shared" ref="S66:S71" si="96">((E66)*N66)</f>
        <v>0</v>
      </c>
      <c r="T66" s="304">
        <v>0</v>
      </c>
      <c r="U66" s="309">
        <v>0</v>
      </c>
      <c r="V66" s="156"/>
      <c r="W66" s="308">
        <f>((F66)*N66)</f>
        <v>-787.19999999999993</v>
      </c>
      <c r="X66" s="304">
        <v>0</v>
      </c>
      <c r="Y66" s="309">
        <v>0</v>
      </c>
      <c r="Z66" s="156"/>
      <c r="AA66" s="308">
        <f t="shared" ref="AA66:AA71" si="97">((G66)*N66)</f>
        <v>-420</v>
      </c>
      <c r="AB66" s="304">
        <v>0</v>
      </c>
      <c r="AC66" s="309">
        <v>0</v>
      </c>
      <c r="AD66" s="304"/>
      <c r="AE66" s="308">
        <f t="shared" si="14"/>
        <v>148.80000000000001</v>
      </c>
      <c r="AF66" s="304">
        <v>0</v>
      </c>
      <c r="AG66" s="309">
        <v>0</v>
      </c>
      <c r="AH66" s="156"/>
      <c r="AI66" s="308">
        <f t="shared" si="15"/>
        <v>-787.19999999999993</v>
      </c>
      <c r="AJ66" s="304">
        <v>0</v>
      </c>
      <c r="AK66" s="309">
        <v>0</v>
      </c>
      <c r="AL66" s="156"/>
      <c r="AM66" s="308">
        <f t="shared" si="83"/>
        <v>-420</v>
      </c>
      <c r="AN66" s="304">
        <v>0</v>
      </c>
      <c r="AO66" s="309">
        <v>0</v>
      </c>
      <c r="AP66" s="304"/>
      <c r="AQ66" s="308">
        <f t="shared" si="16"/>
        <v>-43.2</v>
      </c>
      <c r="AR66" s="304">
        <v>0</v>
      </c>
      <c r="AS66" s="309">
        <v>0</v>
      </c>
      <c r="AT66" s="156"/>
      <c r="AU66" s="308">
        <f t="shared" ref="AU66:AU71" si="98">((E66+F66+G66+K66)*N66)</f>
        <v>-1250.3999999999999</v>
      </c>
      <c r="AV66" s="304">
        <v>0</v>
      </c>
      <c r="AW66" s="309">
        <v>0</v>
      </c>
      <c r="AX66" s="304"/>
      <c r="AY66" s="305"/>
      <c r="AZ66" s="305"/>
      <c r="BA66" s="304"/>
    </row>
    <row r="67" spans="1:53" x14ac:dyDescent="0.3">
      <c r="A67" s="85">
        <f t="shared" si="9"/>
        <v>60</v>
      </c>
      <c r="B67" s="709"/>
      <c r="C67" s="710" t="s">
        <v>5</v>
      </c>
      <c r="D67" s="156"/>
      <c r="E67" s="156">
        <f>ROUND('Allocation = ¢ per Therm'!K60,5)</f>
        <v>0</v>
      </c>
      <c r="F67" s="156">
        <f>ROUND('Allocation = % of Margin'!U57,5)</f>
        <v>-2.9399999999999999E-3</v>
      </c>
      <c r="G67" s="156">
        <f>ROUND('Allocation = % of Margin'!X57,5)</f>
        <v>-1.56E-3</v>
      </c>
      <c r="H67" s="156">
        <f>ROUND('Allocation = % of Margin'!AA57,5)</f>
        <v>5.5000000000000003E-4</v>
      </c>
      <c r="I67" s="156">
        <f>ROUND('Allocation = % of Margin'!AG57,5)</f>
        <v>-2.9399999999999999E-3</v>
      </c>
      <c r="J67" s="156">
        <f>ROUND('Allocation = % of Margin'!AJ57,5)</f>
        <v>-1.57E-3</v>
      </c>
      <c r="K67" s="156">
        <f>ROUND('Allocation = % of Margin'!AM57,5)</f>
        <v>-1.6000000000000001E-4</v>
      </c>
      <c r="L67" s="156"/>
      <c r="M67" s="557">
        <f>'WA Volumes &amp; Revenues'!F58</f>
        <v>454151</v>
      </c>
      <c r="N67" s="293">
        <f>'Rev Req Proof Yr1'!R67</f>
        <v>467511</v>
      </c>
      <c r="O67" s="294">
        <f>'Rev Req Proof Yr1'!S67</f>
        <v>0</v>
      </c>
      <c r="P67" s="295">
        <f>'Rev Req Proof Yr1'!T67</f>
        <v>0</v>
      </c>
      <c r="Q67" s="296">
        <f>'Rev Req Proof Yr1'!U67</f>
        <v>0</v>
      </c>
      <c r="R67" s="156"/>
      <c r="S67" s="308">
        <f t="shared" si="96"/>
        <v>0</v>
      </c>
      <c r="T67" s="304">
        <v>0</v>
      </c>
      <c r="U67" s="309">
        <v>0</v>
      </c>
      <c r="V67" s="156"/>
      <c r="W67" s="308">
        <f t="shared" ref="W67:W71" si="99">((F67)*N67)</f>
        <v>-1374.48234</v>
      </c>
      <c r="X67" s="304">
        <v>0</v>
      </c>
      <c r="Y67" s="309">
        <v>0</v>
      </c>
      <c r="Z67" s="156"/>
      <c r="AA67" s="308">
        <f t="shared" si="97"/>
        <v>-729.31715999999994</v>
      </c>
      <c r="AB67" s="304">
        <v>0</v>
      </c>
      <c r="AC67" s="309">
        <v>0</v>
      </c>
      <c r="AD67" s="304"/>
      <c r="AE67" s="308">
        <f t="shared" si="14"/>
        <v>257.13105000000002</v>
      </c>
      <c r="AF67" s="304">
        <v>0</v>
      </c>
      <c r="AG67" s="309">
        <v>0</v>
      </c>
      <c r="AH67" s="156"/>
      <c r="AI67" s="308">
        <f t="shared" si="15"/>
        <v>-1374.48234</v>
      </c>
      <c r="AJ67" s="304">
        <v>0</v>
      </c>
      <c r="AK67" s="309">
        <v>0</v>
      </c>
      <c r="AL67" s="156"/>
      <c r="AM67" s="308">
        <f t="shared" si="83"/>
        <v>-733.99226999999996</v>
      </c>
      <c r="AN67" s="304">
        <v>0</v>
      </c>
      <c r="AO67" s="309">
        <v>0</v>
      </c>
      <c r="AP67" s="304"/>
      <c r="AQ67" s="308">
        <f t="shared" si="16"/>
        <v>-74.801760000000002</v>
      </c>
      <c r="AR67" s="304">
        <v>0</v>
      </c>
      <c r="AS67" s="309">
        <v>0</v>
      </c>
      <c r="AT67" s="156"/>
      <c r="AU67" s="308">
        <f t="shared" si="98"/>
        <v>-2178.6012599999999</v>
      </c>
      <c r="AV67" s="304">
        <v>0</v>
      </c>
      <c r="AW67" s="309">
        <v>0</v>
      </c>
      <c r="AX67" s="304"/>
      <c r="AY67" s="305"/>
      <c r="AZ67" s="305"/>
      <c r="BA67" s="304"/>
    </row>
    <row r="68" spans="1:53" x14ac:dyDescent="0.3">
      <c r="A68" s="85">
        <f t="shared" si="9"/>
        <v>61</v>
      </c>
      <c r="B68" s="709"/>
      <c r="C68" s="710" t="s">
        <v>6</v>
      </c>
      <c r="D68" s="156"/>
      <c r="E68" s="156">
        <f>ROUND('Allocation = ¢ per Therm'!K61,5)</f>
        <v>0</v>
      </c>
      <c r="F68" s="156">
        <f>ROUND('Allocation = % of Margin'!U58,5)</f>
        <v>-2.2499999999999998E-3</v>
      </c>
      <c r="G68" s="156">
        <f>ROUND('Allocation = % of Margin'!X58,5)</f>
        <v>-1.1999999999999999E-3</v>
      </c>
      <c r="H68" s="156">
        <f>ROUND('Allocation = % of Margin'!AA58,5)</f>
        <v>4.2000000000000002E-4</v>
      </c>
      <c r="I68" s="156">
        <f>ROUND('Allocation = % of Margin'!AG58,5)</f>
        <v>-2.2499999999999998E-3</v>
      </c>
      <c r="J68" s="156">
        <f>ROUND('Allocation = % of Margin'!AJ58,5)</f>
        <v>-1.1999999999999999E-3</v>
      </c>
      <c r="K68" s="156">
        <f>ROUND('Allocation = % of Margin'!AM58,5)</f>
        <v>-1.2E-4</v>
      </c>
      <c r="L68" s="156"/>
      <c r="M68" s="557">
        <f>'WA Volumes &amp; Revenues'!F59</f>
        <v>230285</v>
      </c>
      <c r="N68" s="293">
        <f>'Rev Req Proof Yr1'!R68</f>
        <v>218004</v>
      </c>
      <c r="O68" s="294">
        <f>'Rev Req Proof Yr1'!S68</f>
        <v>0</v>
      </c>
      <c r="P68" s="295">
        <f>'Rev Req Proof Yr1'!T68</f>
        <v>0</v>
      </c>
      <c r="Q68" s="296">
        <f>'Rev Req Proof Yr1'!U68</f>
        <v>0</v>
      </c>
      <c r="R68" s="156"/>
      <c r="S68" s="308">
        <f t="shared" si="96"/>
        <v>0</v>
      </c>
      <c r="T68" s="304">
        <v>0</v>
      </c>
      <c r="U68" s="309">
        <v>0</v>
      </c>
      <c r="V68" s="156"/>
      <c r="W68" s="308">
        <f t="shared" si="99"/>
        <v>-490.50899999999996</v>
      </c>
      <c r="X68" s="304">
        <v>0</v>
      </c>
      <c r="Y68" s="309">
        <v>0</v>
      </c>
      <c r="Z68" s="156"/>
      <c r="AA68" s="308">
        <f t="shared" si="97"/>
        <v>-261.60479999999995</v>
      </c>
      <c r="AB68" s="304">
        <v>0</v>
      </c>
      <c r="AC68" s="309">
        <v>0</v>
      </c>
      <c r="AD68" s="304"/>
      <c r="AE68" s="308">
        <f t="shared" si="14"/>
        <v>91.56168000000001</v>
      </c>
      <c r="AF68" s="304">
        <v>0</v>
      </c>
      <c r="AG68" s="309">
        <v>0</v>
      </c>
      <c r="AH68" s="156"/>
      <c r="AI68" s="308">
        <f t="shared" si="15"/>
        <v>-490.50899999999996</v>
      </c>
      <c r="AJ68" s="304">
        <v>0</v>
      </c>
      <c r="AK68" s="309">
        <v>0</v>
      </c>
      <c r="AL68" s="156"/>
      <c r="AM68" s="308">
        <f t="shared" si="83"/>
        <v>-261.60479999999995</v>
      </c>
      <c r="AN68" s="304">
        <v>0</v>
      </c>
      <c r="AO68" s="309">
        <v>0</v>
      </c>
      <c r="AP68" s="304"/>
      <c r="AQ68" s="308">
        <f t="shared" si="16"/>
        <v>-26.16048</v>
      </c>
      <c r="AR68" s="304">
        <v>0</v>
      </c>
      <c r="AS68" s="309">
        <v>0</v>
      </c>
      <c r="AT68" s="156"/>
      <c r="AU68" s="308">
        <f t="shared" si="98"/>
        <v>-778.27427999999998</v>
      </c>
      <c r="AV68" s="304">
        <v>0</v>
      </c>
      <c r="AW68" s="309">
        <v>0</v>
      </c>
      <c r="AX68" s="304"/>
      <c r="AY68" s="305"/>
      <c r="AZ68" s="305"/>
      <c r="BA68" s="304"/>
    </row>
    <row r="69" spans="1:53" x14ac:dyDescent="0.3">
      <c r="A69" s="85">
        <f t="shared" si="9"/>
        <v>62</v>
      </c>
      <c r="B69" s="709"/>
      <c r="C69" s="710" t="s">
        <v>7</v>
      </c>
      <c r="D69" s="156"/>
      <c r="E69" s="156">
        <f>ROUND('Allocation = ¢ per Therm'!K62,5)</f>
        <v>0</v>
      </c>
      <c r="F69" s="156">
        <f>ROUND('Allocation = % of Margin'!U59,5)</f>
        <v>-1.8E-3</v>
      </c>
      <c r="G69" s="156">
        <f>ROUND('Allocation = % of Margin'!X59,5)</f>
        <v>-9.6000000000000002E-4</v>
      </c>
      <c r="H69" s="156">
        <f>ROUND('Allocation = % of Margin'!AA59,5)</f>
        <v>3.4000000000000002E-4</v>
      </c>
      <c r="I69" s="156">
        <f>ROUND('Allocation = % of Margin'!AG59,5)</f>
        <v>-1.8E-3</v>
      </c>
      <c r="J69" s="156">
        <f>ROUND('Allocation = % of Margin'!AJ59,5)</f>
        <v>-9.6000000000000002E-4</v>
      </c>
      <c r="K69" s="156">
        <f>ROUND('Allocation = % of Margin'!AM59,5)</f>
        <v>-1E-4</v>
      </c>
      <c r="L69" s="156"/>
      <c r="M69" s="557">
        <f>'WA Volumes &amp; Revenues'!F60</f>
        <v>26942</v>
      </c>
      <c r="N69" s="293">
        <f>'Rev Req Proof Yr1'!R69</f>
        <v>18208</v>
      </c>
      <c r="O69" s="294">
        <f>'Rev Req Proof Yr1'!S69</f>
        <v>0</v>
      </c>
      <c r="P69" s="295">
        <f>'Rev Req Proof Yr1'!T69</f>
        <v>0</v>
      </c>
      <c r="Q69" s="296">
        <f>'Rev Req Proof Yr1'!U69</f>
        <v>0</v>
      </c>
      <c r="R69" s="156"/>
      <c r="S69" s="308">
        <f t="shared" si="96"/>
        <v>0</v>
      </c>
      <c r="T69" s="304">
        <v>0</v>
      </c>
      <c r="U69" s="309">
        <v>0</v>
      </c>
      <c r="V69" s="156"/>
      <c r="W69" s="308">
        <f t="shared" si="99"/>
        <v>-32.7744</v>
      </c>
      <c r="X69" s="304">
        <v>0</v>
      </c>
      <c r="Y69" s="309">
        <v>0</v>
      </c>
      <c r="Z69" s="156"/>
      <c r="AA69" s="308">
        <f t="shared" si="97"/>
        <v>-17.479680000000002</v>
      </c>
      <c r="AB69" s="304">
        <v>0</v>
      </c>
      <c r="AC69" s="309">
        <v>0</v>
      </c>
      <c r="AD69" s="304"/>
      <c r="AE69" s="308">
        <f t="shared" si="14"/>
        <v>6.1907200000000007</v>
      </c>
      <c r="AF69" s="304">
        <v>0</v>
      </c>
      <c r="AG69" s="309">
        <v>0</v>
      </c>
      <c r="AH69" s="156"/>
      <c r="AI69" s="308">
        <f t="shared" si="15"/>
        <v>-32.7744</v>
      </c>
      <c r="AJ69" s="304">
        <v>0</v>
      </c>
      <c r="AK69" s="309">
        <v>0</v>
      </c>
      <c r="AL69" s="156"/>
      <c r="AM69" s="308">
        <f t="shared" si="83"/>
        <v>-17.479680000000002</v>
      </c>
      <c r="AN69" s="304">
        <v>0</v>
      </c>
      <c r="AO69" s="309">
        <v>0</v>
      </c>
      <c r="AP69" s="304"/>
      <c r="AQ69" s="308">
        <f t="shared" si="16"/>
        <v>-1.8208000000000002</v>
      </c>
      <c r="AR69" s="304">
        <v>0</v>
      </c>
      <c r="AS69" s="309">
        <v>0</v>
      </c>
      <c r="AT69" s="156"/>
      <c r="AU69" s="308">
        <f t="shared" si="98"/>
        <v>-52.074879999999993</v>
      </c>
      <c r="AV69" s="304">
        <v>0</v>
      </c>
      <c r="AW69" s="309">
        <v>0</v>
      </c>
      <c r="AX69" s="304"/>
      <c r="AY69" s="305"/>
      <c r="AZ69" s="305"/>
      <c r="BA69" s="304"/>
    </row>
    <row r="70" spans="1:53" x14ac:dyDescent="0.3">
      <c r="A70" s="85">
        <f t="shared" si="9"/>
        <v>63</v>
      </c>
      <c r="B70" s="709"/>
      <c r="C70" s="710" t="s">
        <v>8</v>
      </c>
      <c r="D70" s="156"/>
      <c r="E70" s="156">
        <f>ROUND('Allocation = ¢ per Therm'!K63,5)</f>
        <v>0</v>
      </c>
      <c r="F70" s="156">
        <f>ROUND('Allocation = % of Margin'!U60,5)</f>
        <v>-1.1999999999999999E-3</v>
      </c>
      <c r="G70" s="156">
        <f>ROUND('Allocation = % of Margin'!X60,5)</f>
        <v>-6.4000000000000005E-4</v>
      </c>
      <c r="H70" s="156">
        <f>ROUND('Allocation = % of Margin'!AA60,5)</f>
        <v>2.3000000000000001E-4</v>
      </c>
      <c r="I70" s="156">
        <f>ROUND('Allocation = % of Margin'!AG60,5)</f>
        <v>-1.1999999999999999E-3</v>
      </c>
      <c r="J70" s="156">
        <f>ROUND('Allocation = % of Margin'!AJ60,5)</f>
        <v>-6.4000000000000005E-4</v>
      </c>
      <c r="K70" s="156">
        <f>ROUND('Allocation = % of Margin'!AM60,5)</f>
        <v>-6.9999999999999994E-5</v>
      </c>
      <c r="L70" s="156"/>
      <c r="M70" s="557">
        <f>'WA Volumes &amp; Revenues'!F61</f>
        <v>0</v>
      </c>
      <c r="N70" s="293">
        <f>'Rev Req Proof Yr1'!R70</f>
        <v>0</v>
      </c>
      <c r="O70" s="294">
        <f>'Rev Req Proof Yr1'!S70</f>
        <v>0</v>
      </c>
      <c r="P70" s="295">
        <f>'Rev Req Proof Yr1'!T70</f>
        <v>0</v>
      </c>
      <c r="Q70" s="296">
        <f>'Rev Req Proof Yr1'!U70</f>
        <v>0</v>
      </c>
      <c r="R70" s="156"/>
      <c r="S70" s="308">
        <f t="shared" si="96"/>
        <v>0</v>
      </c>
      <c r="T70" s="304">
        <v>0</v>
      </c>
      <c r="U70" s="309">
        <v>0</v>
      </c>
      <c r="V70" s="156"/>
      <c r="W70" s="308">
        <f t="shared" si="99"/>
        <v>0</v>
      </c>
      <c r="X70" s="304">
        <v>0</v>
      </c>
      <c r="Y70" s="309">
        <v>0</v>
      </c>
      <c r="Z70" s="156"/>
      <c r="AA70" s="308">
        <f t="shared" si="97"/>
        <v>0</v>
      </c>
      <c r="AB70" s="304">
        <v>0</v>
      </c>
      <c r="AC70" s="309">
        <v>0</v>
      </c>
      <c r="AD70" s="304"/>
      <c r="AE70" s="308">
        <f t="shared" si="14"/>
        <v>0</v>
      </c>
      <c r="AF70" s="304">
        <v>0</v>
      </c>
      <c r="AG70" s="309">
        <v>0</v>
      </c>
      <c r="AH70" s="156"/>
      <c r="AI70" s="308">
        <f t="shared" si="15"/>
        <v>0</v>
      </c>
      <c r="AJ70" s="304">
        <v>0</v>
      </c>
      <c r="AK70" s="309">
        <v>0</v>
      </c>
      <c r="AL70" s="156"/>
      <c r="AM70" s="308">
        <f t="shared" si="83"/>
        <v>0</v>
      </c>
      <c r="AN70" s="304">
        <v>0</v>
      </c>
      <c r="AO70" s="309">
        <v>0</v>
      </c>
      <c r="AP70" s="304"/>
      <c r="AQ70" s="308">
        <f t="shared" si="16"/>
        <v>0</v>
      </c>
      <c r="AR70" s="304">
        <v>0</v>
      </c>
      <c r="AS70" s="309">
        <v>0</v>
      </c>
      <c r="AT70" s="156"/>
      <c r="AU70" s="308">
        <f t="shared" si="98"/>
        <v>0</v>
      </c>
      <c r="AV70" s="304">
        <v>0</v>
      </c>
      <c r="AW70" s="309">
        <v>0</v>
      </c>
      <c r="AX70" s="304"/>
      <c r="AY70" s="305"/>
      <c r="AZ70" s="305"/>
      <c r="BA70" s="304"/>
    </row>
    <row r="71" spans="1:53" x14ac:dyDescent="0.3">
      <c r="A71" s="85">
        <f t="shared" si="9"/>
        <v>64</v>
      </c>
      <c r="B71" s="709"/>
      <c r="C71" s="710" t="s">
        <v>9</v>
      </c>
      <c r="D71" s="156"/>
      <c r="E71" s="156">
        <f>ROUND('Allocation = ¢ per Therm'!K64,5)</f>
        <v>0</v>
      </c>
      <c r="F71" s="156">
        <f>ROUND('Allocation = % of Margin'!U61,5)</f>
        <v>-4.4999999999999999E-4</v>
      </c>
      <c r="G71" s="156">
        <f>ROUND('Allocation = % of Margin'!X61,5)</f>
        <v>-2.4000000000000001E-4</v>
      </c>
      <c r="H71" s="156">
        <f>ROUND('Allocation = % of Margin'!AA61,5)</f>
        <v>8.0000000000000007E-5</v>
      </c>
      <c r="I71" s="156">
        <f>ROUND('Allocation = % of Margin'!AG61,5)</f>
        <v>-4.4999999999999999E-4</v>
      </c>
      <c r="J71" s="156">
        <f>ROUND('Allocation = % of Margin'!AJ61,5)</f>
        <v>-2.4000000000000001E-4</v>
      </c>
      <c r="K71" s="156">
        <f>ROUND('Allocation = % of Margin'!AM61,5)</f>
        <v>-2.0000000000000002E-5</v>
      </c>
      <c r="L71" s="156"/>
      <c r="M71" s="557">
        <f>'WA Volumes &amp; Revenues'!F62</f>
        <v>0</v>
      </c>
      <c r="N71" s="293">
        <f>'Rev Req Proof Yr1'!R71</f>
        <v>0</v>
      </c>
      <c r="O71" s="294">
        <f>'Rev Req Proof Yr1'!S71</f>
        <v>0</v>
      </c>
      <c r="P71" s="295">
        <f>'Rev Req Proof Yr1'!T71</f>
        <v>0</v>
      </c>
      <c r="Q71" s="296">
        <f>'Rev Req Proof Yr1'!U71</f>
        <v>0</v>
      </c>
      <c r="R71" s="156"/>
      <c r="S71" s="308">
        <f t="shared" si="96"/>
        <v>0</v>
      </c>
      <c r="T71" s="304">
        <v>0</v>
      </c>
      <c r="U71" s="309">
        <v>0</v>
      </c>
      <c r="V71" s="156"/>
      <c r="W71" s="308">
        <f t="shared" si="99"/>
        <v>0</v>
      </c>
      <c r="X71" s="304">
        <v>0</v>
      </c>
      <c r="Y71" s="309">
        <v>0</v>
      </c>
      <c r="Z71" s="156"/>
      <c r="AA71" s="308">
        <f t="shared" si="97"/>
        <v>0</v>
      </c>
      <c r="AB71" s="304">
        <v>0</v>
      </c>
      <c r="AC71" s="309">
        <v>0</v>
      </c>
      <c r="AD71" s="304"/>
      <c r="AE71" s="308">
        <f t="shared" si="14"/>
        <v>0</v>
      </c>
      <c r="AF71" s="304">
        <v>0</v>
      </c>
      <c r="AG71" s="309">
        <v>0</v>
      </c>
      <c r="AH71" s="156"/>
      <c r="AI71" s="308">
        <f t="shared" si="15"/>
        <v>0</v>
      </c>
      <c r="AJ71" s="304">
        <v>0</v>
      </c>
      <c r="AK71" s="309">
        <v>0</v>
      </c>
      <c r="AL71" s="156"/>
      <c r="AM71" s="308">
        <f t="shared" si="83"/>
        <v>0</v>
      </c>
      <c r="AN71" s="304">
        <v>0</v>
      </c>
      <c r="AO71" s="309">
        <v>0</v>
      </c>
      <c r="AP71" s="304"/>
      <c r="AQ71" s="308">
        <f t="shared" si="16"/>
        <v>0</v>
      </c>
      <c r="AR71" s="304">
        <v>0</v>
      </c>
      <c r="AS71" s="309">
        <v>0</v>
      </c>
      <c r="AT71" s="156"/>
      <c r="AU71" s="308">
        <f t="shared" si="98"/>
        <v>0</v>
      </c>
      <c r="AV71" s="304">
        <v>0</v>
      </c>
      <c r="AW71" s="309">
        <v>0</v>
      </c>
      <c r="AX71" s="304"/>
      <c r="AY71" s="305"/>
      <c r="AZ71" s="305"/>
      <c r="BA71" s="304"/>
    </row>
    <row r="72" spans="1:53" x14ac:dyDescent="0.3">
      <c r="A72" s="85">
        <f t="shared" si="9"/>
        <v>65</v>
      </c>
      <c r="B72" s="707"/>
      <c r="C72" s="726" t="s">
        <v>76</v>
      </c>
      <c r="D72" s="152"/>
      <c r="E72" s="152"/>
      <c r="F72" s="152"/>
      <c r="G72" s="794"/>
      <c r="H72" s="794"/>
      <c r="I72" s="794"/>
      <c r="J72" s="794"/>
      <c r="K72" s="794"/>
      <c r="L72" s="152"/>
      <c r="M72" s="557"/>
      <c r="N72" s="293"/>
      <c r="O72" s="294"/>
      <c r="P72" s="295"/>
      <c r="Q72" s="296"/>
      <c r="R72" s="156"/>
      <c r="S72" s="310">
        <f>SUM(S66:S71)</f>
        <v>0</v>
      </c>
      <c r="T72" s="311">
        <f>SUM(T66:T71)</f>
        <v>0</v>
      </c>
      <c r="U72" s="312">
        <f>SUM(U66:U71)</f>
        <v>0</v>
      </c>
      <c r="V72" s="156"/>
      <c r="W72" s="310">
        <f>SUM(W66:W71)</f>
        <v>-2684.9657399999996</v>
      </c>
      <c r="X72" s="311">
        <f>SUM(X66:X71)</f>
        <v>0</v>
      </c>
      <c r="Y72" s="312">
        <f>SUM(Y66:Y71)</f>
        <v>0</v>
      </c>
      <c r="Z72" s="156"/>
      <c r="AA72" s="310">
        <f>SUM(AA66:AA71)</f>
        <v>-1428.40164</v>
      </c>
      <c r="AB72" s="311">
        <f>SUM(AB66:AB71)</f>
        <v>0</v>
      </c>
      <c r="AC72" s="312">
        <f>SUM(AC66:AC71)</f>
        <v>0</v>
      </c>
      <c r="AD72" s="323"/>
      <c r="AE72" s="310">
        <f>SUM(AE66:AE71)</f>
        <v>503.68345000000005</v>
      </c>
      <c r="AF72" s="311">
        <f>SUM(AF66:AF71)</f>
        <v>0</v>
      </c>
      <c r="AG72" s="312">
        <f>SUM(AG66:AG71)</f>
        <v>0</v>
      </c>
      <c r="AH72" s="156"/>
      <c r="AI72" s="310">
        <f>SUM(AI66:AI71)</f>
        <v>-2684.9657399999996</v>
      </c>
      <c r="AJ72" s="311">
        <f>SUM(AJ66:AJ71)</f>
        <v>0</v>
      </c>
      <c r="AK72" s="312">
        <f>SUM(AK66:AK71)</f>
        <v>0</v>
      </c>
      <c r="AL72" s="156"/>
      <c r="AM72" s="310">
        <f>SUM(AM66:AM71)</f>
        <v>-1433.0767499999997</v>
      </c>
      <c r="AN72" s="311">
        <f>SUM(AN66:AN71)</f>
        <v>0</v>
      </c>
      <c r="AO72" s="312">
        <f>SUM(AO66:AO71)</f>
        <v>0</v>
      </c>
      <c r="AP72" s="323"/>
      <c r="AQ72" s="310">
        <f>SUM(AQ66:AQ71)</f>
        <v>-145.98303999999999</v>
      </c>
      <c r="AR72" s="311">
        <f>SUM(AR66:AR71)</f>
        <v>0</v>
      </c>
      <c r="AS72" s="312">
        <f>SUM(AS66:AS71)</f>
        <v>0</v>
      </c>
      <c r="AT72" s="156"/>
      <c r="AU72" s="310">
        <f>SUM(AU66:AU71)</f>
        <v>-4259.3504199999998</v>
      </c>
      <c r="AV72" s="311">
        <f>SUM(AV66:AV71)</f>
        <v>0</v>
      </c>
      <c r="AW72" s="312">
        <f>SUM(AW66:AW71)</f>
        <v>0</v>
      </c>
      <c r="AX72" s="304"/>
      <c r="AY72" s="314"/>
      <c r="AZ72" s="305"/>
      <c r="BA72" s="304"/>
    </row>
    <row r="73" spans="1:53" x14ac:dyDescent="0.3">
      <c r="A73" s="85">
        <f t="shared" si="9"/>
        <v>66</v>
      </c>
      <c r="B73" s="709" t="str">
        <f>'Rev Req Proof Yr1'!B73</f>
        <v>42I Interr Sales</v>
      </c>
      <c r="C73" s="710" t="s">
        <v>4</v>
      </c>
      <c r="D73" s="156"/>
      <c r="E73" s="156">
        <f>ROUND('Allocation = ¢ per Therm'!K65,5)</f>
        <v>0</v>
      </c>
      <c r="F73" s="156">
        <f>ROUND('Allocation = % of Margin'!U62,5)</f>
        <v>0</v>
      </c>
      <c r="G73" s="156">
        <f>ROUND('Allocation = % of Margin'!X62,5)</f>
        <v>-2.2799999999999999E-3</v>
      </c>
      <c r="H73" s="156">
        <f>ROUND('Allocation = % of Margin'!AA62,5)</f>
        <v>8.0000000000000004E-4</v>
      </c>
      <c r="I73" s="156">
        <f>ROUND('Allocation = % of Margin'!AG62,5)</f>
        <v>0</v>
      </c>
      <c r="J73" s="156">
        <f>ROUND('Allocation = % of Margin'!AJ62,5)</f>
        <v>-2.2100000000000002E-3</v>
      </c>
      <c r="K73" s="156">
        <f>ROUND('Allocation = % of Margin'!AM62,5)</f>
        <v>-2.2000000000000001E-4</v>
      </c>
      <c r="L73" s="156"/>
      <c r="M73" s="557">
        <f>'WA Volumes &amp; Revenues'!F63</f>
        <v>160966</v>
      </c>
      <c r="N73" s="293">
        <f>'Rev Req Proof Yr1'!R73</f>
        <v>156740</v>
      </c>
      <c r="O73" s="294">
        <f>'Rev Req Proof Yr1'!S73</f>
        <v>2934</v>
      </c>
      <c r="P73" s="295">
        <f>'Rev Req Proof Yr1'!T73</f>
        <v>1.9166666666666701</v>
      </c>
      <c r="Q73" s="296">
        <f>'Rev Req Proof Yr1'!U73</f>
        <v>13758</v>
      </c>
      <c r="R73" s="156"/>
      <c r="S73" s="308">
        <f t="shared" ref="S73:S78" si="100">((E73)*N73)</f>
        <v>0</v>
      </c>
      <c r="T73" s="304">
        <v>0</v>
      </c>
      <c r="U73" s="309">
        <v>0</v>
      </c>
      <c r="V73" s="156"/>
      <c r="W73" s="308">
        <f>((F73)*N73)</f>
        <v>0</v>
      </c>
      <c r="X73" s="304">
        <v>0</v>
      </c>
      <c r="Y73" s="309">
        <v>0</v>
      </c>
      <c r="Z73" s="156"/>
      <c r="AA73" s="308">
        <f t="shared" ref="AA73:AA78" si="101">((G73)*N73)</f>
        <v>-357.36719999999997</v>
      </c>
      <c r="AB73" s="304">
        <v>0</v>
      </c>
      <c r="AC73" s="309">
        <v>0</v>
      </c>
      <c r="AD73" s="304"/>
      <c r="AE73" s="308">
        <f t="shared" si="14"/>
        <v>125.39200000000001</v>
      </c>
      <c r="AF73" s="304">
        <v>0</v>
      </c>
      <c r="AG73" s="309">
        <v>0</v>
      </c>
      <c r="AH73" s="156"/>
      <c r="AI73" s="308">
        <f t="shared" si="15"/>
        <v>0</v>
      </c>
      <c r="AJ73" s="304">
        <v>0</v>
      </c>
      <c r="AK73" s="309">
        <v>0</v>
      </c>
      <c r="AL73" s="156"/>
      <c r="AM73" s="308">
        <f t="shared" si="83"/>
        <v>-346.39540000000005</v>
      </c>
      <c r="AN73" s="304">
        <v>0</v>
      </c>
      <c r="AO73" s="309">
        <v>0</v>
      </c>
      <c r="AP73" s="304"/>
      <c r="AQ73" s="308">
        <f t="shared" si="16"/>
        <v>-34.482800000000005</v>
      </c>
      <c r="AR73" s="304">
        <v>0</v>
      </c>
      <c r="AS73" s="309">
        <v>0</v>
      </c>
      <c r="AT73" s="156"/>
      <c r="AU73" s="308">
        <f t="shared" ref="AU73:AU78" si="102">((E73+F73+G73+K73)*N73)</f>
        <v>-391.85</v>
      </c>
      <c r="AV73" s="304">
        <v>0</v>
      </c>
      <c r="AW73" s="309">
        <v>0</v>
      </c>
      <c r="AX73" s="304"/>
      <c r="AY73" s="305"/>
      <c r="AZ73" s="305"/>
      <c r="BA73" s="304"/>
    </row>
    <row r="74" spans="1:53" x14ac:dyDescent="0.3">
      <c r="A74" s="85">
        <f t="shared" ref="A74:A102" si="103">+A73+1</f>
        <v>67</v>
      </c>
      <c r="B74" s="709"/>
      <c r="C74" s="710" t="s">
        <v>5</v>
      </c>
      <c r="D74" s="156"/>
      <c r="E74" s="156">
        <f>ROUND('Allocation = ¢ per Therm'!K66,5)</f>
        <v>0</v>
      </c>
      <c r="F74" s="156">
        <f>ROUND('Allocation = % of Margin'!U63,5)</f>
        <v>0</v>
      </c>
      <c r="G74" s="156">
        <f>ROUND('Allocation = % of Margin'!X63,5)</f>
        <v>-2.0400000000000001E-3</v>
      </c>
      <c r="H74" s="156">
        <f>ROUND('Allocation = % of Margin'!AA63,5)</f>
        <v>7.2000000000000005E-4</v>
      </c>
      <c r="I74" s="156">
        <f>ROUND('Allocation = % of Margin'!AG63,5)</f>
        <v>0</v>
      </c>
      <c r="J74" s="156">
        <f>ROUND('Allocation = % of Margin'!AJ63,5)</f>
        <v>-1.97E-3</v>
      </c>
      <c r="K74" s="156">
        <f>ROUND('Allocation = % of Margin'!AM63,5)</f>
        <v>-2.0000000000000001E-4</v>
      </c>
      <c r="L74" s="156"/>
      <c r="M74" s="557">
        <f>'WA Volumes &amp; Revenues'!F64</f>
        <v>145741</v>
      </c>
      <c r="N74" s="293">
        <f>'Rev Req Proof Yr1'!R74</f>
        <v>159690</v>
      </c>
      <c r="O74" s="294">
        <f>'Rev Req Proof Yr1'!S74</f>
        <v>0</v>
      </c>
      <c r="P74" s="295">
        <f>'Rev Req Proof Yr1'!T74</f>
        <v>0</v>
      </c>
      <c r="Q74" s="296">
        <f>'Rev Req Proof Yr1'!U74</f>
        <v>0</v>
      </c>
      <c r="R74" s="156"/>
      <c r="S74" s="308">
        <f t="shared" si="100"/>
        <v>0</v>
      </c>
      <c r="T74" s="304">
        <v>0</v>
      </c>
      <c r="U74" s="309">
        <v>0</v>
      </c>
      <c r="V74" s="156"/>
      <c r="W74" s="308">
        <f t="shared" ref="W74:W78" si="104">((F74)*N74)</f>
        <v>0</v>
      </c>
      <c r="X74" s="304">
        <v>0</v>
      </c>
      <c r="Y74" s="309">
        <v>0</v>
      </c>
      <c r="Z74" s="156"/>
      <c r="AA74" s="308">
        <f t="shared" si="101"/>
        <v>-325.76760000000002</v>
      </c>
      <c r="AB74" s="304">
        <v>0</v>
      </c>
      <c r="AC74" s="309">
        <v>0</v>
      </c>
      <c r="AD74" s="304"/>
      <c r="AE74" s="308">
        <f t="shared" si="14"/>
        <v>114.97680000000001</v>
      </c>
      <c r="AF74" s="304">
        <v>0</v>
      </c>
      <c r="AG74" s="309">
        <v>0</v>
      </c>
      <c r="AH74" s="156"/>
      <c r="AI74" s="308">
        <f t="shared" si="15"/>
        <v>0</v>
      </c>
      <c r="AJ74" s="304">
        <v>0</v>
      </c>
      <c r="AK74" s="309">
        <v>0</v>
      </c>
      <c r="AL74" s="156"/>
      <c r="AM74" s="308">
        <f t="shared" si="83"/>
        <v>-314.58929999999998</v>
      </c>
      <c r="AN74" s="304">
        <v>0</v>
      </c>
      <c r="AO74" s="309">
        <v>0</v>
      </c>
      <c r="AP74" s="304"/>
      <c r="AQ74" s="308">
        <f t="shared" si="16"/>
        <v>-31.938000000000002</v>
      </c>
      <c r="AR74" s="304">
        <v>0</v>
      </c>
      <c r="AS74" s="309">
        <v>0</v>
      </c>
      <c r="AT74" s="156"/>
      <c r="AU74" s="308">
        <f t="shared" si="102"/>
        <v>-357.70560000000006</v>
      </c>
      <c r="AV74" s="304">
        <v>0</v>
      </c>
      <c r="AW74" s="309">
        <v>0</v>
      </c>
      <c r="AX74" s="304"/>
      <c r="AY74" s="305"/>
      <c r="AZ74" s="305"/>
      <c r="BA74" s="304"/>
    </row>
    <row r="75" spans="1:53" x14ac:dyDescent="0.3">
      <c r="A75" s="85">
        <f t="shared" si="103"/>
        <v>68</v>
      </c>
      <c r="B75" s="709"/>
      <c r="C75" s="710" t="s">
        <v>6</v>
      </c>
      <c r="D75" s="156"/>
      <c r="E75" s="156">
        <f>ROUND('Allocation = ¢ per Therm'!K67,5)</f>
        <v>0</v>
      </c>
      <c r="F75" s="156">
        <f>ROUND('Allocation = % of Margin'!U64,5)</f>
        <v>0</v>
      </c>
      <c r="G75" s="156">
        <f>ROUND('Allocation = % of Margin'!X64,5)</f>
        <v>-1.56E-3</v>
      </c>
      <c r="H75" s="156">
        <f>ROUND('Allocation = % of Margin'!AA64,5)</f>
        <v>5.5000000000000003E-4</v>
      </c>
      <c r="I75" s="156">
        <f>ROUND('Allocation = % of Margin'!AG64,5)</f>
        <v>0</v>
      </c>
      <c r="J75" s="156">
        <f>ROUND('Allocation = % of Margin'!AJ64,5)</f>
        <v>-1.5100000000000001E-3</v>
      </c>
      <c r="K75" s="156">
        <f>ROUND('Allocation = % of Margin'!AM64,5)</f>
        <v>-1.4999999999999999E-4</v>
      </c>
      <c r="L75" s="156"/>
      <c r="M75" s="557">
        <f>'WA Volumes &amp; Revenues'!F65</f>
        <v>0</v>
      </c>
      <c r="N75" s="293">
        <f>'Rev Req Proof Yr1'!R75</f>
        <v>0</v>
      </c>
      <c r="O75" s="294">
        <f>'Rev Req Proof Yr1'!S75</f>
        <v>0</v>
      </c>
      <c r="P75" s="295">
        <f>'Rev Req Proof Yr1'!T75</f>
        <v>0</v>
      </c>
      <c r="Q75" s="296">
        <f>'Rev Req Proof Yr1'!U75</f>
        <v>0</v>
      </c>
      <c r="R75" s="156"/>
      <c r="S75" s="308">
        <f t="shared" si="100"/>
        <v>0</v>
      </c>
      <c r="T75" s="304">
        <v>0</v>
      </c>
      <c r="U75" s="309">
        <v>0</v>
      </c>
      <c r="V75" s="156"/>
      <c r="W75" s="308">
        <f t="shared" si="104"/>
        <v>0</v>
      </c>
      <c r="X75" s="304">
        <v>0</v>
      </c>
      <c r="Y75" s="309">
        <v>0</v>
      </c>
      <c r="Z75" s="156"/>
      <c r="AA75" s="308">
        <f t="shared" si="101"/>
        <v>0</v>
      </c>
      <c r="AB75" s="304">
        <v>0</v>
      </c>
      <c r="AC75" s="309">
        <v>0</v>
      </c>
      <c r="AD75" s="304"/>
      <c r="AE75" s="308">
        <f t="shared" si="14"/>
        <v>0</v>
      </c>
      <c r="AF75" s="304">
        <v>0</v>
      </c>
      <c r="AG75" s="309">
        <v>0</v>
      </c>
      <c r="AH75" s="156"/>
      <c r="AI75" s="308">
        <f t="shared" si="15"/>
        <v>0</v>
      </c>
      <c r="AJ75" s="304">
        <v>0</v>
      </c>
      <c r="AK75" s="309">
        <v>0</v>
      </c>
      <c r="AL75" s="156"/>
      <c r="AM75" s="308">
        <f t="shared" si="83"/>
        <v>0</v>
      </c>
      <c r="AN75" s="304">
        <v>0</v>
      </c>
      <c r="AO75" s="309">
        <v>0</v>
      </c>
      <c r="AP75" s="304"/>
      <c r="AQ75" s="308">
        <f t="shared" si="16"/>
        <v>0</v>
      </c>
      <c r="AR75" s="304">
        <v>0</v>
      </c>
      <c r="AS75" s="309">
        <v>0</v>
      </c>
      <c r="AT75" s="156"/>
      <c r="AU75" s="308">
        <f t="shared" si="102"/>
        <v>0</v>
      </c>
      <c r="AV75" s="304">
        <v>0</v>
      </c>
      <c r="AW75" s="309">
        <v>0</v>
      </c>
      <c r="AX75" s="304"/>
      <c r="AY75" s="305"/>
      <c r="AZ75" s="305"/>
      <c r="BA75" s="304"/>
    </row>
    <row r="76" spans="1:53" x14ac:dyDescent="0.3">
      <c r="A76" s="85">
        <f t="shared" si="103"/>
        <v>69</v>
      </c>
      <c r="B76" s="709"/>
      <c r="C76" s="710" t="s">
        <v>7</v>
      </c>
      <c r="D76" s="156"/>
      <c r="E76" s="156">
        <f>ROUND('Allocation = ¢ per Therm'!K68,5)</f>
        <v>0</v>
      </c>
      <c r="F76" s="156">
        <f>ROUND('Allocation = % of Margin'!U65,5)</f>
        <v>0</v>
      </c>
      <c r="G76" s="156">
        <f>ROUND('Allocation = % of Margin'!X65,5)</f>
        <v>-1.25E-3</v>
      </c>
      <c r="H76" s="156">
        <f>ROUND('Allocation = % of Margin'!AA65,5)</f>
        <v>4.4000000000000002E-4</v>
      </c>
      <c r="I76" s="156">
        <f>ROUND('Allocation = % of Margin'!AG65,5)</f>
        <v>0</v>
      </c>
      <c r="J76" s="156">
        <f>ROUND('Allocation = % of Margin'!AJ65,5)</f>
        <v>-1.2099999999999999E-3</v>
      </c>
      <c r="K76" s="156">
        <f>ROUND('Allocation = % of Margin'!AM65,5)</f>
        <v>-1.2E-4</v>
      </c>
      <c r="L76" s="156"/>
      <c r="M76" s="557">
        <f>'WA Volumes &amp; Revenues'!F66</f>
        <v>0</v>
      </c>
      <c r="N76" s="293">
        <f>'Rev Req Proof Yr1'!R76</f>
        <v>0</v>
      </c>
      <c r="O76" s="294">
        <f>'Rev Req Proof Yr1'!S76</f>
        <v>0</v>
      </c>
      <c r="P76" s="295">
        <f>'Rev Req Proof Yr1'!T76</f>
        <v>0</v>
      </c>
      <c r="Q76" s="296">
        <f>'Rev Req Proof Yr1'!U76</f>
        <v>0</v>
      </c>
      <c r="R76" s="156"/>
      <c r="S76" s="308">
        <f t="shared" si="100"/>
        <v>0</v>
      </c>
      <c r="T76" s="304">
        <v>0</v>
      </c>
      <c r="U76" s="309">
        <v>0</v>
      </c>
      <c r="V76" s="156"/>
      <c r="W76" s="308">
        <f t="shared" si="104"/>
        <v>0</v>
      </c>
      <c r="X76" s="304">
        <v>0</v>
      </c>
      <c r="Y76" s="309">
        <v>0</v>
      </c>
      <c r="Z76" s="156"/>
      <c r="AA76" s="308">
        <f t="shared" si="101"/>
        <v>0</v>
      </c>
      <c r="AB76" s="304">
        <v>0</v>
      </c>
      <c r="AC76" s="309">
        <v>0</v>
      </c>
      <c r="AD76" s="304"/>
      <c r="AE76" s="308">
        <f t="shared" si="14"/>
        <v>0</v>
      </c>
      <c r="AF76" s="304">
        <v>0</v>
      </c>
      <c r="AG76" s="309">
        <v>0</v>
      </c>
      <c r="AH76" s="156"/>
      <c r="AI76" s="308">
        <f t="shared" si="15"/>
        <v>0</v>
      </c>
      <c r="AJ76" s="304">
        <v>0</v>
      </c>
      <c r="AK76" s="309">
        <v>0</v>
      </c>
      <c r="AL76" s="156"/>
      <c r="AM76" s="308">
        <f t="shared" si="83"/>
        <v>0</v>
      </c>
      <c r="AN76" s="304">
        <v>0</v>
      </c>
      <c r="AO76" s="309">
        <v>0</v>
      </c>
      <c r="AP76" s="304"/>
      <c r="AQ76" s="308">
        <f t="shared" si="16"/>
        <v>0</v>
      </c>
      <c r="AR76" s="304">
        <v>0</v>
      </c>
      <c r="AS76" s="309">
        <v>0</v>
      </c>
      <c r="AT76" s="156"/>
      <c r="AU76" s="308">
        <f t="shared" si="102"/>
        <v>0</v>
      </c>
      <c r="AV76" s="304">
        <v>0</v>
      </c>
      <c r="AW76" s="309">
        <v>0</v>
      </c>
      <c r="AX76" s="304"/>
      <c r="AY76" s="305"/>
      <c r="AZ76" s="305"/>
      <c r="BA76" s="304"/>
    </row>
    <row r="77" spans="1:53" x14ac:dyDescent="0.3">
      <c r="A77" s="85">
        <f t="shared" si="103"/>
        <v>70</v>
      </c>
      <c r="B77" s="709"/>
      <c r="C77" s="710" t="s">
        <v>8</v>
      </c>
      <c r="D77" s="156"/>
      <c r="E77" s="156">
        <f>ROUND('Allocation = ¢ per Therm'!K69,5)</f>
        <v>0</v>
      </c>
      <c r="F77" s="156">
        <f>ROUND('Allocation = % of Margin'!U66,5)</f>
        <v>0</v>
      </c>
      <c r="G77" s="156">
        <f>ROUND('Allocation = % of Margin'!X66,5)</f>
        <v>-8.3000000000000001E-4</v>
      </c>
      <c r="H77" s="156">
        <f>ROUND('Allocation = % of Margin'!AA66,5)</f>
        <v>2.9E-4</v>
      </c>
      <c r="I77" s="156">
        <f>ROUND('Allocation = % of Margin'!AG66,5)</f>
        <v>0</v>
      </c>
      <c r="J77" s="156">
        <f>ROUND('Allocation = % of Margin'!AJ66,5)</f>
        <v>-8.0999999999999996E-4</v>
      </c>
      <c r="K77" s="156">
        <f>ROUND('Allocation = % of Margin'!AM66,5)</f>
        <v>-8.0000000000000007E-5</v>
      </c>
      <c r="L77" s="156"/>
      <c r="M77" s="557">
        <f>'WA Volumes &amp; Revenues'!F67</f>
        <v>0</v>
      </c>
      <c r="N77" s="293">
        <f>'Rev Req Proof Yr1'!R77</f>
        <v>0</v>
      </c>
      <c r="O77" s="294">
        <f>'Rev Req Proof Yr1'!S77</f>
        <v>0</v>
      </c>
      <c r="P77" s="295">
        <f>'Rev Req Proof Yr1'!T77</f>
        <v>0</v>
      </c>
      <c r="Q77" s="296">
        <f>'Rev Req Proof Yr1'!U77</f>
        <v>0</v>
      </c>
      <c r="R77" s="156"/>
      <c r="S77" s="308">
        <f t="shared" si="100"/>
        <v>0</v>
      </c>
      <c r="T77" s="304">
        <v>0</v>
      </c>
      <c r="U77" s="309">
        <v>0</v>
      </c>
      <c r="V77" s="156"/>
      <c r="W77" s="308">
        <f t="shared" si="104"/>
        <v>0</v>
      </c>
      <c r="X77" s="304">
        <v>0</v>
      </c>
      <c r="Y77" s="309">
        <v>0</v>
      </c>
      <c r="Z77" s="156"/>
      <c r="AA77" s="308">
        <f t="shared" si="101"/>
        <v>0</v>
      </c>
      <c r="AB77" s="304">
        <v>0</v>
      </c>
      <c r="AC77" s="309">
        <v>0</v>
      </c>
      <c r="AD77" s="304"/>
      <c r="AE77" s="308">
        <f t="shared" si="14"/>
        <v>0</v>
      </c>
      <c r="AF77" s="304">
        <v>0</v>
      </c>
      <c r="AG77" s="309">
        <v>0</v>
      </c>
      <c r="AH77" s="156"/>
      <c r="AI77" s="308">
        <f t="shared" si="15"/>
        <v>0</v>
      </c>
      <c r="AJ77" s="304">
        <v>0</v>
      </c>
      <c r="AK77" s="309">
        <v>0</v>
      </c>
      <c r="AL77" s="156"/>
      <c r="AM77" s="308">
        <f t="shared" si="83"/>
        <v>0</v>
      </c>
      <c r="AN77" s="304">
        <v>0</v>
      </c>
      <c r="AO77" s="309">
        <v>0</v>
      </c>
      <c r="AP77" s="304"/>
      <c r="AQ77" s="308">
        <f t="shared" si="16"/>
        <v>0</v>
      </c>
      <c r="AR77" s="304">
        <v>0</v>
      </c>
      <c r="AS77" s="309">
        <v>0</v>
      </c>
      <c r="AT77" s="156"/>
      <c r="AU77" s="308">
        <f t="shared" si="102"/>
        <v>0</v>
      </c>
      <c r="AV77" s="304">
        <v>0</v>
      </c>
      <c r="AW77" s="309">
        <v>0</v>
      </c>
      <c r="AX77" s="304"/>
      <c r="AY77" s="305"/>
      <c r="AZ77" s="305"/>
      <c r="BA77" s="304"/>
    </row>
    <row r="78" spans="1:53" x14ac:dyDescent="0.3">
      <c r="A78" s="85">
        <f t="shared" si="103"/>
        <v>71</v>
      </c>
      <c r="B78" s="709"/>
      <c r="C78" s="710" t="s">
        <v>9</v>
      </c>
      <c r="D78" s="156"/>
      <c r="E78" s="156">
        <f>ROUND('Allocation = ¢ per Therm'!K70,5)</f>
        <v>0</v>
      </c>
      <c r="F78" s="156">
        <f>ROUND('Allocation = % of Margin'!U67,5)</f>
        <v>0</v>
      </c>
      <c r="G78" s="156">
        <f>ROUND('Allocation = % of Margin'!X67,5)</f>
        <v>-3.1E-4</v>
      </c>
      <c r="H78" s="156">
        <f>ROUND('Allocation = % of Margin'!AA67,5)</f>
        <v>1.1E-4</v>
      </c>
      <c r="I78" s="156">
        <f>ROUND('Allocation = % of Margin'!AG67,5)</f>
        <v>0</v>
      </c>
      <c r="J78" s="156">
        <f>ROUND('Allocation = % of Margin'!AJ67,5)</f>
        <v>-2.9999999999999997E-4</v>
      </c>
      <c r="K78" s="156">
        <f>ROUND('Allocation = % of Margin'!AM67,5)</f>
        <v>-3.0000000000000001E-5</v>
      </c>
      <c r="L78" s="156"/>
      <c r="M78" s="557">
        <f>'WA Volumes &amp; Revenues'!F68</f>
        <v>0</v>
      </c>
      <c r="N78" s="293">
        <f>'Rev Req Proof Yr1'!R78</f>
        <v>0</v>
      </c>
      <c r="O78" s="294">
        <f>'Rev Req Proof Yr1'!S78</f>
        <v>0</v>
      </c>
      <c r="P78" s="295">
        <f>'Rev Req Proof Yr1'!T78</f>
        <v>0</v>
      </c>
      <c r="Q78" s="296">
        <f>'Rev Req Proof Yr1'!U78</f>
        <v>0</v>
      </c>
      <c r="R78" s="156"/>
      <c r="S78" s="308">
        <f t="shared" si="100"/>
        <v>0</v>
      </c>
      <c r="T78" s="304">
        <v>0</v>
      </c>
      <c r="U78" s="309">
        <v>0</v>
      </c>
      <c r="V78" s="156"/>
      <c r="W78" s="308">
        <f t="shared" si="104"/>
        <v>0</v>
      </c>
      <c r="X78" s="304">
        <v>0</v>
      </c>
      <c r="Y78" s="309">
        <v>0</v>
      </c>
      <c r="Z78" s="156"/>
      <c r="AA78" s="308">
        <f t="shared" si="101"/>
        <v>0</v>
      </c>
      <c r="AB78" s="304">
        <v>0</v>
      </c>
      <c r="AC78" s="309">
        <v>0</v>
      </c>
      <c r="AD78" s="304"/>
      <c r="AE78" s="308">
        <f t="shared" si="14"/>
        <v>0</v>
      </c>
      <c r="AF78" s="304">
        <v>0</v>
      </c>
      <c r="AG78" s="309">
        <v>0</v>
      </c>
      <c r="AH78" s="156"/>
      <c r="AI78" s="308">
        <f t="shared" si="15"/>
        <v>0</v>
      </c>
      <c r="AJ78" s="304">
        <v>0</v>
      </c>
      <c r="AK78" s="309">
        <v>0</v>
      </c>
      <c r="AL78" s="156"/>
      <c r="AM78" s="308">
        <f t="shared" si="83"/>
        <v>0</v>
      </c>
      <c r="AN78" s="304">
        <v>0</v>
      </c>
      <c r="AO78" s="309">
        <v>0</v>
      </c>
      <c r="AP78" s="304"/>
      <c r="AQ78" s="308">
        <f t="shared" si="16"/>
        <v>0</v>
      </c>
      <c r="AR78" s="304">
        <v>0</v>
      </c>
      <c r="AS78" s="309">
        <v>0</v>
      </c>
      <c r="AT78" s="156"/>
      <c r="AU78" s="308">
        <f t="shared" si="102"/>
        <v>0</v>
      </c>
      <c r="AV78" s="304">
        <v>0</v>
      </c>
      <c r="AW78" s="309">
        <v>0</v>
      </c>
      <c r="AX78" s="304"/>
      <c r="AY78" s="305"/>
      <c r="AZ78" s="305"/>
      <c r="BA78" s="304"/>
    </row>
    <row r="79" spans="1:53" x14ac:dyDescent="0.3">
      <c r="A79" s="85">
        <f t="shared" si="103"/>
        <v>72</v>
      </c>
      <c r="B79" s="707"/>
      <c r="C79" s="726" t="s">
        <v>76</v>
      </c>
      <c r="D79" s="152"/>
      <c r="E79" s="152"/>
      <c r="F79" s="152"/>
      <c r="G79" s="794"/>
      <c r="H79" s="794"/>
      <c r="I79" s="794"/>
      <c r="J79" s="794"/>
      <c r="K79" s="794"/>
      <c r="L79" s="152"/>
      <c r="M79" s="557"/>
      <c r="N79" s="293"/>
      <c r="O79" s="294"/>
      <c r="P79" s="295"/>
      <c r="Q79" s="296"/>
      <c r="R79" s="156"/>
      <c r="S79" s="310">
        <f>SUM(S73:S78)</f>
        <v>0</v>
      </c>
      <c r="T79" s="311">
        <f>SUM(T73:T78)</f>
        <v>0</v>
      </c>
      <c r="U79" s="312">
        <f>SUM(U73:U78)</f>
        <v>0</v>
      </c>
      <c r="V79" s="156"/>
      <c r="W79" s="310">
        <f>SUM(W73:W78)</f>
        <v>0</v>
      </c>
      <c r="X79" s="311">
        <f>SUM(X73:X78)</f>
        <v>0</v>
      </c>
      <c r="Y79" s="312">
        <f>SUM(Y73:Y78)</f>
        <v>0</v>
      </c>
      <c r="Z79" s="156"/>
      <c r="AA79" s="310">
        <f>SUM(AA73:AA78)</f>
        <v>-683.13480000000004</v>
      </c>
      <c r="AB79" s="311">
        <f>SUM(AB73:AB78)</f>
        <v>0</v>
      </c>
      <c r="AC79" s="312">
        <f>SUM(AC73:AC78)</f>
        <v>0</v>
      </c>
      <c r="AD79" s="323"/>
      <c r="AE79" s="310">
        <f>SUM(AE73:AE78)</f>
        <v>240.36880000000002</v>
      </c>
      <c r="AF79" s="311">
        <f>SUM(AF73:AF78)</f>
        <v>0</v>
      </c>
      <c r="AG79" s="312">
        <f>SUM(AG73:AG78)</f>
        <v>0</v>
      </c>
      <c r="AH79" s="156"/>
      <c r="AI79" s="310">
        <f>SUM(AI73:AI78)</f>
        <v>0</v>
      </c>
      <c r="AJ79" s="311">
        <f>SUM(AJ73:AJ78)</f>
        <v>0</v>
      </c>
      <c r="AK79" s="312">
        <f>SUM(AK73:AK78)</f>
        <v>0</v>
      </c>
      <c r="AL79" s="156"/>
      <c r="AM79" s="310">
        <f>SUM(AM73:AM78)</f>
        <v>-660.98469999999998</v>
      </c>
      <c r="AN79" s="311">
        <f>SUM(AN73:AN78)</f>
        <v>0</v>
      </c>
      <c r="AO79" s="312">
        <f>SUM(AO73:AO78)</f>
        <v>0</v>
      </c>
      <c r="AP79" s="323"/>
      <c r="AQ79" s="310">
        <f>SUM(AQ73:AQ78)</f>
        <v>-66.420800000000014</v>
      </c>
      <c r="AR79" s="311">
        <f>SUM(AR73:AR78)</f>
        <v>0</v>
      </c>
      <c r="AS79" s="312">
        <f>SUM(AS73:AS78)</f>
        <v>0</v>
      </c>
      <c r="AT79" s="156"/>
      <c r="AU79" s="310">
        <f>SUM(AU73:AU78)</f>
        <v>-749.55560000000014</v>
      </c>
      <c r="AV79" s="311">
        <f>SUM(AV73:AV78)</f>
        <v>0</v>
      </c>
      <c r="AW79" s="312">
        <f>SUM(AW73:AW78)</f>
        <v>0</v>
      </c>
      <c r="AX79" s="304"/>
      <c r="AY79" s="305"/>
      <c r="AZ79" s="305"/>
      <c r="BA79" s="304"/>
    </row>
    <row r="80" spans="1:53" x14ac:dyDescent="0.3">
      <c r="A80" s="85">
        <f t="shared" si="103"/>
        <v>73</v>
      </c>
      <c r="B80" s="709" t="str">
        <f>'Avg Bill by RS'!B73</f>
        <v>42I Interr Sales</v>
      </c>
      <c r="C80" s="710" t="s">
        <v>4</v>
      </c>
      <c r="D80" s="161"/>
      <c r="E80" s="156">
        <f>ROUND('Allocation = ¢ per Therm'!K71,5)</f>
        <v>0</v>
      </c>
      <c r="F80" s="156">
        <f>ROUND('Allocation = % of Margin'!U68,5)</f>
        <v>0</v>
      </c>
      <c r="G80" s="156">
        <f>ROUND('Allocation = % of Margin'!X68,5)</f>
        <v>-1.1199999999999999E-3</v>
      </c>
      <c r="H80" s="156">
        <f>ROUND('Allocation = % of Margin'!AA68,5)</f>
        <v>5.1000000000000004E-4</v>
      </c>
      <c r="I80" s="156">
        <f>ROUND('Allocation = % of Margin'!AG68,5)</f>
        <v>0</v>
      </c>
      <c r="J80" s="156">
        <f>ROUND('Allocation = % of Margin'!AJ68,5)</f>
        <v>-1.08E-3</v>
      </c>
      <c r="K80" s="156">
        <f>ROUND('Allocation = % of Margin'!AM68,5)</f>
        <v>-1.1E-4</v>
      </c>
      <c r="L80" s="161"/>
      <c r="M80" s="557">
        <f>'WA Volumes &amp; Revenues'!F69</f>
        <v>0</v>
      </c>
      <c r="N80" s="293">
        <f>'Rev Req Proof Yr1'!R80</f>
        <v>0</v>
      </c>
      <c r="O80" s="294">
        <f>'Rev Req Proof Yr1'!S80</f>
        <v>0</v>
      </c>
      <c r="P80" s="295">
        <f>'Rev Req Proof Yr1'!T80</f>
        <v>0</v>
      </c>
      <c r="Q80" s="296">
        <f>'Rev Req Proof Yr1'!U80</f>
        <v>0</v>
      </c>
      <c r="R80" s="161"/>
      <c r="S80" s="308">
        <f t="shared" ref="S80:S85" si="105">((E80)*N80)</f>
        <v>0</v>
      </c>
      <c r="T80" s="304">
        <v>0</v>
      </c>
      <c r="U80" s="309">
        <v>0</v>
      </c>
      <c r="V80" s="161"/>
      <c r="W80" s="308">
        <f>((F80)*N80)</f>
        <v>0</v>
      </c>
      <c r="X80" s="304">
        <v>0</v>
      </c>
      <c r="Y80" s="309">
        <v>0</v>
      </c>
      <c r="Z80" s="161"/>
      <c r="AA80" s="308">
        <f t="shared" ref="AA80:AA85" si="106">((G80)*N80)</f>
        <v>0</v>
      </c>
      <c r="AB80" s="304">
        <v>0</v>
      </c>
      <c r="AC80" s="309">
        <v>0</v>
      </c>
      <c r="AD80" s="304"/>
      <c r="AE80" s="308">
        <f t="shared" si="14"/>
        <v>0</v>
      </c>
      <c r="AF80" s="304">
        <v>0</v>
      </c>
      <c r="AG80" s="309">
        <v>0</v>
      </c>
      <c r="AH80" s="161"/>
      <c r="AI80" s="308">
        <f t="shared" si="15"/>
        <v>0</v>
      </c>
      <c r="AJ80" s="304">
        <v>0</v>
      </c>
      <c r="AK80" s="309">
        <v>0</v>
      </c>
      <c r="AL80" s="161"/>
      <c r="AM80" s="308">
        <f t="shared" si="83"/>
        <v>0</v>
      </c>
      <c r="AN80" s="304">
        <v>0</v>
      </c>
      <c r="AO80" s="309">
        <v>0</v>
      </c>
      <c r="AP80" s="304"/>
      <c r="AQ80" s="308">
        <f t="shared" si="16"/>
        <v>0</v>
      </c>
      <c r="AR80" s="304">
        <v>0</v>
      </c>
      <c r="AS80" s="309">
        <v>0</v>
      </c>
      <c r="AT80" s="161"/>
      <c r="AU80" s="308">
        <f t="shared" ref="AU80:AU85" si="107">((E80+F80+G80+K80)*N80)</f>
        <v>0</v>
      </c>
      <c r="AV80" s="304">
        <v>0</v>
      </c>
      <c r="AW80" s="309">
        <v>0</v>
      </c>
      <c r="AX80" s="315"/>
      <c r="AY80" s="305"/>
      <c r="AZ80" s="305"/>
      <c r="BA80" s="315"/>
    </row>
    <row r="81" spans="1:53" x14ac:dyDescent="0.3">
      <c r="A81" s="85">
        <f t="shared" si="103"/>
        <v>74</v>
      </c>
      <c r="B81" s="709"/>
      <c r="C81" s="710" t="s">
        <v>5</v>
      </c>
      <c r="D81" s="161"/>
      <c r="E81" s="156">
        <f>ROUND('Allocation = ¢ per Therm'!K72,5)</f>
        <v>0</v>
      </c>
      <c r="F81" s="156">
        <f>ROUND('Allocation = % of Margin'!U69,5)</f>
        <v>0</v>
      </c>
      <c r="G81" s="156">
        <f>ROUND('Allocation = % of Margin'!X69,5)</f>
        <v>-1E-3</v>
      </c>
      <c r="H81" s="156">
        <f>ROUND('Allocation = % of Margin'!AA69,5)</f>
        <v>4.4999999999999999E-4</v>
      </c>
      <c r="I81" s="156">
        <f>ROUND('Allocation = % of Margin'!AG69,5)</f>
        <v>0</v>
      </c>
      <c r="J81" s="156">
        <f>ROUND('Allocation = % of Margin'!AJ69,5)</f>
        <v>-9.7000000000000005E-4</v>
      </c>
      <c r="K81" s="156">
        <f>ROUND('Allocation = % of Margin'!AM69,5)</f>
        <v>-1E-4</v>
      </c>
      <c r="L81" s="161"/>
      <c r="M81" s="557">
        <f>'WA Volumes &amp; Revenues'!F70</f>
        <v>0</v>
      </c>
      <c r="N81" s="293">
        <f>'Rev Req Proof Yr1'!R81</f>
        <v>0</v>
      </c>
      <c r="O81" s="294">
        <f>'Rev Req Proof Yr1'!S81</f>
        <v>0</v>
      </c>
      <c r="P81" s="295">
        <f>'Rev Req Proof Yr1'!T81</f>
        <v>0</v>
      </c>
      <c r="Q81" s="296">
        <f>'Rev Req Proof Yr1'!U81</f>
        <v>0</v>
      </c>
      <c r="R81" s="161"/>
      <c r="S81" s="308">
        <f t="shared" si="105"/>
        <v>0</v>
      </c>
      <c r="T81" s="304">
        <v>0</v>
      </c>
      <c r="U81" s="309">
        <v>0</v>
      </c>
      <c r="V81" s="161"/>
      <c r="W81" s="308">
        <f t="shared" ref="W81:W85" si="108">((F81)*N81)</f>
        <v>0</v>
      </c>
      <c r="X81" s="304">
        <v>0</v>
      </c>
      <c r="Y81" s="309">
        <v>0</v>
      </c>
      <c r="Z81" s="161"/>
      <c r="AA81" s="308">
        <f t="shared" si="106"/>
        <v>0</v>
      </c>
      <c r="AB81" s="304">
        <v>0</v>
      </c>
      <c r="AC81" s="309">
        <v>0</v>
      </c>
      <c r="AD81" s="304"/>
      <c r="AE81" s="308">
        <f t="shared" si="14"/>
        <v>0</v>
      </c>
      <c r="AF81" s="304">
        <v>0</v>
      </c>
      <c r="AG81" s="309">
        <v>0</v>
      </c>
      <c r="AH81" s="161"/>
      <c r="AI81" s="308">
        <f t="shared" si="15"/>
        <v>0</v>
      </c>
      <c r="AJ81" s="304">
        <v>0</v>
      </c>
      <c r="AK81" s="309">
        <v>0</v>
      </c>
      <c r="AL81" s="161"/>
      <c r="AM81" s="308">
        <f t="shared" si="83"/>
        <v>0</v>
      </c>
      <c r="AN81" s="304">
        <v>0</v>
      </c>
      <c r="AO81" s="309">
        <v>0</v>
      </c>
      <c r="AP81" s="304"/>
      <c r="AQ81" s="308">
        <f t="shared" ref="AQ81:AQ85" si="109">((K81)*N81)</f>
        <v>0</v>
      </c>
      <c r="AR81" s="304">
        <v>0</v>
      </c>
      <c r="AS81" s="309">
        <v>0</v>
      </c>
      <c r="AT81" s="161"/>
      <c r="AU81" s="308">
        <f t="shared" si="107"/>
        <v>0</v>
      </c>
      <c r="AV81" s="304">
        <v>0</v>
      </c>
      <c r="AW81" s="309">
        <v>0</v>
      </c>
      <c r="AX81" s="315"/>
      <c r="AY81" s="305"/>
      <c r="AZ81" s="155"/>
      <c r="BA81" s="315"/>
    </row>
    <row r="82" spans="1:53" x14ac:dyDescent="0.3">
      <c r="A82" s="85">
        <f t="shared" si="103"/>
        <v>75</v>
      </c>
      <c r="B82" s="709"/>
      <c r="C82" s="710" t="s">
        <v>6</v>
      </c>
      <c r="D82" s="161"/>
      <c r="E82" s="156">
        <f>ROUND('Allocation = ¢ per Therm'!K73,5)</f>
        <v>0</v>
      </c>
      <c r="F82" s="156">
        <f>ROUND('Allocation = % of Margin'!U70,5)</f>
        <v>0</v>
      </c>
      <c r="G82" s="156">
        <f>ROUND('Allocation = % of Margin'!X70,5)</f>
        <v>-7.6999999999999996E-4</v>
      </c>
      <c r="H82" s="156">
        <f>ROUND('Allocation = % of Margin'!AA70,5)</f>
        <v>3.5E-4</v>
      </c>
      <c r="I82" s="156">
        <f>ROUND('Allocation = % of Margin'!AG70,5)</f>
        <v>0</v>
      </c>
      <c r="J82" s="156">
        <f>ROUND('Allocation = % of Margin'!AJ70,5)</f>
        <v>-7.3999999999999999E-4</v>
      </c>
      <c r="K82" s="156">
        <f>ROUND('Allocation = % of Margin'!AM70,5)</f>
        <v>-8.0000000000000007E-5</v>
      </c>
      <c r="L82" s="161"/>
      <c r="M82" s="557">
        <f>'WA Volumes &amp; Revenues'!F71</f>
        <v>0</v>
      </c>
      <c r="N82" s="293">
        <f>'Rev Req Proof Yr1'!R82</f>
        <v>0</v>
      </c>
      <c r="O82" s="294">
        <f>'Rev Req Proof Yr1'!S82</f>
        <v>0</v>
      </c>
      <c r="P82" s="295">
        <f>'Rev Req Proof Yr1'!T82</f>
        <v>0</v>
      </c>
      <c r="Q82" s="296">
        <f>'Rev Req Proof Yr1'!U82</f>
        <v>0</v>
      </c>
      <c r="R82" s="161"/>
      <c r="S82" s="308">
        <f t="shared" si="105"/>
        <v>0</v>
      </c>
      <c r="T82" s="304">
        <v>0</v>
      </c>
      <c r="U82" s="309">
        <v>0</v>
      </c>
      <c r="V82" s="161"/>
      <c r="W82" s="308">
        <f t="shared" si="108"/>
        <v>0</v>
      </c>
      <c r="X82" s="304">
        <v>0</v>
      </c>
      <c r="Y82" s="309">
        <v>0</v>
      </c>
      <c r="Z82" s="161"/>
      <c r="AA82" s="308">
        <f t="shared" si="106"/>
        <v>0</v>
      </c>
      <c r="AB82" s="304">
        <v>0</v>
      </c>
      <c r="AC82" s="309">
        <v>0</v>
      </c>
      <c r="AD82" s="304"/>
      <c r="AE82" s="308">
        <f t="shared" ref="AE82:AE96" si="110">((H82)*N82)</f>
        <v>0</v>
      </c>
      <c r="AF82" s="304">
        <v>0</v>
      </c>
      <c r="AG82" s="309">
        <v>0</v>
      </c>
      <c r="AH82" s="161"/>
      <c r="AI82" s="308">
        <f t="shared" ref="AI82:AI96" si="111">((I82)*N82)</f>
        <v>0</v>
      </c>
      <c r="AJ82" s="304">
        <v>0</v>
      </c>
      <c r="AK82" s="309">
        <v>0</v>
      </c>
      <c r="AL82" s="161"/>
      <c r="AM82" s="308">
        <f t="shared" si="83"/>
        <v>0</v>
      </c>
      <c r="AN82" s="304">
        <v>0</v>
      </c>
      <c r="AO82" s="309">
        <v>0</v>
      </c>
      <c r="AP82" s="304"/>
      <c r="AQ82" s="308">
        <f t="shared" si="109"/>
        <v>0</v>
      </c>
      <c r="AR82" s="304">
        <v>0</v>
      </c>
      <c r="AS82" s="309">
        <v>0</v>
      </c>
      <c r="AT82" s="161"/>
      <c r="AU82" s="308">
        <f t="shared" si="107"/>
        <v>0</v>
      </c>
      <c r="AV82" s="304">
        <v>0</v>
      </c>
      <c r="AW82" s="309">
        <v>0</v>
      </c>
      <c r="AX82" s="315"/>
      <c r="AY82" s="305"/>
      <c r="AZ82" s="155"/>
      <c r="BA82" s="315"/>
    </row>
    <row r="83" spans="1:53" x14ac:dyDescent="0.3">
      <c r="A83" s="85">
        <f t="shared" si="103"/>
        <v>76</v>
      </c>
      <c r="B83" s="709"/>
      <c r="C83" s="710" t="s">
        <v>7</v>
      </c>
      <c r="D83" s="161"/>
      <c r="E83" s="156">
        <f>ROUND('Allocation = ¢ per Therm'!K74,5)</f>
        <v>0</v>
      </c>
      <c r="F83" s="156">
        <f>ROUND('Allocation = % of Margin'!U71,5)</f>
        <v>0</v>
      </c>
      <c r="G83" s="156">
        <f>ROUND('Allocation = % of Margin'!X71,5)</f>
        <v>-6.0999999999999997E-4</v>
      </c>
      <c r="H83" s="156">
        <f>ROUND('Allocation = % of Margin'!AA71,5)</f>
        <v>2.7999999999999998E-4</v>
      </c>
      <c r="I83" s="156">
        <f>ROUND('Allocation = % of Margin'!AG71,5)</f>
        <v>0</v>
      </c>
      <c r="J83" s="156">
        <f>ROUND('Allocation = % of Margin'!AJ71,5)</f>
        <v>-5.9000000000000003E-4</v>
      </c>
      <c r="K83" s="156">
        <f>ROUND('Allocation = % of Margin'!AM71,5)</f>
        <v>-6.0000000000000002E-5</v>
      </c>
      <c r="L83" s="161"/>
      <c r="M83" s="557">
        <f>'WA Volumes &amp; Revenues'!F72</f>
        <v>0</v>
      </c>
      <c r="N83" s="293">
        <f>'Rev Req Proof Yr1'!R83</f>
        <v>0</v>
      </c>
      <c r="O83" s="294">
        <f>'Rev Req Proof Yr1'!S83</f>
        <v>0</v>
      </c>
      <c r="P83" s="295">
        <f>'Rev Req Proof Yr1'!T83</f>
        <v>0</v>
      </c>
      <c r="Q83" s="296">
        <f>'Rev Req Proof Yr1'!U83</f>
        <v>0</v>
      </c>
      <c r="R83" s="161"/>
      <c r="S83" s="308">
        <f t="shared" si="105"/>
        <v>0</v>
      </c>
      <c r="T83" s="304">
        <v>0</v>
      </c>
      <c r="U83" s="309">
        <v>0</v>
      </c>
      <c r="V83" s="161"/>
      <c r="W83" s="308">
        <f t="shared" si="108"/>
        <v>0</v>
      </c>
      <c r="X83" s="304">
        <v>0</v>
      </c>
      <c r="Y83" s="309">
        <v>0</v>
      </c>
      <c r="Z83" s="161"/>
      <c r="AA83" s="308">
        <f t="shared" si="106"/>
        <v>0</v>
      </c>
      <c r="AB83" s="304">
        <v>0</v>
      </c>
      <c r="AC83" s="309">
        <v>0</v>
      </c>
      <c r="AD83" s="304"/>
      <c r="AE83" s="308">
        <f t="shared" si="110"/>
        <v>0</v>
      </c>
      <c r="AF83" s="304">
        <v>0</v>
      </c>
      <c r="AG83" s="309">
        <v>0</v>
      </c>
      <c r="AH83" s="161"/>
      <c r="AI83" s="308">
        <f t="shared" si="111"/>
        <v>0</v>
      </c>
      <c r="AJ83" s="304">
        <v>0</v>
      </c>
      <c r="AK83" s="309">
        <v>0</v>
      </c>
      <c r="AL83" s="161"/>
      <c r="AM83" s="308">
        <f t="shared" si="83"/>
        <v>0</v>
      </c>
      <c r="AN83" s="304">
        <v>0</v>
      </c>
      <c r="AO83" s="309">
        <v>0</v>
      </c>
      <c r="AP83" s="304"/>
      <c r="AQ83" s="308">
        <f t="shared" si="109"/>
        <v>0</v>
      </c>
      <c r="AR83" s="304">
        <v>0</v>
      </c>
      <c r="AS83" s="309">
        <v>0</v>
      </c>
      <c r="AT83" s="161"/>
      <c r="AU83" s="308">
        <f t="shared" si="107"/>
        <v>0</v>
      </c>
      <c r="AV83" s="304">
        <v>0</v>
      </c>
      <c r="AW83" s="309">
        <v>0</v>
      </c>
      <c r="AX83" s="315"/>
      <c r="AY83" s="305"/>
      <c r="AZ83" s="155"/>
      <c r="BA83" s="315"/>
    </row>
    <row r="84" spans="1:53" x14ac:dyDescent="0.3">
      <c r="A84" s="85">
        <f t="shared" si="103"/>
        <v>77</v>
      </c>
      <c r="B84" s="709"/>
      <c r="C84" s="710" t="s">
        <v>8</v>
      </c>
      <c r="D84" s="161"/>
      <c r="E84" s="156">
        <f>ROUND('Allocation = ¢ per Therm'!K75,5)</f>
        <v>0</v>
      </c>
      <c r="F84" s="156">
        <f>ROUND('Allocation = % of Margin'!U72,5)</f>
        <v>0</v>
      </c>
      <c r="G84" s="156">
        <f>ROUND('Allocation = % of Margin'!X72,5)</f>
        <v>-4.0999999999999999E-4</v>
      </c>
      <c r="H84" s="156">
        <f>ROUND('Allocation = % of Margin'!AA72,5)</f>
        <v>1.9000000000000001E-4</v>
      </c>
      <c r="I84" s="156">
        <f>ROUND('Allocation = % of Margin'!AG72,5)</f>
        <v>0</v>
      </c>
      <c r="J84" s="156">
        <f>ROUND('Allocation = % of Margin'!AJ72,5)</f>
        <v>-4.0000000000000002E-4</v>
      </c>
      <c r="K84" s="156">
        <f>ROUND('Allocation = % of Margin'!AM72,5)</f>
        <v>-4.0000000000000003E-5</v>
      </c>
      <c r="L84" s="161"/>
      <c r="M84" s="557">
        <f>'WA Volumes &amp; Revenues'!F73</f>
        <v>0</v>
      </c>
      <c r="N84" s="293">
        <f>'Rev Req Proof Yr1'!R84</f>
        <v>0</v>
      </c>
      <c r="O84" s="294">
        <f>'Rev Req Proof Yr1'!S84</f>
        <v>0</v>
      </c>
      <c r="P84" s="295">
        <f>'Rev Req Proof Yr1'!T84</f>
        <v>0</v>
      </c>
      <c r="Q84" s="296">
        <f>'Rev Req Proof Yr1'!U84</f>
        <v>0</v>
      </c>
      <c r="R84" s="161"/>
      <c r="S84" s="308">
        <f t="shared" si="105"/>
        <v>0</v>
      </c>
      <c r="T84" s="304">
        <v>0</v>
      </c>
      <c r="U84" s="309">
        <v>0</v>
      </c>
      <c r="V84" s="161"/>
      <c r="W84" s="308">
        <f t="shared" si="108"/>
        <v>0</v>
      </c>
      <c r="X84" s="304">
        <v>0</v>
      </c>
      <c r="Y84" s="309">
        <v>0</v>
      </c>
      <c r="Z84" s="161"/>
      <c r="AA84" s="308">
        <f t="shared" si="106"/>
        <v>0</v>
      </c>
      <c r="AB84" s="304">
        <v>0</v>
      </c>
      <c r="AC84" s="309">
        <v>0</v>
      </c>
      <c r="AD84" s="304"/>
      <c r="AE84" s="308">
        <f t="shared" si="110"/>
        <v>0</v>
      </c>
      <c r="AF84" s="304">
        <v>0</v>
      </c>
      <c r="AG84" s="309">
        <v>0</v>
      </c>
      <c r="AH84" s="161"/>
      <c r="AI84" s="308">
        <f t="shared" si="111"/>
        <v>0</v>
      </c>
      <c r="AJ84" s="304">
        <v>0</v>
      </c>
      <c r="AK84" s="309">
        <v>0</v>
      </c>
      <c r="AL84" s="161"/>
      <c r="AM84" s="308">
        <f t="shared" si="83"/>
        <v>0</v>
      </c>
      <c r="AN84" s="304">
        <v>0</v>
      </c>
      <c r="AO84" s="309">
        <v>0</v>
      </c>
      <c r="AP84" s="304"/>
      <c r="AQ84" s="308">
        <f t="shared" si="109"/>
        <v>0</v>
      </c>
      <c r="AR84" s="304">
        <v>0</v>
      </c>
      <c r="AS84" s="309">
        <v>0</v>
      </c>
      <c r="AT84" s="161"/>
      <c r="AU84" s="308">
        <f t="shared" si="107"/>
        <v>0</v>
      </c>
      <c r="AV84" s="304">
        <v>0</v>
      </c>
      <c r="AW84" s="309">
        <v>0</v>
      </c>
      <c r="AX84" s="315"/>
      <c r="AY84" s="305"/>
      <c r="AZ84" s="153"/>
      <c r="BA84" s="315"/>
    </row>
    <row r="85" spans="1:53" x14ac:dyDescent="0.3">
      <c r="A85" s="85">
        <f t="shared" si="103"/>
        <v>78</v>
      </c>
      <c r="B85" s="709"/>
      <c r="C85" s="710" t="s">
        <v>9</v>
      </c>
      <c r="D85" s="161"/>
      <c r="E85" s="156">
        <f>ROUND('Allocation = ¢ per Therm'!K76,5)</f>
        <v>0</v>
      </c>
      <c r="F85" s="156">
        <f>ROUND('Allocation = % of Margin'!U73,5)</f>
        <v>0</v>
      </c>
      <c r="G85" s="156">
        <f>ROUND('Allocation = % of Margin'!X73,5)</f>
        <v>-1.4999999999999999E-4</v>
      </c>
      <c r="H85" s="156">
        <f>ROUND('Allocation = % of Margin'!AA73,5)</f>
        <v>6.9999999999999994E-5</v>
      </c>
      <c r="I85" s="156">
        <f>ROUND('Allocation = % of Margin'!AG73,5)</f>
        <v>0</v>
      </c>
      <c r="J85" s="156">
        <f>ROUND('Allocation = % of Margin'!AJ73,5)</f>
        <v>-1.4999999999999999E-4</v>
      </c>
      <c r="K85" s="156">
        <f>ROUND('Allocation = % of Margin'!AM73,5)</f>
        <v>-2.0000000000000002E-5</v>
      </c>
      <c r="L85" s="161"/>
      <c r="M85" s="557">
        <f>'WA Volumes &amp; Revenues'!F74</f>
        <v>0</v>
      </c>
      <c r="N85" s="293">
        <f>'Rev Req Proof Yr1'!R85</f>
        <v>0</v>
      </c>
      <c r="O85" s="294">
        <f>'Rev Req Proof Yr1'!S85</f>
        <v>0</v>
      </c>
      <c r="P85" s="295">
        <f>'Rev Req Proof Yr1'!T85</f>
        <v>0</v>
      </c>
      <c r="Q85" s="296">
        <f>'Rev Req Proof Yr1'!U85</f>
        <v>0</v>
      </c>
      <c r="R85" s="161"/>
      <c r="S85" s="308">
        <f t="shared" si="105"/>
        <v>0</v>
      </c>
      <c r="T85" s="304">
        <v>0</v>
      </c>
      <c r="U85" s="309">
        <v>0</v>
      </c>
      <c r="V85" s="161"/>
      <c r="W85" s="308">
        <f t="shared" si="108"/>
        <v>0</v>
      </c>
      <c r="X85" s="304">
        <v>0</v>
      </c>
      <c r="Y85" s="309">
        <v>0</v>
      </c>
      <c r="Z85" s="161"/>
      <c r="AA85" s="308">
        <f t="shared" si="106"/>
        <v>0</v>
      </c>
      <c r="AB85" s="304">
        <v>0</v>
      </c>
      <c r="AC85" s="309">
        <v>0</v>
      </c>
      <c r="AD85" s="304"/>
      <c r="AE85" s="308">
        <f t="shared" si="110"/>
        <v>0</v>
      </c>
      <c r="AF85" s="304">
        <v>0</v>
      </c>
      <c r="AG85" s="309">
        <v>0</v>
      </c>
      <c r="AH85" s="161"/>
      <c r="AI85" s="308">
        <f t="shared" si="111"/>
        <v>0</v>
      </c>
      <c r="AJ85" s="304">
        <v>0</v>
      </c>
      <c r="AK85" s="309">
        <v>0</v>
      </c>
      <c r="AL85" s="161"/>
      <c r="AM85" s="308">
        <f t="shared" si="83"/>
        <v>0</v>
      </c>
      <c r="AN85" s="304">
        <v>0</v>
      </c>
      <c r="AO85" s="309">
        <v>0</v>
      </c>
      <c r="AP85" s="304"/>
      <c r="AQ85" s="308">
        <f t="shared" si="109"/>
        <v>0</v>
      </c>
      <c r="AR85" s="304">
        <v>0</v>
      </c>
      <c r="AS85" s="309">
        <v>0</v>
      </c>
      <c r="AT85" s="161"/>
      <c r="AU85" s="308">
        <f t="shared" si="107"/>
        <v>0</v>
      </c>
      <c r="AV85" s="304">
        <v>0</v>
      </c>
      <c r="AW85" s="309">
        <v>0</v>
      </c>
      <c r="AX85" s="315"/>
      <c r="AY85" s="305"/>
      <c r="AZ85" s="153"/>
      <c r="BA85" s="315"/>
    </row>
    <row r="86" spans="1:53" x14ac:dyDescent="0.3">
      <c r="A86" s="85">
        <f t="shared" si="103"/>
        <v>79</v>
      </c>
      <c r="B86" s="707"/>
      <c r="C86" s="726" t="s">
        <v>76</v>
      </c>
      <c r="D86" s="162"/>
      <c r="E86" s="152"/>
      <c r="F86" s="152"/>
      <c r="G86" s="794"/>
      <c r="H86" s="794"/>
      <c r="I86" s="794"/>
      <c r="J86" s="794"/>
      <c r="K86" s="794"/>
      <c r="L86" s="162"/>
      <c r="M86" s="556"/>
      <c r="N86" s="293"/>
      <c r="O86" s="156"/>
      <c r="P86" s="156"/>
      <c r="Q86" s="157"/>
      <c r="R86" s="161"/>
      <c r="S86" s="310">
        <f>SUM(S80:S85)</f>
        <v>0</v>
      </c>
      <c r="T86" s="311">
        <f>SUM(T80:T85)</f>
        <v>0</v>
      </c>
      <c r="U86" s="312">
        <f>SUM(U80:U85)</f>
        <v>0</v>
      </c>
      <c r="V86" s="161"/>
      <c r="W86" s="310">
        <f>SUM(W80:W85)</f>
        <v>0</v>
      </c>
      <c r="X86" s="311">
        <f>SUM(X80:X85)</f>
        <v>0</v>
      </c>
      <c r="Y86" s="312">
        <f>SUM(Y80:Y85)</f>
        <v>0</v>
      </c>
      <c r="Z86" s="161"/>
      <c r="AA86" s="310">
        <f>SUM(AA80:AA85)</f>
        <v>0</v>
      </c>
      <c r="AB86" s="311">
        <f>SUM(AB80:AB85)</f>
        <v>0</v>
      </c>
      <c r="AC86" s="312">
        <f>SUM(AC80:AC85)</f>
        <v>0</v>
      </c>
      <c r="AD86" s="323"/>
      <c r="AE86" s="310">
        <f>SUM(AE80:AE85)</f>
        <v>0</v>
      </c>
      <c r="AF86" s="311">
        <f>SUM(AF80:AF85)</f>
        <v>0</v>
      </c>
      <c r="AG86" s="312">
        <f>SUM(AG80:AG85)</f>
        <v>0</v>
      </c>
      <c r="AH86" s="161"/>
      <c r="AI86" s="310">
        <f>SUM(AI80:AI85)</f>
        <v>0</v>
      </c>
      <c r="AJ86" s="311">
        <f>SUM(AJ80:AJ85)</f>
        <v>0</v>
      </c>
      <c r="AK86" s="312">
        <f>SUM(AK80:AK85)</f>
        <v>0</v>
      </c>
      <c r="AL86" s="161"/>
      <c r="AM86" s="310">
        <f>SUM(AM80:AM85)</f>
        <v>0</v>
      </c>
      <c r="AN86" s="311">
        <f>SUM(AN80:AN85)</f>
        <v>0</v>
      </c>
      <c r="AO86" s="312">
        <f>SUM(AO80:AO85)</f>
        <v>0</v>
      </c>
      <c r="AP86" s="323"/>
      <c r="AQ86" s="310">
        <f>SUM(AQ80:AQ85)</f>
        <v>0</v>
      </c>
      <c r="AR86" s="311">
        <f>SUM(AR80:AR85)</f>
        <v>0</v>
      </c>
      <c r="AS86" s="312">
        <f>SUM(AS80:AS85)</f>
        <v>0</v>
      </c>
      <c r="AT86" s="161"/>
      <c r="AU86" s="310">
        <f>SUM(AU80:AU85)</f>
        <v>0</v>
      </c>
      <c r="AV86" s="311">
        <f>SUM(AV80:AV85)</f>
        <v>0</v>
      </c>
      <c r="AW86" s="312">
        <f>SUM(AW80:AW85)</f>
        <v>0</v>
      </c>
      <c r="AX86" s="315"/>
      <c r="AY86" s="305"/>
      <c r="AZ86" s="153"/>
      <c r="BA86" s="315"/>
    </row>
    <row r="87" spans="1:53" x14ac:dyDescent="0.3">
      <c r="A87" s="85">
        <f t="shared" si="103"/>
        <v>80</v>
      </c>
      <c r="B87" s="709" t="str">
        <f>'Avg Bill by RS'!B80</f>
        <v>42C Inter Transpt</v>
      </c>
      <c r="C87" s="710" t="s">
        <v>4</v>
      </c>
      <c r="D87" s="161"/>
      <c r="E87" s="156">
        <f>ROUND('Allocation = ¢ per Therm'!K77,5)</f>
        <v>0</v>
      </c>
      <c r="F87" s="156">
        <f>ROUND('Allocation = % of Margin'!U74,5)</f>
        <v>0</v>
      </c>
      <c r="G87" s="156">
        <f>ROUND('Allocation = % of Margin'!X74,5)</f>
        <v>-1.34E-3</v>
      </c>
      <c r="H87" s="156">
        <f>ROUND('Allocation = % of Margin'!AA74,5)</f>
        <v>4.6999999999999999E-4</v>
      </c>
      <c r="I87" s="156">
        <f>ROUND('Allocation = % of Margin'!AG74,5)</f>
        <v>0</v>
      </c>
      <c r="J87" s="156">
        <f>ROUND('Allocation = % of Margin'!AJ74,5)</f>
        <v>-1.2999999999999999E-3</v>
      </c>
      <c r="K87" s="156">
        <f>ROUND('Allocation = % of Margin'!AM74,5)</f>
        <v>-1.2999999999999999E-4</v>
      </c>
      <c r="L87" s="161"/>
      <c r="M87" s="557">
        <f>'WA Volumes &amp; Revenues'!F75</f>
        <v>861932</v>
      </c>
      <c r="N87" s="293">
        <f>'Rev Req Proof Yr1'!R87</f>
        <v>844078</v>
      </c>
      <c r="O87" s="294">
        <f>'Rev Req Proof Yr1'!S87</f>
        <v>0</v>
      </c>
      <c r="P87" s="295">
        <f>'Rev Req Proof Yr1'!T87</f>
        <v>7</v>
      </c>
      <c r="Q87" s="296">
        <f>'Rev Req Proof Yr1'!U87</f>
        <v>95634</v>
      </c>
      <c r="R87" s="161"/>
      <c r="S87" s="308">
        <f t="shared" ref="S87:S92" si="112">((E87)*N87)</f>
        <v>0</v>
      </c>
      <c r="T87" s="304">
        <v>0</v>
      </c>
      <c r="U87" s="309">
        <v>0</v>
      </c>
      <c r="V87" s="161"/>
      <c r="W87" s="308">
        <f>((F87)*N87)</f>
        <v>0</v>
      </c>
      <c r="X87" s="304">
        <v>0</v>
      </c>
      <c r="Y87" s="309">
        <v>0</v>
      </c>
      <c r="Z87" s="161"/>
      <c r="AA87" s="308">
        <f t="shared" ref="AA87:AA92" si="113">((G87)*N87)</f>
        <v>-1131.0645200000001</v>
      </c>
      <c r="AB87" s="304">
        <v>0</v>
      </c>
      <c r="AC87" s="309">
        <v>0</v>
      </c>
      <c r="AD87" s="304"/>
      <c r="AE87" s="308">
        <f t="shared" si="110"/>
        <v>396.71665999999999</v>
      </c>
      <c r="AF87" s="304">
        <v>0</v>
      </c>
      <c r="AG87" s="309">
        <v>0</v>
      </c>
      <c r="AH87" s="161"/>
      <c r="AI87" s="308">
        <f t="shared" si="111"/>
        <v>0</v>
      </c>
      <c r="AJ87" s="304">
        <v>0</v>
      </c>
      <c r="AK87" s="309">
        <v>0</v>
      </c>
      <c r="AL87" s="161"/>
      <c r="AM87" s="308">
        <f t="shared" si="83"/>
        <v>-1097.3014000000001</v>
      </c>
      <c r="AN87" s="304">
        <v>0</v>
      </c>
      <c r="AO87" s="309">
        <v>0</v>
      </c>
      <c r="AP87" s="304"/>
      <c r="AQ87" s="308">
        <f t="shared" ref="AQ87:AQ96" si="114">((K87)*N87)</f>
        <v>-109.73013999999999</v>
      </c>
      <c r="AR87" s="304">
        <v>0</v>
      </c>
      <c r="AS87" s="309">
        <v>0</v>
      </c>
      <c r="AT87" s="161"/>
      <c r="AU87" s="308">
        <f t="shared" ref="AU87:AU92" si="115">((E87+F87+G87+K87)*N87)</f>
        <v>-1240.79466</v>
      </c>
      <c r="AV87" s="304">
        <v>0</v>
      </c>
      <c r="AW87" s="309">
        <v>0</v>
      </c>
      <c r="AX87" s="315"/>
      <c r="AY87" s="305"/>
      <c r="AZ87" s="305"/>
      <c r="BA87" s="315"/>
    </row>
    <row r="88" spans="1:53" x14ac:dyDescent="0.3">
      <c r="A88" s="85">
        <f t="shared" si="103"/>
        <v>81</v>
      </c>
      <c r="B88" s="709"/>
      <c r="C88" s="710" t="s">
        <v>5</v>
      </c>
      <c r="D88" s="161"/>
      <c r="E88" s="156">
        <f>ROUND('Allocation = ¢ per Therm'!K78,5)</f>
        <v>0</v>
      </c>
      <c r="F88" s="156">
        <f>ROUND('Allocation = % of Margin'!U75,5)</f>
        <v>0</v>
      </c>
      <c r="G88" s="156">
        <f>ROUND('Allocation = % of Margin'!X75,5)</f>
        <v>-1.1999999999999999E-3</v>
      </c>
      <c r="H88" s="156">
        <f>ROUND('Allocation = % of Margin'!AA75,5)</f>
        <v>4.2000000000000002E-4</v>
      </c>
      <c r="I88" s="156">
        <f>ROUND('Allocation = % of Margin'!AG75,5)</f>
        <v>0</v>
      </c>
      <c r="J88" s="156">
        <f>ROUND('Allocation = % of Margin'!AJ75,5)</f>
        <v>-1.16E-3</v>
      </c>
      <c r="K88" s="156">
        <f>ROUND('Allocation = % of Margin'!AM75,5)</f>
        <v>-1.2E-4</v>
      </c>
      <c r="L88" s="161"/>
      <c r="M88" s="557">
        <f>'WA Volumes &amp; Revenues'!F76</f>
        <v>1453508</v>
      </c>
      <c r="N88" s="293">
        <f>'Rev Req Proof Yr1'!R88</f>
        <v>1445175</v>
      </c>
      <c r="O88" s="294">
        <f>'Rev Req Proof Yr1'!S88</f>
        <v>0</v>
      </c>
      <c r="P88" s="295">
        <f>'Rev Req Proof Yr1'!T88</f>
        <v>0</v>
      </c>
      <c r="Q88" s="296">
        <f>'Rev Req Proof Yr1'!U88</f>
        <v>0</v>
      </c>
      <c r="R88" s="161"/>
      <c r="S88" s="308">
        <f t="shared" si="112"/>
        <v>0</v>
      </c>
      <c r="T88" s="304">
        <v>0</v>
      </c>
      <c r="U88" s="309">
        <v>0</v>
      </c>
      <c r="V88" s="161"/>
      <c r="W88" s="308">
        <f t="shared" ref="W88:W92" si="116">((F88)*N88)</f>
        <v>0</v>
      </c>
      <c r="X88" s="304">
        <v>0</v>
      </c>
      <c r="Y88" s="309">
        <v>0</v>
      </c>
      <c r="Z88" s="161"/>
      <c r="AA88" s="308">
        <f t="shared" si="113"/>
        <v>-1734.2099999999998</v>
      </c>
      <c r="AB88" s="304">
        <v>0</v>
      </c>
      <c r="AC88" s="309">
        <v>0</v>
      </c>
      <c r="AD88" s="304"/>
      <c r="AE88" s="308">
        <f t="shared" si="110"/>
        <v>606.97350000000006</v>
      </c>
      <c r="AF88" s="304">
        <v>0</v>
      </c>
      <c r="AG88" s="309">
        <v>0</v>
      </c>
      <c r="AH88" s="161"/>
      <c r="AI88" s="308">
        <f t="shared" si="111"/>
        <v>0</v>
      </c>
      <c r="AJ88" s="304">
        <v>0</v>
      </c>
      <c r="AK88" s="309">
        <v>0</v>
      </c>
      <c r="AL88" s="161"/>
      <c r="AM88" s="308">
        <f t="shared" si="83"/>
        <v>-1676.403</v>
      </c>
      <c r="AN88" s="304">
        <v>0</v>
      </c>
      <c r="AO88" s="309">
        <v>0</v>
      </c>
      <c r="AP88" s="304"/>
      <c r="AQ88" s="308">
        <f t="shared" si="114"/>
        <v>-173.42099999999999</v>
      </c>
      <c r="AR88" s="304">
        <v>0</v>
      </c>
      <c r="AS88" s="309">
        <v>0</v>
      </c>
      <c r="AT88" s="161"/>
      <c r="AU88" s="308">
        <f t="shared" si="115"/>
        <v>-1907.6310000000001</v>
      </c>
      <c r="AV88" s="304">
        <v>0</v>
      </c>
      <c r="AW88" s="309">
        <v>0</v>
      </c>
      <c r="AX88" s="315"/>
      <c r="AY88" s="305"/>
      <c r="AZ88" s="155"/>
      <c r="BA88" s="315"/>
    </row>
    <row r="89" spans="1:53" x14ac:dyDescent="0.3">
      <c r="A89" s="85">
        <f t="shared" si="103"/>
        <v>82</v>
      </c>
      <c r="B89" s="709"/>
      <c r="C89" s="710" t="s">
        <v>6</v>
      </c>
      <c r="D89" s="161"/>
      <c r="E89" s="156">
        <f>ROUND('Allocation = ¢ per Therm'!K79,5)</f>
        <v>0</v>
      </c>
      <c r="F89" s="156">
        <f>ROUND('Allocation = % of Margin'!U76,5)</f>
        <v>0</v>
      </c>
      <c r="G89" s="156">
        <f>ROUND('Allocation = % of Margin'!X76,5)</f>
        <v>-9.2000000000000003E-4</v>
      </c>
      <c r="H89" s="156">
        <f>ROUND('Allocation = % of Margin'!AA76,5)</f>
        <v>3.2000000000000003E-4</v>
      </c>
      <c r="I89" s="156">
        <f>ROUND('Allocation = % of Margin'!AG76,5)</f>
        <v>0</v>
      </c>
      <c r="J89" s="156">
        <f>ROUND('Allocation = % of Margin'!AJ76,5)</f>
        <v>-8.8999999999999995E-4</v>
      </c>
      <c r="K89" s="156">
        <f>ROUND('Allocation = % of Margin'!AM76,5)</f>
        <v>-9.0000000000000006E-5</v>
      </c>
      <c r="L89" s="161"/>
      <c r="M89" s="557">
        <f>'WA Volumes &amp; Revenues'!F77</f>
        <v>976710</v>
      </c>
      <c r="N89" s="293">
        <f>'Rev Req Proof Yr1'!R89</f>
        <v>1034978</v>
      </c>
      <c r="O89" s="294">
        <f>'Rev Req Proof Yr1'!S89</f>
        <v>0</v>
      </c>
      <c r="P89" s="295">
        <f>'Rev Req Proof Yr1'!T89</f>
        <v>0</v>
      </c>
      <c r="Q89" s="296">
        <f>'Rev Req Proof Yr1'!U89</f>
        <v>0</v>
      </c>
      <c r="R89" s="161"/>
      <c r="S89" s="308">
        <f t="shared" si="112"/>
        <v>0</v>
      </c>
      <c r="T89" s="304">
        <v>0</v>
      </c>
      <c r="U89" s="309">
        <v>0</v>
      </c>
      <c r="V89" s="161"/>
      <c r="W89" s="308">
        <f t="shared" si="116"/>
        <v>0</v>
      </c>
      <c r="X89" s="304">
        <v>0</v>
      </c>
      <c r="Y89" s="309">
        <v>0</v>
      </c>
      <c r="Z89" s="161"/>
      <c r="AA89" s="308">
        <f t="shared" si="113"/>
        <v>-952.17975999999999</v>
      </c>
      <c r="AB89" s="304">
        <v>0</v>
      </c>
      <c r="AC89" s="309">
        <v>0</v>
      </c>
      <c r="AD89" s="304"/>
      <c r="AE89" s="308">
        <f t="shared" si="110"/>
        <v>331.19296000000003</v>
      </c>
      <c r="AF89" s="304">
        <v>0</v>
      </c>
      <c r="AG89" s="309">
        <v>0</v>
      </c>
      <c r="AH89" s="161"/>
      <c r="AI89" s="308">
        <f t="shared" si="111"/>
        <v>0</v>
      </c>
      <c r="AJ89" s="304">
        <v>0</v>
      </c>
      <c r="AK89" s="309">
        <v>0</v>
      </c>
      <c r="AL89" s="161"/>
      <c r="AM89" s="308">
        <f t="shared" si="83"/>
        <v>-921.13041999999996</v>
      </c>
      <c r="AN89" s="304">
        <v>0</v>
      </c>
      <c r="AO89" s="309">
        <v>0</v>
      </c>
      <c r="AP89" s="304"/>
      <c r="AQ89" s="308">
        <f t="shared" si="114"/>
        <v>-93.148020000000002</v>
      </c>
      <c r="AR89" s="304">
        <v>0</v>
      </c>
      <c r="AS89" s="309">
        <v>0</v>
      </c>
      <c r="AT89" s="161"/>
      <c r="AU89" s="308">
        <f t="shared" si="115"/>
        <v>-1045.3277800000001</v>
      </c>
      <c r="AV89" s="304">
        <v>0</v>
      </c>
      <c r="AW89" s="309">
        <v>0</v>
      </c>
      <c r="AX89" s="315"/>
      <c r="AY89" s="305"/>
      <c r="AZ89" s="155"/>
      <c r="BA89" s="315"/>
    </row>
    <row r="90" spans="1:53" x14ac:dyDescent="0.3">
      <c r="A90" s="85">
        <f t="shared" si="103"/>
        <v>83</v>
      </c>
      <c r="B90" s="709"/>
      <c r="C90" s="710" t="s">
        <v>7</v>
      </c>
      <c r="D90" s="161"/>
      <c r="E90" s="156">
        <f>ROUND('Allocation = ¢ per Therm'!K80,5)</f>
        <v>0</v>
      </c>
      <c r="F90" s="156">
        <f>ROUND('Allocation = % of Margin'!U77,5)</f>
        <v>0</v>
      </c>
      <c r="G90" s="156">
        <f>ROUND('Allocation = % of Margin'!X77,5)</f>
        <v>-7.3999999999999999E-4</v>
      </c>
      <c r="H90" s="156">
        <f>ROUND('Allocation = % of Margin'!AA77,5)</f>
        <v>2.5999999999999998E-4</v>
      </c>
      <c r="I90" s="156">
        <f>ROUND('Allocation = % of Margin'!AG77,5)</f>
        <v>0</v>
      </c>
      <c r="J90" s="156">
        <f>ROUND('Allocation = % of Margin'!AJ77,5)</f>
        <v>-7.1000000000000002E-4</v>
      </c>
      <c r="K90" s="156">
        <f>ROUND('Allocation = % of Margin'!AM77,5)</f>
        <v>-6.9999999999999994E-5</v>
      </c>
      <c r="L90" s="161"/>
      <c r="M90" s="557">
        <f>'WA Volumes &amp; Revenues'!F78</f>
        <v>3078834</v>
      </c>
      <c r="N90" s="293">
        <f>'Rev Req Proof Yr1'!R90</f>
        <v>3359916</v>
      </c>
      <c r="O90" s="294">
        <f>'Rev Req Proof Yr1'!S90</f>
        <v>0</v>
      </c>
      <c r="P90" s="295">
        <f>'Rev Req Proof Yr1'!T90</f>
        <v>0</v>
      </c>
      <c r="Q90" s="296">
        <f>'Rev Req Proof Yr1'!U90</f>
        <v>0</v>
      </c>
      <c r="R90" s="161"/>
      <c r="S90" s="308">
        <f t="shared" si="112"/>
        <v>0</v>
      </c>
      <c r="T90" s="304">
        <v>0</v>
      </c>
      <c r="U90" s="309">
        <v>0</v>
      </c>
      <c r="V90" s="161"/>
      <c r="W90" s="308">
        <f t="shared" si="116"/>
        <v>0</v>
      </c>
      <c r="X90" s="304">
        <v>0</v>
      </c>
      <c r="Y90" s="309">
        <v>0</v>
      </c>
      <c r="Z90" s="161"/>
      <c r="AA90" s="308">
        <f t="shared" si="113"/>
        <v>-2486.3378400000001</v>
      </c>
      <c r="AB90" s="304">
        <v>0</v>
      </c>
      <c r="AC90" s="309">
        <v>0</v>
      </c>
      <c r="AD90" s="304"/>
      <c r="AE90" s="308">
        <f t="shared" si="110"/>
        <v>873.57815999999991</v>
      </c>
      <c r="AF90" s="304">
        <v>0</v>
      </c>
      <c r="AG90" s="309">
        <v>0</v>
      </c>
      <c r="AH90" s="161"/>
      <c r="AI90" s="308">
        <f t="shared" si="111"/>
        <v>0</v>
      </c>
      <c r="AJ90" s="304">
        <v>0</v>
      </c>
      <c r="AK90" s="309">
        <v>0</v>
      </c>
      <c r="AL90" s="161"/>
      <c r="AM90" s="308">
        <f t="shared" si="83"/>
        <v>-2385.54036</v>
      </c>
      <c r="AN90" s="304">
        <v>0</v>
      </c>
      <c r="AO90" s="309">
        <v>0</v>
      </c>
      <c r="AP90" s="304"/>
      <c r="AQ90" s="308">
        <f t="shared" si="114"/>
        <v>-235.19411999999997</v>
      </c>
      <c r="AR90" s="304">
        <v>0</v>
      </c>
      <c r="AS90" s="309">
        <v>0</v>
      </c>
      <c r="AT90" s="161"/>
      <c r="AU90" s="308">
        <f t="shared" si="115"/>
        <v>-2721.5319599999998</v>
      </c>
      <c r="AV90" s="304">
        <v>0</v>
      </c>
      <c r="AW90" s="309">
        <v>0</v>
      </c>
      <c r="AX90" s="315"/>
      <c r="AY90" s="305"/>
      <c r="AZ90" s="155"/>
      <c r="BA90" s="315"/>
    </row>
    <row r="91" spans="1:53" x14ac:dyDescent="0.3">
      <c r="A91" s="85">
        <f t="shared" si="103"/>
        <v>84</v>
      </c>
      <c r="B91" s="709"/>
      <c r="C91" s="710" t="s">
        <v>8</v>
      </c>
      <c r="D91" s="161"/>
      <c r="E91" s="156">
        <f>ROUND('Allocation = ¢ per Therm'!K81,5)</f>
        <v>0</v>
      </c>
      <c r="F91" s="156">
        <f>ROUND('Allocation = % of Margin'!U78,5)</f>
        <v>0</v>
      </c>
      <c r="G91" s="156">
        <f>ROUND('Allocation = % of Margin'!X78,5)</f>
        <v>-4.8999999999999998E-4</v>
      </c>
      <c r="H91" s="156">
        <f>ROUND('Allocation = % of Margin'!AA78,5)</f>
        <v>1.7000000000000001E-4</v>
      </c>
      <c r="I91" s="156">
        <f>ROUND('Allocation = % of Margin'!AG78,5)</f>
        <v>0</v>
      </c>
      <c r="J91" s="156">
        <f>ROUND('Allocation = % of Margin'!AJ78,5)</f>
        <v>-4.6999999999999999E-4</v>
      </c>
      <c r="K91" s="156">
        <f>ROUND('Allocation = % of Margin'!AM78,5)</f>
        <v>-5.0000000000000002E-5</v>
      </c>
      <c r="L91" s="161"/>
      <c r="M91" s="557">
        <f>'WA Volumes &amp; Revenues'!F79</f>
        <v>1269411</v>
      </c>
      <c r="N91" s="293">
        <f>'Rev Req Proof Yr1'!R91</f>
        <v>1349120</v>
      </c>
      <c r="O91" s="294">
        <f>'Rev Req Proof Yr1'!S91</f>
        <v>0</v>
      </c>
      <c r="P91" s="295">
        <f>'Rev Req Proof Yr1'!T91</f>
        <v>0</v>
      </c>
      <c r="Q91" s="296">
        <f>'Rev Req Proof Yr1'!U91</f>
        <v>0</v>
      </c>
      <c r="R91" s="161"/>
      <c r="S91" s="308">
        <f t="shared" si="112"/>
        <v>0</v>
      </c>
      <c r="T91" s="304">
        <v>0</v>
      </c>
      <c r="U91" s="309">
        <v>0</v>
      </c>
      <c r="V91" s="161"/>
      <c r="W91" s="308">
        <f t="shared" si="116"/>
        <v>0</v>
      </c>
      <c r="X91" s="304">
        <v>0</v>
      </c>
      <c r="Y91" s="309">
        <v>0</v>
      </c>
      <c r="Z91" s="161"/>
      <c r="AA91" s="308">
        <f t="shared" si="113"/>
        <v>-661.06880000000001</v>
      </c>
      <c r="AB91" s="304">
        <v>0</v>
      </c>
      <c r="AC91" s="309">
        <v>0</v>
      </c>
      <c r="AD91" s="304"/>
      <c r="AE91" s="308">
        <f t="shared" si="110"/>
        <v>229.35040000000001</v>
      </c>
      <c r="AF91" s="304">
        <v>0</v>
      </c>
      <c r="AG91" s="309">
        <v>0</v>
      </c>
      <c r="AH91" s="161"/>
      <c r="AI91" s="308">
        <f t="shared" si="111"/>
        <v>0</v>
      </c>
      <c r="AJ91" s="304">
        <v>0</v>
      </c>
      <c r="AK91" s="309">
        <v>0</v>
      </c>
      <c r="AL91" s="161"/>
      <c r="AM91" s="308">
        <f t="shared" si="83"/>
        <v>-634.08640000000003</v>
      </c>
      <c r="AN91" s="304">
        <v>0</v>
      </c>
      <c r="AO91" s="309">
        <v>0</v>
      </c>
      <c r="AP91" s="304"/>
      <c r="AQ91" s="308">
        <f t="shared" si="114"/>
        <v>-67.456000000000003</v>
      </c>
      <c r="AR91" s="304">
        <v>0</v>
      </c>
      <c r="AS91" s="309">
        <v>0</v>
      </c>
      <c r="AT91" s="161"/>
      <c r="AU91" s="308">
        <f t="shared" si="115"/>
        <v>-728.52480000000003</v>
      </c>
      <c r="AV91" s="304">
        <v>0</v>
      </c>
      <c r="AW91" s="309">
        <v>0</v>
      </c>
      <c r="AX91" s="315"/>
      <c r="AY91" s="305"/>
      <c r="AZ91" s="153"/>
      <c r="BA91" s="315"/>
    </row>
    <row r="92" spans="1:53" x14ac:dyDescent="0.3">
      <c r="A92" s="85">
        <f t="shared" si="103"/>
        <v>85</v>
      </c>
      <c r="B92" s="709"/>
      <c r="C92" s="710" t="s">
        <v>9</v>
      </c>
      <c r="D92" s="161"/>
      <c r="E92" s="156">
        <f>ROUND('Allocation = ¢ per Therm'!K82,5)</f>
        <v>0</v>
      </c>
      <c r="F92" s="156">
        <f>ROUND('Allocation = % of Margin'!U79,5)</f>
        <v>0</v>
      </c>
      <c r="G92" s="156">
        <f>ROUND('Allocation = % of Margin'!X79,5)</f>
        <v>-1.8000000000000001E-4</v>
      </c>
      <c r="H92" s="156">
        <f>ROUND('Allocation = % of Margin'!AA79,5)</f>
        <v>6.0000000000000002E-5</v>
      </c>
      <c r="I92" s="156">
        <f>ROUND('Allocation = % of Margin'!AG79,5)</f>
        <v>0</v>
      </c>
      <c r="J92" s="156">
        <f>ROUND('Allocation = % of Margin'!AJ79,5)</f>
        <v>-1.8000000000000001E-4</v>
      </c>
      <c r="K92" s="156">
        <f>ROUND('Allocation = % of Margin'!AM79,5)</f>
        <v>-2.0000000000000002E-5</v>
      </c>
      <c r="L92" s="161"/>
      <c r="M92" s="557">
        <f>'WA Volumes &amp; Revenues'!F80</f>
        <v>0</v>
      </c>
      <c r="N92" s="293">
        <f>'Rev Req Proof Yr1'!R92</f>
        <v>0</v>
      </c>
      <c r="O92" s="294">
        <f>'Rev Req Proof Yr1'!S92</f>
        <v>0</v>
      </c>
      <c r="P92" s="295">
        <f>'Rev Req Proof Yr1'!T92</f>
        <v>0</v>
      </c>
      <c r="Q92" s="296">
        <f>'Rev Req Proof Yr1'!U92</f>
        <v>0</v>
      </c>
      <c r="R92" s="161"/>
      <c r="S92" s="308">
        <f t="shared" si="112"/>
        <v>0</v>
      </c>
      <c r="T92" s="304">
        <v>0</v>
      </c>
      <c r="U92" s="309">
        <v>0</v>
      </c>
      <c r="V92" s="161"/>
      <c r="W92" s="308">
        <f t="shared" si="116"/>
        <v>0</v>
      </c>
      <c r="X92" s="304">
        <v>0</v>
      </c>
      <c r="Y92" s="309">
        <v>0</v>
      </c>
      <c r="Z92" s="161"/>
      <c r="AA92" s="308">
        <f t="shared" si="113"/>
        <v>0</v>
      </c>
      <c r="AB92" s="304">
        <v>0</v>
      </c>
      <c r="AC92" s="309">
        <v>0</v>
      </c>
      <c r="AD92" s="304"/>
      <c r="AE92" s="308">
        <f t="shared" si="110"/>
        <v>0</v>
      </c>
      <c r="AF92" s="304">
        <v>0</v>
      </c>
      <c r="AG92" s="309">
        <v>0</v>
      </c>
      <c r="AH92" s="161"/>
      <c r="AI92" s="308">
        <f t="shared" si="111"/>
        <v>0</v>
      </c>
      <c r="AJ92" s="304">
        <v>0</v>
      </c>
      <c r="AK92" s="309">
        <v>0</v>
      </c>
      <c r="AL92" s="161"/>
      <c r="AM92" s="308">
        <f t="shared" si="83"/>
        <v>0</v>
      </c>
      <c r="AN92" s="304">
        <v>0</v>
      </c>
      <c r="AO92" s="309">
        <v>0</v>
      </c>
      <c r="AP92" s="304"/>
      <c r="AQ92" s="308">
        <f t="shared" si="114"/>
        <v>0</v>
      </c>
      <c r="AR92" s="304">
        <v>0</v>
      </c>
      <c r="AS92" s="309">
        <v>0</v>
      </c>
      <c r="AT92" s="161"/>
      <c r="AU92" s="308">
        <f t="shared" si="115"/>
        <v>0</v>
      </c>
      <c r="AV92" s="304">
        <v>0</v>
      </c>
      <c r="AW92" s="309">
        <v>0</v>
      </c>
      <c r="AX92" s="315"/>
      <c r="AY92" s="305"/>
      <c r="AZ92" s="153"/>
      <c r="BA92" s="315"/>
    </row>
    <row r="93" spans="1:53" x14ac:dyDescent="0.3">
      <c r="A93" s="85">
        <f t="shared" si="103"/>
        <v>86</v>
      </c>
      <c r="B93" s="707"/>
      <c r="C93" s="726" t="s">
        <v>76</v>
      </c>
      <c r="D93" s="162"/>
      <c r="E93" s="152"/>
      <c r="F93" s="152"/>
      <c r="G93" s="794"/>
      <c r="H93" s="794"/>
      <c r="I93" s="794"/>
      <c r="J93" s="794"/>
      <c r="K93" s="794"/>
      <c r="L93" s="162"/>
      <c r="M93" s="556"/>
      <c r="N93" s="293"/>
      <c r="O93" s="156"/>
      <c r="P93" s="156"/>
      <c r="Q93" s="157"/>
      <c r="R93" s="161"/>
      <c r="S93" s="310">
        <f>SUM(S87:S92)</f>
        <v>0</v>
      </c>
      <c r="T93" s="311">
        <f>SUM(T87:T92)</f>
        <v>0</v>
      </c>
      <c r="U93" s="312">
        <f>SUM(U87:U92)</f>
        <v>0</v>
      </c>
      <c r="V93" s="161"/>
      <c r="W93" s="310">
        <f>SUM(W87:W92)</f>
        <v>0</v>
      </c>
      <c r="X93" s="311">
        <f>SUM(X87:X92)</f>
        <v>0</v>
      </c>
      <c r="Y93" s="312">
        <f>SUM(Y87:Y92)</f>
        <v>0</v>
      </c>
      <c r="Z93" s="161"/>
      <c r="AA93" s="310">
        <f>SUM(AA87:AA92)</f>
        <v>-6964.8609200000001</v>
      </c>
      <c r="AB93" s="311">
        <f>SUM(AB87:AB92)</f>
        <v>0</v>
      </c>
      <c r="AC93" s="312">
        <f>SUM(AC87:AC92)</f>
        <v>0</v>
      </c>
      <c r="AD93" s="323"/>
      <c r="AE93" s="310">
        <f>SUM(AE87:AE92)</f>
        <v>2437.8116799999998</v>
      </c>
      <c r="AF93" s="311">
        <f>SUM(AF87:AF92)</f>
        <v>0</v>
      </c>
      <c r="AG93" s="312">
        <f>SUM(AG87:AG92)</f>
        <v>0</v>
      </c>
      <c r="AH93" s="161"/>
      <c r="AI93" s="310">
        <f>SUM(AI87:AI92)</f>
        <v>0</v>
      </c>
      <c r="AJ93" s="311">
        <f>SUM(AJ87:AJ92)</f>
        <v>0</v>
      </c>
      <c r="AK93" s="312">
        <f>SUM(AK87:AK92)</f>
        <v>0</v>
      </c>
      <c r="AL93" s="161"/>
      <c r="AM93" s="310">
        <f>SUM(AM87:AM92)</f>
        <v>-6714.4615800000001</v>
      </c>
      <c r="AN93" s="311">
        <f>SUM(AN87:AN92)</f>
        <v>0</v>
      </c>
      <c r="AO93" s="312">
        <f>SUM(AO87:AO92)</f>
        <v>0</v>
      </c>
      <c r="AP93" s="323"/>
      <c r="AQ93" s="310">
        <f>SUM(AQ87:AQ92)</f>
        <v>-678.94928000000004</v>
      </c>
      <c r="AR93" s="311">
        <f>SUM(AR87:AR92)</f>
        <v>0</v>
      </c>
      <c r="AS93" s="312">
        <f>SUM(AS87:AS92)</f>
        <v>0</v>
      </c>
      <c r="AT93" s="161"/>
      <c r="AU93" s="310">
        <f>SUM(AU87:AU92)</f>
        <v>-7643.8102000000008</v>
      </c>
      <c r="AV93" s="311">
        <f>SUM(AV87:AV92)</f>
        <v>0</v>
      </c>
      <c r="AW93" s="312">
        <f>SUM(AW87:AW92)</f>
        <v>0</v>
      </c>
      <c r="AX93" s="315"/>
      <c r="AY93" s="305"/>
      <c r="AZ93" s="153"/>
      <c r="BA93" s="315"/>
    </row>
    <row r="94" spans="1:53" x14ac:dyDescent="0.3">
      <c r="A94" s="85">
        <f t="shared" si="103"/>
        <v>87</v>
      </c>
      <c r="B94" s="707" t="str">
        <f>'Avg Bill by RS'!B94</f>
        <v>43 Firm Transpt</v>
      </c>
      <c r="C94" s="707" t="str">
        <f>'Avg Bill by RS'!C94</f>
        <v>n/a</v>
      </c>
      <c r="D94" s="161"/>
      <c r="E94" s="163">
        <f>ROUND('Allocation = ¢ per Therm'!K83,5)</f>
        <v>0</v>
      </c>
      <c r="F94" s="163">
        <f>ROUND('Allocation = % of Margin'!U80,5)</f>
        <v>0</v>
      </c>
      <c r="G94" s="163">
        <f>ROUND('Allocation = % of Margin'!X80,5)</f>
        <v>-4.0000000000000003E-5</v>
      </c>
      <c r="H94" s="163">
        <f>ROUND('Allocation = % of Margin'!AA80,5)</f>
        <v>2.0000000000000002E-5</v>
      </c>
      <c r="I94" s="163">
        <f>ROUND('Allocation = % of Margin'!AG80,5)</f>
        <v>0</v>
      </c>
      <c r="J94" s="163">
        <f>ROUND('Allocation = % of Margin'!AJ80,5)</f>
        <v>-4.0000000000000003E-5</v>
      </c>
      <c r="K94" s="163">
        <f>ROUND('Allocation = % of Margin'!AM80,5)</f>
        <v>0</v>
      </c>
      <c r="L94" s="161"/>
      <c r="M94" s="557">
        <f>'WA Volumes &amp; Revenues'!F81</f>
        <v>0</v>
      </c>
      <c r="N94" s="293">
        <f>'Rev Req Proof Yr1'!R94</f>
        <v>0</v>
      </c>
      <c r="O94" s="294">
        <f>'Rev Req Proof Yr1'!S94</f>
        <v>0</v>
      </c>
      <c r="P94" s="295">
        <f>'Rev Req Proof Yr1'!T94</f>
        <v>0</v>
      </c>
      <c r="Q94" s="296">
        <f>'Rev Req Proof Yr1'!U94</f>
        <v>0</v>
      </c>
      <c r="R94" s="161"/>
      <c r="S94" s="301">
        <f t="shared" ref="S94:S96" si="117">((E94)*N94)</f>
        <v>0</v>
      </c>
      <c r="T94" s="302">
        <v>0</v>
      </c>
      <c r="U94" s="303">
        <v>0</v>
      </c>
      <c r="V94" s="161"/>
      <c r="W94" s="301">
        <f>((F94)*M94)</f>
        <v>0</v>
      </c>
      <c r="X94" s="302">
        <v>0</v>
      </c>
      <c r="Y94" s="303">
        <v>0</v>
      </c>
      <c r="Z94" s="161"/>
      <c r="AA94" s="301">
        <f t="shared" ref="AA94:AA96" si="118">((G94)*N94)</f>
        <v>0</v>
      </c>
      <c r="AB94" s="302">
        <v>0</v>
      </c>
      <c r="AC94" s="303">
        <v>0</v>
      </c>
      <c r="AD94" s="304"/>
      <c r="AE94" s="301">
        <f t="shared" si="110"/>
        <v>0</v>
      </c>
      <c r="AF94" s="302">
        <v>0</v>
      </c>
      <c r="AG94" s="303">
        <v>0</v>
      </c>
      <c r="AH94" s="161"/>
      <c r="AI94" s="301">
        <f t="shared" si="111"/>
        <v>0</v>
      </c>
      <c r="AJ94" s="302">
        <v>0</v>
      </c>
      <c r="AK94" s="303">
        <v>0</v>
      </c>
      <c r="AL94" s="161"/>
      <c r="AM94" s="301">
        <f t="shared" si="83"/>
        <v>0</v>
      </c>
      <c r="AN94" s="302">
        <v>0</v>
      </c>
      <c r="AO94" s="303">
        <v>0</v>
      </c>
      <c r="AP94" s="304"/>
      <c r="AQ94" s="301">
        <f t="shared" si="114"/>
        <v>0</v>
      </c>
      <c r="AR94" s="302">
        <v>0</v>
      </c>
      <c r="AS94" s="303">
        <v>0</v>
      </c>
      <c r="AT94" s="161"/>
      <c r="AU94" s="301">
        <f t="shared" ref="AU94:AU96" si="119">((E94+F94+G94+K94)*N94)</f>
        <v>0</v>
      </c>
      <c r="AV94" s="302">
        <v>0</v>
      </c>
      <c r="AW94" s="303">
        <v>0</v>
      </c>
      <c r="AX94" s="315"/>
      <c r="AY94" s="153"/>
      <c r="AZ94" s="153"/>
      <c r="BA94" s="315"/>
    </row>
    <row r="95" spans="1:53" x14ac:dyDescent="0.3">
      <c r="A95" s="85">
        <f t="shared" si="103"/>
        <v>88</v>
      </c>
      <c r="B95" s="707" t="str">
        <f>'Avg Bill by RS'!B95</f>
        <v>43 Interr Transpt</v>
      </c>
      <c r="C95" s="707" t="str">
        <f>'Avg Bill by RS'!C95</f>
        <v>n/a</v>
      </c>
      <c r="D95" s="161"/>
      <c r="E95" s="163">
        <f>ROUND('Allocation = ¢ per Therm'!K84,5)</f>
        <v>0</v>
      </c>
      <c r="F95" s="163">
        <f>ROUND('Allocation = % of Margin'!U81,5)</f>
        <v>0</v>
      </c>
      <c r="G95" s="163">
        <f>ROUND('Allocation = % of Margin'!X81,5)</f>
        <v>-4.0000000000000003E-5</v>
      </c>
      <c r="H95" s="163">
        <f>ROUND('Allocation = % of Margin'!AA81,5)</f>
        <v>2.0000000000000002E-5</v>
      </c>
      <c r="I95" s="163">
        <f>ROUND('Allocation = % of Margin'!AG81,5)</f>
        <v>0</v>
      </c>
      <c r="J95" s="163">
        <f>ROUND('Allocation = % of Margin'!AJ81,5)</f>
        <v>-4.0000000000000003E-5</v>
      </c>
      <c r="K95" s="163">
        <f>ROUND('Allocation = % of Margin'!AM81,5)</f>
        <v>0</v>
      </c>
      <c r="L95" s="163"/>
      <c r="M95" s="557">
        <f>'WA Volumes &amp; Revenues'!F82</f>
        <v>0</v>
      </c>
      <c r="N95" s="293">
        <f>'Rev Req Proof Yr1'!R95</f>
        <v>0</v>
      </c>
      <c r="O95" s="294">
        <f>'Rev Req Proof Yr1'!S95</f>
        <v>0</v>
      </c>
      <c r="P95" s="295">
        <f>'Rev Req Proof Yr1'!T95</f>
        <v>0</v>
      </c>
      <c r="Q95" s="296">
        <f>'Rev Req Proof Yr1'!U95</f>
        <v>0</v>
      </c>
      <c r="R95" s="161"/>
      <c r="S95" s="317">
        <f t="shared" si="117"/>
        <v>0</v>
      </c>
      <c r="T95" s="316">
        <v>0</v>
      </c>
      <c r="U95" s="318">
        <v>0</v>
      </c>
      <c r="V95" s="161"/>
      <c r="W95" s="317">
        <f>((F95)*M95)</f>
        <v>0</v>
      </c>
      <c r="X95" s="316">
        <v>0</v>
      </c>
      <c r="Y95" s="318">
        <v>0</v>
      </c>
      <c r="Z95" s="161"/>
      <c r="AA95" s="317">
        <f t="shared" si="118"/>
        <v>0</v>
      </c>
      <c r="AB95" s="316">
        <v>0</v>
      </c>
      <c r="AC95" s="318">
        <v>0</v>
      </c>
      <c r="AD95" s="315"/>
      <c r="AE95" s="317">
        <f t="shared" si="110"/>
        <v>0</v>
      </c>
      <c r="AF95" s="316">
        <v>0</v>
      </c>
      <c r="AG95" s="318">
        <v>0</v>
      </c>
      <c r="AH95" s="161"/>
      <c r="AI95" s="317">
        <f t="shared" si="111"/>
        <v>0</v>
      </c>
      <c r="AJ95" s="316">
        <v>0</v>
      </c>
      <c r="AK95" s="318">
        <v>0</v>
      </c>
      <c r="AL95" s="161"/>
      <c r="AM95" s="317">
        <f t="shared" si="83"/>
        <v>0</v>
      </c>
      <c r="AN95" s="316">
        <v>0</v>
      </c>
      <c r="AO95" s="318">
        <v>0</v>
      </c>
      <c r="AP95" s="315"/>
      <c r="AQ95" s="317">
        <f t="shared" si="114"/>
        <v>0</v>
      </c>
      <c r="AR95" s="316">
        <v>0</v>
      </c>
      <c r="AS95" s="318">
        <v>0</v>
      </c>
      <c r="AT95" s="161"/>
      <c r="AU95" s="317">
        <f t="shared" si="119"/>
        <v>0</v>
      </c>
      <c r="AV95" s="316">
        <v>0</v>
      </c>
      <c r="AW95" s="318">
        <v>0</v>
      </c>
      <c r="AX95" s="315"/>
      <c r="AY95" s="153"/>
      <c r="AZ95" s="153"/>
      <c r="BA95" s="315"/>
    </row>
    <row r="96" spans="1:53" ht="13.5" thickBot="1" x14ac:dyDescent="0.35">
      <c r="A96" s="85">
        <f t="shared" si="103"/>
        <v>89</v>
      </c>
      <c r="B96" s="763" t="str">
        <f>'Avg Bill by RS'!B96</f>
        <v>Special Contract</v>
      </c>
      <c r="C96" s="763" t="str">
        <f>'Avg Bill by RS'!C96</f>
        <v>n/a</v>
      </c>
      <c r="D96" s="165"/>
      <c r="E96" s="165">
        <f>ROUND('Allocation = ¢ per Therm'!K85,5)</f>
        <v>0</v>
      </c>
      <c r="F96" s="165">
        <f>ROUND('Allocation = % of Margin'!U82,5)</f>
        <v>0</v>
      </c>
      <c r="G96" s="165">
        <f>ROUND('Allocation = % of Margin'!X82,5)</f>
        <v>0</v>
      </c>
      <c r="H96" s="165">
        <f>ROUND('Allocation = % of Margin'!AA82,5)</f>
        <v>0</v>
      </c>
      <c r="I96" s="165">
        <f>ROUND('Allocation = % of Margin'!AG82,5)</f>
        <v>0</v>
      </c>
      <c r="J96" s="165">
        <f>ROUND('Allocation = % of Margin'!AJ82,5)</f>
        <v>0</v>
      </c>
      <c r="K96" s="165">
        <f>ROUND('Allocation = % of Margin'!AM82,5)</f>
        <v>0</v>
      </c>
      <c r="L96" s="766"/>
      <c r="M96" s="793">
        <f>'WA Volumes &amp; Revenues'!F83</f>
        <v>0</v>
      </c>
      <c r="N96" s="790">
        <f>'Rev Req Proof Yr1'!R96</f>
        <v>2895114</v>
      </c>
      <c r="O96" s="789">
        <f>'Rev Req Proof Yr1'!S96</f>
        <v>0</v>
      </c>
      <c r="P96" s="785">
        <f>'Rev Req Proof Yr1'!T96</f>
        <v>1</v>
      </c>
      <c r="Q96" s="786">
        <f>'Rev Req Proof Yr1'!U96</f>
        <v>241259.5</v>
      </c>
      <c r="R96" s="161"/>
      <c r="S96" s="319">
        <f t="shared" si="117"/>
        <v>0</v>
      </c>
      <c r="T96" s="320">
        <v>0</v>
      </c>
      <c r="U96" s="321">
        <v>0</v>
      </c>
      <c r="V96" s="161"/>
      <c r="W96" s="319">
        <f>((F96)*M96)</f>
        <v>0</v>
      </c>
      <c r="X96" s="320">
        <v>0</v>
      </c>
      <c r="Y96" s="321">
        <v>0</v>
      </c>
      <c r="Z96" s="161"/>
      <c r="AA96" s="319">
        <f t="shared" si="118"/>
        <v>0</v>
      </c>
      <c r="AB96" s="320">
        <v>0</v>
      </c>
      <c r="AC96" s="321">
        <v>0</v>
      </c>
      <c r="AD96" s="315"/>
      <c r="AE96" s="319">
        <f t="shared" si="110"/>
        <v>0</v>
      </c>
      <c r="AF96" s="320">
        <v>0</v>
      </c>
      <c r="AG96" s="321">
        <v>0</v>
      </c>
      <c r="AH96" s="161"/>
      <c r="AI96" s="319">
        <f t="shared" si="111"/>
        <v>0</v>
      </c>
      <c r="AJ96" s="320">
        <v>0</v>
      </c>
      <c r="AK96" s="321">
        <v>0</v>
      </c>
      <c r="AL96" s="161"/>
      <c r="AM96" s="319">
        <f t="shared" si="83"/>
        <v>0</v>
      </c>
      <c r="AN96" s="320">
        <v>0</v>
      </c>
      <c r="AO96" s="321">
        <v>0</v>
      </c>
      <c r="AP96" s="315"/>
      <c r="AQ96" s="319">
        <f t="shared" si="114"/>
        <v>0</v>
      </c>
      <c r="AR96" s="320">
        <v>0</v>
      </c>
      <c r="AS96" s="321">
        <v>0</v>
      </c>
      <c r="AT96" s="161"/>
      <c r="AU96" s="589">
        <f t="shared" si="119"/>
        <v>0</v>
      </c>
      <c r="AV96" s="590">
        <v>0</v>
      </c>
      <c r="AW96" s="591">
        <v>0</v>
      </c>
      <c r="AX96" s="315"/>
      <c r="AY96" s="161"/>
      <c r="AZ96" s="161"/>
      <c r="BA96" s="315"/>
    </row>
    <row r="97" spans="1:53" x14ac:dyDescent="0.3">
      <c r="A97" s="85">
        <f t="shared" si="103"/>
        <v>90</v>
      </c>
    </row>
    <row r="98" spans="1:53" x14ac:dyDescent="0.3">
      <c r="A98" s="85">
        <f t="shared" si="103"/>
        <v>91</v>
      </c>
      <c r="B98" s="167" t="s">
        <v>58</v>
      </c>
    </row>
    <row r="99" spans="1:53" x14ac:dyDescent="0.3">
      <c r="A99" s="85">
        <f t="shared" si="103"/>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82"/>
      <c r="AN99" s="782"/>
      <c r="AO99" s="782"/>
      <c r="AP99" s="782"/>
      <c r="AQ99" s="782"/>
      <c r="AR99" s="782"/>
      <c r="AS99" s="782"/>
      <c r="AT99" s="782"/>
      <c r="AU99" s="782"/>
      <c r="AV99" s="782"/>
      <c r="AW99" s="782"/>
      <c r="AX99" s="783"/>
      <c r="BA99" s="54"/>
    </row>
    <row r="100" spans="1:53" x14ac:dyDescent="0.3">
      <c r="A100" s="85">
        <f t="shared" si="103"/>
        <v>93</v>
      </c>
      <c r="B100" s="168"/>
      <c r="M100" s="322"/>
      <c r="N100" s="322"/>
      <c r="O100" s="322"/>
      <c r="P100" s="322"/>
    </row>
    <row r="101" spans="1:53" x14ac:dyDescent="0.3">
      <c r="A101" s="85">
        <f t="shared" si="103"/>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49"/>
      <c r="AQ101" s="749"/>
      <c r="AR101" s="749"/>
      <c r="AS101" s="749"/>
      <c r="AT101" s="749"/>
      <c r="AU101" s="749"/>
      <c r="AV101" s="749"/>
      <c r="AW101" s="749"/>
      <c r="AX101" s="784"/>
      <c r="BA101" s="54"/>
    </row>
    <row r="102" spans="1:53" x14ac:dyDescent="0.3">
      <c r="A102" s="85">
        <f t="shared" si="103"/>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49"/>
      <c r="AT102" s="749"/>
      <c r="AU102" s="749"/>
      <c r="AV102" s="749"/>
      <c r="AW102" s="749"/>
      <c r="AX102" s="784"/>
      <c r="BA102" s="54"/>
    </row>
    <row r="103" spans="1:53" x14ac:dyDescent="0.3">
      <c r="A103" s="85"/>
      <c r="B103" s="168"/>
    </row>
    <row r="104" spans="1:53" x14ac:dyDescent="0.3">
      <c r="A104" s="85"/>
      <c r="B104" s="168"/>
    </row>
    <row r="105" spans="1:53" x14ac:dyDescent="0.3">
      <c r="A105" s="85"/>
      <c r="B105" s="168"/>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1">
    <mergeCell ref="AY17:BA17"/>
    <mergeCell ref="AY2:AZ2"/>
    <mergeCell ref="N7:Q7"/>
    <mergeCell ref="AU10:AW10"/>
    <mergeCell ref="AA10:AC10"/>
    <mergeCell ref="W10:Y10"/>
    <mergeCell ref="S10:U10"/>
    <mergeCell ref="AQ10:AS10"/>
    <mergeCell ref="AI10:AK10"/>
    <mergeCell ref="AM10:AO10"/>
    <mergeCell ref="AE10:AG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52" ma:contentTypeDescription="" ma:contentTypeScope="" ma:versionID="661ebdd58a449a96898bb3f3afaf28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2022-10-14T07:00:00+00:00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8C9A9D6E-6DF1-4235-936E-C835925D0702}"/>
</file>

<file path=customXml/itemProps2.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3.xml><?xml version="1.0" encoding="utf-8"?>
<ds:datastoreItem xmlns:ds="http://schemas.openxmlformats.org/officeDocument/2006/customXml" ds:itemID="{48894FB1-5DAF-4D23-A5D1-721DDD182922}">
  <ds:schemaRef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dcmitype/"/>
    <ds:schemaRef ds:uri="http://purl.org/dc/elements/1.1/"/>
  </ds:schemaRefs>
</ds:datastoreItem>
</file>

<file path=customXml/itemProps4.xml><?xml version="1.0" encoding="utf-8"?>
<ds:datastoreItem xmlns:ds="http://schemas.openxmlformats.org/officeDocument/2006/customXml" ds:itemID="{75EE68A3-189E-489B-9214-FFC227A237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7</vt:i4>
      </vt:variant>
    </vt:vector>
  </HeadingPairs>
  <TitlesOfParts>
    <vt:vector size="31" baseType="lpstr">
      <vt:lpstr>Index</vt:lpstr>
      <vt:lpstr>WA Volumes &amp; Revenues</vt:lpstr>
      <vt:lpstr>Rate Spread SETTLEMENT</vt:lpstr>
      <vt:lpstr>Allocation = ¢ per Therm</vt:lpstr>
      <vt:lpstr>Allocation = % of Margin</vt:lpstr>
      <vt:lpstr>Allocation = % of Revenue</vt:lpstr>
      <vt:lpstr>Rev Req Proof Yr1</vt:lpstr>
      <vt:lpstr>Rev Req Proof Yr2</vt:lpstr>
      <vt:lpstr>Temps Proof</vt:lpstr>
      <vt:lpstr>Combined Items Proof Yr1</vt:lpstr>
      <vt:lpstr>Combined Items Proof Yr2</vt:lpstr>
      <vt:lpstr>Rates in summary</vt:lpstr>
      <vt:lpstr>Rates in Detail</vt:lpstr>
      <vt:lpstr>Avg Bill by RS</vt:lpstr>
      <vt:lpstr>Rate Impacts - Rev Req ONLY</vt:lpstr>
      <vt:lpstr>Proposed Rates - COMBINED</vt:lpstr>
      <vt:lpstr>Rate Impacts - COMBINED</vt:lpstr>
      <vt:lpstr>Exh A Pg 1</vt:lpstr>
      <vt:lpstr>Exh A Pg 2</vt:lpstr>
      <vt:lpstr>Exh. RJW-3 RR</vt:lpstr>
      <vt:lpstr>Exh. RJW-3 Combined</vt:lpstr>
      <vt:lpstr>Exh. RJW-3 Mitigation Only</vt:lpstr>
      <vt:lpstr>Exh. RJW-4 RR</vt:lpstr>
      <vt:lpstr>Exh. RJW-4 Combined</vt:lpstr>
      <vt:lpstr>'Exh A Pg 1'!Print_Area</vt:lpstr>
      <vt:lpstr>'Exh A Pg 2'!Print_Area</vt:lpstr>
      <vt:lpstr>'Exh. RJW-3 Combined'!Print_Area</vt:lpstr>
      <vt:lpstr>'Exh. RJW-3 Mitigation Only'!Print_Area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Bourdo, Lora</cp:lastModifiedBy>
  <cp:lastPrinted>2022-10-14T16:16:45Z</cp:lastPrinted>
  <dcterms:created xsi:type="dcterms:W3CDTF">2005-11-10T23:09:08Z</dcterms:created>
  <dcterms:modified xsi:type="dcterms:W3CDTF">2022-10-14T17:02:27Z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