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170"/>
  </bookViews>
  <sheets>
    <sheet name="Adjustment" sheetId="3" r:id="rId1"/>
    <sheet name="2008 Q4" sheetId="1" r:id="rId2"/>
    <sheet name="2009 " sheetId="4" r:id="rId3"/>
    <sheet name="TOTAL" sheetId="7" r:id="rId4"/>
    <sheet name="Savings" sheetId="5" r:id="rId5"/>
  </sheets>
  <definedNames>
    <definedName name="_xlnm._FilterDatabase" localSheetId="1" hidden="1">'2008 Q4'!$A$5:$A$5</definedName>
    <definedName name="_xlnm._FilterDatabase" localSheetId="2" hidden="1">'2009 '!$A$5:$A$5</definedName>
    <definedName name="_xlnm.Print_Area" localSheetId="1">'2008 Q4'!$A$1:$S$16</definedName>
    <definedName name="_xlnm.Print_Area" localSheetId="2">'2009 '!$A$1:$U$16</definedName>
    <definedName name="_xlnm.Print_Area" localSheetId="0">Adjustment!$A$1:$D$18</definedName>
    <definedName name="_xlnm.Print_Titles" localSheetId="0">Adjustment!$4:$5</definedName>
  </definedNames>
  <calcPr calcId="114210" calcMode="manual" fullCalcOnLoad="1" iterate="1" iterateCount="50"/>
</workbook>
</file>

<file path=xl/calcChain.xml><?xml version="1.0" encoding="utf-8"?>
<calcChain xmlns="http://schemas.openxmlformats.org/spreadsheetml/2006/main">
  <c r="C10" i="1"/>
  <c r="G6"/>
  <c r="K6"/>
  <c r="K6" i="7"/>
  <c r="J6" i="1"/>
  <c r="L6"/>
  <c r="I6" i="4"/>
  <c r="N6"/>
  <c r="L6" i="7"/>
  <c r="M6" i="1"/>
  <c r="L6" i="4"/>
  <c r="O6"/>
  <c r="M6" i="7"/>
  <c r="N6" i="1"/>
  <c r="P6" i="4"/>
  <c r="N6" i="7"/>
  <c r="O6" i="1"/>
  <c r="Q6" i="4"/>
  <c r="O6" i="7"/>
  <c r="P6" i="1"/>
  <c r="R6" i="4"/>
  <c r="P6" i="7"/>
  <c r="Q6" i="1"/>
  <c r="Q6" i="7"/>
  <c r="R6" i="1"/>
  <c r="T6" i="4"/>
  <c r="R6" i="7"/>
  <c r="S6" i="1"/>
  <c r="U6" i="4"/>
  <c r="S6" i="7"/>
  <c r="K7"/>
  <c r="L7"/>
  <c r="M7"/>
  <c r="N7"/>
  <c r="O7"/>
  <c r="P7"/>
  <c r="Q7"/>
  <c r="R7"/>
  <c r="S7"/>
  <c r="K8"/>
  <c r="L8"/>
  <c r="M8"/>
  <c r="N8"/>
  <c r="O8"/>
  <c r="P8"/>
  <c r="Q8"/>
  <c r="R8"/>
  <c r="S8"/>
  <c r="G9" i="1"/>
  <c r="K9"/>
  <c r="K9" i="7"/>
  <c r="J9" i="1"/>
  <c r="L9"/>
  <c r="I9" i="4"/>
  <c r="N9"/>
  <c r="L9" i="7"/>
  <c r="M9" i="1"/>
  <c r="L9" i="4"/>
  <c r="O9"/>
  <c r="M9" i="7"/>
  <c r="N9" i="1"/>
  <c r="P9" i="4"/>
  <c r="N9" i="7"/>
  <c r="O9" i="1"/>
  <c r="Q9" i="4"/>
  <c r="O9" i="7"/>
  <c r="P9" i="1"/>
  <c r="R9" i="4"/>
  <c r="P9" i="7"/>
  <c r="Q9" i="1"/>
  <c r="Q9" i="7"/>
  <c r="R9" i="1"/>
  <c r="T9" i="4"/>
  <c r="R9" i="7"/>
  <c r="S9" i="1"/>
  <c r="U9" i="4"/>
  <c r="S9" i="7"/>
  <c r="E10" i="1"/>
  <c r="G10"/>
  <c r="K10"/>
  <c r="K10" i="7"/>
  <c r="J10" i="1"/>
  <c r="L10"/>
  <c r="G10" i="4"/>
  <c r="I10"/>
  <c r="N10"/>
  <c r="L10" i="7"/>
  <c r="M10" i="1"/>
  <c r="L10" i="4"/>
  <c r="O10"/>
  <c r="M10" i="7"/>
  <c r="N10" i="1"/>
  <c r="P10" i="4"/>
  <c r="N10" i="7"/>
  <c r="O10" i="1"/>
  <c r="Q10" i="4"/>
  <c r="O10" i="7"/>
  <c r="P10" i="1"/>
  <c r="R10" i="4"/>
  <c r="P10" i="7"/>
  <c r="Q10" i="1"/>
  <c r="Q10" i="7"/>
  <c r="R10" i="1"/>
  <c r="T10" i="4"/>
  <c r="R10" i="7"/>
  <c r="S10" i="1"/>
  <c r="U10" i="4"/>
  <c r="S10" i="7"/>
  <c r="K11"/>
  <c r="L11"/>
  <c r="M11"/>
  <c r="N11"/>
  <c r="O11"/>
  <c r="P11"/>
  <c r="Q11"/>
  <c r="R11"/>
  <c r="S11"/>
  <c r="G12" i="1"/>
  <c r="K12"/>
  <c r="K12" i="7"/>
  <c r="J12" i="1"/>
  <c r="L12"/>
  <c r="L12" i="7"/>
  <c r="M12" i="1"/>
  <c r="M12" i="7"/>
  <c r="N12" i="1"/>
  <c r="N12" i="7"/>
  <c r="O12" i="1"/>
  <c r="O12" i="7"/>
  <c r="P12" i="1"/>
  <c r="P12" i="7"/>
  <c r="Q12" i="1"/>
  <c r="Q12" i="7"/>
  <c r="R12" i="1"/>
  <c r="R12" i="7"/>
  <c r="S12" i="1"/>
  <c r="S12" i="7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J7"/>
  <c r="J8"/>
  <c r="J9"/>
  <c r="J10"/>
  <c r="J11"/>
  <c r="J12"/>
  <c r="J13"/>
  <c r="J14"/>
  <c r="J6"/>
  <c r="C7"/>
  <c r="C8"/>
  <c r="C6"/>
  <c r="C9"/>
  <c r="C10"/>
  <c r="C11"/>
  <c r="C12"/>
  <c r="C13"/>
  <c r="C14"/>
  <c r="C15"/>
  <c r="E10"/>
  <c r="G10"/>
  <c r="E14"/>
  <c r="G14"/>
  <c r="D14"/>
  <c r="D13"/>
  <c r="E12"/>
  <c r="G12"/>
  <c r="D12"/>
  <c r="E11"/>
  <c r="G11"/>
  <c r="E9"/>
  <c r="G9"/>
  <c r="E7"/>
  <c r="G7"/>
  <c r="E6"/>
  <c r="G6"/>
  <c r="C14" i="1"/>
  <c r="C13"/>
  <c r="C25" i="5"/>
  <c r="C6"/>
  <c r="C8"/>
  <c r="E12" i="4"/>
  <c r="F12"/>
  <c r="G12"/>
  <c r="F14"/>
  <c r="G14"/>
  <c r="I14"/>
  <c r="D14" i="1"/>
  <c r="E14"/>
  <c r="B8" i="5"/>
  <c r="F13" i="4"/>
  <c r="G13"/>
  <c r="I13"/>
  <c r="E6"/>
  <c r="G6"/>
  <c r="E7"/>
  <c r="G7"/>
  <c r="E8"/>
  <c r="G8"/>
  <c r="I8"/>
  <c r="E9"/>
  <c r="G9"/>
  <c r="E11"/>
  <c r="G11"/>
  <c r="I11"/>
  <c r="D13" i="1"/>
  <c r="E13"/>
  <c r="G13"/>
  <c r="D12"/>
  <c r="E12"/>
  <c r="E6"/>
  <c r="E7"/>
  <c r="G7"/>
  <c r="O7"/>
  <c r="J7"/>
  <c r="E8"/>
  <c r="G8"/>
  <c r="E9"/>
  <c r="E11"/>
  <c r="G11"/>
  <c r="O11"/>
  <c r="J11"/>
  <c r="P7"/>
  <c r="K7"/>
  <c r="L7"/>
  <c r="M7"/>
  <c r="M18" i="4"/>
  <c r="S18"/>
  <c r="M19"/>
  <c r="S19"/>
  <c r="S20"/>
  <c r="M20"/>
  <c r="D15"/>
  <c r="E15"/>
  <c r="C15"/>
  <c r="C15" i="1"/>
  <c r="C54" i="3"/>
  <c r="D54"/>
  <c r="C55"/>
  <c r="D55"/>
  <c r="B54"/>
  <c r="B55"/>
  <c r="M15" i="4"/>
  <c r="S15"/>
  <c r="E8" i="7"/>
  <c r="G8"/>
  <c r="E13"/>
  <c r="G13"/>
  <c r="G15"/>
  <c r="G18" i="1"/>
  <c r="J13"/>
  <c r="O13"/>
  <c r="N13"/>
  <c r="Q13"/>
  <c r="P13"/>
  <c r="K13"/>
  <c r="L13" i="4"/>
  <c r="Q13"/>
  <c r="T13"/>
  <c r="R13"/>
  <c r="N13"/>
  <c r="P13"/>
  <c r="N14"/>
  <c r="P14"/>
  <c r="L14"/>
  <c r="Q14"/>
  <c r="R14"/>
  <c r="C14" i="5"/>
  <c r="C13"/>
  <c r="I12" i="4"/>
  <c r="J8" i="1"/>
  <c r="P8"/>
  <c r="K8"/>
  <c r="O8"/>
  <c r="N8"/>
  <c r="Q8"/>
  <c r="E15"/>
  <c r="Q11" i="4"/>
  <c r="R11"/>
  <c r="L11"/>
  <c r="N11"/>
  <c r="P11"/>
  <c r="L8"/>
  <c r="R8"/>
  <c r="N8"/>
  <c r="P8"/>
  <c r="Q8"/>
  <c r="T8"/>
  <c r="G15"/>
  <c r="I7"/>
  <c r="B14" i="5"/>
  <c r="B13"/>
  <c r="G14" i="1"/>
  <c r="M11"/>
  <c r="K11"/>
  <c r="L11"/>
  <c r="P11"/>
  <c r="N11"/>
  <c r="Q11"/>
  <c r="R11"/>
  <c r="N7"/>
  <c r="Q7"/>
  <c r="R7"/>
  <c r="S7"/>
  <c r="G18" i="7"/>
  <c r="P18"/>
  <c r="J18"/>
  <c r="J19"/>
  <c r="K18"/>
  <c r="K15"/>
  <c r="N19"/>
  <c r="G19"/>
  <c r="G20"/>
  <c r="N15"/>
  <c r="N18"/>
  <c r="N20"/>
  <c r="O18"/>
  <c r="E15"/>
  <c r="K19"/>
  <c r="G15" i="1"/>
  <c r="B14" i="3"/>
  <c r="S13" i="1"/>
  <c r="R13"/>
  <c r="B7" i="3"/>
  <c r="Q7" i="4"/>
  <c r="R7"/>
  <c r="R15"/>
  <c r="L7"/>
  <c r="N7"/>
  <c r="N18"/>
  <c r="P7"/>
  <c r="L8" i="1"/>
  <c r="M8"/>
  <c r="B12" i="5"/>
  <c r="O14" i="4"/>
  <c r="P18"/>
  <c r="R18"/>
  <c r="N18" i="1"/>
  <c r="K18"/>
  <c r="J18"/>
  <c r="O8" i="4"/>
  <c r="I18"/>
  <c r="I15"/>
  <c r="C14" i="3"/>
  <c r="J14" i="1"/>
  <c r="O14"/>
  <c r="N14"/>
  <c r="Q14"/>
  <c r="P14"/>
  <c r="K14"/>
  <c r="G19"/>
  <c r="B42" i="3"/>
  <c r="L12" i="4"/>
  <c r="Q12"/>
  <c r="Q15"/>
  <c r="R12"/>
  <c r="N12"/>
  <c r="N19"/>
  <c r="I19"/>
  <c r="C42" i="3"/>
  <c r="P12" i="4"/>
  <c r="P19"/>
  <c r="Q18"/>
  <c r="L18"/>
  <c r="L15"/>
  <c r="C6" i="3"/>
  <c r="L13" i="1"/>
  <c r="M13"/>
  <c r="B28" i="3"/>
  <c r="G20" i="1"/>
  <c r="O18"/>
  <c r="O15"/>
  <c r="P18"/>
  <c r="P15"/>
  <c r="S11"/>
  <c r="U8" i="4"/>
  <c r="O11"/>
  <c r="T11"/>
  <c r="U11"/>
  <c r="R8" i="1"/>
  <c r="S8"/>
  <c r="T14" i="4"/>
  <c r="U14"/>
  <c r="U13"/>
  <c r="O13"/>
  <c r="R18" i="7"/>
  <c r="Q18"/>
  <c r="M18"/>
  <c r="L15"/>
  <c r="L18"/>
  <c r="L19"/>
  <c r="J20"/>
  <c r="J15"/>
  <c r="P19"/>
  <c r="P20"/>
  <c r="O15"/>
  <c r="O19"/>
  <c r="O20"/>
  <c r="K20"/>
  <c r="Q15"/>
  <c r="P15"/>
  <c r="S18" i="1"/>
  <c r="N20" i="4"/>
  <c r="R18" i="1"/>
  <c r="B21" i="3"/>
  <c r="C20"/>
  <c r="C35"/>
  <c r="R19" i="4"/>
  <c r="C12" i="5"/>
  <c r="C15"/>
  <c r="C18"/>
  <c r="O12" i="4"/>
  <c r="O19"/>
  <c r="L19"/>
  <c r="C34" i="3"/>
  <c r="C48"/>
  <c r="Q19" i="1"/>
  <c r="N19"/>
  <c r="J19"/>
  <c r="B34" i="3"/>
  <c r="C7"/>
  <c r="C8"/>
  <c r="B20"/>
  <c r="L18" i="1"/>
  <c r="Q18"/>
  <c r="Q15"/>
  <c r="N15" i="4"/>
  <c r="K19" i="1"/>
  <c r="K20"/>
  <c r="R14"/>
  <c r="S14"/>
  <c r="K15"/>
  <c r="N15"/>
  <c r="P15" i="4"/>
  <c r="O7"/>
  <c r="O15"/>
  <c r="T7"/>
  <c r="T18"/>
  <c r="D14" i="3"/>
  <c r="T12" i="4"/>
  <c r="T19"/>
  <c r="Q19"/>
  <c r="Q20"/>
  <c r="B35" i="3"/>
  <c r="D42"/>
  <c r="P19" i="1"/>
  <c r="P20"/>
  <c r="O19"/>
  <c r="O20"/>
  <c r="L14"/>
  <c r="M14"/>
  <c r="M15"/>
  <c r="B11" i="5"/>
  <c r="B15"/>
  <c r="B18"/>
  <c r="C28" i="3"/>
  <c r="D28"/>
  <c r="I20" i="4"/>
  <c r="M18" i="1"/>
  <c r="C43" i="3"/>
  <c r="J15" i="1"/>
  <c r="B6" i="3"/>
  <c r="N20" i="1"/>
  <c r="R20" i="4"/>
  <c r="P20"/>
  <c r="U7"/>
  <c r="B56" i="3"/>
  <c r="M19" i="7"/>
  <c r="S18"/>
  <c r="M20"/>
  <c r="Q19"/>
  <c r="Q20"/>
  <c r="L20"/>
  <c r="M15"/>
  <c r="D35" i="3"/>
  <c r="C10"/>
  <c r="L15" i="1"/>
  <c r="Q20"/>
  <c r="J20"/>
  <c r="D7" i="3"/>
  <c r="T20" i="4"/>
  <c r="C9" i="3"/>
  <c r="U18" i="4"/>
  <c r="B29" i="3"/>
  <c r="D20"/>
  <c r="B24"/>
  <c r="B22"/>
  <c r="B23"/>
  <c r="B38"/>
  <c r="D34"/>
  <c r="D36"/>
  <c r="D37"/>
  <c r="B36"/>
  <c r="B37"/>
  <c r="B39"/>
  <c r="B30"/>
  <c r="B49"/>
  <c r="R19" i="1"/>
  <c r="C15" i="3"/>
  <c r="L19" i="1"/>
  <c r="T15" i="4"/>
  <c r="L20"/>
  <c r="O18"/>
  <c r="B48" i="3"/>
  <c r="D6"/>
  <c r="B10"/>
  <c r="B8"/>
  <c r="C21"/>
  <c r="D21"/>
  <c r="D56"/>
  <c r="C36"/>
  <c r="C37"/>
  <c r="C38"/>
  <c r="C22"/>
  <c r="C23"/>
  <c r="B15"/>
  <c r="C56"/>
  <c r="C49"/>
  <c r="M19" i="1"/>
  <c r="M20"/>
  <c r="U12" i="4"/>
  <c r="U19"/>
  <c r="C44" i="3"/>
  <c r="C45"/>
  <c r="R15" i="1"/>
  <c r="R15" i="7"/>
  <c r="R19"/>
  <c r="R20"/>
  <c r="D49" i="3"/>
  <c r="B43"/>
  <c r="D43"/>
  <c r="C39"/>
  <c r="D38"/>
  <c r="D39"/>
  <c r="B50"/>
  <c r="B9"/>
  <c r="D8"/>
  <c r="D48"/>
  <c r="S19" i="1"/>
  <c r="S20"/>
  <c r="S15"/>
  <c r="B31" i="3"/>
  <c r="B16"/>
  <c r="B17"/>
  <c r="C24"/>
  <c r="C52"/>
  <c r="R20" i="1"/>
  <c r="B25" i="3"/>
  <c r="D22"/>
  <c r="D23"/>
  <c r="U20" i="4"/>
  <c r="C50" i="3"/>
  <c r="C30"/>
  <c r="D15"/>
  <c r="D10"/>
  <c r="B52"/>
  <c r="O20" i="4"/>
  <c r="C29" i="3"/>
  <c r="C51"/>
  <c r="C11"/>
  <c r="D30"/>
  <c r="D24"/>
  <c r="L20" i="1"/>
  <c r="U15" i="4"/>
  <c r="C16" i="3"/>
  <c r="S19" i="7"/>
  <c r="S20"/>
  <c r="S15"/>
  <c r="B57" i="3"/>
  <c r="C31"/>
  <c r="C25"/>
  <c r="C53"/>
  <c r="C58"/>
  <c r="C17"/>
  <c r="D16"/>
  <c r="D17"/>
  <c r="D25"/>
  <c r="D29"/>
  <c r="D31"/>
  <c r="C57"/>
  <c r="D9"/>
  <c r="D50"/>
  <c r="D57"/>
  <c r="B51"/>
  <c r="B11"/>
  <c r="B53"/>
  <c r="D52"/>
  <c r="B44"/>
  <c r="B58"/>
  <c r="C59"/>
  <c r="D51"/>
  <c r="D11"/>
  <c r="D53"/>
  <c r="D44"/>
  <c r="D45"/>
  <c r="B45"/>
  <c r="B59"/>
  <c r="D59"/>
  <c r="D58"/>
</calcChain>
</file>

<file path=xl/sharedStrings.xml><?xml version="1.0" encoding="utf-8"?>
<sst xmlns="http://schemas.openxmlformats.org/spreadsheetml/2006/main" count="173" uniqueCount="73">
  <si>
    <t>Total</t>
  </si>
  <si>
    <t>Rate</t>
  </si>
  <si>
    <t>In Service Date</t>
  </si>
  <si>
    <t>Accum Deprec 12/31/09</t>
  </si>
  <si>
    <t>Accum Deprec 12/31/10</t>
  </si>
  <si>
    <t>Accum DFIT 12/31/09</t>
  </si>
  <si>
    <t>Accum DFIT 12/31/10</t>
  </si>
  <si>
    <t>1st Year Rate</t>
  </si>
  <si>
    <t>2nd Year Rate</t>
  </si>
  <si>
    <t>AVISTA UTILITIES</t>
  </si>
  <si>
    <t>Depreciation Expense</t>
  </si>
  <si>
    <t>Property Tax @ 1.5% of Gross Plant</t>
  </si>
  <si>
    <t>Total Expenses</t>
  </si>
  <si>
    <t>Net Operating Income Before FIT</t>
  </si>
  <si>
    <t>FIT Benefit of Depreciation and Property Tax</t>
  </si>
  <si>
    <t xml:space="preserve">   Net Operating Income</t>
  </si>
  <si>
    <t xml:space="preserve">   Net Rate Base</t>
  </si>
  <si>
    <t>Plant Cost</t>
  </si>
  <si>
    <t>Description</t>
  </si>
  <si>
    <t>Cost</t>
  </si>
  <si>
    <t>Accum Deprec 12/31/08</t>
  </si>
  <si>
    <t>3rd Year Rate</t>
  </si>
  <si>
    <t>Accum DFIT 12/31/08</t>
  </si>
  <si>
    <t>Tax Deprec. Rate</t>
  </si>
  <si>
    <t>2008 Capital Additions</t>
  </si>
  <si>
    <t>Accumulated Depreciation (AMA 12/31/2010)</t>
  </si>
  <si>
    <t>Accumulated DFIT (AMA 12/31/2010)</t>
  </si>
  <si>
    <t>Q4</t>
  </si>
  <si>
    <t>Distribution</t>
  </si>
  <si>
    <t>ER</t>
  </si>
  <si>
    <t>HVAC Renovation Project 2008</t>
  </si>
  <si>
    <t>EVP Enterprise Voice Portal</t>
  </si>
  <si>
    <t>Spokane Valley Facility Purch</t>
  </si>
  <si>
    <t>WA %</t>
  </si>
  <si>
    <t>Efficiency Offset %</t>
  </si>
  <si>
    <t>WA Cost</t>
  </si>
  <si>
    <t>System Cost</t>
  </si>
  <si>
    <t>Tax Deprec. Rate - Dist</t>
  </si>
  <si>
    <t>Tax Deprec. Rate - GP</t>
  </si>
  <si>
    <t>Q1 &amp; Q2</t>
  </si>
  <si>
    <t>General Plant</t>
  </si>
  <si>
    <t>Check</t>
  </si>
  <si>
    <t>GP</t>
  </si>
  <si>
    <t>HVAC Savings - System</t>
  </si>
  <si>
    <t>WA Allocation</t>
  </si>
  <si>
    <t>WA Savings</t>
  </si>
  <si>
    <t>Cost of HVAC System</t>
  </si>
  <si>
    <t>Depreciation - 2008</t>
  </si>
  <si>
    <t>Depreciation - 2009</t>
  </si>
  <si>
    <t>Return</t>
  </si>
  <si>
    <t>Total Cost</t>
  </si>
  <si>
    <t>Savings as % of Costs</t>
  </si>
  <si>
    <t>Property Taxes</t>
  </si>
  <si>
    <t>Electric Underground Replacement</t>
  </si>
  <si>
    <t>Electric Distribution Minor Blanket</t>
  </si>
  <si>
    <t>Failed Electric Plant</t>
  </si>
  <si>
    <t>Terre View Sub Distribution</t>
  </si>
  <si>
    <t>Indian Trail 12F1 and 12F2</t>
  </si>
  <si>
    <t>Post St East NW Upgrade Feeders</t>
  </si>
  <si>
    <t>EVP</t>
  </si>
  <si>
    <t>Cost Avoided with Existing IVR</t>
  </si>
  <si>
    <t>5% increase in calls</t>
  </si>
  <si>
    <t>Savings</t>
  </si>
  <si>
    <t>HVAC System</t>
  </si>
  <si>
    <t>2008 Tax Deprec</t>
  </si>
  <si>
    <t>2009 Tax Deprec</t>
  </si>
  <si>
    <t>2010 Tax Deprec</t>
  </si>
  <si>
    <t>Estimated Annual Deprec Expense</t>
  </si>
  <si>
    <t>October 1, 2008 through December 31, 2008</t>
  </si>
  <si>
    <t>January 1, 2009 through July 31, 2009</t>
  </si>
  <si>
    <t>October 1, 2008 through July 31, 2009</t>
  </si>
  <si>
    <t>2008 Capital Additions - Electric</t>
  </si>
  <si>
    <t>2009 Capital Additions - Electric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</si>
</sst>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#&quot;/2009&quot;"/>
    <numFmt numFmtId="165" formatCode="_(* #,##0_);_(* \(#,##0\);_(* &quot;-&quot;??_);_(@_)"/>
    <numFmt numFmtId="166" formatCode="0.000%"/>
    <numFmt numFmtId="167" formatCode="##&quot;/2008&quot;"/>
  </numFmts>
  <fonts count="9">
    <font>
      <sz val="10"/>
      <name val="Arial"/>
    </font>
    <font>
      <sz val="10"/>
      <name val="Arial"/>
    </font>
    <font>
      <sz val="10"/>
      <color indexed="8"/>
      <name val="Arial"/>
    </font>
    <font>
      <b/>
      <sz val="10"/>
      <name val="Arial"/>
      <family val="2"/>
    </font>
    <font>
      <sz val="9"/>
      <name val="Arial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3" applyFont="1" applyFill="1" applyBorder="1" applyAlignment="1">
      <alignment wrapText="1"/>
    </xf>
    <xf numFmtId="0" fontId="0" fillId="0" borderId="0" xfId="0" applyBorder="1"/>
    <xf numFmtId="165" fontId="0" fillId="0" borderId="2" xfId="1" applyNumberFormat="1" applyFont="1" applyBorder="1"/>
    <xf numFmtId="165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2" xfId="0" applyNumberFormat="1" applyBorder="1"/>
    <xf numFmtId="0" fontId="5" fillId="0" borderId="0" xfId="3" applyFont="1" applyFill="1" applyBorder="1" applyAlignment="1">
      <alignment horizontal="center" wrapText="1"/>
    </xf>
    <xf numFmtId="10" fontId="5" fillId="0" borderId="0" xfId="4" applyNumberFormat="1" applyFont="1" applyFill="1" applyBorder="1" applyAlignment="1">
      <alignment horizontal="center" wrapText="1"/>
    </xf>
    <xf numFmtId="0" fontId="6" fillId="0" borderId="0" xfId="0" applyFont="1" applyBorder="1"/>
    <xf numFmtId="165" fontId="1" fillId="0" borderId="0" xfId="1" applyNumberFormat="1" applyBorder="1"/>
    <xf numFmtId="165" fontId="1" fillId="0" borderId="0" xfId="1" applyNumberFormat="1" applyFont="1" applyBorder="1"/>
    <xf numFmtId="10" fontId="0" fillId="0" borderId="0" xfId="0" applyNumberFormat="1" applyBorder="1"/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1" applyNumberFormat="1" applyFont="1" applyBorder="1"/>
    <xf numFmtId="3" fontId="0" fillId="0" borderId="0" xfId="1" applyNumberFormat="1" applyFont="1" applyBorder="1"/>
    <xf numFmtId="3" fontId="0" fillId="0" borderId="2" xfId="0" applyNumberFormat="1" applyBorder="1"/>
    <xf numFmtId="10" fontId="0" fillId="0" borderId="0" xfId="4" applyNumberFormat="1" applyFont="1" applyBorder="1" applyAlignment="1">
      <alignment horizontal="center"/>
    </xf>
    <xf numFmtId="10" fontId="0" fillId="0" borderId="0" xfId="4" applyNumberFormat="1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5" xfId="1" applyNumberFormat="1" applyFont="1" applyBorder="1"/>
    <xf numFmtId="0" fontId="3" fillId="0" borderId="0" xfId="0" applyFont="1" applyAlignment="1">
      <alignment horizontal="left"/>
    </xf>
    <xf numFmtId="166" fontId="0" fillId="0" borderId="0" xfId="0" applyNumberFormat="1" applyBorder="1"/>
    <xf numFmtId="10" fontId="1" fillId="0" borderId="0" xfId="4" applyNumberFormat="1" applyBorder="1" applyAlignment="1">
      <alignment horizontal="center"/>
    </xf>
    <xf numFmtId="10" fontId="1" fillId="0" borderId="0" xfId="4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9" fontId="2" fillId="0" borderId="0" xfId="4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17" fontId="5" fillId="0" borderId="0" xfId="3" applyNumberFormat="1" applyFont="1" applyFill="1" applyBorder="1" applyAlignment="1">
      <alignment horizontal="center" wrapText="1"/>
    </xf>
    <xf numFmtId="43" fontId="0" fillId="0" borderId="0" xfId="1" applyFont="1"/>
    <xf numFmtId="43" fontId="0" fillId="0" borderId="2" xfId="1" applyFont="1" applyBorder="1"/>
    <xf numFmtId="9" fontId="0" fillId="0" borderId="0" xfId="0" applyNumberFormat="1"/>
    <xf numFmtId="9" fontId="0" fillId="0" borderId="0" xfId="4" applyFont="1"/>
    <xf numFmtId="0" fontId="2" fillId="0" borderId="1" xfId="2" applyFont="1" applyFill="1" applyBorder="1" applyAlignment="1">
      <alignment wrapText="1"/>
    </xf>
    <xf numFmtId="0" fontId="8" fillId="0" borderId="0" xfId="0" applyFont="1" applyFill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4" applyNumberFormat="1" applyFont="1" applyBorder="1" applyAlignment="1">
      <alignment horizontal="center" wrapText="1"/>
    </xf>
    <xf numFmtId="165" fontId="1" fillId="0" borderId="0" xfId="1" applyNumberFormat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0" fontId="1" fillId="0" borderId="0" xfId="4" applyNumberFormat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Fill="1" applyBorder="1"/>
  </cellXfs>
  <cellStyles count="5">
    <cellStyle name="Comma" xfId="1" builtinId="3"/>
    <cellStyle name="Normal" xfId="0" builtinId="0"/>
    <cellStyle name="Normal_Pro forma Rates" xfId="2"/>
    <cellStyle name="Normal_Sheet1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60" zoomScaleNormal="100" workbookViewId="0">
      <selection activeCell="A2" sqref="A2"/>
    </sheetView>
  </sheetViews>
  <sheetFormatPr defaultRowHeight="12.75"/>
  <cols>
    <col min="1" max="1" width="42.140625" customWidth="1"/>
    <col min="2" max="2" width="13.140625" bestFit="1" customWidth="1"/>
    <col min="3" max="3" width="12.28515625" bestFit="1" customWidth="1"/>
    <col min="4" max="4" width="13.5703125" bestFit="1" customWidth="1"/>
  </cols>
  <sheetData>
    <row r="1" spans="1:4">
      <c r="A1" s="22"/>
    </row>
    <row r="2" spans="1:4">
      <c r="A2" s="22"/>
    </row>
    <row r="3" spans="1:4">
      <c r="A3" s="22"/>
    </row>
    <row r="4" spans="1:4">
      <c r="B4" s="32" t="s">
        <v>27</v>
      </c>
    </row>
    <row r="5" spans="1:4" ht="13.5" thickBot="1">
      <c r="A5" s="27"/>
      <c r="B5" s="23">
        <v>2008</v>
      </c>
      <c r="C5" s="23">
        <v>2009</v>
      </c>
      <c r="D5" s="23" t="s">
        <v>0</v>
      </c>
    </row>
    <row r="6" spans="1:4">
      <c r="A6" t="s">
        <v>10</v>
      </c>
      <c r="B6" s="24">
        <f ca="1">'2008 Q4'!J15</f>
        <v>302571</v>
      </c>
      <c r="C6" s="24">
        <f ca="1">'2009 '!L15</f>
        <v>217029</v>
      </c>
      <c r="D6" s="24">
        <f>SUM(B6:C6)</f>
        <v>519600</v>
      </c>
    </row>
    <row r="7" spans="1:4">
      <c r="A7" t="s">
        <v>11</v>
      </c>
      <c r="B7" s="25">
        <f>ROUND(B14*0.015,0)</f>
        <v>111710</v>
      </c>
      <c r="C7" s="25">
        <f>ROUND(C14*0.015,0)</f>
        <v>107527</v>
      </c>
      <c r="D7" s="25">
        <f>SUM(B7:C7)</f>
        <v>219237</v>
      </c>
    </row>
    <row r="8" spans="1:4">
      <c r="A8" t="s">
        <v>12</v>
      </c>
      <c r="B8" s="26">
        <f>SUM(B6:B7)</f>
        <v>414281</v>
      </c>
      <c r="C8" s="26">
        <f>SUM(C6:C7)</f>
        <v>324556</v>
      </c>
      <c r="D8" s="26">
        <f>SUM(D6:D7)</f>
        <v>738837</v>
      </c>
    </row>
    <row r="9" spans="1:4">
      <c r="A9" t="s">
        <v>13</v>
      </c>
      <c r="B9" s="24">
        <f>-B8</f>
        <v>-414281</v>
      </c>
      <c r="C9" s="24">
        <f>-C8</f>
        <v>-324556</v>
      </c>
      <c r="D9" s="24">
        <f>-D8</f>
        <v>-738837</v>
      </c>
    </row>
    <row r="10" spans="1:4">
      <c r="A10" t="s">
        <v>14</v>
      </c>
      <c r="B10" s="17">
        <f>(B6+B7)*0.35</f>
        <v>144998.34999999998</v>
      </c>
      <c r="C10" s="17">
        <f>(C6+C7)*0.35</f>
        <v>113594.59999999999</v>
      </c>
      <c r="D10" s="17">
        <f>SUM(B10:C10)</f>
        <v>258592.94999999995</v>
      </c>
    </row>
    <row r="11" spans="1:4" ht="13.5" thickBot="1">
      <c r="A11" t="s">
        <v>15</v>
      </c>
      <c r="B11" s="3">
        <f>SUM(B9:B10)</f>
        <v>-269282.65000000002</v>
      </c>
      <c r="C11" s="3">
        <f>SUM(C9:C10)</f>
        <v>-210961.40000000002</v>
      </c>
      <c r="D11" s="3">
        <f>SUM(D9:D10)</f>
        <v>-480244.05000000005</v>
      </c>
    </row>
    <row r="12" spans="1:4">
      <c r="B12" s="24"/>
      <c r="C12" s="24"/>
      <c r="D12" s="24"/>
    </row>
    <row r="13" spans="1:4">
      <c r="B13" s="24"/>
      <c r="C13" s="24"/>
      <c r="D13" s="24"/>
    </row>
    <row r="14" spans="1:4">
      <c r="A14" t="s">
        <v>17</v>
      </c>
      <c r="B14" s="24">
        <f ca="1">'2008 Q4'!G15</f>
        <v>7447340.3972546477</v>
      </c>
      <c r="C14" s="24">
        <f ca="1">'2009 '!I15</f>
        <v>7168460.6816149456</v>
      </c>
      <c r="D14" s="24">
        <f>SUM(B14:C14)</f>
        <v>14615801.078869592</v>
      </c>
    </row>
    <row r="15" spans="1:4">
      <c r="A15" t="s">
        <v>25</v>
      </c>
      <c r="B15" s="24">
        <f ca="1">('2008 Q4'!L15+'2008 Q4'!M15)/2</f>
        <v>488136.5</v>
      </c>
      <c r="C15" s="24">
        <f ca="1">('2009 '!N15+'2009 '!O15)/2</f>
        <v>272450.5</v>
      </c>
      <c r="D15" s="24">
        <f>SUM(B15:C15)</f>
        <v>760587</v>
      </c>
    </row>
    <row r="16" spans="1:4">
      <c r="A16" t="s">
        <v>26</v>
      </c>
      <c r="B16" s="24">
        <f ca="1">('2008 Q4'!R15+'2008 Q4'!S15)/2</f>
        <v>-497038</v>
      </c>
      <c r="C16" s="24">
        <f ca="1">('2009 '!T15+'2009 '!U15)/2</f>
        <v>-143515.5</v>
      </c>
      <c r="D16" s="24">
        <f>SUM(B16:C16)</f>
        <v>-640553.5</v>
      </c>
    </row>
    <row r="17" spans="1:4" ht="13.5" thickBot="1">
      <c r="A17" t="s">
        <v>16</v>
      </c>
      <c r="B17" s="3">
        <f>B14-B15+B16</f>
        <v>6462165.8972546477</v>
      </c>
      <c r="C17" s="3">
        <f>C14-C15+C16</f>
        <v>6752494.6816149456</v>
      </c>
      <c r="D17" s="3">
        <f>D14-D15+D16</f>
        <v>13214660.578869592</v>
      </c>
    </row>
    <row r="19" spans="1:4">
      <c r="A19" s="22" t="s">
        <v>28</v>
      </c>
    </row>
    <row r="20" spans="1:4">
      <c r="A20" t="s">
        <v>10</v>
      </c>
      <c r="B20" s="24">
        <f ca="1">'2008 Q4'!J18</f>
        <v>127152</v>
      </c>
      <c r="C20" s="24">
        <f ca="1">'2009 '!L18</f>
        <v>185513</v>
      </c>
      <c r="D20" s="24">
        <f>SUM(B20:C20)</f>
        <v>312665</v>
      </c>
    </row>
    <row r="21" spans="1:4">
      <c r="A21" t="s">
        <v>11</v>
      </c>
      <c r="B21" s="25">
        <f>ROUND(B28*0.015,0)</f>
        <v>68361</v>
      </c>
      <c r="C21" s="25">
        <f>ROUND(C28*0.015,0)</f>
        <v>99739</v>
      </c>
      <c r="D21" s="25">
        <f>SUM(B21:C21)</f>
        <v>168100</v>
      </c>
    </row>
    <row r="22" spans="1:4">
      <c r="A22" t="s">
        <v>12</v>
      </c>
      <c r="B22" s="26">
        <f>SUM(B20:B21)</f>
        <v>195513</v>
      </c>
      <c r="C22" s="26">
        <f>SUM(C20:C21)</f>
        <v>285252</v>
      </c>
      <c r="D22" s="26">
        <f>SUM(D20:D21)</f>
        <v>480765</v>
      </c>
    </row>
    <row r="23" spans="1:4">
      <c r="A23" t="s">
        <v>13</v>
      </c>
      <c r="B23" s="24">
        <f>-B22</f>
        <v>-195513</v>
      </c>
      <c r="C23" s="24">
        <f>-C22</f>
        <v>-285252</v>
      </c>
      <c r="D23" s="24">
        <f>-D22</f>
        <v>-480765</v>
      </c>
    </row>
    <row r="24" spans="1:4">
      <c r="A24" t="s">
        <v>14</v>
      </c>
      <c r="B24" s="17">
        <f>(B20+B21)*0.35</f>
        <v>68429.55</v>
      </c>
      <c r="C24" s="17">
        <f>(C20+C21)*0.35</f>
        <v>99838.2</v>
      </c>
      <c r="D24" s="17">
        <f>SUM(B24:C24)</f>
        <v>168267.75</v>
      </c>
    </row>
    <row r="25" spans="1:4" ht="13.5" thickBot="1">
      <c r="A25" t="s">
        <v>15</v>
      </c>
      <c r="B25" s="3">
        <f>SUM(B23:B24)</f>
        <v>-127083.45</v>
      </c>
      <c r="C25" s="3">
        <f>SUM(C23:C24)</f>
        <v>-185413.8</v>
      </c>
      <c r="D25" s="3">
        <f>SUM(D23:D24)</f>
        <v>-312497.25</v>
      </c>
    </row>
    <row r="26" spans="1:4">
      <c r="B26" s="24"/>
      <c r="C26" s="24"/>
      <c r="D26" s="24"/>
    </row>
    <row r="27" spans="1:4">
      <c r="B27" s="24"/>
      <c r="C27" s="24"/>
      <c r="D27" s="24"/>
    </row>
    <row r="28" spans="1:4">
      <c r="A28" t="s">
        <v>17</v>
      </c>
      <c r="B28" s="24">
        <f ca="1">'2008 Q4'!G18</f>
        <v>4557396.12</v>
      </c>
      <c r="C28" s="24">
        <f ca="1">'2009 '!I18</f>
        <v>6649253.9199999999</v>
      </c>
      <c r="D28" s="24">
        <f>SUM(B28:C28)</f>
        <v>11206650.039999999</v>
      </c>
    </row>
    <row r="29" spans="1:4">
      <c r="A29" t="s">
        <v>25</v>
      </c>
      <c r="B29" s="24">
        <f ca="1">('2008 Q4'!L18+'2008 Q4'!M18)/2</f>
        <v>210507</v>
      </c>
      <c r="C29" s="24">
        <f ca="1">('2009 '!N18+'2009 '!O18)/2</f>
        <v>239621.5</v>
      </c>
      <c r="D29" s="24">
        <f>SUM(B29:C29)</f>
        <v>450128.5</v>
      </c>
    </row>
    <row r="30" spans="1:4">
      <c r="A30" t="s">
        <v>26</v>
      </c>
      <c r="B30" s="24">
        <f ca="1">('2008 Q4'!R18+'2008 Q4'!S18)/2</f>
        <v>-139211.5</v>
      </c>
      <c r="C30" s="24">
        <f ca="1">('2009 '!T18+'2009 '!U18)/2</f>
        <v>-106344</v>
      </c>
      <c r="D30" s="24">
        <f>SUM(B30:C30)</f>
        <v>-245555.5</v>
      </c>
    </row>
    <row r="31" spans="1:4" ht="13.5" thickBot="1">
      <c r="A31" t="s">
        <v>16</v>
      </c>
      <c r="B31" s="3">
        <f>B28-B29+B30</f>
        <v>4207677.62</v>
      </c>
      <c r="C31" s="3">
        <f>C28-C29+C30</f>
        <v>6303288.4199999999</v>
      </c>
      <c r="D31" s="3">
        <f>D28-D29+D30</f>
        <v>10510966.039999999</v>
      </c>
    </row>
    <row r="33" spans="1:4">
      <c r="A33" s="22" t="s">
        <v>40</v>
      </c>
    </row>
    <row r="34" spans="1:4">
      <c r="A34" t="s">
        <v>10</v>
      </c>
      <c r="B34" s="24">
        <f ca="1">'2008 Q4'!J19</f>
        <v>175419</v>
      </c>
      <c r="C34" s="24">
        <f ca="1">'2009 '!L19</f>
        <v>31516</v>
      </c>
      <c r="D34" s="24">
        <f>SUM(B34:C34)</f>
        <v>206935</v>
      </c>
    </row>
    <row r="35" spans="1:4">
      <c r="A35" t="s">
        <v>11</v>
      </c>
      <c r="B35" s="25">
        <f>ROUND(B42*0.015,0)</f>
        <v>43349</v>
      </c>
      <c r="C35" s="25">
        <f>ROUND(C42*0.015,0)</f>
        <v>7788</v>
      </c>
      <c r="D35" s="25">
        <f>SUM(B35:C35)</f>
        <v>51137</v>
      </c>
    </row>
    <row r="36" spans="1:4">
      <c r="A36" t="s">
        <v>12</v>
      </c>
      <c r="B36" s="26">
        <f>SUM(B34:B35)</f>
        <v>218768</v>
      </c>
      <c r="C36" s="26">
        <f>SUM(C34:C35)</f>
        <v>39304</v>
      </c>
      <c r="D36" s="26">
        <f>SUM(D34:D35)</f>
        <v>258072</v>
      </c>
    </row>
    <row r="37" spans="1:4">
      <c r="A37" t="s">
        <v>13</v>
      </c>
      <c r="B37" s="24">
        <f>-B36</f>
        <v>-218768</v>
      </c>
      <c r="C37" s="24">
        <f>-C36</f>
        <v>-39304</v>
      </c>
      <c r="D37" s="24">
        <f>-D36</f>
        <v>-258072</v>
      </c>
    </row>
    <row r="38" spans="1:4">
      <c r="A38" t="s">
        <v>14</v>
      </c>
      <c r="B38" s="17">
        <f>(B34+B35)*0.35</f>
        <v>76568.799999999988</v>
      </c>
      <c r="C38" s="17">
        <f>(C34+C35)*0.35</f>
        <v>13756.4</v>
      </c>
      <c r="D38" s="17">
        <f>SUM(B38:C38)</f>
        <v>90325.199999999983</v>
      </c>
    </row>
    <row r="39" spans="1:4" ht="13.5" thickBot="1">
      <c r="A39" t="s">
        <v>15</v>
      </c>
      <c r="B39" s="3">
        <f>SUM(B37:B38)</f>
        <v>-142199.20000000001</v>
      </c>
      <c r="C39" s="3">
        <f>SUM(C37:C38)</f>
        <v>-25547.599999999999</v>
      </c>
      <c r="D39" s="3">
        <f>SUM(D37:D38)</f>
        <v>-167746.80000000002</v>
      </c>
    </row>
    <row r="40" spans="1:4">
      <c r="B40" s="24"/>
      <c r="C40" s="24"/>
      <c r="D40" s="24"/>
    </row>
    <row r="41" spans="1:4">
      <c r="B41" s="24"/>
      <c r="C41" s="24"/>
      <c r="D41" s="24"/>
    </row>
    <row r="42" spans="1:4">
      <c r="A42" t="s">
        <v>17</v>
      </c>
      <c r="B42" s="24">
        <f ca="1">'2008 Q4'!G19</f>
        <v>2889944.2772546476</v>
      </c>
      <c r="C42" s="24">
        <f ca="1">'2009 '!I19</f>
        <v>519206.76161494566</v>
      </c>
      <c r="D42" s="24">
        <f>SUM(B42:C42)</f>
        <v>3409151.0388695933</v>
      </c>
    </row>
    <row r="43" spans="1:4">
      <c r="A43" t="s">
        <v>25</v>
      </c>
      <c r="B43" s="24">
        <f ca="1">('2008 Q4'!L19+'2008 Q4'!M19)/2</f>
        <v>277629.5</v>
      </c>
      <c r="C43" s="24">
        <f ca="1">('2009 '!N19+'2009 '!O19)/2</f>
        <v>32829</v>
      </c>
      <c r="D43" s="24">
        <f>SUM(B43:C43)</f>
        <v>310458.5</v>
      </c>
    </row>
    <row r="44" spans="1:4">
      <c r="A44" t="s">
        <v>26</v>
      </c>
      <c r="B44" s="24">
        <f ca="1">('2008 Q4'!R19+'2008 Q4'!S19)/2</f>
        <v>-357826.5</v>
      </c>
      <c r="C44" s="24">
        <f ca="1">('2009 '!T19+'2009 '!U19)/2</f>
        <v>-37171.5</v>
      </c>
      <c r="D44" s="24">
        <f>SUM(B44:C44)</f>
        <v>-394998</v>
      </c>
    </row>
    <row r="45" spans="1:4" ht="13.5" thickBot="1">
      <c r="A45" t="s">
        <v>16</v>
      </c>
      <c r="B45" s="3">
        <f>B42-B43+B44</f>
        <v>2254488.2772546476</v>
      </c>
      <c r="C45" s="3">
        <f>C42-C43+C44</f>
        <v>449206.26161494566</v>
      </c>
      <c r="D45" s="3">
        <f>D42-D43+D44</f>
        <v>2703694.5388695933</v>
      </c>
    </row>
    <row r="47" spans="1:4">
      <c r="A47" s="22" t="s">
        <v>41</v>
      </c>
    </row>
    <row r="48" spans="1:4">
      <c r="A48" t="s">
        <v>10</v>
      </c>
      <c r="B48" s="24">
        <f>B6-B20-B34</f>
        <v>0</v>
      </c>
      <c r="C48" s="24">
        <f>C6-C20-C34</f>
        <v>0</v>
      </c>
      <c r="D48" s="24">
        <f>D6-D20-D34</f>
        <v>0</v>
      </c>
    </row>
    <row r="49" spans="1:4">
      <c r="A49" t="s">
        <v>11</v>
      </c>
      <c r="B49" s="24">
        <f t="shared" ref="B49:D59" si="0">B7-B21-B35</f>
        <v>0</v>
      </c>
      <c r="C49" s="24">
        <f t="shared" si="0"/>
        <v>0</v>
      </c>
      <c r="D49" s="24">
        <f t="shared" si="0"/>
        <v>0</v>
      </c>
    </row>
    <row r="50" spans="1:4">
      <c r="A50" t="s">
        <v>12</v>
      </c>
      <c r="B50" s="26">
        <f t="shared" si="0"/>
        <v>0</v>
      </c>
      <c r="C50" s="26">
        <f t="shared" si="0"/>
        <v>0</v>
      </c>
      <c r="D50" s="26">
        <f t="shared" si="0"/>
        <v>0</v>
      </c>
    </row>
    <row r="51" spans="1:4">
      <c r="A51" t="s">
        <v>13</v>
      </c>
      <c r="B51" s="24">
        <f t="shared" si="0"/>
        <v>0</v>
      </c>
      <c r="C51" s="24">
        <f t="shared" si="0"/>
        <v>0</v>
      </c>
      <c r="D51" s="24">
        <f t="shared" si="0"/>
        <v>0</v>
      </c>
    </row>
    <row r="52" spans="1:4">
      <c r="A52" t="s">
        <v>14</v>
      </c>
      <c r="B52" s="24">
        <f t="shared" si="0"/>
        <v>0</v>
      </c>
      <c r="C52" s="24">
        <f t="shared" si="0"/>
        <v>0</v>
      </c>
      <c r="D52" s="24">
        <f t="shared" si="0"/>
        <v>0</v>
      </c>
    </row>
    <row r="53" spans="1:4" ht="13.5" thickBot="1">
      <c r="A53" t="s">
        <v>15</v>
      </c>
      <c r="B53" s="3">
        <f t="shared" si="0"/>
        <v>0</v>
      </c>
      <c r="C53" s="3">
        <f t="shared" si="0"/>
        <v>-3.637978807091713E-11</v>
      </c>
      <c r="D53" s="3">
        <f t="shared" si="0"/>
        <v>0</v>
      </c>
    </row>
    <row r="54" spans="1:4">
      <c r="B54" s="24">
        <f t="shared" si="0"/>
        <v>0</v>
      </c>
      <c r="C54" s="24">
        <f t="shared" si="0"/>
        <v>0</v>
      </c>
      <c r="D54" s="24">
        <f t="shared" si="0"/>
        <v>0</v>
      </c>
    </row>
    <row r="55" spans="1:4">
      <c r="B55" s="24">
        <f t="shared" si="0"/>
        <v>0</v>
      </c>
      <c r="C55" s="24">
        <f t="shared" si="0"/>
        <v>0</v>
      </c>
      <c r="D55" s="24">
        <f t="shared" si="0"/>
        <v>0</v>
      </c>
    </row>
    <row r="56" spans="1:4">
      <c r="A56" t="s">
        <v>17</v>
      </c>
      <c r="B56" s="24">
        <f t="shared" si="0"/>
        <v>0</v>
      </c>
      <c r="C56" s="24">
        <f t="shared" si="0"/>
        <v>0</v>
      </c>
      <c r="D56" s="24">
        <f t="shared" si="0"/>
        <v>0</v>
      </c>
    </row>
    <row r="57" spans="1:4">
      <c r="A57" t="s">
        <v>25</v>
      </c>
      <c r="B57" s="24">
        <f t="shared" si="0"/>
        <v>0</v>
      </c>
      <c r="C57" s="24">
        <f t="shared" si="0"/>
        <v>0</v>
      </c>
      <c r="D57" s="24">
        <f t="shared" si="0"/>
        <v>0</v>
      </c>
    </row>
    <row r="58" spans="1:4">
      <c r="A58" t="s">
        <v>26</v>
      </c>
      <c r="B58" s="24">
        <f t="shared" si="0"/>
        <v>0</v>
      </c>
      <c r="C58" s="24">
        <f t="shared" si="0"/>
        <v>0</v>
      </c>
      <c r="D58" s="24">
        <f t="shared" si="0"/>
        <v>0</v>
      </c>
    </row>
    <row r="59" spans="1:4" ht="13.5" thickBot="1">
      <c r="A59" t="s">
        <v>16</v>
      </c>
      <c r="B59" s="3">
        <f t="shared" si="0"/>
        <v>0</v>
      </c>
      <c r="C59" s="3">
        <f t="shared" si="0"/>
        <v>0</v>
      </c>
      <c r="D59" s="3">
        <f t="shared" si="0"/>
        <v>0</v>
      </c>
    </row>
  </sheetData>
  <phoneticPr fontId="7" type="noConversion"/>
  <pageMargins left="0.75" right="0.75" top="1" bottom="1" header="0.5" footer="0.5"/>
  <pageSetup fitToHeight="2" orientation="portrait" r:id="rId1"/>
  <headerFooter alignWithMargins="0">
    <oddHeader>&amp;C
&amp;"Arial,Bold"&amp;12Avista Utilities&amp;"Arial,Regular"&amp;10
Electric Plant - Proposed by Avista
October 1, 2008 through July 31, 2009&amp;RExhibit No. ___(DBD-9)</oddHeader>
    <oddFooter>&amp;RPage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60" zoomScaleNormal="100" workbookViewId="0">
      <pane ySplit="5" topLeftCell="A6" activePane="bottomLeft" state="frozen"/>
      <selection activeCell="A2" sqref="A2"/>
      <selection pane="bottomLeft" activeCell="A2" sqref="A2"/>
    </sheetView>
  </sheetViews>
  <sheetFormatPr defaultRowHeight="12.75"/>
  <cols>
    <col min="1" max="1" width="30.85546875" bestFit="1" customWidth="1"/>
    <col min="2" max="2" width="6.28515625" bestFit="1" customWidth="1"/>
    <col min="3" max="3" width="12" bestFit="1" customWidth="1"/>
    <col min="4" max="4" width="6.28515625" bestFit="1" customWidth="1"/>
    <col min="5" max="5" width="11.42578125" bestFit="1" customWidth="1"/>
    <col min="6" max="6" width="10" bestFit="1" customWidth="1"/>
    <col min="7" max="7" width="12.28515625" bestFit="1" customWidth="1"/>
    <col min="8" max="8" width="6.7109375" style="21" bestFit="1" customWidth="1"/>
    <col min="9" max="9" width="9" bestFit="1" customWidth="1"/>
    <col min="10" max="10" width="10.85546875" customWidth="1"/>
    <col min="11" max="11" width="9.5703125" bestFit="1" customWidth="1"/>
    <col min="12" max="12" width="10.7109375" bestFit="1" customWidth="1"/>
    <col min="13" max="13" width="10.5703125" bestFit="1" customWidth="1"/>
    <col min="14" max="14" width="10.28515625" customWidth="1"/>
    <col min="15" max="15" width="10.5703125" bestFit="1" customWidth="1"/>
    <col min="16" max="16" width="11" customWidth="1"/>
    <col min="17" max="17" width="10.5703125" bestFit="1" customWidth="1"/>
    <col min="18" max="19" width="11.28515625" bestFit="1" customWidth="1"/>
  </cols>
  <sheetData>
    <row r="1" spans="1:19" s="43" customFormat="1" ht="24.75">
      <c r="A1" s="42"/>
      <c r="B1" s="42"/>
      <c r="C1" s="42"/>
      <c r="D1" s="42"/>
      <c r="E1" s="42"/>
      <c r="F1" s="42"/>
      <c r="H1" s="44"/>
      <c r="J1" s="45"/>
      <c r="N1" s="46" t="s">
        <v>7</v>
      </c>
      <c r="O1" s="46" t="s">
        <v>8</v>
      </c>
      <c r="P1" s="46" t="s">
        <v>21</v>
      </c>
      <c r="Q1" s="47"/>
    </row>
    <row r="2" spans="1:19" s="2" customFormat="1" ht="15.75">
      <c r="A2" s="10" t="s">
        <v>71</v>
      </c>
      <c r="B2" s="10"/>
      <c r="C2" s="10"/>
      <c r="D2" s="10"/>
      <c r="E2" s="10"/>
      <c r="F2" s="10"/>
      <c r="H2" s="20"/>
      <c r="J2" s="12" t="s">
        <v>37</v>
      </c>
      <c r="N2" s="28">
        <v>3.7499999999999999E-2</v>
      </c>
      <c r="O2" s="28">
        <v>7.2190000000000004E-2</v>
      </c>
      <c r="P2" s="28">
        <v>6.6769999999999996E-2</v>
      </c>
      <c r="Q2" s="13"/>
    </row>
    <row r="3" spans="1:19" s="2" customFormat="1">
      <c r="A3" s="14" t="s">
        <v>68</v>
      </c>
      <c r="B3" s="14"/>
      <c r="C3" s="14"/>
      <c r="D3" s="14"/>
      <c r="E3" s="14"/>
      <c r="F3" s="14"/>
      <c r="H3" s="20"/>
      <c r="J3" s="12" t="s">
        <v>38</v>
      </c>
      <c r="N3" s="13">
        <v>0.14280000000000001</v>
      </c>
      <c r="O3" s="13">
        <v>0.24490000000000001</v>
      </c>
      <c r="P3" s="13">
        <v>0.17493</v>
      </c>
      <c r="Q3" s="13"/>
    </row>
    <row r="4" spans="1:19" s="2" customFormat="1">
      <c r="H4" s="20"/>
    </row>
    <row r="5" spans="1:19" s="6" customFormat="1" ht="51">
      <c r="A5" s="8" t="s">
        <v>18</v>
      </c>
      <c r="B5" s="8" t="s">
        <v>29</v>
      </c>
      <c r="C5" s="8" t="s">
        <v>36</v>
      </c>
      <c r="D5" s="8" t="s">
        <v>33</v>
      </c>
      <c r="E5" s="8" t="s">
        <v>35</v>
      </c>
      <c r="F5" s="8" t="s">
        <v>34</v>
      </c>
      <c r="G5" s="8" t="s">
        <v>19</v>
      </c>
      <c r="H5" s="9" t="s">
        <v>1</v>
      </c>
      <c r="I5" s="5" t="s">
        <v>2</v>
      </c>
      <c r="J5" s="4" t="s">
        <v>67</v>
      </c>
      <c r="K5" s="5" t="s">
        <v>20</v>
      </c>
      <c r="L5" s="5" t="s">
        <v>3</v>
      </c>
      <c r="M5" s="5" t="s">
        <v>4</v>
      </c>
      <c r="N5" s="5" t="s">
        <v>64</v>
      </c>
      <c r="O5" s="5" t="s">
        <v>65</v>
      </c>
      <c r="P5" s="5" t="s">
        <v>66</v>
      </c>
      <c r="Q5" s="5" t="s">
        <v>22</v>
      </c>
      <c r="R5" s="5" t="s">
        <v>5</v>
      </c>
      <c r="S5" s="5" t="s">
        <v>6</v>
      </c>
    </row>
    <row r="6" spans="1:19" s="2" customFormat="1">
      <c r="A6" s="50" t="s">
        <v>53</v>
      </c>
      <c r="B6" s="1">
        <v>2054</v>
      </c>
      <c r="C6" s="34">
        <v>708248</v>
      </c>
      <c r="D6" s="33">
        <v>1</v>
      </c>
      <c r="E6" s="34">
        <f>C6*D6</f>
        <v>708248</v>
      </c>
      <c r="F6" s="33">
        <v>0.06</v>
      </c>
      <c r="G6" s="18">
        <f>E6*(1-F6)</f>
        <v>665753.12</v>
      </c>
      <c r="H6" s="20">
        <v>2.7900000000000001E-2</v>
      </c>
      <c r="I6" s="31">
        <v>11</v>
      </c>
      <c r="J6" s="16">
        <f t="shared" ref="J6:J14" si="0">ROUND(G6*H6,0)</f>
        <v>18575</v>
      </c>
      <c r="K6" s="11">
        <f t="shared" ref="K6:K14" si="1">ROUND(G6*H6*((12-I6+0.5)/12),0)</f>
        <v>2322</v>
      </c>
      <c r="L6" s="11">
        <f t="shared" ref="L6:L14" si="2">SUM(J6:K6)</f>
        <v>20897</v>
      </c>
      <c r="M6" s="11">
        <f t="shared" ref="M6:M14" si="3">SUM(J6,L6)</f>
        <v>39472</v>
      </c>
      <c r="N6" s="11">
        <f t="shared" ref="N6:N11" si="4">ROUND(G6*$N$2,0)</f>
        <v>24966</v>
      </c>
      <c r="O6" s="11">
        <f t="shared" ref="O6:O11" si="5">ROUND(G6*$O$2,0)</f>
        <v>48061</v>
      </c>
      <c r="P6" s="11">
        <f t="shared" ref="P6:P11" si="6">ROUND(G6*$P$2,0)</f>
        <v>44452</v>
      </c>
      <c r="Q6" s="11">
        <f t="shared" ref="Q6:Q14" si="7">ROUND((N6-(J6*6/12))*-0.35,0)</f>
        <v>-5487</v>
      </c>
      <c r="R6" s="11">
        <f t="shared" ref="R6:R14" si="8">ROUND(((O6-J6)*-0.35)+Q6,0)</f>
        <v>-15807</v>
      </c>
      <c r="S6" s="11">
        <f t="shared" ref="S6:S14" si="9">ROUND(((P6-J6)*-0.35)+R6,0)</f>
        <v>-24864</v>
      </c>
    </row>
    <row r="7" spans="1:19" s="2" customFormat="1">
      <c r="A7" s="50" t="s">
        <v>54</v>
      </c>
      <c r="B7" s="1">
        <v>2055</v>
      </c>
      <c r="C7" s="34">
        <v>1616884</v>
      </c>
      <c r="D7" s="33">
        <v>1</v>
      </c>
      <c r="E7" s="34">
        <f t="shared" ref="E7:E14" si="10">C7*D7</f>
        <v>1616884</v>
      </c>
      <c r="F7" s="33">
        <v>0.15</v>
      </c>
      <c r="G7" s="18">
        <f t="shared" ref="G7:G14" si="11">E7*(1-F7)</f>
        <v>1374351.4</v>
      </c>
      <c r="H7" s="20">
        <v>2.7900000000000001E-2</v>
      </c>
      <c r="I7" s="31">
        <v>11</v>
      </c>
      <c r="J7" s="16">
        <f t="shared" si="0"/>
        <v>38344</v>
      </c>
      <c r="K7" s="11">
        <f t="shared" si="1"/>
        <v>4793</v>
      </c>
      <c r="L7" s="11">
        <f t="shared" si="2"/>
        <v>43137</v>
      </c>
      <c r="M7" s="11">
        <f t="shared" si="3"/>
        <v>81481</v>
      </c>
      <c r="N7" s="11">
        <f t="shared" si="4"/>
        <v>51538</v>
      </c>
      <c r="O7" s="11">
        <f t="shared" si="5"/>
        <v>99214</v>
      </c>
      <c r="P7" s="11">
        <f t="shared" si="6"/>
        <v>91765</v>
      </c>
      <c r="Q7" s="11">
        <f t="shared" si="7"/>
        <v>-11328</v>
      </c>
      <c r="R7" s="11">
        <f t="shared" si="8"/>
        <v>-32633</v>
      </c>
      <c r="S7" s="11">
        <f t="shared" si="9"/>
        <v>-51330</v>
      </c>
    </row>
    <row r="8" spans="1:19" s="2" customFormat="1">
      <c r="A8" s="50" t="s">
        <v>55</v>
      </c>
      <c r="B8" s="1">
        <v>2059</v>
      </c>
      <c r="C8" s="34">
        <v>337890</v>
      </c>
      <c r="D8" s="33">
        <v>1</v>
      </c>
      <c r="E8" s="34">
        <f t="shared" si="10"/>
        <v>337890</v>
      </c>
      <c r="F8" s="33">
        <v>0.05</v>
      </c>
      <c r="G8" s="18">
        <f t="shared" si="11"/>
        <v>320995.5</v>
      </c>
      <c r="H8" s="20">
        <v>2.7900000000000001E-2</v>
      </c>
      <c r="I8" s="31">
        <v>11</v>
      </c>
      <c r="J8" s="16">
        <f t="shared" si="0"/>
        <v>8956</v>
      </c>
      <c r="K8" s="11">
        <f t="shared" si="1"/>
        <v>1119</v>
      </c>
      <c r="L8" s="11">
        <f t="shared" si="2"/>
        <v>10075</v>
      </c>
      <c r="M8" s="11">
        <f t="shared" si="3"/>
        <v>19031</v>
      </c>
      <c r="N8" s="11">
        <f t="shared" si="4"/>
        <v>12037</v>
      </c>
      <c r="O8" s="11">
        <f t="shared" si="5"/>
        <v>23173</v>
      </c>
      <c r="P8" s="11">
        <f t="shared" si="6"/>
        <v>21433</v>
      </c>
      <c r="Q8" s="11">
        <f t="shared" si="7"/>
        <v>-2646</v>
      </c>
      <c r="R8" s="11">
        <f t="shared" si="8"/>
        <v>-7622</v>
      </c>
      <c r="S8" s="11">
        <f t="shared" si="9"/>
        <v>-11989</v>
      </c>
    </row>
    <row r="9" spans="1:19" s="2" customFormat="1">
      <c r="A9" s="2" t="s">
        <v>56</v>
      </c>
      <c r="B9" s="1">
        <v>2264</v>
      </c>
      <c r="C9" s="34">
        <v>0</v>
      </c>
      <c r="D9" s="33">
        <v>1</v>
      </c>
      <c r="E9" s="34">
        <f t="shared" si="10"/>
        <v>0</v>
      </c>
      <c r="F9" s="33">
        <v>0.25</v>
      </c>
      <c r="G9" s="18">
        <f t="shared" si="11"/>
        <v>0</v>
      </c>
      <c r="H9" s="20">
        <v>2.7900000000000001E-2</v>
      </c>
      <c r="I9" s="31"/>
      <c r="J9" s="16">
        <f t="shared" si="0"/>
        <v>0</v>
      </c>
      <c r="K9" s="11">
        <f t="shared" si="1"/>
        <v>0</v>
      </c>
      <c r="L9" s="11">
        <f t="shared" si="2"/>
        <v>0</v>
      </c>
      <c r="M9" s="11">
        <f t="shared" si="3"/>
        <v>0</v>
      </c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  <c r="R9" s="11">
        <f t="shared" si="8"/>
        <v>0</v>
      </c>
      <c r="S9" s="11">
        <f t="shared" si="9"/>
        <v>0</v>
      </c>
    </row>
    <row r="10" spans="1:19" s="2" customFormat="1">
      <c r="A10" s="41" t="s">
        <v>57</v>
      </c>
      <c r="B10" s="1">
        <v>2391</v>
      </c>
      <c r="C10" s="34">
        <f>1450336+220865</f>
        <v>1671201</v>
      </c>
      <c r="D10" s="33">
        <v>1</v>
      </c>
      <c r="E10" s="34">
        <f t="shared" si="10"/>
        <v>1671201</v>
      </c>
      <c r="F10" s="33">
        <v>0</v>
      </c>
      <c r="G10" s="18">
        <f t="shared" si="11"/>
        <v>1671201</v>
      </c>
      <c r="H10" s="20">
        <v>2.7900000000000001E-2</v>
      </c>
      <c r="I10" s="31">
        <v>10</v>
      </c>
      <c r="J10" s="16">
        <f t="shared" si="0"/>
        <v>46627</v>
      </c>
      <c r="K10" s="11">
        <f t="shared" si="1"/>
        <v>9714</v>
      </c>
      <c r="L10" s="11">
        <f t="shared" si="2"/>
        <v>56341</v>
      </c>
      <c r="M10" s="11">
        <f t="shared" si="3"/>
        <v>102968</v>
      </c>
      <c r="N10" s="11">
        <f t="shared" si="4"/>
        <v>62670</v>
      </c>
      <c r="O10" s="11">
        <f t="shared" si="5"/>
        <v>120644</v>
      </c>
      <c r="P10" s="11">
        <f t="shared" si="6"/>
        <v>111586</v>
      </c>
      <c r="Q10" s="11">
        <f t="shared" si="7"/>
        <v>-13775</v>
      </c>
      <c r="R10" s="11">
        <f t="shared" si="8"/>
        <v>-39681</v>
      </c>
      <c r="S10" s="11">
        <f t="shared" si="9"/>
        <v>-62417</v>
      </c>
    </row>
    <row r="11" spans="1:19" s="2" customFormat="1">
      <c r="A11" t="s">
        <v>58</v>
      </c>
      <c r="B11" s="1">
        <v>2435</v>
      </c>
      <c r="C11" s="34">
        <v>583439</v>
      </c>
      <c r="D11" s="33">
        <v>1</v>
      </c>
      <c r="E11" s="34">
        <f t="shared" si="10"/>
        <v>583439</v>
      </c>
      <c r="F11" s="33">
        <v>0.1</v>
      </c>
      <c r="G11" s="18">
        <f t="shared" si="11"/>
        <v>525095.1</v>
      </c>
      <c r="H11" s="20">
        <v>2.7900000000000001E-2</v>
      </c>
      <c r="I11" s="31">
        <v>11</v>
      </c>
      <c r="J11" s="16">
        <f t="shared" si="0"/>
        <v>14650</v>
      </c>
      <c r="K11" s="11">
        <f t="shared" si="1"/>
        <v>1831</v>
      </c>
      <c r="L11" s="11">
        <f t="shared" si="2"/>
        <v>16481</v>
      </c>
      <c r="M11" s="11">
        <f t="shared" si="3"/>
        <v>31131</v>
      </c>
      <c r="N11" s="11">
        <f t="shared" si="4"/>
        <v>19691</v>
      </c>
      <c r="O11" s="11">
        <f t="shared" si="5"/>
        <v>37907</v>
      </c>
      <c r="P11" s="11">
        <f t="shared" si="6"/>
        <v>35061</v>
      </c>
      <c r="Q11" s="11">
        <f t="shared" si="7"/>
        <v>-4328</v>
      </c>
      <c r="R11" s="11">
        <f t="shared" si="8"/>
        <v>-12468</v>
      </c>
      <c r="S11" s="11">
        <f t="shared" si="9"/>
        <v>-19612</v>
      </c>
    </row>
    <row r="12" spans="1:19" s="2" customFormat="1">
      <c r="A12" t="s">
        <v>31</v>
      </c>
      <c r="B12" s="1">
        <v>5118</v>
      </c>
      <c r="C12" s="34">
        <v>0</v>
      </c>
      <c r="D12" s="33">
        <f>0.7196*0.65097</f>
        <v>0.46843801200000007</v>
      </c>
      <c r="E12" s="34">
        <f t="shared" si="10"/>
        <v>0</v>
      </c>
      <c r="F12" s="33">
        <v>0.4</v>
      </c>
      <c r="G12" s="18">
        <f t="shared" si="11"/>
        <v>0</v>
      </c>
      <c r="H12" s="20">
        <v>6.0699999999999997E-2</v>
      </c>
      <c r="I12" s="31"/>
      <c r="J12" s="16">
        <f t="shared" si="0"/>
        <v>0</v>
      </c>
      <c r="K12" s="11">
        <f t="shared" si="1"/>
        <v>0</v>
      </c>
      <c r="L12" s="11">
        <f t="shared" si="2"/>
        <v>0</v>
      </c>
      <c r="M12" s="11">
        <f t="shared" si="3"/>
        <v>0</v>
      </c>
      <c r="N12" s="11">
        <f>ROUND(G12*$N$3,0)</f>
        <v>0</v>
      </c>
      <c r="O12" s="11">
        <f>ROUND(G12*$O$3,0)</f>
        <v>0</v>
      </c>
      <c r="P12" s="11">
        <f>ROUND(G12*$P$3,0)</f>
        <v>0</v>
      </c>
      <c r="Q12" s="11">
        <f t="shared" si="7"/>
        <v>0</v>
      </c>
      <c r="R12" s="11">
        <f t="shared" si="8"/>
        <v>0</v>
      </c>
      <c r="S12" s="11">
        <f t="shared" si="9"/>
        <v>0</v>
      </c>
    </row>
    <row r="13" spans="1:19" s="2" customFormat="1">
      <c r="A13" t="s">
        <v>30</v>
      </c>
      <c r="B13" s="1">
        <v>7101</v>
      </c>
      <c r="C13" s="34">
        <f>3330084+587918</f>
        <v>3918002</v>
      </c>
      <c r="D13" s="33">
        <f>0.7196*0.65097</f>
        <v>0.46843801200000007</v>
      </c>
      <c r="E13" s="34">
        <f t="shared" si="10"/>
        <v>1835341.0678920243</v>
      </c>
      <c r="F13" s="33">
        <v>0.2</v>
      </c>
      <c r="G13" s="18">
        <f t="shared" si="11"/>
        <v>1468272.8543136194</v>
      </c>
      <c r="H13" s="20">
        <v>6.0699999999999997E-2</v>
      </c>
      <c r="I13" s="31">
        <v>12</v>
      </c>
      <c r="J13" s="16">
        <f t="shared" si="0"/>
        <v>89124</v>
      </c>
      <c r="K13" s="11">
        <f t="shared" si="1"/>
        <v>3714</v>
      </c>
      <c r="L13" s="11">
        <f t="shared" si="2"/>
        <v>92838</v>
      </c>
      <c r="M13" s="11">
        <f t="shared" si="3"/>
        <v>181962</v>
      </c>
      <c r="N13" s="11">
        <f>ROUND(G13*$N$3,0)</f>
        <v>209669</v>
      </c>
      <c r="O13" s="11">
        <f>ROUND(G13*$O$3,0)</f>
        <v>359580</v>
      </c>
      <c r="P13" s="11">
        <f>ROUND(G13*$P$3,0)</f>
        <v>256845</v>
      </c>
      <c r="Q13" s="11">
        <f t="shared" si="7"/>
        <v>-57787</v>
      </c>
      <c r="R13" s="11">
        <f t="shared" si="8"/>
        <v>-152447</v>
      </c>
      <c r="S13" s="11">
        <f t="shared" si="9"/>
        <v>-211149</v>
      </c>
    </row>
    <row r="14" spans="1:19" s="2" customFormat="1">
      <c r="A14" t="s">
        <v>32</v>
      </c>
      <c r="B14" s="1">
        <v>7106</v>
      </c>
      <c r="C14" s="34">
        <f>2388983+645936</f>
        <v>3034919</v>
      </c>
      <c r="D14" s="33">
        <f>0.7196*0.65097</f>
        <v>0.46843801200000007</v>
      </c>
      <c r="E14" s="34">
        <f t="shared" si="10"/>
        <v>1421671.4229410281</v>
      </c>
      <c r="F14" s="33">
        <v>0</v>
      </c>
      <c r="G14" s="18">
        <f t="shared" si="11"/>
        <v>1421671.4229410281</v>
      </c>
      <c r="H14" s="20">
        <v>6.0699999999999997E-2</v>
      </c>
      <c r="I14" s="31">
        <v>11</v>
      </c>
      <c r="J14" s="16">
        <f t="shared" si="0"/>
        <v>86295</v>
      </c>
      <c r="K14" s="11">
        <f t="shared" si="1"/>
        <v>10787</v>
      </c>
      <c r="L14" s="11">
        <f t="shared" si="2"/>
        <v>97082</v>
      </c>
      <c r="M14" s="11">
        <f t="shared" si="3"/>
        <v>183377</v>
      </c>
      <c r="N14" s="11">
        <f>ROUND(G14*$N$3,0)</f>
        <v>203015</v>
      </c>
      <c r="O14" s="11">
        <f>ROUND(G14*$O$3,0)</f>
        <v>348167</v>
      </c>
      <c r="P14" s="11">
        <f>ROUND(G14*$P$3,0)</f>
        <v>248693</v>
      </c>
      <c r="Q14" s="11">
        <f t="shared" si="7"/>
        <v>-55954</v>
      </c>
      <c r="R14" s="11">
        <f t="shared" si="8"/>
        <v>-147609</v>
      </c>
      <c r="S14" s="11">
        <f t="shared" si="9"/>
        <v>-204448</v>
      </c>
    </row>
    <row r="15" spans="1:19" s="2" customFormat="1" ht="13.5" thickBot="1">
      <c r="C15" s="7">
        <f>SUM(C6:C14)</f>
        <v>11870583</v>
      </c>
      <c r="E15" s="7">
        <f>SUM(E6:E14)</f>
        <v>8174674.4908330524</v>
      </c>
      <c r="G15" s="19">
        <f>SUM(G6:G14)</f>
        <v>7447340.3972546477</v>
      </c>
      <c r="H15" s="20"/>
      <c r="J15" s="7">
        <f t="shared" ref="J15:S15" si="12">SUM(J6:J14)</f>
        <v>302571</v>
      </c>
      <c r="K15" s="7">
        <f t="shared" si="12"/>
        <v>34280</v>
      </c>
      <c r="L15" s="7">
        <f t="shared" si="12"/>
        <v>336851</v>
      </c>
      <c r="M15" s="7">
        <f t="shared" si="12"/>
        <v>639422</v>
      </c>
      <c r="N15" s="7">
        <f t="shared" si="12"/>
        <v>583586</v>
      </c>
      <c r="O15" s="7">
        <f t="shared" si="12"/>
        <v>1036746</v>
      </c>
      <c r="P15" s="7">
        <f t="shared" si="12"/>
        <v>809835</v>
      </c>
      <c r="Q15" s="7">
        <f t="shared" si="12"/>
        <v>-151305</v>
      </c>
      <c r="R15" s="7">
        <f t="shared" si="12"/>
        <v>-408267</v>
      </c>
      <c r="S15" s="7">
        <f t="shared" si="12"/>
        <v>-585809</v>
      </c>
    </row>
    <row r="16" spans="1:19" s="2" customFormat="1">
      <c r="H16" s="20"/>
    </row>
    <row r="18" spans="1:19">
      <c r="A18" t="s">
        <v>28</v>
      </c>
      <c r="G18" s="24">
        <f>SUM(G6:G11)</f>
        <v>4557396.12</v>
      </c>
      <c r="H18" s="17"/>
      <c r="I18" s="17"/>
      <c r="J18" s="24">
        <f t="shared" ref="J18:S18" si="13">SUM(J6:J11)</f>
        <v>127152</v>
      </c>
      <c r="K18" s="24">
        <f t="shared" si="13"/>
        <v>19779</v>
      </c>
      <c r="L18" s="24">
        <f t="shared" si="13"/>
        <v>146931</v>
      </c>
      <c r="M18" s="24">
        <f t="shared" si="13"/>
        <v>274083</v>
      </c>
      <c r="N18" s="24">
        <f t="shared" si="13"/>
        <v>170902</v>
      </c>
      <c r="O18" s="24">
        <f t="shared" si="13"/>
        <v>328999</v>
      </c>
      <c r="P18" s="24">
        <f t="shared" si="13"/>
        <v>304297</v>
      </c>
      <c r="Q18" s="24">
        <f t="shared" si="13"/>
        <v>-37564</v>
      </c>
      <c r="R18" s="24">
        <f t="shared" si="13"/>
        <v>-108211</v>
      </c>
      <c r="S18" s="24">
        <f t="shared" si="13"/>
        <v>-170212</v>
      </c>
    </row>
    <row r="19" spans="1:19">
      <c r="A19" t="s">
        <v>42</v>
      </c>
      <c r="G19" s="24">
        <f>SUM(G12:G14)</f>
        <v>2889944.2772546476</v>
      </c>
      <c r="H19" s="17"/>
      <c r="I19" s="17"/>
      <c r="J19" s="24">
        <f t="shared" ref="J19:S19" si="14">SUM(J12:J14)</f>
        <v>175419</v>
      </c>
      <c r="K19" s="24">
        <f t="shared" si="14"/>
        <v>14501</v>
      </c>
      <c r="L19" s="24">
        <f t="shared" si="14"/>
        <v>189920</v>
      </c>
      <c r="M19" s="24">
        <f t="shared" si="14"/>
        <v>365339</v>
      </c>
      <c r="N19" s="24">
        <f t="shared" si="14"/>
        <v>412684</v>
      </c>
      <c r="O19" s="24">
        <f t="shared" si="14"/>
        <v>707747</v>
      </c>
      <c r="P19" s="24">
        <f t="shared" si="14"/>
        <v>505538</v>
      </c>
      <c r="Q19" s="24">
        <f t="shared" si="14"/>
        <v>-113741</v>
      </c>
      <c r="R19" s="24">
        <f t="shared" si="14"/>
        <v>-300056</v>
      </c>
      <c r="S19" s="24">
        <f t="shared" si="14"/>
        <v>-415597</v>
      </c>
    </row>
    <row r="20" spans="1:19" ht="13.5" thickBot="1">
      <c r="G20" s="3">
        <f>SUM(G18:G19)</f>
        <v>7447340.3972546477</v>
      </c>
      <c r="H20" s="17"/>
      <c r="I20" s="17"/>
      <c r="J20" s="3">
        <f t="shared" ref="J20:S20" si="15">SUM(J18:J19)</f>
        <v>302571</v>
      </c>
      <c r="K20" s="3">
        <f t="shared" si="15"/>
        <v>34280</v>
      </c>
      <c r="L20" s="3">
        <f t="shared" si="15"/>
        <v>336851</v>
      </c>
      <c r="M20" s="3">
        <f t="shared" si="15"/>
        <v>639422</v>
      </c>
      <c r="N20" s="3">
        <f t="shared" si="15"/>
        <v>583586</v>
      </c>
      <c r="O20" s="3">
        <f t="shared" si="15"/>
        <v>1036746</v>
      </c>
      <c r="P20" s="3">
        <f t="shared" si="15"/>
        <v>809835</v>
      </c>
      <c r="Q20" s="3">
        <f t="shared" si="15"/>
        <v>-151305</v>
      </c>
      <c r="R20" s="3">
        <f t="shared" si="15"/>
        <v>-408267</v>
      </c>
      <c r="S20" s="3">
        <f t="shared" si="15"/>
        <v>-585809</v>
      </c>
    </row>
  </sheetData>
  <phoneticPr fontId="0" type="noConversion"/>
  <pageMargins left="0.75" right="0.75" top="1.5" bottom="1" header="0.5" footer="0.5"/>
  <pageSetup scale="56" orientation="landscape" r:id="rId1"/>
  <headerFooter alignWithMargins="0">
    <oddHeader>&amp;C
&amp;"Arial,Bold"&amp;12Avista Utilities&amp;"Arial,Regular"&amp;10
Electric Plant - Proposed by Avista
October 1, 2008 through July 31, 2009&amp;RExhibit No. ___(DBD-9)</oddHeader>
    <oddFooter>&amp;RPage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="60" zoomScaleNormal="100" workbookViewId="0">
      <pane ySplit="5" topLeftCell="A6" activePane="bottomLeft" state="frozen"/>
      <selection activeCell="A2" sqref="A2"/>
      <selection pane="bottomLeft" activeCell="A2" sqref="A2"/>
    </sheetView>
  </sheetViews>
  <sheetFormatPr defaultRowHeight="12.75"/>
  <cols>
    <col min="1" max="1" width="29.85546875" bestFit="1" customWidth="1"/>
    <col min="2" max="2" width="6.42578125" bestFit="1" customWidth="1"/>
    <col min="3" max="3" width="11.28515625" hidden="1" customWidth="1"/>
    <col min="4" max="4" width="8.7109375" hidden="1" customWidth="1"/>
    <col min="5" max="5" width="12.85546875" bestFit="1" customWidth="1"/>
    <col min="6" max="6" width="6.42578125" bestFit="1" customWidth="1"/>
    <col min="7" max="7" width="12" bestFit="1" customWidth="1"/>
    <col min="8" max="8" width="10" bestFit="1" customWidth="1"/>
    <col min="9" max="9" width="12.140625" bestFit="1" customWidth="1"/>
    <col min="10" max="10" width="7.140625" style="30" bestFit="1" customWidth="1"/>
    <col min="11" max="11" width="8.140625" customWidth="1"/>
    <col min="12" max="12" width="10.7109375" customWidth="1"/>
    <col min="13" max="13" width="8.42578125" bestFit="1" customWidth="1"/>
    <col min="14" max="14" width="10.140625" bestFit="1" customWidth="1"/>
    <col min="15" max="15" width="10.7109375" bestFit="1" customWidth="1"/>
    <col min="16" max="18" width="9.42578125" customWidth="1"/>
    <col min="19" max="21" width="9.28515625" bestFit="1" customWidth="1"/>
  </cols>
  <sheetData>
    <row r="1" spans="1:21" s="43" customFormat="1" ht="24.75">
      <c r="A1" s="42"/>
      <c r="B1" s="42"/>
      <c r="C1" s="42"/>
      <c r="D1" s="42"/>
      <c r="E1" s="42"/>
      <c r="F1" s="42"/>
      <c r="G1" s="42"/>
      <c r="H1" s="42"/>
      <c r="J1" s="48"/>
      <c r="L1" s="45"/>
      <c r="P1" s="46" t="s">
        <v>7</v>
      </c>
      <c r="Q1" s="46" t="s">
        <v>8</v>
      </c>
      <c r="R1" s="46" t="s">
        <v>21</v>
      </c>
      <c r="S1" s="47"/>
    </row>
    <row r="2" spans="1:21" s="2" customFormat="1" ht="15.75">
      <c r="A2" s="10" t="s">
        <v>72</v>
      </c>
      <c r="B2" s="10"/>
      <c r="C2" s="10"/>
      <c r="D2" s="10"/>
      <c r="E2" s="10"/>
      <c r="F2" s="10"/>
      <c r="G2" s="10"/>
      <c r="H2" s="10"/>
      <c r="J2" s="29"/>
      <c r="L2" s="12" t="s">
        <v>23</v>
      </c>
      <c r="P2" s="28">
        <v>0</v>
      </c>
      <c r="Q2" s="28">
        <v>3.7499999999999999E-2</v>
      </c>
      <c r="R2" s="28">
        <v>7.2190000000000004E-2</v>
      </c>
      <c r="S2" s="13"/>
    </row>
    <row r="3" spans="1:21" s="2" customFormat="1">
      <c r="A3" s="14" t="s">
        <v>69</v>
      </c>
      <c r="B3" s="14"/>
      <c r="C3" s="14"/>
      <c r="D3" s="14"/>
      <c r="E3" s="14"/>
      <c r="F3" s="14"/>
      <c r="G3" s="14"/>
      <c r="H3" s="14"/>
      <c r="J3" s="29"/>
      <c r="L3" s="12" t="s">
        <v>38</v>
      </c>
      <c r="P3" s="28">
        <v>0</v>
      </c>
      <c r="Q3" s="13">
        <v>0.14280000000000001</v>
      </c>
      <c r="R3" s="13">
        <v>0.24490000000000001</v>
      </c>
      <c r="S3" s="13"/>
    </row>
    <row r="4" spans="1:21" s="2" customFormat="1">
      <c r="J4" s="29"/>
    </row>
    <row r="5" spans="1:21" s="6" customFormat="1" ht="51">
      <c r="A5" s="8" t="s">
        <v>18</v>
      </c>
      <c r="B5" s="8" t="s">
        <v>29</v>
      </c>
      <c r="C5" s="8" t="s">
        <v>39</v>
      </c>
      <c r="D5" s="35">
        <v>39995</v>
      </c>
      <c r="E5" s="8" t="s">
        <v>36</v>
      </c>
      <c r="F5" s="8" t="s">
        <v>33</v>
      </c>
      <c r="G5" s="8" t="s">
        <v>35</v>
      </c>
      <c r="H5" s="8" t="s">
        <v>34</v>
      </c>
      <c r="I5" s="8" t="s">
        <v>19</v>
      </c>
      <c r="J5" s="9" t="s">
        <v>1</v>
      </c>
      <c r="K5" s="5" t="s">
        <v>2</v>
      </c>
      <c r="L5" s="4" t="s">
        <v>67</v>
      </c>
      <c r="M5" s="5" t="s">
        <v>20</v>
      </c>
      <c r="N5" s="5" t="s">
        <v>3</v>
      </c>
      <c r="O5" s="5" t="s">
        <v>4</v>
      </c>
      <c r="P5" s="5" t="s">
        <v>64</v>
      </c>
      <c r="Q5" s="5" t="s">
        <v>65</v>
      </c>
      <c r="R5" s="5" t="s">
        <v>66</v>
      </c>
      <c r="S5" s="5" t="s">
        <v>22</v>
      </c>
      <c r="T5" s="5" t="s">
        <v>5</v>
      </c>
      <c r="U5" s="5" t="s">
        <v>6</v>
      </c>
    </row>
    <row r="6" spans="1:21" s="2" customFormat="1" ht="21.75" customHeight="1">
      <c r="A6" s="50" t="s">
        <v>53</v>
      </c>
      <c r="B6" s="1">
        <v>2054</v>
      </c>
      <c r="C6" s="34">
        <v>931747</v>
      </c>
      <c r="D6" s="34">
        <v>368961</v>
      </c>
      <c r="E6" s="34">
        <f>SUM(C6:D6)</f>
        <v>1300708</v>
      </c>
      <c r="F6" s="33">
        <v>1</v>
      </c>
      <c r="G6" s="34">
        <f>E6*F6</f>
        <v>1300708</v>
      </c>
      <c r="H6" s="33">
        <v>0.06</v>
      </c>
      <c r="I6" s="18">
        <f>G6*(1-H6)</f>
        <v>1222665.52</v>
      </c>
      <c r="J6" s="20">
        <v>2.7900000000000001E-2</v>
      </c>
      <c r="K6" s="15">
        <v>3</v>
      </c>
      <c r="L6" s="16">
        <f>ROUND(I6*J6,0)</f>
        <v>34112</v>
      </c>
      <c r="M6" s="11">
        <v>0</v>
      </c>
      <c r="N6" s="11">
        <f>ROUND(I6*J6*((12-K6+0.5)/12),0)</f>
        <v>27006</v>
      </c>
      <c r="O6" s="11">
        <f>SUM(L6,N6)</f>
        <v>61118</v>
      </c>
      <c r="P6" s="11">
        <f t="shared" ref="P6:P11" si="0">ROUND(I6*$P$2,0)</f>
        <v>0</v>
      </c>
      <c r="Q6" s="11">
        <f t="shared" ref="Q6:Q11" si="1">ROUND(I6*$Q$2,0)</f>
        <v>45850</v>
      </c>
      <c r="R6" s="11">
        <f t="shared" ref="R6:R11" si="2">ROUND(I6*$R$2,0)</f>
        <v>88264</v>
      </c>
      <c r="S6" s="11">
        <v>0</v>
      </c>
      <c r="T6" s="11">
        <f>ROUND((Q6-(L6*6/12))*-0.35,0)</f>
        <v>-10078</v>
      </c>
      <c r="U6" s="11">
        <f>ROUND(((R6-L6)*-0.35)+T6,0)</f>
        <v>-29031</v>
      </c>
    </row>
    <row r="7" spans="1:21" s="2" customFormat="1">
      <c r="A7" s="50" t="s">
        <v>54</v>
      </c>
      <c r="B7" s="1">
        <v>2055</v>
      </c>
      <c r="C7" s="34">
        <v>2352201</v>
      </c>
      <c r="D7" s="34">
        <v>441734</v>
      </c>
      <c r="E7" s="34">
        <f t="shared" ref="E7:E12" si="3">SUM(C7:D7)</f>
        <v>2793935</v>
      </c>
      <c r="F7" s="33">
        <v>1</v>
      </c>
      <c r="G7" s="34">
        <f t="shared" ref="G7:G14" si="4">E7*F7</f>
        <v>2793935</v>
      </c>
      <c r="H7" s="33">
        <v>0.15</v>
      </c>
      <c r="I7" s="18">
        <f t="shared" ref="I7:I14" si="5">G7*(1-H7)</f>
        <v>2374844.75</v>
      </c>
      <c r="J7" s="20">
        <v>2.7900000000000001E-2</v>
      </c>
      <c r="K7" s="15">
        <v>3</v>
      </c>
      <c r="L7" s="16">
        <f>ROUND(I7*J7,0)</f>
        <v>66258</v>
      </c>
      <c r="M7" s="11">
        <v>0</v>
      </c>
      <c r="N7" s="11">
        <f>ROUND(I7*J7*((12-K7+0.5)/12),0)</f>
        <v>52454</v>
      </c>
      <c r="O7" s="11">
        <f>SUM(L7,N7)</f>
        <v>118712</v>
      </c>
      <c r="P7" s="11">
        <f t="shared" si="0"/>
        <v>0</v>
      </c>
      <c r="Q7" s="11">
        <f t="shared" si="1"/>
        <v>89057</v>
      </c>
      <c r="R7" s="11">
        <f t="shared" si="2"/>
        <v>171440</v>
      </c>
      <c r="S7" s="11">
        <v>0</v>
      </c>
      <c r="T7" s="11">
        <f>ROUND((Q7-(L7*6/12))*-0.35,0)</f>
        <v>-19575</v>
      </c>
      <c r="U7" s="11">
        <f>ROUND(((R7-L7)*-0.35)+T7,0)</f>
        <v>-56389</v>
      </c>
    </row>
    <row r="8" spans="1:21" s="2" customFormat="1">
      <c r="A8" s="50" t="s">
        <v>55</v>
      </c>
      <c r="B8" s="1">
        <v>2059</v>
      </c>
      <c r="C8" s="34">
        <v>1930420</v>
      </c>
      <c r="D8" s="34">
        <v>80302</v>
      </c>
      <c r="E8" s="34">
        <f t="shared" si="3"/>
        <v>2010722</v>
      </c>
      <c r="F8" s="33">
        <v>1</v>
      </c>
      <c r="G8" s="34">
        <f t="shared" si="4"/>
        <v>2010722</v>
      </c>
      <c r="H8" s="33">
        <v>0.05</v>
      </c>
      <c r="I8" s="18">
        <f t="shared" si="5"/>
        <v>1910185.9</v>
      </c>
      <c r="J8" s="20">
        <v>2.7900000000000001E-2</v>
      </c>
      <c r="K8" s="15">
        <v>3</v>
      </c>
      <c r="L8" s="16">
        <f t="shared" ref="L8:L14" si="6">ROUND(I8*J8,0)</f>
        <v>53294</v>
      </c>
      <c r="M8" s="11">
        <v>0</v>
      </c>
      <c r="N8" s="11">
        <f t="shared" ref="N8:N14" si="7">ROUND(I8*J8*((12-K8+0.5)/12),0)</f>
        <v>42191</v>
      </c>
      <c r="O8" s="11">
        <f t="shared" ref="O8:O14" si="8">SUM(L8,N8)</f>
        <v>95485</v>
      </c>
      <c r="P8" s="11">
        <f t="shared" si="0"/>
        <v>0</v>
      </c>
      <c r="Q8" s="11">
        <f t="shared" si="1"/>
        <v>71632</v>
      </c>
      <c r="R8" s="11">
        <f t="shared" si="2"/>
        <v>137896</v>
      </c>
      <c r="S8" s="11">
        <v>0</v>
      </c>
      <c r="T8" s="11">
        <f t="shared" ref="T8:T14" si="9">ROUND((Q8-(L8*6/12))*-0.35,0)</f>
        <v>-15745</v>
      </c>
      <c r="U8" s="11">
        <f t="shared" ref="U8:U14" si="10">ROUND(((R8-L8)*-0.35)+T8,0)</f>
        <v>-45356</v>
      </c>
    </row>
    <row r="9" spans="1:21" s="2" customFormat="1">
      <c r="A9" s="52" t="s">
        <v>56</v>
      </c>
      <c r="B9" s="1">
        <v>2264</v>
      </c>
      <c r="C9" s="34">
        <v>1522077</v>
      </c>
      <c r="D9" s="34">
        <v>0</v>
      </c>
      <c r="E9" s="34">
        <f t="shared" si="3"/>
        <v>1522077</v>
      </c>
      <c r="F9" s="33">
        <v>1</v>
      </c>
      <c r="G9" s="34">
        <f t="shared" si="4"/>
        <v>1522077</v>
      </c>
      <c r="H9" s="33">
        <v>0.25</v>
      </c>
      <c r="I9" s="18">
        <f t="shared" si="5"/>
        <v>1141557.75</v>
      </c>
      <c r="J9" s="20">
        <v>2.7900000000000001E-2</v>
      </c>
      <c r="K9" s="49">
        <v>3</v>
      </c>
      <c r="L9" s="16">
        <f t="shared" si="6"/>
        <v>31849</v>
      </c>
      <c r="M9" s="11">
        <v>0</v>
      </c>
      <c r="N9" s="11">
        <f t="shared" si="7"/>
        <v>25214</v>
      </c>
      <c r="O9" s="11">
        <f t="shared" si="8"/>
        <v>57063</v>
      </c>
      <c r="P9" s="11">
        <f t="shared" si="0"/>
        <v>0</v>
      </c>
      <c r="Q9" s="11">
        <f t="shared" si="1"/>
        <v>42808</v>
      </c>
      <c r="R9" s="11">
        <f t="shared" si="2"/>
        <v>82409</v>
      </c>
      <c r="S9" s="11">
        <v>0</v>
      </c>
      <c r="T9" s="11">
        <f t="shared" si="9"/>
        <v>-9409</v>
      </c>
      <c r="U9" s="11">
        <f t="shared" si="10"/>
        <v>-27105</v>
      </c>
    </row>
    <row r="10" spans="1:21" s="2" customFormat="1">
      <c r="A10" s="51" t="s">
        <v>57</v>
      </c>
      <c r="B10" s="1">
        <v>2391</v>
      </c>
      <c r="C10" s="34">
        <v>220865</v>
      </c>
      <c r="D10" s="34">
        <v>0</v>
      </c>
      <c r="E10" s="34">
        <v>0</v>
      </c>
      <c r="F10" s="33">
        <v>1</v>
      </c>
      <c r="G10" s="34">
        <f t="shared" si="4"/>
        <v>0</v>
      </c>
      <c r="H10" s="33">
        <v>0</v>
      </c>
      <c r="I10" s="18">
        <f t="shared" si="5"/>
        <v>0</v>
      </c>
      <c r="J10" s="20">
        <v>2.7900000000000001E-2</v>
      </c>
      <c r="K10" s="49"/>
      <c r="L10" s="16">
        <f t="shared" si="6"/>
        <v>0</v>
      </c>
      <c r="M10" s="11">
        <v>0</v>
      </c>
      <c r="N10" s="11">
        <f t="shared" si="7"/>
        <v>0</v>
      </c>
      <c r="O10" s="11">
        <f t="shared" si="8"/>
        <v>0</v>
      </c>
      <c r="P10" s="11">
        <f t="shared" si="0"/>
        <v>0</v>
      </c>
      <c r="Q10" s="11">
        <f t="shared" si="1"/>
        <v>0</v>
      </c>
      <c r="R10" s="11">
        <f t="shared" si="2"/>
        <v>0</v>
      </c>
      <c r="S10" s="11">
        <v>0</v>
      </c>
      <c r="T10" s="11">
        <f t="shared" si="9"/>
        <v>0</v>
      </c>
      <c r="U10" s="11">
        <f t="shared" si="10"/>
        <v>0</v>
      </c>
    </row>
    <row r="11" spans="1:21" s="2" customFormat="1">
      <c r="A11" s="52" t="s">
        <v>58</v>
      </c>
      <c r="B11" s="1">
        <v>2435</v>
      </c>
      <c r="C11" s="34">
        <v>0</v>
      </c>
      <c r="D11" s="34">
        <v>0</v>
      </c>
      <c r="E11" s="34">
        <f t="shared" si="3"/>
        <v>0</v>
      </c>
      <c r="F11" s="33">
        <v>1</v>
      </c>
      <c r="G11" s="34">
        <f t="shared" si="4"/>
        <v>0</v>
      </c>
      <c r="H11" s="33">
        <v>0.1</v>
      </c>
      <c r="I11" s="18">
        <f t="shared" si="5"/>
        <v>0</v>
      </c>
      <c r="J11" s="20">
        <v>2.7900000000000001E-2</v>
      </c>
      <c r="K11" s="15">
        <v>3</v>
      </c>
      <c r="L11" s="16">
        <f t="shared" si="6"/>
        <v>0</v>
      </c>
      <c r="M11" s="11">
        <v>0</v>
      </c>
      <c r="N11" s="11">
        <f t="shared" si="7"/>
        <v>0</v>
      </c>
      <c r="O11" s="11">
        <f t="shared" si="8"/>
        <v>0</v>
      </c>
      <c r="P11" s="11">
        <f t="shared" si="0"/>
        <v>0</v>
      </c>
      <c r="Q11" s="11">
        <f t="shared" si="1"/>
        <v>0</v>
      </c>
      <c r="R11" s="11">
        <f t="shared" si="2"/>
        <v>0</v>
      </c>
      <c r="S11" s="11">
        <v>0</v>
      </c>
      <c r="T11" s="11">
        <f t="shared" si="9"/>
        <v>0</v>
      </c>
      <c r="U11" s="11">
        <f t="shared" si="10"/>
        <v>0</v>
      </c>
    </row>
    <row r="12" spans="1:21" s="2" customFormat="1">
      <c r="A12" s="52" t="s">
        <v>31</v>
      </c>
      <c r="B12" s="1">
        <v>5118</v>
      </c>
      <c r="C12" s="34">
        <v>1847298</v>
      </c>
      <c r="D12" s="34">
        <v>0</v>
      </c>
      <c r="E12" s="34">
        <f t="shared" si="3"/>
        <v>1847298</v>
      </c>
      <c r="F12" s="33">
        <f>0.7196*0.65097</f>
        <v>0.46843801200000007</v>
      </c>
      <c r="G12" s="34">
        <f t="shared" si="4"/>
        <v>865344.60269157612</v>
      </c>
      <c r="H12" s="33">
        <v>0.4</v>
      </c>
      <c r="I12" s="18">
        <f t="shared" si="5"/>
        <v>519206.76161494566</v>
      </c>
      <c r="J12" s="20">
        <v>6.0699999999999997E-2</v>
      </c>
      <c r="K12" s="15">
        <v>6</v>
      </c>
      <c r="L12" s="16">
        <f>ROUND(I12*J12,0)</f>
        <v>31516</v>
      </c>
      <c r="M12" s="11">
        <v>0</v>
      </c>
      <c r="N12" s="11">
        <f t="shared" si="7"/>
        <v>17071</v>
      </c>
      <c r="O12" s="11">
        <f t="shared" si="8"/>
        <v>48587</v>
      </c>
      <c r="P12" s="11">
        <f>ROUND(I12*$P$3,0)</f>
        <v>0</v>
      </c>
      <c r="Q12" s="11">
        <f>ROUND(I12*$Q$3,0)</f>
        <v>74143</v>
      </c>
      <c r="R12" s="11">
        <f>ROUND(I12*$R$3,0)</f>
        <v>127154</v>
      </c>
      <c r="S12" s="11">
        <v>0</v>
      </c>
      <c r="T12" s="11">
        <f t="shared" si="9"/>
        <v>-20435</v>
      </c>
      <c r="U12" s="11">
        <f t="shared" si="10"/>
        <v>-53908</v>
      </c>
    </row>
    <row r="13" spans="1:21" s="2" customFormat="1">
      <c r="A13" s="52" t="s">
        <v>30</v>
      </c>
      <c r="B13" s="1">
        <v>7101</v>
      </c>
      <c r="C13" s="34">
        <v>587918</v>
      </c>
      <c r="D13" s="34">
        <v>0</v>
      </c>
      <c r="E13" s="34">
        <v>0</v>
      </c>
      <c r="F13" s="33">
        <f>0.7196*0.65097</f>
        <v>0.46843801200000007</v>
      </c>
      <c r="G13" s="34">
        <f t="shared" si="4"/>
        <v>0</v>
      </c>
      <c r="H13" s="33">
        <v>0.2</v>
      </c>
      <c r="I13" s="18">
        <f t="shared" si="5"/>
        <v>0</v>
      </c>
      <c r="J13" s="20">
        <v>6.0699999999999997E-2</v>
      </c>
      <c r="K13" s="15"/>
      <c r="L13" s="16">
        <f t="shared" si="6"/>
        <v>0</v>
      </c>
      <c r="M13" s="11">
        <v>0</v>
      </c>
      <c r="N13" s="11">
        <f t="shared" si="7"/>
        <v>0</v>
      </c>
      <c r="O13" s="11">
        <f t="shared" si="8"/>
        <v>0</v>
      </c>
      <c r="P13" s="11">
        <f>ROUND(I13*$P$3,0)</f>
        <v>0</v>
      </c>
      <c r="Q13" s="11">
        <f>ROUND(I13*$Q$3,0)</f>
        <v>0</v>
      </c>
      <c r="R13" s="11">
        <f>ROUND(I13*$R$3,0)</f>
        <v>0</v>
      </c>
      <c r="S13" s="11">
        <v>0</v>
      </c>
      <c r="T13" s="11">
        <f t="shared" si="9"/>
        <v>0</v>
      </c>
      <c r="U13" s="11">
        <f t="shared" si="10"/>
        <v>0</v>
      </c>
    </row>
    <row r="14" spans="1:21" s="2" customFormat="1">
      <c r="A14" s="52" t="s">
        <v>32</v>
      </c>
      <c r="B14" s="1">
        <v>7106</v>
      </c>
      <c r="C14" s="34">
        <v>645936</v>
      </c>
      <c r="D14" s="34">
        <v>0</v>
      </c>
      <c r="E14" s="34">
        <v>0</v>
      </c>
      <c r="F14" s="33">
        <f>0.7196*0.65097</f>
        <v>0.46843801200000007</v>
      </c>
      <c r="G14" s="34">
        <f t="shared" si="4"/>
        <v>0</v>
      </c>
      <c r="H14" s="33">
        <v>0</v>
      </c>
      <c r="I14" s="18">
        <f t="shared" si="5"/>
        <v>0</v>
      </c>
      <c r="J14" s="20">
        <v>6.0699999999999997E-2</v>
      </c>
      <c r="K14" s="15"/>
      <c r="L14" s="16">
        <f t="shared" si="6"/>
        <v>0</v>
      </c>
      <c r="M14" s="11">
        <v>0</v>
      </c>
      <c r="N14" s="11">
        <f t="shared" si="7"/>
        <v>0</v>
      </c>
      <c r="O14" s="11">
        <f t="shared" si="8"/>
        <v>0</v>
      </c>
      <c r="P14" s="11">
        <f>ROUND(I14*$P$3,0)</f>
        <v>0</v>
      </c>
      <c r="Q14" s="11">
        <f>ROUND(I14*$Q$3,0)</f>
        <v>0</v>
      </c>
      <c r="R14" s="11">
        <f>ROUND(I14*$R$3,0)</f>
        <v>0</v>
      </c>
      <c r="S14" s="11">
        <v>0</v>
      </c>
      <c r="T14" s="11">
        <f t="shared" si="9"/>
        <v>0</v>
      </c>
      <c r="U14" s="11">
        <f t="shared" si="10"/>
        <v>0</v>
      </c>
    </row>
    <row r="15" spans="1:21" s="2" customFormat="1" ht="13.5" thickBot="1">
      <c r="C15" s="3">
        <f>SUM(C6:C14)</f>
        <v>10038462</v>
      </c>
      <c r="D15" s="3">
        <f>SUM(D6:D14)</f>
        <v>890997</v>
      </c>
      <c r="E15" s="3">
        <f>SUM(E6:E14)</f>
        <v>9474740</v>
      </c>
      <c r="G15" s="7">
        <f>SUM(G6:G14)</f>
        <v>8492786.6026915759</v>
      </c>
      <c r="I15" s="19">
        <f>SUM(I6:I14)</f>
        <v>7168460.6816149456</v>
      </c>
      <c r="J15" s="29"/>
      <c r="L15" s="7">
        <f t="shared" ref="L15:U15" si="11">SUM(L6:L14)</f>
        <v>217029</v>
      </c>
      <c r="M15" s="7">
        <f t="shared" si="11"/>
        <v>0</v>
      </c>
      <c r="N15" s="7">
        <f t="shared" si="11"/>
        <v>163936</v>
      </c>
      <c r="O15" s="7">
        <f t="shared" si="11"/>
        <v>380965</v>
      </c>
      <c r="P15" s="7">
        <f t="shared" si="11"/>
        <v>0</v>
      </c>
      <c r="Q15" s="7">
        <f t="shared" si="11"/>
        <v>323490</v>
      </c>
      <c r="R15" s="7">
        <f t="shared" si="11"/>
        <v>607163</v>
      </c>
      <c r="S15" s="7">
        <f t="shared" si="11"/>
        <v>0</v>
      </c>
      <c r="T15" s="7">
        <f t="shared" si="11"/>
        <v>-75242</v>
      </c>
      <c r="U15" s="7">
        <f t="shared" si="11"/>
        <v>-211789</v>
      </c>
    </row>
    <row r="16" spans="1:21" s="2" customFormat="1">
      <c r="J16" s="29"/>
    </row>
    <row r="18" spans="1:21">
      <c r="A18" t="s">
        <v>28</v>
      </c>
      <c r="I18" s="24">
        <f>SUM(I6:I11)</f>
        <v>6649253.9199999999</v>
      </c>
      <c r="J18" s="24"/>
      <c r="K18" s="24"/>
      <c r="L18" s="24">
        <f t="shared" ref="L18:U18" si="12">SUM(L6:L11)</f>
        <v>185513</v>
      </c>
      <c r="M18" s="24">
        <f t="shared" si="12"/>
        <v>0</v>
      </c>
      <c r="N18" s="24">
        <f t="shared" si="12"/>
        <v>146865</v>
      </c>
      <c r="O18" s="24">
        <f t="shared" si="12"/>
        <v>332378</v>
      </c>
      <c r="P18" s="24">
        <f t="shared" si="12"/>
        <v>0</v>
      </c>
      <c r="Q18" s="24">
        <f t="shared" si="12"/>
        <v>249347</v>
      </c>
      <c r="R18" s="24">
        <f t="shared" si="12"/>
        <v>480009</v>
      </c>
      <c r="S18" s="24">
        <f t="shared" si="12"/>
        <v>0</v>
      </c>
      <c r="T18" s="24">
        <f t="shared" si="12"/>
        <v>-54807</v>
      </c>
      <c r="U18" s="24">
        <f t="shared" si="12"/>
        <v>-157881</v>
      </c>
    </row>
    <row r="19" spans="1:21">
      <c r="A19" t="s">
        <v>42</v>
      </c>
      <c r="I19" s="24">
        <f>SUM(I12:I14)</f>
        <v>519206.76161494566</v>
      </c>
      <c r="J19" s="24"/>
      <c r="K19" s="24"/>
      <c r="L19" s="24">
        <f t="shared" ref="L19:U19" si="13">SUM(L12:L14)</f>
        <v>31516</v>
      </c>
      <c r="M19" s="24">
        <f t="shared" si="13"/>
        <v>0</v>
      </c>
      <c r="N19" s="24">
        <f t="shared" si="13"/>
        <v>17071</v>
      </c>
      <c r="O19" s="24">
        <f t="shared" si="13"/>
        <v>48587</v>
      </c>
      <c r="P19" s="24">
        <f t="shared" si="13"/>
        <v>0</v>
      </c>
      <c r="Q19" s="24">
        <f t="shared" si="13"/>
        <v>74143</v>
      </c>
      <c r="R19" s="24">
        <f t="shared" si="13"/>
        <v>127154</v>
      </c>
      <c r="S19" s="24">
        <f t="shared" si="13"/>
        <v>0</v>
      </c>
      <c r="T19" s="24">
        <f t="shared" si="13"/>
        <v>-20435</v>
      </c>
      <c r="U19" s="24">
        <f t="shared" si="13"/>
        <v>-53908</v>
      </c>
    </row>
    <row r="20" spans="1:21" ht="13.5" thickBot="1">
      <c r="I20" s="3">
        <f>SUM(I18:I19)</f>
        <v>7168460.6816149456</v>
      </c>
      <c r="J20" s="17"/>
      <c r="K20" s="17"/>
      <c r="L20" s="3">
        <f t="shared" ref="L20:U20" si="14">SUM(L18:L19)</f>
        <v>217029</v>
      </c>
      <c r="M20" s="3">
        <f t="shared" si="14"/>
        <v>0</v>
      </c>
      <c r="N20" s="3">
        <f t="shared" si="14"/>
        <v>163936</v>
      </c>
      <c r="O20" s="3">
        <f t="shared" si="14"/>
        <v>380965</v>
      </c>
      <c r="P20" s="3">
        <f t="shared" si="14"/>
        <v>0</v>
      </c>
      <c r="Q20" s="3">
        <f t="shared" si="14"/>
        <v>323490</v>
      </c>
      <c r="R20" s="3">
        <f t="shared" si="14"/>
        <v>607163</v>
      </c>
      <c r="S20" s="3">
        <f t="shared" si="14"/>
        <v>0</v>
      </c>
      <c r="T20" s="3">
        <f t="shared" si="14"/>
        <v>-75242</v>
      </c>
      <c r="U20" s="3">
        <f t="shared" si="14"/>
        <v>-211789</v>
      </c>
    </row>
  </sheetData>
  <phoneticPr fontId="0" type="noConversion"/>
  <pageMargins left="0.75" right="0.75" top="1.5" bottom="1" header="0.5" footer="0.5"/>
  <pageSetup scale="61" orientation="landscape" r:id="rId1"/>
  <headerFooter alignWithMargins="0">
    <oddHeader>&amp;C
&amp;"Arial,Bold"&amp;12Avista Utilities&amp;"Arial,Regular"&amp;10
Electric Plant - Proposed by Avista
October 1, 2008 through July 31, 2009&amp;RExhibit No. ___(DBD-9)</oddHeader>
    <oddFooter>&amp;RPage 3 of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BreakPreview" zoomScale="60" zoomScaleNormal="100" workbookViewId="0">
      <selection activeCell="A26" sqref="A26"/>
    </sheetView>
  </sheetViews>
  <sheetFormatPr defaultRowHeight="12.75"/>
  <cols>
    <col min="1" max="1" width="30.85546875" bestFit="1" customWidth="1"/>
    <col min="2" max="2" width="6.28515625" bestFit="1" customWidth="1"/>
    <col min="3" max="3" width="12.7109375" bestFit="1" customWidth="1"/>
    <col min="4" max="4" width="6.28515625" bestFit="1" customWidth="1"/>
    <col min="5" max="5" width="12.28515625" bestFit="1" customWidth="1"/>
    <col min="6" max="6" width="10" bestFit="1" customWidth="1"/>
    <col min="7" max="7" width="12.28515625" bestFit="1" customWidth="1"/>
    <col min="8" max="8" width="6.7109375" style="21" bestFit="1" customWidth="1"/>
    <col min="9" max="9" width="8.42578125" bestFit="1" customWidth="1"/>
    <col min="10" max="10" width="10.85546875" customWidth="1"/>
    <col min="11" max="11" width="9.5703125" bestFit="1" customWidth="1"/>
    <col min="12" max="12" width="10.7109375" bestFit="1" customWidth="1"/>
    <col min="13" max="13" width="11.5703125" bestFit="1" customWidth="1"/>
    <col min="14" max="14" width="10.28515625" customWidth="1"/>
    <col min="15" max="15" width="10.5703125" bestFit="1" customWidth="1"/>
    <col min="16" max="16" width="11" customWidth="1"/>
    <col min="17" max="17" width="10.5703125" bestFit="1" customWidth="1"/>
    <col min="18" max="19" width="11.28515625" bestFit="1" customWidth="1"/>
  </cols>
  <sheetData>
    <row r="1" spans="1:19" s="43" customFormat="1" ht="24.75">
      <c r="A1" s="42" t="s">
        <v>9</v>
      </c>
      <c r="B1" s="42"/>
      <c r="C1" s="42"/>
      <c r="D1" s="42"/>
      <c r="E1" s="42"/>
      <c r="F1" s="42"/>
      <c r="H1" s="44"/>
      <c r="J1" s="45"/>
      <c r="N1" s="46" t="s">
        <v>7</v>
      </c>
      <c r="O1" s="46" t="s">
        <v>8</v>
      </c>
      <c r="P1" s="46" t="s">
        <v>21</v>
      </c>
      <c r="Q1" s="47"/>
    </row>
    <row r="2" spans="1:19" s="2" customFormat="1" ht="15.75">
      <c r="A2" s="10" t="s">
        <v>24</v>
      </c>
      <c r="B2" s="10"/>
      <c r="C2" s="10"/>
      <c r="D2" s="10"/>
      <c r="E2" s="10"/>
      <c r="F2" s="10"/>
      <c r="H2" s="20"/>
      <c r="J2" s="12" t="s">
        <v>37</v>
      </c>
      <c r="N2" s="28">
        <v>3.7499999999999999E-2</v>
      </c>
      <c r="O2" s="28">
        <v>7.2190000000000004E-2</v>
      </c>
      <c r="P2" s="28">
        <v>6.6769999999999996E-2</v>
      </c>
      <c r="Q2" s="13"/>
    </row>
    <row r="3" spans="1:19" s="2" customFormat="1">
      <c r="A3" s="14" t="s">
        <v>70</v>
      </c>
      <c r="B3" s="14"/>
      <c r="C3" s="14"/>
      <c r="D3" s="14"/>
      <c r="E3" s="14"/>
      <c r="F3" s="14"/>
      <c r="H3" s="20"/>
      <c r="J3" s="12" t="s">
        <v>38</v>
      </c>
      <c r="N3" s="13">
        <v>0.14280000000000001</v>
      </c>
      <c r="O3" s="13">
        <v>0.24490000000000001</v>
      </c>
      <c r="P3" s="13">
        <v>0.17493</v>
      </c>
      <c r="Q3" s="13"/>
    </row>
    <row r="4" spans="1:19" s="2" customFormat="1">
      <c r="H4" s="20"/>
    </row>
    <row r="5" spans="1:19" s="6" customFormat="1" ht="51">
      <c r="A5" s="8" t="s">
        <v>18</v>
      </c>
      <c r="B5" s="8" t="s">
        <v>29</v>
      </c>
      <c r="C5" s="8" t="s">
        <v>36</v>
      </c>
      <c r="D5" s="8" t="s">
        <v>33</v>
      </c>
      <c r="E5" s="8" t="s">
        <v>35</v>
      </c>
      <c r="F5" s="8" t="s">
        <v>34</v>
      </c>
      <c r="G5" s="8" t="s">
        <v>19</v>
      </c>
      <c r="H5" s="9" t="s">
        <v>1</v>
      </c>
      <c r="I5" s="5" t="s">
        <v>2</v>
      </c>
      <c r="J5" s="4" t="s">
        <v>67</v>
      </c>
      <c r="K5" s="5" t="s">
        <v>20</v>
      </c>
      <c r="L5" s="5" t="s">
        <v>3</v>
      </c>
      <c r="M5" s="5" t="s">
        <v>4</v>
      </c>
      <c r="N5" s="5" t="s">
        <v>64</v>
      </c>
      <c r="O5" s="5" t="s">
        <v>65</v>
      </c>
      <c r="P5" s="5" t="s">
        <v>66</v>
      </c>
      <c r="Q5" s="5" t="s">
        <v>22</v>
      </c>
      <c r="R5" s="5" t="s">
        <v>5</v>
      </c>
      <c r="S5" s="5" t="s">
        <v>6</v>
      </c>
    </row>
    <row r="6" spans="1:19" s="2" customFormat="1">
      <c r="A6" s="40" t="s">
        <v>53</v>
      </c>
      <c r="B6" s="1">
        <v>2054</v>
      </c>
      <c r="C6" s="34">
        <f ca="1">'2008 Q4'!C6+'2009 '!E6</f>
        <v>2008956</v>
      </c>
      <c r="D6" s="33">
        <v>1</v>
      </c>
      <c r="E6" s="34">
        <f>C6*D6</f>
        <v>2008956</v>
      </c>
      <c r="F6" s="33">
        <v>0.06</v>
      </c>
      <c r="G6" s="18">
        <f>E6*(1-F6)</f>
        <v>1888418.64</v>
      </c>
      <c r="H6" s="20">
        <v>2.7900000000000001E-2</v>
      </c>
      <c r="I6" s="31"/>
      <c r="J6" s="34">
        <f ca="1">'2008 Q4'!J6+'2009 '!L6</f>
        <v>52687</v>
      </c>
      <c r="K6" s="34">
        <f ca="1">'2008 Q4'!K6+'2009 '!M6</f>
        <v>2322</v>
      </c>
      <c r="L6" s="34">
        <f ca="1">'2008 Q4'!L6+'2009 '!N6</f>
        <v>47903</v>
      </c>
      <c r="M6" s="34">
        <f ca="1">'2008 Q4'!M6+'2009 '!O6</f>
        <v>100590</v>
      </c>
      <c r="N6" s="34">
        <f ca="1">'2008 Q4'!N6+'2009 '!P6</f>
        <v>24966</v>
      </c>
      <c r="O6" s="34">
        <f ca="1">'2008 Q4'!O6+'2009 '!Q6</f>
        <v>93911</v>
      </c>
      <c r="P6" s="34">
        <f ca="1">'2008 Q4'!P6+'2009 '!R6</f>
        <v>132716</v>
      </c>
      <c r="Q6" s="34">
        <f ca="1">'2008 Q4'!Q6+'2009 '!S6</f>
        <v>-5487</v>
      </c>
      <c r="R6" s="34">
        <f ca="1">'2008 Q4'!R6+'2009 '!T6</f>
        <v>-25885</v>
      </c>
      <c r="S6" s="34">
        <f ca="1">'2008 Q4'!S6+'2009 '!U6</f>
        <v>-53895</v>
      </c>
    </row>
    <row r="7" spans="1:19" s="2" customFormat="1">
      <c r="A7" s="40" t="s">
        <v>54</v>
      </c>
      <c r="B7" s="1">
        <v>2055</v>
      </c>
      <c r="C7" s="34">
        <f ca="1">'2008 Q4'!C7+'2009 '!E7</f>
        <v>4410819</v>
      </c>
      <c r="D7" s="33">
        <v>1</v>
      </c>
      <c r="E7" s="34">
        <f t="shared" ref="E7:E14" si="0">C7*D7</f>
        <v>4410819</v>
      </c>
      <c r="F7" s="33">
        <v>0.15</v>
      </c>
      <c r="G7" s="18">
        <f t="shared" ref="G7:G14" si="1">E7*(1-F7)</f>
        <v>3749196.15</v>
      </c>
      <c r="H7" s="20">
        <v>2.7900000000000001E-2</v>
      </c>
      <c r="I7" s="31"/>
      <c r="J7" s="34">
        <f ca="1">'2008 Q4'!J7+'2009 '!L7</f>
        <v>104602</v>
      </c>
      <c r="K7" s="34">
        <f ca="1">'2008 Q4'!K7+'2009 '!M7</f>
        <v>4793</v>
      </c>
      <c r="L7" s="34">
        <f ca="1">'2008 Q4'!L7+'2009 '!N7</f>
        <v>95591</v>
      </c>
      <c r="M7" s="34">
        <f ca="1">'2008 Q4'!M7+'2009 '!O7</f>
        <v>200193</v>
      </c>
      <c r="N7" s="34">
        <f ca="1">'2008 Q4'!N7+'2009 '!P7</f>
        <v>51538</v>
      </c>
      <c r="O7" s="34">
        <f ca="1">'2008 Q4'!O7+'2009 '!Q7</f>
        <v>188271</v>
      </c>
      <c r="P7" s="34">
        <f ca="1">'2008 Q4'!P7+'2009 '!R7</f>
        <v>263205</v>
      </c>
      <c r="Q7" s="34">
        <f ca="1">'2008 Q4'!Q7+'2009 '!S7</f>
        <v>-11328</v>
      </c>
      <c r="R7" s="34">
        <f ca="1">'2008 Q4'!R7+'2009 '!T7</f>
        <v>-52208</v>
      </c>
      <c r="S7" s="34">
        <f ca="1">'2008 Q4'!S7+'2009 '!U7</f>
        <v>-107719</v>
      </c>
    </row>
    <row r="8" spans="1:19" s="2" customFormat="1">
      <c r="A8" s="40" t="s">
        <v>55</v>
      </c>
      <c r="B8" s="1">
        <v>2059</v>
      </c>
      <c r="C8" s="34">
        <f ca="1">'2008 Q4'!C8+'2009 '!E8</f>
        <v>2348612</v>
      </c>
      <c r="D8" s="33">
        <v>1</v>
      </c>
      <c r="E8" s="34">
        <f t="shared" si="0"/>
        <v>2348612</v>
      </c>
      <c r="F8" s="33">
        <v>0.05</v>
      </c>
      <c r="G8" s="18">
        <f t="shared" si="1"/>
        <v>2231181.4</v>
      </c>
      <c r="H8" s="20">
        <v>2.7900000000000001E-2</v>
      </c>
      <c r="I8" s="31"/>
      <c r="J8" s="34">
        <f ca="1">'2008 Q4'!J8+'2009 '!L8</f>
        <v>62250</v>
      </c>
      <c r="K8" s="34">
        <f ca="1">'2008 Q4'!K8+'2009 '!M8</f>
        <v>1119</v>
      </c>
      <c r="L8" s="34">
        <f ca="1">'2008 Q4'!L8+'2009 '!N8</f>
        <v>52266</v>
      </c>
      <c r="M8" s="34">
        <f ca="1">'2008 Q4'!M8+'2009 '!O8</f>
        <v>114516</v>
      </c>
      <c r="N8" s="34">
        <f ca="1">'2008 Q4'!N8+'2009 '!P8</f>
        <v>12037</v>
      </c>
      <c r="O8" s="34">
        <f ca="1">'2008 Q4'!O8+'2009 '!Q8</f>
        <v>94805</v>
      </c>
      <c r="P8" s="34">
        <f ca="1">'2008 Q4'!P8+'2009 '!R8</f>
        <v>159329</v>
      </c>
      <c r="Q8" s="34">
        <f ca="1">'2008 Q4'!Q8+'2009 '!S8</f>
        <v>-2646</v>
      </c>
      <c r="R8" s="34">
        <f ca="1">'2008 Q4'!R8+'2009 '!T8</f>
        <v>-23367</v>
      </c>
      <c r="S8" s="34">
        <f ca="1">'2008 Q4'!S8+'2009 '!U8</f>
        <v>-57345</v>
      </c>
    </row>
    <row r="9" spans="1:19" s="2" customFormat="1">
      <c r="A9" t="s">
        <v>56</v>
      </c>
      <c r="B9" s="1">
        <v>2264</v>
      </c>
      <c r="C9" s="34">
        <f ca="1">'2008 Q4'!C9+'2009 '!E9</f>
        <v>1522077</v>
      </c>
      <c r="D9" s="33">
        <v>1</v>
      </c>
      <c r="E9" s="34">
        <f t="shared" si="0"/>
        <v>1522077</v>
      </c>
      <c r="F9" s="33">
        <v>0.25</v>
      </c>
      <c r="G9" s="18">
        <f t="shared" si="1"/>
        <v>1141557.75</v>
      </c>
      <c r="H9" s="20">
        <v>2.7900000000000001E-2</v>
      </c>
      <c r="I9" s="31"/>
      <c r="J9" s="34">
        <f ca="1">'2008 Q4'!J9+'2009 '!L9</f>
        <v>31849</v>
      </c>
      <c r="K9" s="34">
        <f ca="1">'2008 Q4'!K9+'2009 '!M9</f>
        <v>0</v>
      </c>
      <c r="L9" s="34">
        <f ca="1">'2008 Q4'!L9+'2009 '!N9</f>
        <v>25214</v>
      </c>
      <c r="M9" s="34">
        <f ca="1">'2008 Q4'!M9+'2009 '!O9</f>
        <v>57063</v>
      </c>
      <c r="N9" s="34">
        <f ca="1">'2008 Q4'!N9+'2009 '!P9</f>
        <v>0</v>
      </c>
      <c r="O9" s="34">
        <f ca="1">'2008 Q4'!O9+'2009 '!Q9</f>
        <v>42808</v>
      </c>
      <c r="P9" s="34">
        <f ca="1">'2008 Q4'!P9+'2009 '!R9</f>
        <v>82409</v>
      </c>
      <c r="Q9" s="34">
        <f ca="1">'2008 Q4'!Q9+'2009 '!S9</f>
        <v>0</v>
      </c>
      <c r="R9" s="34">
        <f ca="1">'2008 Q4'!R9+'2009 '!T9</f>
        <v>-9409</v>
      </c>
      <c r="S9" s="34">
        <f ca="1">'2008 Q4'!S9+'2009 '!U9</f>
        <v>-27105</v>
      </c>
    </row>
    <row r="10" spans="1:19" s="2" customFormat="1">
      <c r="A10" s="41" t="s">
        <v>57</v>
      </c>
      <c r="B10" s="1">
        <v>2391</v>
      </c>
      <c r="C10" s="34">
        <f ca="1">'2008 Q4'!C10+'2009 '!E10</f>
        <v>1671201</v>
      </c>
      <c r="D10" s="33">
        <v>1</v>
      </c>
      <c r="E10" s="34">
        <f t="shared" si="0"/>
        <v>1671201</v>
      </c>
      <c r="F10" s="33">
        <v>0</v>
      </c>
      <c r="G10" s="18">
        <f t="shared" si="1"/>
        <v>1671201</v>
      </c>
      <c r="H10" s="20">
        <v>2.7900000000000001E-2</v>
      </c>
      <c r="I10" s="31"/>
      <c r="J10" s="34">
        <f ca="1">'2008 Q4'!J10+'2009 '!L10</f>
        <v>46627</v>
      </c>
      <c r="K10" s="34">
        <f ca="1">'2008 Q4'!K10+'2009 '!M10</f>
        <v>9714</v>
      </c>
      <c r="L10" s="34">
        <f ca="1">'2008 Q4'!L10+'2009 '!N10</f>
        <v>56341</v>
      </c>
      <c r="M10" s="34">
        <f ca="1">'2008 Q4'!M10+'2009 '!O10</f>
        <v>102968</v>
      </c>
      <c r="N10" s="34">
        <f ca="1">'2008 Q4'!N10+'2009 '!P10</f>
        <v>62670</v>
      </c>
      <c r="O10" s="34">
        <f ca="1">'2008 Q4'!O10+'2009 '!Q10</f>
        <v>120644</v>
      </c>
      <c r="P10" s="34">
        <f ca="1">'2008 Q4'!P10+'2009 '!R10</f>
        <v>111586</v>
      </c>
      <c r="Q10" s="34">
        <f ca="1">'2008 Q4'!Q10+'2009 '!S10</f>
        <v>-13775</v>
      </c>
      <c r="R10" s="34">
        <f ca="1">'2008 Q4'!R10+'2009 '!T10</f>
        <v>-39681</v>
      </c>
      <c r="S10" s="34">
        <f ca="1">'2008 Q4'!S10+'2009 '!U10</f>
        <v>-62417</v>
      </c>
    </row>
    <row r="11" spans="1:19" s="2" customFormat="1">
      <c r="A11" t="s">
        <v>58</v>
      </c>
      <c r="B11" s="1">
        <v>2435</v>
      </c>
      <c r="C11" s="34">
        <f ca="1">'2008 Q4'!C11+'2009 '!E11</f>
        <v>583439</v>
      </c>
      <c r="D11" s="33">
        <v>1</v>
      </c>
      <c r="E11" s="34">
        <f t="shared" si="0"/>
        <v>583439</v>
      </c>
      <c r="F11" s="33">
        <v>0.1</v>
      </c>
      <c r="G11" s="18">
        <f t="shared" si="1"/>
        <v>525095.1</v>
      </c>
      <c r="H11" s="20">
        <v>2.7900000000000001E-2</v>
      </c>
      <c r="I11" s="31"/>
      <c r="J11" s="34">
        <f ca="1">'2008 Q4'!J11+'2009 '!L11</f>
        <v>14650</v>
      </c>
      <c r="K11" s="34">
        <f ca="1">'2008 Q4'!K11+'2009 '!M11</f>
        <v>1831</v>
      </c>
      <c r="L11" s="34">
        <f ca="1">'2008 Q4'!L11+'2009 '!N11</f>
        <v>16481</v>
      </c>
      <c r="M11" s="34">
        <f ca="1">'2008 Q4'!M11+'2009 '!O11</f>
        <v>31131</v>
      </c>
      <c r="N11" s="34">
        <f ca="1">'2008 Q4'!N11+'2009 '!P11</f>
        <v>19691</v>
      </c>
      <c r="O11" s="34">
        <f ca="1">'2008 Q4'!O11+'2009 '!Q11</f>
        <v>37907</v>
      </c>
      <c r="P11" s="34">
        <f ca="1">'2008 Q4'!P11+'2009 '!R11</f>
        <v>35061</v>
      </c>
      <c r="Q11" s="34">
        <f ca="1">'2008 Q4'!Q11+'2009 '!S11</f>
        <v>-4328</v>
      </c>
      <c r="R11" s="34">
        <f ca="1">'2008 Q4'!R11+'2009 '!T11</f>
        <v>-12468</v>
      </c>
      <c r="S11" s="34">
        <f ca="1">'2008 Q4'!S11+'2009 '!U11</f>
        <v>-19612</v>
      </c>
    </row>
    <row r="12" spans="1:19" s="2" customFormat="1">
      <c r="A12" t="s">
        <v>31</v>
      </c>
      <c r="B12" s="1">
        <v>5118</v>
      </c>
      <c r="C12" s="34">
        <f ca="1">'2008 Q4'!C12+'2009 '!E12</f>
        <v>1847298</v>
      </c>
      <c r="D12" s="33">
        <f>0.7196*0.65097</f>
        <v>0.46843801200000007</v>
      </c>
      <c r="E12" s="34">
        <f t="shared" si="0"/>
        <v>865344.60269157612</v>
      </c>
      <c r="F12" s="33">
        <v>0.4</v>
      </c>
      <c r="G12" s="18">
        <f t="shared" si="1"/>
        <v>519206.76161494566</v>
      </c>
      <c r="H12" s="20">
        <v>6.0699999999999997E-2</v>
      </c>
      <c r="I12" s="31"/>
      <c r="J12" s="34">
        <f ca="1">'2008 Q4'!J12+'2009 '!L12</f>
        <v>31516</v>
      </c>
      <c r="K12" s="34">
        <f ca="1">'2008 Q4'!K12+'2009 '!M12</f>
        <v>0</v>
      </c>
      <c r="L12" s="34">
        <f ca="1">'2008 Q4'!L12+'2009 '!N12</f>
        <v>17071</v>
      </c>
      <c r="M12" s="34">
        <f ca="1">'2008 Q4'!M12+'2009 '!O12</f>
        <v>48587</v>
      </c>
      <c r="N12" s="34">
        <f ca="1">'2008 Q4'!N12+'2009 '!P12</f>
        <v>0</v>
      </c>
      <c r="O12" s="34">
        <f ca="1">'2008 Q4'!O12+'2009 '!Q12</f>
        <v>74143</v>
      </c>
      <c r="P12" s="34">
        <f ca="1">'2008 Q4'!P12+'2009 '!R12</f>
        <v>127154</v>
      </c>
      <c r="Q12" s="34">
        <f ca="1">'2008 Q4'!Q12+'2009 '!S12</f>
        <v>0</v>
      </c>
      <c r="R12" s="34">
        <f ca="1">'2008 Q4'!R12+'2009 '!T12</f>
        <v>-20435</v>
      </c>
      <c r="S12" s="34">
        <f ca="1">'2008 Q4'!S12+'2009 '!U12</f>
        <v>-53908</v>
      </c>
    </row>
    <row r="13" spans="1:19" s="2" customFormat="1">
      <c r="A13" t="s">
        <v>30</v>
      </c>
      <c r="B13" s="1">
        <v>7101</v>
      </c>
      <c r="C13" s="34">
        <f ca="1">'2008 Q4'!C13+'2009 '!E13</f>
        <v>3918002</v>
      </c>
      <c r="D13" s="33">
        <f>0.7196*0.65097</f>
        <v>0.46843801200000007</v>
      </c>
      <c r="E13" s="34">
        <f t="shared" si="0"/>
        <v>1835341.0678920243</v>
      </c>
      <c r="F13" s="33">
        <v>0.2</v>
      </c>
      <c r="G13" s="18">
        <f t="shared" si="1"/>
        <v>1468272.8543136194</v>
      </c>
      <c r="H13" s="20">
        <v>6.0699999999999997E-2</v>
      </c>
      <c r="I13" s="31"/>
      <c r="J13" s="34">
        <f ca="1">'2008 Q4'!J13+'2009 '!L13</f>
        <v>89124</v>
      </c>
      <c r="K13" s="34">
        <f ca="1">'2008 Q4'!K13+'2009 '!M13</f>
        <v>3714</v>
      </c>
      <c r="L13" s="34">
        <f ca="1">'2008 Q4'!L13+'2009 '!N13</f>
        <v>92838</v>
      </c>
      <c r="M13" s="34">
        <f ca="1">'2008 Q4'!M13+'2009 '!O13</f>
        <v>181962</v>
      </c>
      <c r="N13" s="34">
        <f ca="1">'2008 Q4'!N13+'2009 '!P13</f>
        <v>209669</v>
      </c>
      <c r="O13" s="34">
        <f ca="1">'2008 Q4'!O13+'2009 '!Q13</f>
        <v>359580</v>
      </c>
      <c r="P13" s="34">
        <f ca="1">'2008 Q4'!P13+'2009 '!R13</f>
        <v>256845</v>
      </c>
      <c r="Q13" s="34">
        <f ca="1">'2008 Q4'!Q13+'2009 '!S13</f>
        <v>-57787</v>
      </c>
      <c r="R13" s="34">
        <f ca="1">'2008 Q4'!R13+'2009 '!T13</f>
        <v>-152447</v>
      </c>
      <c r="S13" s="34">
        <f ca="1">'2008 Q4'!S13+'2009 '!U13</f>
        <v>-211149</v>
      </c>
    </row>
    <row r="14" spans="1:19" s="2" customFormat="1">
      <c r="A14" t="s">
        <v>32</v>
      </c>
      <c r="B14" s="1">
        <v>7106</v>
      </c>
      <c r="C14" s="34">
        <f ca="1">'2008 Q4'!C14+'2009 '!E14</f>
        <v>3034919</v>
      </c>
      <c r="D14" s="33">
        <f>0.7196*0.65097</f>
        <v>0.46843801200000007</v>
      </c>
      <c r="E14" s="34">
        <f t="shared" si="0"/>
        <v>1421671.4229410281</v>
      </c>
      <c r="F14" s="33">
        <v>0</v>
      </c>
      <c r="G14" s="18">
        <f t="shared" si="1"/>
        <v>1421671.4229410281</v>
      </c>
      <c r="H14" s="20">
        <v>6.0699999999999997E-2</v>
      </c>
      <c r="I14" s="31"/>
      <c r="J14" s="34">
        <f ca="1">'2008 Q4'!J14+'2009 '!L14</f>
        <v>86295</v>
      </c>
      <c r="K14" s="34">
        <f ca="1">'2008 Q4'!K14+'2009 '!M14</f>
        <v>10787</v>
      </c>
      <c r="L14" s="34">
        <f ca="1">'2008 Q4'!L14+'2009 '!N14</f>
        <v>97082</v>
      </c>
      <c r="M14" s="34">
        <f ca="1">'2008 Q4'!M14+'2009 '!O14</f>
        <v>183377</v>
      </c>
      <c r="N14" s="34">
        <f ca="1">'2008 Q4'!N14+'2009 '!P14</f>
        <v>203015</v>
      </c>
      <c r="O14" s="34">
        <f ca="1">'2008 Q4'!O14+'2009 '!Q14</f>
        <v>348167</v>
      </c>
      <c r="P14" s="34">
        <f ca="1">'2008 Q4'!P14+'2009 '!R14</f>
        <v>248693</v>
      </c>
      <c r="Q14" s="34">
        <f ca="1">'2008 Q4'!Q14+'2009 '!S14</f>
        <v>-55954</v>
      </c>
      <c r="R14" s="34">
        <f ca="1">'2008 Q4'!R14+'2009 '!T14</f>
        <v>-147609</v>
      </c>
      <c r="S14" s="34">
        <f ca="1">'2008 Q4'!S14+'2009 '!U14</f>
        <v>-204448</v>
      </c>
    </row>
    <row r="15" spans="1:19" s="2" customFormat="1" ht="13.5" thickBot="1">
      <c r="C15" s="7">
        <f>SUM(C6:C14)</f>
        <v>21345323</v>
      </c>
      <c r="E15" s="7">
        <f>SUM(E6:E14)</f>
        <v>16667461.093524627</v>
      </c>
      <c r="G15" s="19">
        <f>SUM(G6:G14)</f>
        <v>14615801.078869592</v>
      </c>
      <c r="H15" s="20"/>
      <c r="J15" s="7">
        <f t="shared" ref="J15:S15" si="2">SUM(J6:J14)</f>
        <v>519600</v>
      </c>
      <c r="K15" s="7">
        <f t="shared" si="2"/>
        <v>34280</v>
      </c>
      <c r="L15" s="7">
        <f t="shared" si="2"/>
        <v>500787</v>
      </c>
      <c r="M15" s="7">
        <f t="shared" si="2"/>
        <v>1020387</v>
      </c>
      <c r="N15" s="7">
        <f t="shared" si="2"/>
        <v>583586</v>
      </c>
      <c r="O15" s="7">
        <f t="shared" si="2"/>
        <v>1360236</v>
      </c>
      <c r="P15" s="7">
        <f t="shared" si="2"/>
        <v>1416998</v>
      </c>
      <c r="Q15" s="7">
        <f t="shared" si="2"/>
        <v>-151305</v>
      </c>
      <c r="R15" s="7">
        <f t="shared" si="2"/>
        <v>-483509</v>
      </c>
      <c r="S15" s="7">
        <f t="shared" si="2"/>
        <v>-797598</v>
      </c>
    </row>
    <row r="16" spans="1:19" s="2" customFormat="1">
      <c r="H16" s="20"/>
    </row>
    <row r="18" spans="1:19">
      <c r="A18" t="s">
        <v>28</v>
      </c>
      <c r="G18" s="24">
        <f>SUM(G6:G11)</f>
        <v>11206650.039999999</v>
      </c>
      <c r="H18" s="17"/>
      <c r="I18" s="17"/>
      <c r="J18" s="24">
        <f t="shared" ref="J18:S18" si="3">SUM(J6:J11)</f>
        <v>312665</v>
      </c>
      <c r="K18" s="24">
        <f t="shared" si="3"/>
        <v>19779</v>
      </c>
      <c r="L18" s="24">
        <f t="shared" si="3"/>
        <v>293796</v>
      </c>
      <c r="M18" s="24">
        <f t="shared" si="3"/>
        <v>606461</v>
      </c>
      <c r="N18" s="24">
        <f t="shared" si="3"/>
        <v>170902</v>
      </c>
      <c r="O18" s="24">
        <f t="shared" si="3"/>
        <v>578346</v>
      </c>
      <c r="P18" s="24">
        <f t="shared" si="3"/>
        <v>784306</v>
      </c>
      <c r="Q18" s="24">
        <f t="shared" si="3"/>
        <v>-37564</v>
      </c>
      <c r="R18" s="24">
        <f t="shared" si="3"/>
        <v>-163018</v>
      </c>
      <c r="S18" s="24">
        <f t="shared" si="3"/>
        <v>-328093</v>
      </c>
    </row>
    <row r="19" spans="1:19">
      <c r="A19" t="s">
        <v>42</v>
      </c>
      <c r="G19" s="24">
        <f>SUM(G12:G14)</f>
        <v>3409151.0388695933</v>
      </c>
      <c r="H19" s="17"/>
      <c r="I19" s="17"/>
      <c r="J19" s="24">
        <f t="shared" ref="J19:S19" si="4">SUM(J12:J14)</f>
        <v>206935</v>
      </c>
      <c r="K19" s="24">
        <f t="shared" si="4"/>
        <v>14501</v>
      </c>
      <c r="L19" s="24">
        <f t="shared" si="4"/>
        <v>206991</v>
      </c>
      <c r="M19" s="24">
        <f t="shared" si="4"/>
        <v>413926</v>
      </c>
      <c r="N19" s="24">
        <f t="shared" si="4"/>
        <v>412684</v>
      </c>
      <c r="O19" s="24">
        <f t="shared" si="4"/>
        <v>781890</v>
      </c>
      <c r="P19" s="24">
        <f t="shared" si="4"/>
        <v>632692</v>
      </c>
      <c r="Q19" s="24">
        <f t="shared" si="4"/>
        <v>-113741</v>
      </c>
      <c r="R19" s="24">
        <f t="shared" si="4"/>
        <v>-320491</v>
      </c>
      <c r="S19" s="24">
        <f t="shared" si="4"/>
        <v>-469505</v>
      </c>
    </row>
    <row r="20" spans="1:19" ht="13.5" thickBot="1">
      <c r="G20" s="3">
        <f>SUM(G18:G19)</f>
        <v>14615801.078869592</v>
      </c>
      <c r="H20" s="17"/>
      <c r="I20" s="17"/>
      <c r="J20" s="3">
        <f t="shared" ref="J20:S20" si="5">SUM(J18:J19)</f>
        <v>519600</v>
      </c>
      <c r="K20" s="3">
        <f t="shared" si="5"/>
        <v>34280</v>
      </c>
      <c r="L20" s="3">
        <f t="shared" si="5"/>
        <v>500787</v>
      </c>
      <c r="M20" s="3">
        <f t="shared" si="5"/>
        <v>1020387</v>
      </c>
      <c r="N20" s="3">
        <f t="shared" si="5"/>
        <v>583586</v>
      </c>
      <c r="O20" s="3">
        <f t="shared" si="5"/>
        <v>1360236</v>
      </c>
      <c r="P20" s="3">
        <f t="shared" si="5"/>
        <v>1416998</v>
      </c>
      <c r="Q20" s="3">
        <f t="shared" si="5"/>
        <v>-151305</v>
      </c>
      <c r="R20" s="3">
        <f t="shared" si="5"/>
        <v>-483509</v>
      </c>
      <c r="S20" s="3">
        <f t="shared" si="5"/>
        <v>-797598</v>
      </c>
    </row>
  </sheetData>
  <phoneticPr fontId="7" type="noConversion"/>
  <pageMargins left="0" right="0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5"/>
  <sheetViews>
    <sheetView workbookViewId="0">
      <selection activeCell="B5" sqref="B5"/>
    </sheetView>
  </sheetViews>
  <sheetFormatPr defaultRowHeight="12.75"/>
  <cols>
    <col min="1" max="1" width="34.42578125" customWidth="1"/>
    <col min="2" max="2" width="13.42578125" bestFit="1" customWidth="1"/>
    <col min="3" max="3" width="11.5703125" customWidth="1"/>
  </cols>
  <sheetData>
    <row r="4" spans="1:3">
      <c r="A4" s="22"/>
      <c r="B4" s="22" t="s">
        <v>63</v>
      </c>
      <c r="C4" s="32" t="s">
        <v>59</v>
      </c>
    </row>
    <row r="6" spans="1:3">
      <c r="A6" t="s">
        <v>43</v>
      </c>
      <c r="B6" s="36">
        <v>95000</v>
      </c>
      <c r="C6" s="36">
        <f>C25</f>
        <v>117441.1</v>
      </c>
    </row>
    <row r="7" spans="1:3">
      <c r="A7" t="s">
        <v>44</v>
      </c>
      <c r="B7" s="38">
        <v>0.47</v>
      </c>
      <c r="C7" s="38">
        <v>0.47</v>
      </c>
    </row>
    <row r="8" spans="1:3" ht="13.5" thickBot="1">
      <c r="A8" t="s">
        <v>45</v>
      </c>
      <c r="B8" s="37">
        <f>B6*B7</f>
        <v>44650</v>
      </c>
      <c r="C8" s="37">
        <f>C6*C7</f>
        <v>55197.317000000003</v>
      </c>
    </row>
    <row r="9" spans="1:3">
      <c r="B9" s="36"/>
      <c r="C9" s="36"/>
    </row>
    <row r="10" spans="1:3">
      <c r="A10" t="s">
        <v>46</v>
      </c>
      <c r="B10" s="36"/>
      <c r="C10" s="36"/>
    </row>
    <row r="11" spans="1:3">
      <c r="A11" t="s">
        <v>47</v>
      </c>
      <c r="B11" s="36">
        <f ca="1">'2008 Q4'!J14</f>
        <v>86295</v>
      </c>
      <c r="C11" s="36">
        <v>0</v>
      </c>
    </row>
    <row r="12" spans="1:3">
      <c r="A12" t="s">
        <v>48</v>
      </c>
      <c r="B12" s="36">
        <f ca="1">'2009 '!L14</f>
        <v>0</v>
      </c>
      <c r="C12" s="36">
        <f ca="1">'2009 '!L12</f>
        <v>31516</v>
      </c>
    </row>
    <row r="13" spans="1:3">
      <c r="A13" t="s">
        <v>52</v>
      </c>
      <c r="B13" s="36">
        <f ca="1">('2008 Q4'!E14+'2009 '!G14)*0.015</f>
        <v>21325.071344115422</v>
      </c>
      <c r="C13" s="36">
        <f ca="1">('2009 '!G12)*0.015</f>
        <v>12980.169040373641</v>
      </c>
    </row>
    <row r="14" spans="1:3">
      <c r="A14" t="s">
        <v>49</v>
      </c>
      <c r="B14" s="36">
        <f ca="1">('2008 Q4'!E14+'2009 '!G14)*0.082</f>
        <v>116577.05668116431</v>
      </c>
      <c r="C14" s="36">
        <f ca="1">('2009 '!G12)*0.082</f>
        <v>70958.25742070924</v>
      </c>
    </row>
    <row r="15" spans="1:3" ht="13.5" thickBot="1">
      <c r="A15" t="s">
        <v>50</v>
      </c>
      <c r="B15" s="37">
        <f>SUM(B11:B14)</f>
        <v>224197.12802527973</v>
      </c>
      <c r="C15" s="37">
        <f>SUM(C11:C14)</f>
        <v>115454.42646108288</v>
      </c>
    </row>
    <row r="18" spans="1:3">
      <c r="A18" t="s">
        <v>51</v>
      </c>
      <c r="B18" s="39">
        <f>B8/B15</f>
        <v>0.19915509352539704</v>
      </c>
      <c r="C18" s="39">
        <f>C8/C15</f>
        <v>0.4780874903796416</v>
      </c>
    </row>
    <row r="23" spans="1:3">
      <c r="A23" t="s">
        <v>60</v>
      </c>
      <c r="C23" s="24">
        <v>2348822</v>
      </c>
    </row>
    <row r="24" spans="1:3">
      <c r="A24" t="s">
        <v>61</v>
      </c>
      <c r="C24" s="39">
        <v>0.05</v>
      </c>
    </row>
    <row r="25" spans="1:3">
      <c r="A25" t="s">
        <v>62</v>
      </c>
      <c r="C25" s="36">
        <f>C23*C24</f>
        <v>117441.1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2009-09-11T07:00:00+00:00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2471C8-EA05-4510-B429-88BB0F80F61A}"/>
</file>

<file path=customXml/itemProps2.xml><?xml version="1.0" encoding="utf-8"?>
<ds:datastoreItem xmlns:ds="http://schemas.openxmlformats.org/officeDocument/2006/customXml" ds:itemID="{29203189-21D6-47DA-8360-B1329C30E93D}"/>
</file>

<file path=customXml/itemProps3.xml><?xml version="1.0" encoding="utf-8"?>
<ds:datastoreItem xmlns:ds="http://schemas.openxmlformats.org/officeDocument/2006/customXml" ds:itemID="{2A1CA028-723D-426B-93FC-8350C9230931}"/>
</file>

<file path=customXml/itemProps4.xml><?xml version="1.0" encoding="utf-8"?>
<ds:datastoreItem xmlns:ds="http://schemas.openxmlformats.org/officeDocument/2006/customXml" ds:itemID="{67E35697-793E-4D1F-97A2-606E06B61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</vt:lpstr>
      <vt:lpstr>2008 Q4</vt:lpstr>
      <vt:lpstr>2009 </vt:lpstr>
      <vt:lpstr>TOTAL</vt:lpstr>
      <vt:lpstr>Savings</vt:lpstr>
      <vt:lpstr>'2008 Q4'!Print_Area</vt:lpstr>
      <vt:lpstr>'2009 '!Print_Area</vt:lpstr>
      <vt:lpstr>Adjustment!Print_Area</vt:lpstr>
      <vt:lpstr>Adjustment!Print_Titles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vz9tr1</cp:lastModifiedBy>
  <cp:lastPrinted>2009-09-08T14:23:35Z</cp:lastPrinted>
  <dcterms:created xsi:type="dcterms:W3CDTF">2009-02-25T21:21:21Z</dcterms:created>
  <dcterms:modified xsi:type="dcterms:W3CDTF">2009-09-08T14:24:39Z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