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wnloads/"/>
    </mc:Choice>
  </mc:AlternateContent>
  <xr:revisionPtr revIDLastSave="0" documentId="8_{11DEB352-8825-4852-B8E0-3497B5D34600}" xr6:coauthVersionLast="47" xr6:coauthVersionMax="47" xr10:uidLastSave="{00000000-0000-0000-0000-000000000000}"/>
  <bookViews>
    <workbookView xWindow="2730" yWindow="2730" windowWidth="21600" windowHeight="11385" tabRatio="772" activeTab="2" xr2:uid="{00000000-000D-0000-FFFF-FFFF00000000}"/>
  </bookViews>
  <sheets>
    <sheet name="Jan 23" sheetId="86" r:id="rId1"/>
    <sheet name="Feb 23" sheetId="87" r:id="rId2"/>
    <sheet name="Mar 23" sheetId="88" r:id="rId3"/>
    <sheet name="191010 WA DEF" sheetId="39" r:id="rId4"/>
    <sheet name="191000 WA Amort" sheetId="41" r:id="rId5"/>
  </sheets>
  <externalReferences>
    <externalReference r:id="rId6"/>
    <externalReference r:id="rId7"/>
    <externalReference r:id="rId8"/>
  </externalReferences>
  <definedNames>
    <definedName name="Actual_Cost_Per_MMBtu" localSheetId="4">'[1]Oregon Gas Costs - 1999'!#REF!</definedName>
    <definedName name="Actual_Cost_Per_MMBtu">'[1]Oregon Gas Costs - 1999'!#REF!</definedName>
    <definedName name="Actual_Gas_Costs" localSheetId="4">#REF!</definedName>
    <definedName name="Actual_Gas_Costs">#REF!</definedName>
    <definedName name="Actual_Volumes" localSheetId="4">#REF!</definedName>
    <definedName name="Actual_Volumes">#REF!</definedName>
    <definedName name="Analysis_of_Year_to_Date_Gas_Costs___WWP_System" localSheetId="4">#REF!</definedName>
    <definedName name="Analysis_of_Year_to_Date_Gas_Costs___WWP_System">#REF!</definedName>
    <definedName name="Balancing_Account_Summary" localSheetId="4">#REF!</definedName>
    <definedName name="Balancing_Account_Summary">#REF!</definedName>
    <definedName name="Budgeted_Costs_Volumes" localSheetId="4">#REF!</definedName>
    <definedName name="Budgeted_Costs_Volumes">#REF!</definedName>
    <definedName name="Commodity_Costs" localSheetId="4">#REF!</definedName>
    <definedName name="Commodity_Costs">#REF!</definedName>
    <definedName name="_xlnm.Database" localSheetId="4">'[2]May 2000'!#REF!</definedName>
    <definedName name="_xlnm.Database">'[2]May 2000'!#REF!</definedName>
    <definedName name="EIA857_Report_Info" localSheetId="4">#REF!</definedName>
    <definedName name="EIA857_Report_Info">#REF!</definedName>
    <definedName name="InputMonth">[3]Start!$B$2</definedName>
    <definedName name="JanJunPretaxRate">[3]Start!$C$7</definedName>
    <definedName name="jj" localSheetId="4">'[1]Oregon Gas Costs - 1999'!#REF!</definedName>
    <definedName name="jj">'[1]Oregon Gas Costs - 1999'!#REF!</definedName>
    <definedName name="Journal_Entry_Dollars" localSheetId="4">#REF!</definedName>
    <definedName name="Journal_Entry_Dollars">#REF!</definedName>
    <definedName name="Journal_Entry_Volumes" localSheetId="4">#REF!</definedName>
    <definedName name="Journal_Entry_Volumes">#REF!</definedName>
    <definedName name="JournalEntryPrintArea" localSheetId="4">#REF!</definedName>
    <definedName name="JournalEntryPrintArea">#REF!</definedName>
    <definedName name="JulDecPretaxRate">[3]Start!$C$8</definedName>
    <definedName name="Notes" localSheetId="4">#REF!</definedName>
    <definedName name="Notes">#REF!</definedName>
    <definedName name="_xlnm.Print_Area" localSheetId="4">'191000 WA Amort'!$A$1:$S$45</definedName>
    <definedName name="_xlnm.Print_Area" localSheetId="3">'191010 WA DEF'!$A$1:$L$45</definedName>
    <definedName name="_xlnm.Print_Area" localSheetId="1">'Feb 23'!$B$1:$R$48</definedName>
    <definedName name="_xlnm.Print_Area" localSheetId="0">'Jan 23'!$B$1:$R$48</definedName>
    <definedName name="_xlnm.Print_Area" localSheetId="2">'Mar 23'!$B$1:$R$48</definedName>
    <definedName name="SPREADSHEET_DOCUMENTATION" localSheetId="4">#REF!</definedName>
    <definedName name="SPREADSHEET_DOCUMENTATION">#REF!</definedName>
    <definedName name="Summary_of_Off_system_Sales" localSheetId="4">'[1]Oregon Gas Costs - 1999'!#REF!</definedName>
    <definedName name="Summary_of_Off_system_Sales">'[1]Oregon Gas Costs - 1999'!#REF!</definedName>
    <definedName name="Transportation_Costs" localSheetId="4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88" l="1"/>
  <c r="F21" i="41"/>
  <c r="D1396" i="88" l="1"/>
  <c r="L28" i="88"/>
  <c r="P27" i="88"/>
  <c r="L27" i="88"/>
  <c r="P26" i="88"/>
  <c r="L26" i="88"/>
  <c r="P25" i="88"/>
  <c r="L25" i="88"/>
  <c r="Q24" i="88"/>
  <c r="Q25" i="88" s="1"/>
  <c r="Q26" i="88" s="1"/>
  <c r="Q27" i="88" s="1"/>
  <c r="P24" i="88"/>
  <c r="R24" i="88" s="1"/>
  <c r="M24" i="88"/>
  <c r="M25" i="88" s="1"/>
  <c r="L24" i="88"/>
  <c r="N24" i="88" s="1"/>
  <c r="P23" i="88"/>
  <c r="R23" i="88" s="1"/>
  <c r="L23" i="88"/>
  <c r="L17" i="88"/>
  <c r="L19" i="88" s="1"/>
  <c r="N16" i="88"/>
  <c r="P15" i="88"/>
  <c r="P17" i="88" s="1"/>
  <c r="N15" i="88"/>
  <c r="N14" i="88"/>
  <c r="N13" i="88"/>
  <c r="N12" i="88"/>
  <c r="Q11" i="88"/>
  <c r="R11" i="88" s="1"/>
  <c r="N11" i="88"/>
  <c r="R10" i="88"/>
  <c r="N10" i="88"/>
  <c r="E8" i="88"/>
  <c r="F20" i="41"/>
  <c r="H20" i="41" s="1"/>
  <c r="D1396" i="87"/>
  <c r="L28" i="87"/>
  <c r="P27" i="87"/>
  <c r="L27" i="87"/>
  <c r="P26" i="87"/>
  <c r="L26" i="87"/>
  <c r="P25" i="87"/>
  <c r="L25" i="87"/>
  <c r="Q24" i="87"/>
  <c r="Q25" i="87" s="1"/>
  <c r="Q26" i="87" s="1"/>
  <c r="Q27" i="87" s="1"/>
  <c r="P24" i="87"/>
  <c r="R24" i="87" s="1"/>
  <c r="M24" i="87"/>
  <c r="M25" i="87" s="1"/>
  <c r="M26" i="87" s="1"/>
  <c r="M27" i="87" s="1"/>
  <c r="M28" i="87" s="1"/>
  <c r="L24" i="87"/>
  <c r="N24" i="87" s="1"/>
  <c r="P23" i="87"/>
  <c r="R23" i="87" s="1"/>
  <c r="L23" i="87"/>
  <c r="N23" i="87" s="1"/>
  <c r="L17" i="87"/>
  <c r="L19" i="87" s="1"/>
  <c r="N16" i="87"/>
  <c r="P15" i="87"/>
  <c r="P17" i="87" s="1"/>
  <c r="N15" i="87"/>
  <c r="N14" i="87"/>
  <c r="N13" i="87"/>
  <c r="N12" i="87"/>
  <c r="Q11" i="87"/>
  <c r="Q12" i="87" s="1"/>
  <c r="R12" i="87" s="1"/>
  <c r="N11" i="87"/>
  <c r="R10" i="87"/>
  <c r="N10" i="87"/>
  <c r="E8" i="87"/>
  <c r="F19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N19" i="41"/>
  <c r="K19" i="41"/>
  <c r="K31" i="41" s="1"/>
  <c r="H19" i="41"/>
  <c r="H31" i="41" s="1"/>
  <c r="A20" i="39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Q24" i="86"/>
  <c r="Q25" i="86" s="1"/>
  <c r="Q26" i="86" s="1"/>
  <c r="Q27" i="86" s="1"/>
  <c r="M24" i="86"/>
  <c r="M25" i="86" s="1"/>
  <c r="M26" i="86" s="1"/>
  <c r="M27" i="86" s="1"/>
  <c r="M28" i="86" s="1"/>
  <c r="L29" i="88" l="1"/>
  <c r="L31" i="88" s="1"/>
  <c r="N17" i="88"/>
  <c r="Q12" i="88"/>
  <c r="R12" i="88" s="1"/>
  <c r="E13" i="88"/>
  <c r="E31" i="88" s="1"/>
  <c r="E32" i="88" s="1"/>
  <c r="I34" i="88"/>
  <c r="G35" i="88"/>
  <c r="I36" i="88"/>
  <c r="E12" i="88"/>
  <c r="E14" i="88" s="1"/>
  <c r="G33" i="88"/>
  <c r="R25" i="88"/>
  <c r="R26" i="88"/>
  <c r="R27" i="88"/>
  <c r="R28" i="88"/>
  <c r="O36" i="88" s="1"/>
  <c r="M26" i="88"/>
  <c r="N25" i="88"/>
  <c r="N23" i="88"/>
  <c r="Q13" i="88"/>
  <c r="P28" i="88"/>
  <c r="P30" i="88" s="1"/>
  <c r="R11" i="87"/>
  <c r="R25" i="87"/>
  <c r="N26" i="87"/>
  <c r="R26" i="87"/>
  <c r="L29" i="87"/>
  <c r="L31" i="87" s="1"/>
  <c r="N17" i="87"/>
  <c r="L36" i="87" s="1"/>
  <c r="I36" i="87"/>
  <c r="G35" i="87"/>
  <c r="E12" i="87"/>
  <c r="E14" i="87" s="1"/>
  <c r="G33" i="87"/>
  <c r="E13" i="87"/>
  <c r="E31" i="87" s="1"/>
  <c r="E32" i="87" s="1"/>
  <c r="I34" i="87"/>
  <c r="N27" i="87"/>
  <c r="R27" i="87"/>
  <c r="R28" i="87" s="1"/>
  <c r="O36" i="87" s="1"/>
  <c r="N28" i="87"/>
  <c r="N25" i="87"/>
  <c r="N29" i="87" s="1"/>
  <c r="P28" i="87"/>
  <c r="P30" i="87" s="1"/>
  <c r="Q13" i="87"/>
  <c r="R10" i="86"/>
  <c r="N16" i="86"/>
  <c r="N15" i="86"/>
  <c r="N14" i="86"/>
  <c r="N13" i="86"/>
  <c r="N12" i="86"/>
  <c r="N11" i="86"/>
  <c r="N10" i="86"/>
  <c r="D1396" i="86"/>
  <c r="L28" i="86"/>
  <c r="N28" i="86" s="1"/>
  <c r="P27" i="86"/>
  <c r="R27" i="86" s="1"/>
  <c r="L27" i="86"/>
  <c r="N27" i="86" s="1"/>
  <c r="P26" i="86"/>
  <c r="R26" i="86" s="1"/>
  <c r="L26" i="86"/>
  <c r="N26" i="86" s="1"/>
  <c r="P25" i="86"/>
  <c r="R25" i="86" s="1"/>
  <c r="L25" i="86"/>
  <c r="N25" i="86" s="1"/>
  <c r="P24" i="86"/>
  <c r="R24" i="86" s="1"/>
  <c r="L24" i="86"/>
  <c r="N24" i="86" s="1"/>
  <c r="P23" i="86"/>
  <c r="R23" i="86" s="1"/>
  <c r="L23" i="86"/>
  <c r="L17" i="86"/>
  <c r="L19" i="86" s="1"/>
  <c r="P15" i="86"/>
  <c r="P17" i="86" s="1"/>
  <c r="Q11" i="86"/>
  <c r="Q12" i="86" s="1"/>
  <c r="Q13" i="86" s="1"/>
  <c r="Q14" i="86" s="1"/>
  <c r="R14" i="86" s="1"/>
  <c r="E8" i="86"/>
  <c r="F14" i="88" l="1"/>
  <c r="H14" i="88"/>
  <c r="L36" i="88"/>
  <c r="M27" i="88"/>
  <c r="N26" i="88"/>
  <c r="E37" i="88"/>
  <c r="E39" i="88" s="1"/>
  <c r="H39" i="88"/>
  <c r="N35" i="88" s="1"/>
  <c r="F39" i="88"/>
  <c r="L35" i="88" s="1"/>
  <c r="L37" i="88" s="1"/>
  <c r="R13" i="88"/>
  <c r="Q14" i="88"/>
  <c r="R14" i="88" s="1"/>
  <c r="G8" i="88"/>
  <c r="M36" i="87"/>
  <c r="E37" i="87"/>
  <c r="E39" i="87" s="1"/>
  <c r="F14" i="87"/>
  <c r="F39" i="87" s="1"/>
  <c r="L35" i="87" s="1"/>
  <c r="L37" i="87" s="1"/>
  <c r="G20" i="39" s="1"/>
  <c r="H14" i="87"/>
  <c r="H39" i="87" s="1"/>
  <c r="N35" i="87" s="1"/>
  <c r="Q14" i="87"/>
  <c r="R14" i="87" s="1"/>
  <c r="R13" i="87"/>
  <c r="R15" i="87" s="1"/>
  <c r="N36" i="87" s="1"/>
  <c r="G8" i="87"/>
  <c r="I8" i="87" s="1"/>
  <c r="I32" i="87" s="1"/>
  <c r="I39" i="87" s="1"/>
  <c r="O35" i="87" s="1"/>
  <c r="O37" i="87" s="1"/>
  <c r="R28" i="86"/>
  <c r="O36" i="86" s="1"/>
  <c r="L29" i="86"/>
  <c r="L31" i="86" s="1"/>
  <c r="P28" i="86"/>
  <c r="P30" i="86" s="1"/>
  <c r="N23" i="86"/>
  <c r="N29" i="86" s="1"/>
  <c r="M36" i="86" s="1"/>
  <c r="R12" i="86"/>
  <c r="R13" i="86"/>
  <c r="R11" i="86"/>
  <c r="R15" i="86" s="1"/>
  <c r="N36" i="86" s="1"/>
  <c r="N17" i="86"/>
  <c r="L36" i="86" s="1"/>
  <c r="E13" i="86"/>
  <c r="E31" i="86" s="1"/>
  <c r="E32" i="86" s="1"/>
  <c r="G33" i="86"/>
  <c r="I36" i="86"/>
  <c r="G35" i="86"/>
  <c r="E12" i="86"/>
  <c r="E14" i="86" s="1"/>
  <c r="I34" i="86"/>
  <c r="H18" i="41"/>
  <c r="F18" i="41"/>
  <c r="H17" i="41"/>
  <c r="F17" i="41"/>
  <c r="I8" i="88" l="1"/>
  <c r="I32" i="88" s="1"/>
  <c r="I39" i="88" s="1"/>
  <c r="O35" i="88" s="1"/>
  <c r="O37" i="88" s="1"/>
  <c r="G32" i="88"/>
  <c r="G39" i="88" s="1"/>
  <c r="G21" i="39"/>
  <c r="E42" i="88"/>
  <c r="M28" i="88"/>
  <c r="N28" i="88" s="1"/>
  <c r="N27" i="88"/>
  <c r="R15" i="88"/>
  <c r="N36" i="88" s="1"/>
  <c r="N37" i="88" s="1"/>
  <c r="N37" i="87"/>
  <c r="G32" i="87"/>
  <c r="G39" i="87" s="1"/>
  <c r="M35" i="87" s="1"/>
  <c r="M37" i="87" s="1"/>
  <c r="E42" i="87"/>
  <c r="P36" i="87"/>
  <c r="G8" i="86"/>
  <c r="I8" i="86" s="1"/>
  <c r="I32" i="86" s="1"/>
  <c r="I39" i="86" s="1"/>
  <c r="O35" i="86" s="1"/>
  <c r="O37" i="86" s="1"/>
  <c r="P36" i="86"/>
  <c r="E37" i="86"/>
  <c r="E39" i="86" s="1"/>
  <c r="H14" i="86"/>
  <c r="H39" i="86" s="1"/>
  <c r="N35" i="86" s="1"/>
  <c r="N37" i="86" s="1"/>
  <c r="F14" i="86"/>
  <c r="F39" i="86" s="1"/>
  <c r="L35" i="86" s="1"/>
  <c r="L37" i="86" s="1"/>
  <c r="G19" i="39" s="1"/>
  <c r="F16" i="41"/>
  <c r="F15" i="41"/>
  <c r="M35" i="88" l="1"/>
  <c r="P35" i="88" s="1"/>
  <c r="O39" i="88"/>
  <c r="N29" i="88"/>
  <c r="M39" i="87"/>
  <c r="F20" i="39"/>
  <c r="O39" i="87"/>
  <c r="P35" i="87"/>
  <c r="G32" i="86"/>
  <c r="G39" i="86" s="1"/>
  <c r="M35" i="86" s="1"/>
  <c r="M37" i="86" s="1"/>
  <c r="F19" i="39" s="1"/>
  <c r="O39" i="86"/>
  <c r="E42" i="86"/>
  <c r="P36" i="88" l="1"/>
  <c r="P35" i="86"/>
  <c r="M39" i="86"/>
  <c r="F14" i="41"/>
  <c r="F13" i="41"/>
  <c r="M37" i="88" l="1"/>
  <c r="F12" i="41"/>
  <c r="F11" i="41"/>
  <c r="F10" i="41"/>
  <c r="F21" i="39" l="1"/>
  <c r="M39" i="88"/>
  <c r="F9" i="41"/>
  <c r="F8" i="41" l="1"/>
  <c r="D31" i="41" l="1"/>
  <c r="N16" i="4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A8" i="39" l="1"/>
  <c r="A9" i="39" l="1"/>
  <c r="A10" i="39" l="1"/>
  <c r="A11" i="39" l="1"/>
  <c r="A12" i="39" l="1"/>
  <c r="A13" i="39" l="1"/>
  <c r="A14" i="39" l="1"/>
  <c r="A15" i="39" l="1"/>
  <c r="A16" i="39" l="1"/>
  <c r="A17" i="39" l="1"/>
  <c r="A18" i="39" l="1"/>
  <c r="N31" i="41" l="1"/>
  <c r="H39" i="41" l="1"/>
  <c r="D31" i="39" l="1"/>
  <c r="F31" i="39"/>
  <c r="G31" i="39"/>
  <c r="I39" i="41"/>
  <c r="E39" i="39" l="1"/>
  <c r="F39" i="39"/>
  <c r="E8" i="41" l="1"/>
  <c r="E8" i="39"/>
  <c r="H8" i="39" l="1"/>
  <c r="I8" i="39" s="1"/>
  <c r="O8" i="41"/>
  <c r="P8" i="41" s="1"/>
  <c r="S8" i="41" l="1"/>
  <c r="E9" i="41"/>
  <c r="L8" i="39"/>
  <c r="E9" i="39"/>
  <c r="H9" i="39" l="1"/>
  <c r="I9" i="39" s="1"/>
  <c r="O9" i="41"/>
  <c r="P9" i="41" s="1"/>
  <c r="L9" i="39" l="1"/>
  <c r="E10" i="39"/>
  <c r="S9" i="41"/>
  <c r="E10" i="41"/>
  <c r="O10" i="41" l="1"/>
  <c r="P10" i="41" s="1"/>
  <c r="H10" i="39"/>
  <c r="I10" i="39" s="1"/>
  <c r="L10" i="39" l="1"/>
  <c r="E11" i="39"/>
  <c r="S10" i="41"/>
  <c r="E11" i="41"/>
  <c r="O11" i="41" l="1"/>
  <c r="P11" i="41" s="1"/>
  <c r="H11" i="39"/>
  <c r="I11" i="39" s="1"/>
  <c r="L11" i="39" l="1"/>
  <c r="E12" i="39"/>
  <c r="S11" i="41"/>
  <c r="E12" i="41"/>
  <c r="H12" i="39" l="1"/>
  <c r="I12" i="39" s="1"/>
  <c r="O12" i="41"/>
  <c r="P12" i="41" s="1"/>
  <c r="E13" i="41" l="1"/>
  <c r="S12" i="41"/>
  <c r="E13" i="39"/>
  <c r="L12" i="39"/>
  <c r="H13" i="39" l="1"/>
  <c r="I13" i="39" s="1"/>
  <c r="O13" i="41"/>
  <c r="P13" i="41" s="1"/>
  <c r="S13" i="41" l="1"/>
  <c r="E14" i="41"/>
  <c r="L13" i="39"/>
  <c r="E14" i="39"/>
  <c r="H14" i="39" l="1"/>
  <c r="I14" i="39" s="1"/>
  <c r="O14" i="41"/>
  <c r="P14" i="41" s="1"/>
  <c r="E15" i="41" l="1"/>
  <c r="S14" i="41"/>
  <c r="L14" i="39"/>
  <c r="E15" i="39"/>
  <c r="H15" i="39" l="1"/>
  <c r="I15" i="39" s="1"/>
  <c r="O15" i="41"/>
  <c r="P15" i="41" s="1"/>
  <c r="E16" i="41" l="1"/>
  <c r="S15" i="41"/>
  <c r="L15" i="39"/>
  <c r="E16" i="39"/>
  <c r="H16" i="39" l="1"/>
  <c r="I16" i="39" s="1"/>
  <c r="O16" i="41"/>
  <c r="P16" i="41" s="1"/>
  <c r="S16" i="41" l="1"/>
  <c r="L16" i="39"/>
  <c r="D17" i="39"/>
  <c r="C17" i="41" s="1"/>
  <c r="E17" i="41" s="1"/>
  <c r="E17" i="39" l="1"/>
  <c r="O17" i="41"/>
  <c r="P17" i="41" s="1"/>
  <c r="H17" i="39"/>
  <c r="I17" i="39" s="1"/>
  <c r="L17" i="39" l="1"/>
  <c r="E18" i="39"/>
  <c r="S17" i="41"/>
  <c r="E18" i="41"/>
  <c r="O18" i="41" l="1"/>
  <c r="P18" i="41" s="1"/>
  <c r="H18" i="39"/>
  <c r="I18" i="39" s="1"/>
  <c r="E19" i="39" l="1"/>
  <c r="L18" i="39"/>
  <c r="S18" i="41"/>
  <c r="E19" i="41"/>
  <c r="O19" i="41" l="1"/>
  <c r="P19" i="41" s="1"/>
  <c r="H19" i="39"/>
  <c r="I19" i="39" s="1"/>
  <c r="L19" i="39" l="1"/>
  <c r="E20" i="39"/>
  <c r="S19" i="41"/>
  <c r="E20" i="41"/>
  <c r="O20" i="41" l="1"/>
  <c r="P20" i="41" s="1"/>
  <c r="H20" i="39"/>
  <c r="I20" i="39" s="1"/>
  <c r="E21" i="39" l="1"/>
  <c r="L20" i="39"/>
  <c r="E21" i="41"/>
  <c r="S20" i="41"/>
  <c r="O21" i="41" l="1"/>
  <c r="O31" i="41" s="1"/>
  <c r="H21" i="39"/>
  <c r="H31" i="39" s="1"/>
  <c r="I21" i="39" l="1"/>
  <c r="F36" i="39"/>
  <c r="E37" i="39"/>
  <c r="E38" i="39"/>
  <c r="F38" i="39"/>
  <c r="I36" i="41"/>
  <c r="H38" i="41"/>
  <c r="H37" i="41"/>
  <c r="I38" i="41"/>
  <c r="P21" i="41"/>
  <c r="E47" i="88" l="1"/>
  <c r="F47" i="88" s="1"/>
  <c r="F41" i="39"/>
  <c r="E47" i="87"/>
  <c r="F47" i="87" s="1"/>
  <c r="E47" i="86"/>
  <c r="F47" i="86" s="1"/>
  <c r="S21" i="41"/>
  <c r="E22" i="41"/>
  <c r="E22" i="39"/>
  <c r="L21" i="39"/>
  <c r="I41" i="41"/>
  <c r="H22" i="39" l="1"/>
  <c r="I22" i="39" s="1"/>
  <c r="E23" i="39" s="1"/>
  <c r="O22" i="41"/>
  <c r="P22" i="41" s="1"/>
  <c r="E23" i="41" s="1"/>
  <c r="O23" i="41" l="1"/>
  <c r="P23" i="41" s="1"/>
  <c r="E24" i="41" s="1"/>
  <c r="H23" i="39"/>
  <c r="I23" i="39" s="1"/>
  <c r="E24" i="39" s="1"/>
  <c r="H24" i="39" l="1"/>
  <c r="I24" i="39" s="1"/>
  <c r="E25" i="39" s="1"/>
  <c r="O24" i="41"/>
  <c r="P24" i="41" s="1"/>
  <c r="E25" i="41" s="1"/>
  <c r="O25" i="41" l="1"/>
  <c r="P25" i="41" s="1"/>
  <c r="E26" i="41" s="1"/>
  <c r="H25" i="39"/>
  <c r="I25" i="39" s="1"/>
  <c r="E26" i="39" s="1"/>
  <c r="H26" i="39" l="1"/>
  <c r="I26" i="39" s="1"/>
  <c r="E27" i="39" s="1"/>
  <c r="O26" i="41"/>
  <c r="P26" i="41" s="1"/>
  <c r="E27" i="41" s="1"/>
  <c r="O27" i="41" l="1"/>
  <c r="P27" i="41" s="1"/>
  <c r="E28" i="41" s="1"/>
  <c r="H27" i="39"/>
  <c r="I27" i="39" s="1"/>
  <c r="E28" i="39" s="1"/>
  <c r="H28" i="39" l="1"/>
  <c r="I28" i="39" s="1"/>
  <c r="E29" i="39" s="1"/>
  <c r="O28" i="41"/>
  <c r="P28" i="41" s="1"/>
  <c r="E29" i="41" s="1"/>
  <c r="O29" i="41" l="1"/>
  <c r="P29" i="41" s="1"/>
  <c r="E30" i="41" s="1"/>
  <c r="H29" i="39"/>
  <c r="I29" i="39" s="1"/>
  <c r="E30" i="39" s="1"/>
  <c r="H30" i="39" l="1"/>
  <c r="I30" i="39" s="1"/>
  <c r="O30" i="41"/>
  <c r="P30" i="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B58C20AF-FC2C-41B1-8867-E38AB068335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DB706234-49DE-4184-AD5C-E353CE0E6B33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79C2CDA-A763-4FAF-899D-DB66DE9BC4E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F6F964CE-9DA4-4A94-A7AF-8F1F3D39F4B2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090C5FCE-29CF-43EB-8B1F-D9C6955E192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007DE7B2-4DBE-42A5-9697-843A292E9AB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D17" authorId="0" shapeId="0" xr:uid="{167A6031-955A-4645-ABBA-CDB00740D8AF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per phone call w/Marcus G. 11.11.22 - transfer balance as of end of October for both WA and ID</t>
        </r>
      </text>
    </comment>
  </commentList>
</comments>
</file>

<file path=xl/sharedStrings.xml><?xml version="1.0" encoding="utf-8"?>
<sst xmlns="http://schemas.openxmlformats.org/spreadsheetml/2006/main" count="552" uniqueCount="157">
  <si>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</si>
  <si>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</si>
  <si>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</si>
  <si>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</si>
  <si>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</si>
  <si>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</si>
  <si>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</si>
  <si>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</si>
  <si>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</si>
  <si>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</si>
  <si>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</si>
  <si>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</si>
  <si>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</si>
  <si>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</si>
  <si>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</si>
  <si>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</si>
  <si>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</si>
  <si>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</si>
  <si>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</si>
  <si>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</si>
  <si>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</si>
  <si>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</si>
  <si>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</si>
  <si>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</si>
  <si>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</si>
  <si>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</si>
  <si>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</si>
  <si>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</si>
  <si>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</si>
  <si>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</si>
  <si>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</si>
  <si>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</si>
  <si>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</si>
  <si>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</si>
  <si>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</si>
  <si>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</si>
  <si>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</si>
  <si>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</si>
  <si>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</si>
  <si>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</si>
  <si>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</si>
  <si>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</si>
  <si>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</si>
  <si>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</si>
  <si>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</si>
  <si>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</si>
  <si>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</si>
  <si>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</si>
  <si>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</si>
  <si>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</si>
  <si>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</si>
  <si>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</si>
  <si>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</si>
  <si>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</si>
  <si>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</si>
  <si>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</si>
  <si>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</si>
  <si>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</si>
  <si>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</si>
  <si>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</si>
  <si>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</si>
  <si>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</si>
  <si>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</si>
  <si>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</si>
  <si>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</si>
  <si>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</si>
  <si>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</si>
  <si>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</si>
  <si>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</si>
  <si>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</si>
  <si>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</si>
  <si>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</si>
  <si>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</si>
  <si>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</si>
  <si>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</si>
  <si>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</si>
  <si>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</si>
  <si>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</si>
  <si>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</si>
  <si>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</si>
  <si>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</si>
  <si>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</si>
  <si>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</si>
  <si>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(B)</t>
  </si>
  <si>
    <t>ID Entitlement Penalty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</si>
  <si>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</si>
  <si>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</si>
  <si>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</si>
  <si>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</si>
  <si>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</si>
  <si>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</si>
  <si>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</si>
  <si>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</si>
  <si>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</si>
  <si>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</si>
  <si>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</si>
  <si>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</si>
  <si>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</si>
  <si>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</si>
  <si>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</si>
  <si>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</si>
  <si>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</si>
  <si>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</si>
  <si>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</si>
  <si>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</si>
  <si>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</si>
  <si>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Total per GL</t>
  </si>
  <si>
    <t>804%,808%,811000,483%,495028,495100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</si>
  <si>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</si>
  <si>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</si>
  <si>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</si>
  <si>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</si>
  <si>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</si>
  <si>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</si>
  <si>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</si>
  <si>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</si>
  <si>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</si>
  <si>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</si>
  <si>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</si>
  <si>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</si>
  <si>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</si>
  <si>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</si>
  <si>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</si>
  <si>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</si>
  <si>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</si>
  <si>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</si>
  <si>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</si>
  <si>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</si>
  <si>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NOVEMBER ENTRY - LARGE CUSTOMER TRUEUP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</si>
  <si>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</si>
  <si>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</si>
  <si>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</si>
  <si>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</si>
  <si>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</si>
  <si>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</si>
  <si>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</si>
  <si>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</si>
  <si>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</si>
  <si>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</si>
  <si>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</si>
  <si>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</si>
  <si>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$2.11 Jan demand rate decimal error - fixed in Feb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</si>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</sst>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#,##0.00000_);\(#,##0.00000\)"/>
    <numFmt numFmtId="169" formatCode="#,##0.0000_);\(#,##0.0000\)"/>
    <numFmt numFmtId="170" formatCode="#,##0.0000_);[Red]\(#,##0.0000\)"/>
    <numFmt numFmtId="171" formatCode="&quot;$&quot;#,##0\ ;\(&quot;$&quot;#,##0\)"/>
    <numFmt numFmtId="172" formatCode="_(* #,##0_);_(* \(#,##0\);_(* &quot;-&quot;??_);_(@_)"/>
    <numFmt numFmtId="173" formatCode="_(* #,##0.00000_);_(* \(#,##0.00000\);_(* &quot;-&quot;?????_);_(@_)"/>
    <numFmt numFmtId="174" formatCode="_(&quot;$&quot;* #,##0.00000_);_(&quot;$&quot;* \(#,##0.00000\);_(&quot;$&quot;* &quot;-&quot;??_);_(@_)"/>
  </numFmts>
  <fonts count="53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43">
    <xf numFmtId="39" fontId="0" fillId="0" borderId="0" xfId="0"/>
    <xf numFmtId="39" fontId="12" fillId="0" borderId="0" xfId="0" applyFont="1"/>
    <xf numFmtId="39" fontId="12" fillId="0" borderId="0" xfId="0" applyFont="1" applyAlignment="1">
      <alignment horizontal="center"/>
    </xf>
    <xf numFmtId="39" fontId="13" fillId="0" borderId="0" xfId="0" applyFont="1"/>
    <xf numFmtId="39" fontId="13" fillId="0" borderId="2" xfId="0" applyFont="1" applyBorder="1" applyAlignment="1">
      <alignment horizontal="center"/>
    </xf>
    <xf numFmtId="39" fontId="12" fillId="3" borderId="0" xfId="0" applyFont="1" applyFill="1"/>
    <xf numFmtId="39" fontId="12" fillId="0" borderId="0" xfId="0" applyFont="1" applyAlignment="1">
      <alignment horizontal="right"/>
    </xf>
    <xf numFmtId="39" fontId="12" fillId="0" borderId="8" xfId="0" applyFont="1" applyBorder="1"/>
    <xf numFmtId="39" fontId="13" fillId="0" borderId="5" xfId="0" applyFont="1" applyBorder="1" applyAlignment="1">
      <alignment horizontal="center"/>
    </xf>
    <xf numFmtId="39" fontId="12" fillId="0" borderId="2" xfId="0" applyFont="1" applyBorder="1"/>
    <xf numFmtId="39" fontId="12" fillId="0" borderId="7" xfId="0" applyFont="1" applyBorder="1"/>
    <xf numFmtId="39" fontId="12" fillId="0" borderId="7" xfId="0" applyFont="1" applyBorder="1" applyAlignment="1">
      <alignment horizontal="left"/>
    </xf>
    <xf numFmtId="168" fontId="12" fillId="0" borderId="0" xfId="0" applyNumberFormat="1" applyFont="1" applyAlignment="1" applyProtection="1">
      <alignment horizontal="left"/>
      <protection locked="0"/>
    </xf>
    <xf numFmtId="39" fontId="12" fillId="0" borderId="4" xfId="0" applyFont="1" applyBorder="1" applyAlignment="1">
      <alignment horizontal="left"/>
    </xf>
    <xf numFmtId="168" fontId="12" fillId="0" borderId="5" xfId="0" applyNumberFormat="1" applyFont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Border="1" applyAlignment="1">
      <alignment horizontal="right"/>
    </xf>
    <xf numFmtId="39" fontId="12" fillId="0" borderId="7" xfId="0" applyFont="1" applyBorder="1" applyAlignment="1">
      <alignment horizontal="right"/>
    </xf>
    <xf numFmtId="39" fontId="12" fillId="0" borderId="3" xfId="0" applyFont="1" applyBorder="1"/>
    <xf numFmtId="0" fontId="12" fillId="0" borderId="0" xfId="0" applyNumberFormat="1" applyFont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0" fontId="1" fillId="0" borderId="0" xfId="137" applyFont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Alignment="1">
      <alignment horizontal="left"/>
    </xf>
    <xf numFmtId="43" fontId="26" fillId="0" borderId="0" xfId="138" applyFont="1" applyFill="1" applyBorder="1"/>
    <xf numFmtId="0" fontId="26" fillId="0" borderId="0" xfId="137" applyFont="1"/>
    <xf numFmtId="0" fontId="31" fillId="7" borderId="0" xfId="24" quotePrefix="1" applyFont="1" applyFill="1"/>
    <xf numFmtId="0" fontId="32" fillId="0" borderId="0" xfId="24" applyFont="1"/>
    <xf numFmtId="0" fontId="26" fillId="0" borderId="0" xfId="24" applyFont="1"/>
    <xf numFmtId="0" fontId="27" fillId="0" borderId="0" xfId="24" applyFont="1"/>
    <xf numFmtId="1" fontId="26" fillId="0" borderId="18" xfId="63" applyNumberFormat="1" applyFont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26" fillId="6" borderId="22" xfId="138" applyFont="1" applyFill="1" applyBorder="1"/>
    <xf numFmtId="43" fontId="27" fillId="6" borderId="22" xfId="138" applyFont="1" applyFill="1" applyBorder="1"/>
    <xf numFmtId="43" fontId="36" fillId="0" borderId="0" xfId="9" applyFont="1" applyFill="1"/>
    <xf numFmtId="0" fontId="34" fillId="0" borderId="0" xfId="137" applyFont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43" fontId="27" fillId="0" borderId="0" xfId="138" applyFont="1" applyFill="1" applyBorder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5" fillId="5" borderId="23" xfId="138" applyFont="1" applyFill="1" applyBorder="1"/>
    <xf numFmtId="1" fontId="26" fillId="0" borderId="18" xfId="24" applyNumberFormat="1" applyFont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/>
    <xf numFmtId="164" fontId="27" fillId="0" borderId="0" xfId="92" applyNumberFormat="1" applyFont="1" applyAlignment="1">
      <alignment horizontal="left"/>
    </xf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8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10" fontId="35" fillId="5" borderId="23" xfId="139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Alignment="1">
      <alignment horizontal="center"/>
    </xf>
    <xf numFmtId="0" fontId="25" fillId="0" borderId="0" xfId="137" applyFont="1"/>
    <xf numFmtId="0" fontId="36" fillId="0" borderId="0" xfId="24" applyFont="1"/>
    <xf numFmtId="1" fontId="40" fillId="0" borderId="0" xfId="63" applyNumberFormat="1" applyFont="1" applyAlignment="1">
      <alignment horizontal="left"/>
    </xf>
    <xf numFmtId="43" fontId="36" fillId="0" borderId="0" xfId="138" applyFont="1" applyFill="1" applyBorder="1"/>
    <xf numFmtId="0" fontId="36" fillId="0" borderId="0" xfId="137" applyFont="1"/>
    <xf numFmtId="7" fontId="12" fillId="0" borderId="0" xfId="0" applyNumberFormat="1" applyFont="1" applyAlignment="1">
      <alignment horizontal="center"/>
    </xf>
    <xf numFmtId="168" fontId="12" fillId="0" borderId="0" xfId="0" applyNumberFormat="1" applyFont="1" applyAlignment="1" applyProtection="1">
      <alignment horizontal="center"/>
      <protection locked="0"/>
    </xf>
    <xf numFmtId="5" fontId="12" fillId="0" borderId="0" xfId="0" applyNumberFormat="1" applyFont="1" applyAlignment="1">
      <alignment horizontal="center"/>
    </xf>
    <xf numFmtId="39" fontId="12" fillId="0" borderId="12" xfId="0" applyFont="1" applyBorder="1" applyAlignment="1">
      <alignment horizontal="center"/>
    </xf>
    <xf numFmtId="39" fontId="12" fillId="0" borderId="13" xfId="0" applyFont="1" applyBorder="1" applyAlignment="1">
      <alignment horizontal="center"/>
    </xf>
    <xf numFmtId="39" fontId="12" fillId="0" borderId="12" xfId="0" applyFont="1" applyBorder="1"/>
    <xf numFmtId="39" fontId="12" fillId="0" borderId="13" xfId="0" applyFont="1" applyBorder="1"/>
    <xf numFmtId="39" fontId="12" fillId="0" borderId="1" xfId="0" applyFont="1" applyBorder="1" applyAlignment="1">
      <alignment horizontal="center"/>
    </xf>
    <xf numFmtId="39" fontId="12" fillId="0" borderId="2" xfId="0" applyFont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/>
    <xf numFmtId="43" fontId="12" fillId="4" borderId="0" xfId="1" applyNumberFormat="1" applyFont="1" applyFill="1" applyBorder="1"/>
    <xf numFmtId="37" fontId="13" fillId="0" borderId="16" xfId="0" applyNumberFormat="1" applyFont="1" applyBorder="1"/>
    <xf numFmtId="168" fontId="13" fillId="0" borderId="0" xfId="0" applyNumberFormat="1" applyFont="1" applyAlignment="1" applyProtection="1">
      <alignment horizontal="center"/>
      <protection locked="0"/>
    </xf>
    <xf numFmtId="173" fontId="12" fillId="0" borderId="8" xfId="0" applyNumberFormat="1" applyFont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Border="1" applyAlignment="1">
      <alignment horizontal="right"/>
    </xf>
    <xf numFmtId="173" fontId="12" fillId="0" borderId="38" xfId="0" applyNumberFormat="1" applyFont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3" fontId="12" fillId="0" borderId="39" xfId="0" applyNumberFormat="1" applyFont="1" applyBorder="1"/>
    <xf numFmtId="39" fontId="13" fillId="0" borderId="4" xfId="0" applyFont="1" applyBorder="1" applyAlignment="1">
      <alignment horizontal="right"/>
    </xf>
    <xf numFmtId="37" fontId="12" fillId="0" borderId="5" xfId="0" applyNumberFormat="1" applyFont="1" applyBorder="1"/>
    <xf numFmtId="39" fontId="12" fillId="0" borderId="5" xfId="0" applyFont="1" applyBorder="1"/>
    <xf numFmtId="8" fontId="12" fillId="0" borderId="6" xfId="2" applyFont="1" applyFill="1" applyBorder="1"/>
    <xf numFmtId="43" fontId="34" fillId="0" borderId="0" xfId="137" applyNumberFormat="1" applyFont="1"/>
    <xf numFmtId="169" fontId="14" fillId="0" borderId="0" xfId="0" applyNumberFormat="1" applyFont="1"/>
    <xf numFmtId="0" fontId="42" fillId="0" borderId="0" xfId="137" applyFont="1"/>
    <xf numFmtId="39" fontId="14" fillId="0" borderId="0" xfId="0" applyFont="1"/>
    <xf numFmtId="43" fontId="42" fillId="0" borderId="0" xfId="1" applyNumberFormat="1" applyFont="1" applyBorder="1"/>
    <xf numFmtId="39" fontId="12" fillId="0" borderId="8" xfId="0" applyFont="1" applyBorder="1" applyAlignment="1">
      <alignment horizontal="center"/>
    </xf>
    <xf numFmtId="49" fontId="27" fillId="0" borderId="23" xfId="137" quotePrefix="1" applyNumberFormat="1" applyFont="1" applyBorder="1" applyAlignment="1">
      <alignment horizontal="right"/>
    </xf>
    <xf numFmtId="43" fontId="12" fillId="0" borderId="8" xfId="2" applyNumberFormat="1" applyFont="1" applyBorder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4" fontId="44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45" fillId="0" borderId="0" xfId="0" applyNumberFormat="1" applyFont="1" applyProtection="1">
      <protection locked="0"/>
    </xf>
    <xf numFmtId="0" fontId="46" fillId="10" borderId="0" xfId="145" applyNumberFormat="1" applyFont="1" applyFill="1" applyAlignment="1" applyProtection="1">
      <alignment horizontal="center"/>
      <protection locked="0"/>
    </xf>
    <xf numFmtId="39" fontId="48" fillId="11" borderId="0" xfId="145" applyFont="1" applyFill="1" applyAlignment="1" applyProtection="1">
      <alignment horizontal="left"/>
      <protection locked="0"/>
    </xf>
    <xf numFmtId="174" fontId="44" fillId="0" borderId="0" xfId="57" applyNumberFormat="1" applyFont="1" applyFill="1" applyAlignment="1" applyProtection="1">
      <alignment horizontal="left"/>
      <protection locked="0"/>
    </xf>
    <xf numFmtId="39" fontId="12" fillId="0" borderId="0" xfId="145" applyFont="1" applyProtection="1">
      <protection locked="0"/>
    </xf>
    <xf numFmtId="0" fontId="13" fillId="0" borderId="1" xfId="0" applyNumberFormat="1" applyFont="1" applyBorder="1" applyAlignment="1">
      <alignment horizontal="center"/>
    </xf>
    <xf numFmtId="39" fontId="13" fillId="0" borderId="7" xfId="0" applyFont="1" applyBorder="1"/>
    <xf numFmtId="10" fontId="12" fillId="0" borderId="8" xfId="4" applyNumberFormat="1" applyFont="1" applyFill="1" applyBorder="1" applyAlignment="1">
      <alignment horizontal="center"/>
    </xf>
    <xf numFmtId="166" fontId="12" fillId="0" borderId="0" xfId="0" applyNumberFormat="1" applyFont="1" applyAlignment="1">
      <alignment horizontal="left"/>
    </xf>
    <xf numFmtId="44" fontId="12" fillId="0" borderId="8" xfId="0" applyNumberFormat="1" applyFont="1" applyBorder="1" applyProtection="1">
      <protection locked="0"/>
    </xf>
    <xf numFmtId="166" fontId="12" fillId="0" borderId="7" xfId="0" applyNumberFormat="1" applyFont="1" applyBorder="1" applyAlignment="1">
      <alignment horizontal="left"/>
    </xf>
    <xf numFmtId="44" fontId="12" fillId="0" borderId="8" xfId="0" applyNumberFormat="1" applyFont="1" applyBorder="1" applyAlignment="1">
      <alignment horizontal="center"/>
    </xf>
    <xf numFmtId="39" fontId="13" fillId="0" borderId="4" xfId="0" applyFont="1" applyBorder="1"/>
    <xf numFmtId="166" fontId="12" fillId="0" borderId="5" xfId="0" applyNumberFormat="1" applyFont="1" applyBorder="1" applyAlignment="1">
      <alignment horizontal="left"/>
    </xf>
    <xf numFmtId="44" fontId="12" fillId="0" borderId="40" xfId="0" applyNumberFormat="1" applyFont="1" applyBorder="1" applyProtection="1">
      <protection locked="0"/>
    </xf>
    <xf numFmtId="168" fontId="47" fillId="11" borderId="0" xfId="0" applyNumberFormat="1" applyFont="1" applyFill="1" applyAlignment="1" applyProtection="1">
      <alignment horizontal="center"/>
      <protection locked="0"/>
    </xf>
    <xf numFmtId="37" fontId="47" fillId="11" borderId="0" xfId="0" applyNumberFormat="1" applyFont="1" applyFill="1"/>
    <xf numFmtId="43" fontId="12" fillId="0" borderId="0" xfId="2" applyNumberFormat="1" applyFont="1" applyFill="1" applyBorder="1" applyProtection="1"/>
    <xf numFmtId="39" fontId="13" fillId="0" borderId="1" xfId="0" applyFont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Font="1" applyBorder="1"/>
    <xf numFmtId="39" fontId="13" fillId="0" borderId="0" xfId="0" applyFont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43" fontId="12" fillId="0" borderId="8" xfId="1" applyNumberFormat="1" applyFont="1" applyFill="1" applyBorder="1"/>
    <xf numFmtId="44" fontId="13" fillId="0" borderId="8" xfId="0" applyNumberFormat="1" applyFont="1" applyBorder="1"/>
    <xf numFmtId="167" fontId="13" fillId="0" borderId="6" xfId="0" applyNumberFormat="1" applyFont="1" applyBorder="1" applyAlignment="1">
      <alignment horizontal="center"/>
    </xf>
    <xf numFmtId="167" fontId="13" fillId="0" borderId="41" xfId="0" applyNumberFormat="1" applyFont="1" applyBorder="1" applyAlignment="1">
      <alignment horizontal="center"/>
    </xf>
    <xf numFmtId="167" fontId="13" fillId="0" borderId="42" xfId="0" applyNumberFormat="1" applyFont="1" applyBorder="1" applyAlignment="1">
      <alignment horizontal="center"/>
    </xf>
    <xf numFmtId="39" fontId="12" fillId="0" borderId="43" xfId="0" applyFont="1" applyBorder="1"/>
    <xf numFmtId="39" fontId="12" fillId="0" borderId="44" xfId="0" applyFont="1" applyBorder="1"/>
    <xf numFmtId="10" fontId="47" fillId="11" borderId="43" xfId="4" applyNumberFormat="1" applyFont="1" applyFill="1" applyBorder="1" applyAlignment="1">
      <alignment horizontal="center"/>
    </xf>
    <xf numFmtId="10" fontId="12" fillId="0" borderId="44" xfId="4" applyNumberFormat="1" applyFont="1" applyFill="1" applyBorder="1" applyAlignment="1">
      <alignment horizontal="center"/>
    </xf>
    <xf numFmtId="43" fontId="12" fillId="0" borderId="43" xfId="1" applyNumberFormat="1" applyFont="1" applyFill="1" applyBorder="1"/>
    <xf numFmtId="43" fontId="12" fillId="0" borderId="44" xfId="1" applyNumberFormat="1" applyFont="1" applyFill="1" applyBorder="1"/>
    <xf numFmtId="44" fontId="13" fillId="0" borderId="43" xfId="0" applyNumberFormat="1" applyFont="1" applyBorder="1"/>
    <xf numFmtId="44" fontId="13" fillId="0" borderId="44" xfId="0" applyNumberFormat="1" applyFont="1" applyBorder="1"/>
    <xf numFmtId="44" fontId="12" fillId="0" borderId="44" xfId="0" applyNumberFormat="1" applyFont="1" applyBorder="1" applyProtection="1">
      <protection locked="0"/>
    </xf>
    <xf numFmtId="44" fontId="12" fillId="0" borderId="43" xfId="0" applyNumberFormat="1" applyFont="1" applyBorder="1" applyAlignment="1">
      <alignment horizontal="center"/>
    </xf>
    <xf numFmtId="44" fontId="12" fillId="0" borderId="44" xfId="0" applyNumberFormat="1" applyFont="1" applyBorder="1" applyAlignment="1">
      <alignment horizontal="center"/>
    </xf>
    <xf numFmtId="167" fontId="13" fillId="0" borderId="23" xfId="0" applyNumberFormat="1" applyFont="1" applyBorder="1" applyAlignment="1">
      <alignment horizontal="center"/>
    </xf>
    <xf numFmtId="39" fontId="12" fillId="0" borderId="20" xfId="0" applyFont="1" applyBorder="1"/>
    <xf numFmtId="43" fontId="12" fillId="10" borderId="20" xfId="1" applyNumberFormat="1" applyFont="1" applyFill="1" applyBorder="1"/>
    <xf numFmtId="44" fontId="13" fillId="3" borderId="45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Border="1"/>
    <xf numFmtId="44" fontId="12" fillId="0" borderId="20" xfId="0" applyNumberFormat="1" applyFont="1" applyBorder="1" applyAlignment="1">
      <alignment horizontal="center"/>
    </xf>
    <xf numFmtId="167" fontId="13" fillId="0" borderId="46" xfId="0" applyNumberFormat="1" applyFont="1" applyBorder="1" applyAlignment="1">
      <alignment horizontal="center"/>
    </xf>
    <xf numFmtId="44" fontId="12" fillId="0" borderId="35" xfId="0" applyNumberFormat="1" applyFont="1" applyBorder="1" applyProtection="1">
      <protection locked="0"/>
    </xf>
    <xf numFmtId="44" fontId="12" fillId="0" borderId="36" xfId="0" applyNumberFormat="1" applyFont="1" applyBorder="1" applyProtection="1">
      <protection locked="0"/>
    </xf>
    <xf numFmtId="40" fontId="12" fillId="0" borderId="43" xfId="1" applyFont="1" applyFill="1" applyBorder="1" applyProtection="1">
      <protection locked="0"/>
    </xf>
    <xf numFmtId="40" fontId="13" fillId="0" borderId="44" xfId="1" applyFont="1" applyFill="1" applyBorder="1"/>
    <xf numFmtId="40" fontId="13" fillId="0" borderId="8" xfId="1" applyFont="1" applyFill="1" applyBorder="1"/>
    <xf numFmtId="40" fontId="12" fillId="0" borderId="43" xfId="1" applyFont="1" applyFill="1" applyBorder="1"/>
    <xf numFmtId="40" fontId="12" fillId="0" borderId="44" xfId="1" applyFont="1" applyFill="1" applyBorder="1"/>
    <xf numFmtId="40" fontId="12" fillId="0" borderId="8" xfId="1" applyFont="1" applyFill="1" applyBorder="1"/>
    <xf numFmtId="40" fontId="49" fillId="0" borderId="43" xfId="1" applyFont="1" applyBorder="1" applyAlignment="1" applyProtection="1">
      <alignment horizontal="left"/>
      <protection locked="0"/>
    </xf>
    <xf numFmtId="40" fontId="47" fillId="0" borderId="43" xfId="1" applyFont="1" applyFill="1" applyBorder="1"/>
    <xf numFmtId="40" fontId="47" fillId="0" borderId="44" xfId="1" applyFont="1" applyFill="1" applyBorder="1"/>
    <xf numFmtId="40" fontId="47" fillId="0" borderId="8" xfId="1" applyFont="1" applyFill="1" applyBorder="1"/>
    <xf numFmtId="40" fontId="13" fillId="0" borderId="43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12" fillId="0" borderId="0" xfId="0" quotePrefix="1" applyFont="1" applyAlignment="1">
      <alignment horizontal="left"/>
    </xf>
    <xf numFmtId="170" fontId="12" fillId="0" borderId="0" xfId="1" quotePrefix="1" applyNumberFormat="1" applyFont="1" applyFill="1"/>
    <xf numFmtId="0" fontId="33" fillId="0" borderId="0" xfId="137" applyFont="1"/>
    <xf numFmtId="43" fontId="12" fillId="0" borderId="0" xfId="2" applyNumberFormat="1" applyFont="1" applyBorder="1"/>
    <xf numFmtId="39" fontId="49" fillId="0" borderId="9" xfId="145" applyFont="1" applyBorder="1" applyAlignment="1" applyProtection="1">
      <alignment horizontal="left"/>
      <protection locked="0"/>
    </xf>
    <xf numFmtId="39" fontId="50" fillId="0" borderId="0" xfId="145" applyFont="1" applyAlignment="1" applyProtection="1">
      <alignment horizontal="left"/>
      <protection locked="0"/>
    </xf>
    <xf numFmtId="172" fontId="12" fillId="4" borderId="0" xfId="1" applyNumberFormat="1" applyFont="1" applyFill="1" applyBorder="1"/>
    <xf numFmtId="17" fontId="13" fillId="0" borderId="0" xfId="0" applyNumberFormat="1" applyFont="1"/>
    <xf numFmtId="43" fontId="12" fillId="10" borderId="0" xfId="1" applyNumberFormat="1" applyFont="1" applyFill="1" applyBorder="1"/>
    <xf numFmtId="37" fontId="12" fillId="0" borderId="0" xfId="136" applyNumberFormat="1" applyFont="1" applyAlignment="1" applyProtection="1">
      <alignment horizontal="center"/>
      <protection locked="0"/>
    </xf>
    <xf numFmtId="43" fontId="26" fillId="0" borderId="20" xfId="138" applyFont="1" applyFill="1" applyBorder="1"/>
    <xf numFmtId="43" fontId="26" fillId="0" borderId="41" xfId="138" applyFont="1" applyFill="1" applyBorder="1"/>
    <xf numFmtId="172" fontId="51" fillId="5" borderId="18" xfId="43" applyNumberFormat="1" applyFont="1" applyFill="1" applyBorder="1"/>
    <xf numFmtId="172" fontId="51" fillId="5" borderId="21" xfId="43" applyNumberFormat="1" applyFont="1" applyFill="1" applyBorder="1"/>
    <xf numFmtId="172" fontId="51" fillId="5" borderId="37" xfId="43" applyNumberFormat="1" applyFont="1" applyFill="1" applyBorder="1"/>
    <xf numFmtId="172" fontId="51" fillId="5" borderId="22" xfId="43" applyNumberFormat="1" applyFont="1" applyFill="1" applyBorder="1"/>
    <xf numFmtId="37" fontId="52" fillId="11" borderId="0" xfId="136" applyNumberFormat="1" applyFont="1" applyFill="1" applyAlignment="1" applyProtection="1">
      <alignment horizontal="center"/>
      <protection locked="0"/>
    </xf>
    <xf numFmtId="40" fontId="34" fillId="0" borderId="0" xfId="1" applyFont="1"/>
    <xf numFmtId="40" fontId="34" fillId="0" borderId="0" xfId="1" applyFont="1" applyFill="1"/>
    <xf numFmtId="40" fontId="1" fillId="0" borderId="0" xfId="1" applyFont="1"/>
    <xf numFmtId="0" fontId="29" fillId="0" borderId="0" xfId="24" applyFont="1"/>
    <xf numFmtId="43" fontId="29" fillId="0" borderId="0" xfId="24" applyNumberFormat="1" applyFont="1"/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39" fontId="12" fillId="0" borderId="0" xfId="145" applyFont="1" applyAlignment="1" applyProtection="1">
      <alignment horizontal="center"/>
      <protection locked="0"/>
    </xf>
    <xf numFmtId="167" fontId="13" fillId="0" borderId="47" xfId="0" applyNumberFormat="1" applyFont="1" applyBorder="1" applyAlignment="1">
      <alignment horizontal="center"/>
    </xf>
    <xf numFmtId="167" fontId="13" fillId="0" borderId="48" xfId="0" applyNumberFormat="1" applyFont="1" applyBorder="1" applyAlignment="1">
      <alignment horizontal="center"/>
    </xf>
    <xf numFmtId="167" fontId="13" fillId="0" borderId="3" xfId="0" applyNumberFormat="1" applyFont="1" applyBorder="1" applyAlignment="1">
      <alignment horizontal="center"/>
    </xf>
    <xf numFmtId="39" fontId="13" fillId="0" borderId="10" xfId="0" applyFont="1" applyBorder="1" applyAlignment="1">
      <alignment horizontal="center"/>
    </xf>
    <xf numFmtId="39" fontId="13" fillId="0" borderId="11" xfId="0" applyFont="1" applyBorder="1" applyAlignment="1">
      <alignment horizontal="center"/>
    </xf>
    <xf numFmtId="39" fontId="13" fillId="0" borderId="14" xfId="0" applyFont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78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BDA4-D800-4C72-8934-D78D8F7466A7}">
  <sheetPr>
    <pageSetUpPr fitToPage="1"/>
  </sheetPr>
  <dimension ref="A1:T1396"/>
  <sheetViews>
    <sheetView zoomScale="60" zoomScaleNormal="60" workbookViewId="0">
      <selection activeCell="C38" sqref="C38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19.7109375" style="5" bestFit="1" customWidth="1"/>
    <col min="6" max="6" width="18.28515625" style="1" bestFit="1" customWidth="1"/>
    <col min="7" max="7" width="18.5703125" style="1" bestFit="1" customWidth="1"/>
    <col min="8" max="9" width="18.28515625" style="1" bestFit="1" customWidth="1"/>
    <col min="10" max="10" width="4.85546875" style="1" bestFit="1" customWidth="1"/>
    <col min="11" max="11" width="22.28515625" style="1" bestFit="1" customWidth="1"/>
    <col min="12" max="12" width="18.140625" style="1" customWidth="1"/>
    <col min="13" max="13" width="18.7109375" style="1" bestFit="1" customWidth="1"/>
    <col min="14" max="14" width="19.42578125" style="1" customWidth="1"/>
    <col min="15" max="15" width="19.140625" style="1" bestFit="1" customWidth="1"/>
    <col min="16" max="18" width="18.140625" style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5.6" customHeight="1">
      <c r="B1" s="141" t="s">
        <v>103</v>
      </c>
      <c r="C1" s="142">
        <v>202301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0.68120000000000003</v>
      </c>
      <c r="H8" s="180">
        <v>0.3155</v>
      </c>
      <c r="I8" s="148">
        <f>1-G8</f>
        <v>0.31879999999999997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2327242.08</v>
      </c>
      <c r="F10" s="182"/>
      <c r="G10" s="183"/>
      <c r="H10" s="182"/>
      <c r="I10" s="173"/>
      <c r="K10" s="21" t="s">
        <v>10</v>
      </c>
      <c r="L10" s="228">
        <v>22533765</v>
      </c>
      <c r="M10" s="156">
        <v>0.10111000000000001</v>
      </c>
      <c r="N10" s="136">
        <f t="shared" ref="N10:N16" si="0">L10*M10</f>
        <v>2278388.97915</v>
      </c>
      <c r="O10" s="21" t="s">
        <v>10</v>
      </c>
      <c r="P10" s="228">
        <v>11449140</v>
      </c>
      <c r="Q10" s="156">
        <v>9.1980000000000006E-2</v>
      </c>
      <c r="R10" s="136">
        <f>P10*Q10</f>
        <v>1053091.8972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46577.54</v>
      </c>
      <c r="F11" s="182"/>
      <c r="G11" s="183"/>
      <c r="H11" s="182"/>
      <c r="I11" s="173"/>
      <c r="K11" s="21" t="s">
        <v>42</v>
      </c>
      <c r="L11" s="228">
        <v>68120</v>
      </c>
      <c r="M11" s="156">
        <v>0.10111000000000001</v>
      </c>
      <c r="N11" s="136">
        <f t="shared" si="0"/>
        <v>6887.6132000000007</v>
      </c>
      <c r="O11" s="21" t="s">
        <v>11</v>
      </c>
      <c r="P11" s="228">
        <v>3806249</v>
      </c>
      <c r="Q11" s="156">
        <f>Q10</f>
        <v>9.1980000000000006E-2</v>
      </c>
      <c r="R11" s="136">
        <f>P11*Q11</f>
        <v>350098.78302000003</v>
      </c>
    </row>
    <row r="12" spans="2:20" ht="15.6" customHeight="1" thickBot="1">
      <c r="B12" s="147" t="s">
        <v>91</v>
      </c>
      <c r="C12" s="3"/>
      <c r="D12" s="3"/>
      <c r="E12" s="192">
        <f>SUM(E10:E11)</f>
        <v>2373819.62</v>
      </c>
      <c r="F12" s="184"/>
      <c r="G12" s="185"/>
      <c r="H12" s="184"/>
      <c r="I12" s="174"/>
      <c r="K12" s="21" t="s">
        <v>11</v>
      </c>
      <c r="L12" s="228">
        <v>9462702</v>
      </c>
      <c r="M12" s="156">
        <v>9.2460000000000001E-2</v>
      </c>
      <c r="N12" s="136">
        <f t="shared" si="0"/>
        <v>874921.42692</v>
      </c>
      <c r="O12" s="21" t="s">
        <v>12</v>
      </c>
      <c r="P12" s="228">
        <v>1513</v>
      </c>
      <c r="Q12" s="156">
        <f t="shared" ref="Q12:Q14" si="1">Q11</f>
        <v>9.1980000000000006E-2</v>
      </c>
      <c r="R12" s="136">
        <f>P12*Q12</f>
        <v>139.16574</v>
      </c>
    </row>
    <row r="13" spans="2:20" ht="15.6" customHeight="1" thickBot="1">
      <c r="B13" s="10" t="s">
        <v>25</v>
      </c>
      <c r="E13" s="193">
        <f>-E11</f>
        <v>-46577.54</v>
      </c>
      <c r="F13" s="182"/>
      <c r="G13" s="183"/>
      <c r="H13" s="182"/>
      <c r="I13" s="173"/>
      <c r="K13" s="21" t="s">
        <v>12</v>
      </c>
      <c r="L13" s="228">
        <v>56109</v>
      </c>
      <c r="M13" s="156">
        <v>9.2460000000000001E-2</v>
      </c>
      <c r="N13" s="136">
        <f t="shared" si="0"/>
        <v>5187.8381399999998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2327242.08</v>
      </c>
      <c r="F14" s="199">
        <f>E14*F8</f>
        <v>1592997.2037599999</v>
      </c>
      <c r="G14" s="200"/>
      <c r="H14" s="199">
        <f>E14*H8</f>
        <v>734244.87624000001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472432</v>
      </c>
      <c r="M15" s="156">
        <v>5.9560000000000002E-2</v>
      </c>
      <c r="N15" s="136">
        <f t="shared" si="0"/>
        <v>28138.049920000001</v>
      </c>
      <c r="O15" s="20" t="s">
        <v>29</v>
      </c>
      <c r="P15" s="115">
        <f>SUM(P10:P14)</f>
        <v>15256902</v>
      </c>
      <c r="Q15" s="116"/>
      <c r="R15" s="18">
        <f>SUM(R10:R14)</f>
        <v>1403329.8459600001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3527093</v>
      </c>
      <c r="M16" s="156">
        <v>5.4000000000000001E-4</v>
      </c>
      <c r="N16" s="136">
        <f t="shared" si="0"/>
        <v>1904.63022</v>
      </c>
      <c r="O16" s="21"/>
      <c r="P16" s="157">
        <v>15256902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76065703.709999993</v>
      </c>
      <c r="F17" s="205"/>
      <c r="G17" s="203"/>
      <c r="H17" s="202"/>
      <c r="I17" s="204"/>
      <c r="K17" s="20" t="s">
        <v>29</v>
      </c>
      <c r="L17" s="115">
        <f>SUM(L10:L16)</f>
        <v>36120221</v>
      </c>
      <c r="M17" s="3"/>
      <c r="N17" s="18">
        <f>SUM(N10:N16)</f>
        <v>3195428.5375500005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15992.06</v>
      </c>
      <c r="F18" s="202"/>
      <c r="G18" s="203"/>
      <c r="H18" s="202"/>
      <c r="I18" s="204"/>
      <c r="K18" s="11"/>
      <c r="L18" s="157">
        <v>36120221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48916.52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9445.6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-26992494.379999999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78775.38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9303643.8900000006</v>
      </c>
      <c r="F23" s="202"/>
      <c r="G23" s="203"/>
      <c r="H23" s="202"/>
      <c r="I23" s="204"/>
      <c r="K23" s="21" t="s">
        <v>10</v>
      </c>
      <c r="L23" s="221">
        <f>+L10</f>
        <v>22533765</v>
      </c>
      <c r="M23" s="156">
        <v>0.35372999999999999</v>
      </c>
      <c r="N23" s="136">
        <f>L23*M23</f>
        <v>7970868.6934500001</v>
      </c>
      <c r="O23" s="21" t="s">
        <v>10</v>
      </c>
      <c r="P23" s="221">
        <f>+P10</f>
        <v>11449140</v>
      </c>
      <c r="Q23" s="156">
        <v>0.34877000000000002</v>
      </c>
      <c r="R23" s="136">
        <f>P23*Q23</f>
        <v>3993116.5578000001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-2881773.56</v>
      </c>
      <c r="F24" s="202"/>
      <c r="G24" s="203"/>
      <c r="H24" s="202"/>
      <c r="I24" s="204"/>
      <c r="K24" s="21" t="s">
        <v>42</v>
      </c>
      <c r="L24" s="221">
        <f t="shared" ref="L24:L28" si="2">+L11</f>
        <v>68120</v>
      </c>
      <c r="M24" s="156">
        <f>M23</f>
        <v>0.35372999999999999</v>
      </c>
      <c r="N24" s="136">
        <f t="shared" ref="N24:N28" si="3">L24*M24</f>
        <v>24096.087599999999</v>
      </c>
      <c r="O24" s="21" t="s">
        <v>11</v>
      </c>
      <c r="P24" s="221">
        <f t="shared" ref="P24:P27" si="4">+P11</f>
        <v>3806249</v>
      </c>
      <c r="Q24" s="156">
        <f>Q23</f>
        <v>0.34877000000000002</v>
      </c>
      <c r="R24" s="136">
        <f t="shared" ref="R24:R27" si="5">P24*Q24</f>
        <v>1327505.4637300002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-16984.25</v>
      </c>
      <c r="F25" s="202"/>
      <c r="G25" s="203"/>
      <c r="H25" s="202"/>
      <c r="I25" s="204"/>
      <c r="K25" s="21" t="s">
        <v>11</v>
      </c>
      <c r="L25" s="221">
        <f t="shared" si="2"/>
        <v>9462702</v>
      </c>
      <c r="M25" s="156">
        <f t="shared" ref="M25:M28" si="6">M24</f>
        <v>0.35372999999999999</v>
      </c>
      <c r="N25" s="136">
        <f t="shared" si="3"/>
        <v>3347241.57846</v>
      </c>
      <c r="O25" s="21" t="s">
        <v>12</v>
      </c>
      <c r="P25" s="221">
        <f t="shared" si="4"/>
        <v>1513</v>
      </c>
      <c r="Q25" s="156">
        <f t="shared" ref="Q25:Q27" si="7">Q24</f>
        <v>0.34877000000000002</v>
      </c>
      <c r="R25" s="136">
        <f t="shared" si="5"/>
        <v>527.68901000000005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-40231256.439999998</v>
      </c>
      <c r="F26" s="205"/>
      <c r="G26" s="203"/>
      <c r="H26" s="202"/>
      <c r="I26" s="204"/>
      <c r="K26" s="21" t="s">
        <v>12</v>
      </c>
      <c r="L26" s="221">
        <f t="shared" si="2"/>
        <v>56109</v>
      </c>
      <c r="M26" s="156">
        <f t="shared" si="6"/>
        <v>0.35372999999999999</v>
      </c>
      <c r="N26" s="136">
        <f t="shared" si="3"/>
        <v>19847.436569999998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55845292.280000001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-1540439.11</v>
      </c>
      <c r="F28" s="202"/>
      <c r="G28" s="203"/>
      <c r="H28" s="202"/>
      <c r="I28" s="204"/>
      <c r="K28" s="21" t="s">
        <v>14</v>
      </c>
      <c r="L28" s="221">
        <f t="shared" si="2"/>
        <v>472432</v>
      </c>
      <c r="M28" s="156">
        <f t="shared" si="6"/>
        <v>0.35372999999999999</v>
      </c>
      <c r="N28" s="136">
        <f t="shared" si="3"/>
        <v>167113.37135999999</v>
      </c>
      <c r="O28" s="20" t="s">
        <v>31</v>
      </c>
      <c r="P28" s="115">
        <f>SUM(P23:P27)</f>
        <v>15256902</v>
      </c>
      <c r="Q28" s="116"/>
      <c r="R28" s="18">
        <f>SUM(R23:R27)</f>
        <v>5321149.7105400003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32593128</v>
      </c>
      <c r="M29" s="116"/>
      <c r="N29" s="123">
        <f>SUM(N23:N28)</f>
        <v>11529167.167440001</v>
      </c>
      <c r="O29" s="20"/>
      <c r="P29" s="157">
        <v>15256902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32593128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46577.54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69282649.24000001</v>
      </c>
      <c r="F32" s="209"/>
      <c r="G32" s="183">
        <f>E32*G8</f>
        <v>47195340.66228801</v>
      </c>
      <c r="H32" s="112"/>
      <c r="I32" s="173">
        <f>E32*I8</f>
        <v>22087308.577711999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319347.89</v>
      </c>
      <c r="F35" s="202"/>
      <c r="G35" s="183">
        <f>E35</f>
        <v>319347.89</v>
      </c>
      <c r="H35" s="112"/>
      <c r="I35" s="173"/>
      <c r="K35" s="10" t="s">
        <v>99</v>
      </c>
      <c r="L35" s="113">
        <f>$F$39</f>
        <v>1592997.2037599999</v>
      </c>
      <c r="M35" s="113">
        <f>G39</f>
        <v>47514688.552288011</v>
      </c>
      <c r="N35" s="113">
        <f>$H$39</f>
        <v>734244.87624000001</v>
      </c>
      <c r="O35" s="113">
        <f>I39</f>
        <v>22245688.187711999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158379.60999999999</v>
      </c>
      <c r="F36" s="202"/>
      <c r="G36" s="183"/>
      <c r="H36" s="112"/>
      <c r="I36" s="173">
        <f>E36</f>
        <v>158379.60999999999</v>
      </c>
      <c r="K36" s="10" t="s">
        <v>102</v>
      </c>
      <c r="L36" s="158">
        <f>-$N$17</f>
        <v>-3195428.5375500005</v>
      </c>
      <c r="M36" s="158">
        <f>-N29</f>
        <v>-11529167.167440001</v>
      </c>
      <c r="N36" s="158">
        <f>-$R$15</f>
        <v>-1403329.8459600001</v>
      </c>
      <c r="O36" s="158">
        <f>-R28</f>
        <v>-5321149.7105400003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69760376.74000001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-1602431.3337900005</v>
      </c>
      <c r="M37" s="118">
        <f>SUM(M35:M36)</f>
        <v>35985521.384848014</v>
      </c>
      <c r="N37" s="118">
        <f t="shared" si="8"/>
        <v>-669084.96972000005</v>
      </c>
      <c r="O37" s="118">
        <f t="shared" si="8"/>
        <v>16924538.477171998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72087618.820000008</v>
      </c>
      <c r="F39" s="197">
        <f>SUM(F14:F37)</f>
        <v>1592997.2037599999</v>
      </c>
      <c r="G39" s="198">
        <f t="shared" ref="G39:I39" si="9">SUM(G14:G37)</f>
        <v>47514688.552288011</v>
      </c>
      <c r="H39" s="197">
        <f t="shared" si="9"/>
        <v>734244.87624000001</v>
      </c>
      <c r="I39" s="155">
        <f t="shared" si="9"/>
        <v>22245688.187711999</v>
      </c>
      <c r="K39" s="164"/>
      <c r="L39" s="166" t="s">
        <v>36</v>
      </c>
      <c r="M39" s="127">
        <f>SUM(L37:M37)</f>
        <v>34383090.051058009</v>
      </c>
      <c r="N39" s="167" t="s">
        <v>37</v>
      </c>
      <c r="O39" s="127">
        <f>SUM(N37:O37)</f>
        <v>16255453.507451998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72087618.819999993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77" priority="26" operator="equal">
      <formula>"ERROR"</formula>
    </cfRule>
  </conditionalFormatting>
  <conditionalFormatting sqref="E42">
    <cfRule type="cellIs" dxfId="76" priority="1" stopIfTrue="1" operator="equal">
      <formula>0</formula>
    </cfRule>
    <cfRule type="cellIs" dxfId="75" priority="2" stopIfTrue="1" operator="notEqual">
      <formula>0</formula>
    </cfRule>
    <cfRule type="cellIs" dxfId="74" priority="3" stopIfTrue="1" operator="equal">
      <formula>0</formula>
    </cfRule>
    <cfRule type="cellIs" dxfId="73" priority="4" stopIfTrue="1" operator="notEqual">
      <formula>0</formula>
    </cfRule>
  </conditionalFormatting>
  <conditionalFormatting sqref="L19">
    <cfRule type="cellIs" dxfId="72" priority="21" stopIfTrue="1" operator="equal">
      <formula>0</formula>
    </cfRule>
    <cfRule type="cellIs" dxfId="71" priority="22" stopIfTrue="1" operator="notEqual">
      <formula>0</formula>
    </cfRule>
    <cfRule type="cellIs" dxfId="70" priority="23" stopIfTrue="1" operator="equal">
      <formula>0</formula>
    </cfRule>
    <cfRule type="cellIs" dxfId="69" priority="24" stopIfTrue="1" operator="notEqual">
      <formula>0</formula>
    </cfRule>
  </conditionalFormatting>
  <conditionalFormatting sqref="L31">
    <cfRule type="cellIs" dxfId="68" priority="17" stopIfTrue="1" operator="equal">
      <formula>0</formula>
    </cfRule>
    <cfRule type="cellIs" dxfId="67" priority="18" stopIfTrue="1" operator="notEqual">
      <formula>0</formula>
    </cfRule>
    <cfRule type="cellIs" dxfId="66" priority="19" stopIfTrue="1" operator="equal">
      <formula>0</formula>
    </cfRule>
    <cfRule type="cellIs" dxfId="65" priority="20" stopIfTrue="1" operator="notEqual">
      <formula>0</formula>
    </cfRule>
  </conditionalFormatting>
  <conditionalFormatting sqref="P17">
    <cfRule type="cellIs" dxfId="64" priority="13" stopIfTrue="1" operator="equal">
      <formula>0</formula>
    </cfRule>
    <cfRule type="cellIs" dxfId="63" priority="14" stopIfTrue="1" operator="notEqual">
      <formula>0</formula>
    </cfRule>
    <cfRule type="cellIs" dxfId="62" priority="15" stopIfTrue="1" operator="equal">
      <formula>0</formula>
    </cfRule>
    <cfRule type="cellIs" dxfId="61" priority="16" stopIfTrue="1" operator="notEqual">
      <formula>0</formula>
    </cfRule>
  </conditionalFormatting>
  <conditionalFormatting sqref="P30">
    <cfRule type="cellIs" dxfId="60" priority="9" stopIfTrue="1" operator="equal">
      <formula>0</formula>
    </cfRule>
    <cfRule type="cellIs" dxfId="59" priority="10" stopIfTrue="1" operator="notEqual">
      <formula>0</formula>
    </cfRule>
    <cfRule type="cellIs" dxfId="58" priority="11" stopIfTrue="1" operator="equal">
      <formula>0</formula>
    </cfRule>
    <cfRule type="cellIs" dxfId="57" priority="12" stopIfTrue="1" operator="notEqual">
      <formula>0</formula>
    </cfRule>
  </conditionalFormatting>
  <conditionalFormatting sqref="P31">
    <cfRule type="cellIs" dxfId="56" priority="25" operator="notEqual">
      <formula>0</formula>
    </cfRule>
  </conditionalFormatting>
  <conditionalFormatting sqref="P35:P36">
    <cfRule type="cellIs" dxfId="55" priority="5" stopIfTrue="1" operator="equal">
      <formula>0</formula>
    </cfRule>
    <cfRule type="cellIs" dxfId="54" priority="6" stopIfTrue="1" operator="notEqual">
      <formula>0</formula>
    </cfRule>
    <cfRule type="cellIs" dxfId="53" priority="7" stopIfTrue="1" operator="equal">
      <formula>0</formula>
    </cfRule>
    <cfRule type="cellIs" dxfId="52" priority="8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1581-41A8-48EE-808B-97D4B64E4584}">
  <sheetPr>
    <pageSetUpPr fitToPage="1"/>
  </sheetPr>
  <dimension ref="A1:T1396"/>
  <sheetViews>
    <sheetView zoomScale="60" zoomScaleNormal="60" workbookViewId="0">
      <selection activeCell="E48" sqref="E48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19.7109375" style="5" bestFit="1" customWidth="1"/>
    <col min="6" max="6" width="18.28515625" style="1" bestFit="1" customWidth="1"/>
    <col min="7" max="7" width="18.5703125" style="1" bestFit="1" customWidth="1"/>
    <col min="8" max="9" width="18.28515625" style="1" bestFit="1" customWidth="1"/>
    <col min="10" max="10" width="4.85546875" style="1" bestFit="1" customWidth="1"/>
    <col min="11" max="11" width="22.28515625" style="1" bestFit="1" customWidth="1"/>
    <col min="12" max="12" width="18.140625" style="1" customWidth="1"/>
    <col min="13" max="13" width="18.7109375" style="1" bestFit="1" customWidth="1"/>
    <col min="14" max="14" width="19.42578125" style="1" customWidth="1"/>
    <col min="15" max="15" width="19.140625" style="1" bestFit="1" customWidth="1"/>
    <col min="16" max="18" width="18.140625" style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5.6" customHeight="1">
      <c r="B1" s="141" t="s">
        <v>103</v>
      </c>
      <c r="C1" s="142">
        <v>202302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0.67430000000000001</v>
      </c>
      <c r="H8" s="180">
        <v>0.3155</v>
      </c>
      <c r="I8" s="148">
        <f>1-G8</f>
        <v>0.32569999999999999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2194463.23</v>
      </c>
      <c r="F10" s="182"/>
      <c r="G10" s="183"/>
      <c r="H10" s="182"/>
      <c r="I10" s="173"/>
      <c r="K10" s="21" t="s">
        <v>10</v>
      </c>
      <c r="L10" s="228">
        <v>19928457</v>
      </c>
      <c r="M10" s="156">
        <v>0.10111000000000001</v>
      </c>
      <c r="N10" s="136">
        <f t="shared" ref="N10:N16" si="0">L10*M10</f>
        <v>2014966.2872700002</v>
      </c>
      <c r="O10" s="21" t="s">
        <v>10</v>
      </c>
      <c r="P10" s="228">
        <v>10865050</v>
      </c>
      <c r="Q10" s="156">
        <v>9.1980000000000006E-2</v>
      </c>
      <c r="R10" s="136">
        <f>P10*Q10</f>
        <v>999367.29900000012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37997.24</v>
      </c>
      <c r="F11" s="182"/>
      <c r="G11" s="183"/>
      <c r="H11" s="182"/>
      <c r="I11" s="173"/>
      <c r="K11" s="21" t="s">
        <v>42</v>
      </c>
      <c r="L11" s="228">
        <v>60896</v>
      </c>
      <c r="M11" s="156">
        <v>0.10111000000000001</v>
      </c>
      <c r="N11" s="136">
        <f t="shared" si="0"/>
        <v>6157.1945599999999</v>
      </c>
      <c r="O11" s="21" t="s">
        <v>11</v>
      </c>
      <c r="P11" s="228">
        <v>2660161</v>
      </c>
      <c r="Q11" s="156">
        <f>Q10</f>
        <v>9.1980000000000006E-2</v>
      </c>
      <c r="R11" s="136">
        <f>P11*Q11</f>
        <v>244681.60878000001</v>
      </c>
    </row>
    <row r="12" spans="2:20" ht="15.6" customHeight="1" thickBot="1">
      <c r="B12" s="147" t="s">
        <v>91</v>
      </c>
      <c r="C12" s="3"/>
      <c r="D12" s="3"/>
      <c r="E12" s="192">
        <f>SUM(E10:E11)</f>
        <v>2232460.4700000002</v>
      </c>
      <c r="F12" s="184"/>
      <c r="G12" s="185"/>
      <c r="H12" s="184"/>
      <c r="I12" s="174"/>
      <c r="K12" s="21" t="s">
        <v>11</v>
      </c>
      <c r="L12" s="228">
        <v>7728313</v>
      </c>
      <c r="M12" s="156">
        <v>9.2460000000000001E-2</v>
      </c>
      <c r="N12" s="136">
        <f t="shared" si="0"/>
        <v>714559.81998000003</v>
      </c>
      <c r="O12" s="21" t="s">
        <v>12</v>
      </c>
      <c r="P12" s="228">
        <v>1166</v>
      </c>
      <c r="Q12" s="156">
        <f t="shared" ref="Q12:Q14" si="1">Q11</f>
        <v>9.1980000000000006E-2</v>
      </c>
      <c r="R12" s="136">
        <f>P12*Q12</f>
        <v>107.24868000000001</v>
      </c>
    </row>
    <row r="13" spans="2:20" ht="15.6" customHeight="1" thickBot="1">
      <c r="B13" s="10" t="s">
        <v>25</v>
      </c>
      <c r="E13" s="193">
        <f>-E11</f>
        <v>-37997.24</v>
      </c>
      <c r="F13" s="182"/>
      <c r="G13" s="183"/>
      <c r="H13" s="182"/>
      <c r="I13" s="173"/>
      <c r="K13" s="21" t="s">
        <v>12</v>
      </c>
      <c r="L13" s="228">
        <v>55024</v>
      </c>
      <c r="M13" s="156">
        <v>9.2460000000000001E-2</v>
      </c>
      <c r="N13" s="136">
        <f t="shared" si="0"/>
        <v>5087.5190400000001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2194463.23</v>
      </c>
      <c r="F14" s="199">
        <f>E14*F8</f>
        <v>1502110.080935</v>
      </c>
      <c r="G14" s="200"/>
      <c r="H14" s="199">
        <f>E14*H8</f>
        <v>692353.14906500001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229126</v>
      </c>
      <c r="M15" s="156">
        <v>5.9560000000000002E-2</v>
      </c>
      <c r="N15" s="136">
        <f t="shared" si="0"/>
        <v>13646.744560000001</v>
      </c>
      <c r="O15" s="20" t="s">
        <v>29</v>
      </c>
      <c r="P15" s="115">
        <f>SUM(P10:P14)</f>
        <v>13526377</v>
      </c>
      <c r="Q15" s="116"/>
      <c r="R15" s="18">
        <f>SUM(R10:R14)</f>
        <v>1244156.15646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3276459</v>
      </c>
      <c r="M16" s="156">
        <v>5.4000000000000001E-4</v>
      </c>
      <c r="N16" s="136">
        <f t="shared" si="0"/>
        <v>1769.2878599999999</v>
      </c>
      <c r="O16" s="21"/>
      <c r="P16" s="157">
        <v>13526377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21308662.32</v>
      </c>
      <c r="F17" s="205"/>
      <c r="G17" s="203"/>
      <c r="H17" s="202"/>
      <c r="I17" s="204"/>
      <c r="K17" s="20" t="s">
        <v>29</v>
      </c>
      <c r="L17" s="115">
        <f>SUM(L10:L16)</f>
        <v>31278275</v>
      </c>
      <c r="M17" s="3"/>
      <c r="N17" s="18">
        <f>SUM(N10:N16)</f>
        <v>2756186.8532700003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25201.35</v>
      </c>
      <c r="F18" s="202"/>
      <c r="G18" s="203"/>
      <c r="H18" s="202"/>
      <c r="I18" s="204"/>
      <c r="K18" s="11"/>
      <c r="L18" s="157">
        <v>31278275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76086.36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15795.68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-659869.35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968817.96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7431177.4500000002</v>
      </c>
      <c r="F23" s="202"/>
      <c r="G23" s="203"/>
      <c r="H23" s="202"/>
      <c r="I23" s="204"/>
      <c r="K23" s="21" t="s">
        <v>10</v>
      </c>
      <c r="L23" s="221">
        <f>+L10</f>
        <v>19928457</v>
      </c>
      <c r="M23" s="156">
        <v>0.35372999999999999</v>
      </c>
      <c r="N23" s="136">
        <f>L23*M23</f>
        <v>7049293.09461</v>
      </c>
      <c r="O23" s="21" t="s">
        <v>10</v>
      </c>
      <c r="P23" s="221">
        <f>+P10</f>
        <v>10865050</v>
      </c>
      <c r="Q23" s="156">
        <v>0.34877000000000002</v>
      </c>
      <c r="R23" s="136">
        <f>P23*Q23</f>
        <v>3789403.4885000004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-119915.77</v>
      </c>
      <c r="F24" s="202"/>
      <c r="G24" s="203"/>
      <c r="H24" s="202"/>
      <c r="I24" s="204"/>
      <c r="K24" s="21" t="s">
        <v>42</v>
      </c>
      <c r="L24" s="221">
        <f t="shared" ref="L24:L28" si="2">+L11</f>
        <v>60896</v>
      </c>
      <c r="M24" s="156">
        <f>M23</f>
        <v>0.35372999999999999</v>
      </c>
      <c r="N24" s="136">
        <f t="shared" ref="N24:N28" si="3">L24*M24</f>
        <v>21540.74208</v>
      </c>
      <c r="O24" s="21" t="s">
        <v>11</v>
      </c>
      <c r="P24" s="221">
        <f t="shared" ref="P24:P27" si="4">+P11</f>
        <v>2660161</v>
      </c>
      <c r="Q24" s="156">
        <f>Q23</f>
        <v>0.34877000000000002</v>
      </c>
      <c r="R24" s="136">
        <f t="shared" ref="R24:R27" si="5">P24*Q24</f>
        <v>927784.35197000008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-49337.39</v>
      </c>
      <c r="F25" s="202"/>
      <c r="G25" s="203"/>
      <c r="H25" s="202"/>
      <c r="I25" s="204"/>
      <c r="K25" s="21" t="s">
        <v>11</v>
      </c>
      <c r="L25" s="221">
        <f t="shared" si="2"/>
        <v>7728313</v>
      </c>
      <c r="M25" s="156">
        <f t="shared" ref="M25:M28" si="6">M24</f>
        <v>0.35372999999999999</v>
      </c>
      <c r="N25" s="136">
        <f t="shared" si="3"/>
        <v>2733736.1574900001</v>
      </c>
      <c r="O25" s="21" t="s">
        <v>12</v>
      </c>
      <c r="P25" s="221">
        <f t="shared" si="4"/>
        <v>1166</v>
      </c>
      <c r="Q25" s="156">
        <f t="shared" ref="Q25:Q27" si="7">Q24</f>
        <v>0.34877000000000002</v>
      </c>
      <c r="R25" s="136">
        <f t="shared" si="5"/>
        <v>406.66582000000005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-7616217.8200000003</v>
      </c>
      <c r="F26" s="205"/>
      <c r="G26" s="203"/>
      <c r="H26" s="202"/>
      <c r="I26" s="204"/>
      <c r="K26" s="21" t="s">
        <v>12</v>
      </c>
      <c r="L26" s="221">
        <f t="shared" si="2"/>
        <v>55024</v>
      </c>
      <c r="M26" s="156">
        <f t="shared" si="6"/>
        <v>0.35372999999999999</v>
      </c>
      <c r="N26" s="136">
        <f t="shared" si="3"/>
        <v>19463.639520000001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3887278.49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-271324.55</v>
      </c>
      <c r="F28" s="202"/>
      <c r="G28" s="203"/>
      <c r="H28" s="202"/>
      <c r="I28" s="204"/>
      <c r="K28" s="21" t="s">
        <v>14</v>
      </c>
      <c r="L28" s="221">
        <f t="shared" si="2"/>
        <v>229126</v>
      </c>
      <c r="M28" s="156">
        <f t="shared" si="6"/>
        <v>0.35372999999999999</v>
      </c>
      <c r="N28" s="136">
        <f t="shared" si="3"/>
        <v>81048.739979999998</v>
      </c>
      <c r="O28" s="20" t="s">
        <v>31</v>
      </c>
      <c r="P28" s="115">
        <f>SUM(P23:P27)</f>
        <v>13526377</v>
      </c>
      <c r="Q28" s="116"/>
      <c r="R28" s="18">
        <f>SUM(R23:R27)</f>
        <v>4717594.5062899999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28001816</v>
      </c>
      <c r="M29" s="116"/>
      <c r="N29" s="123">
        <f>SUM(N23:N28)</f>
        <v>9905082.3736800011</v>
      </c>
      <c r="O29" s="20"/>
      <c r="P29" s="157">
        <v>13526377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28001816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37997.24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24565601.969999999</v>
      </c>
      <c r="F32" s="209"/>
      <c r="G32" s="183">
        <f>E32*G8</f>
        <v>16564585.408371</v>
      </c>
      <c r="H32" s="112"/>
      <c r="I32" s="173">
        <f>E32*I8</f>
        <v>8001016.5616289992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143815.22</v>
      </c>
      <c r="F35" s="202"/>
      <c r="G35" s="183">
        <f>E35</f>
        <v>143815.22</v>
      </c>
      <c r="H35" s="112"/>
      <c r="I35" s="173"/>
      <c r="K35" s="10" t="s">
        <v>99</v>
      </c>
      <c r="L35" s="113">
        <f>$F$39</f>
        <v>1502110.080935</v>
      </c>
      <c r="M35" s="113">
        <f>G39</f>
        <v>16708400.628371</v>
      </c>
      <c r="N35" s="113">
        <f>$H$39</f>
        <v>692353.14906500001</v>
      </c>
      <c r="O35" s="113">
        <f>I39</f>
        <v>8065656.401628999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64639.839999999997</v>
      </c>
      <c r="F36" s="202"/>
      <c r="G36" s="183"/>
      <c r="H36" s="112"/>
      <c r="I36" s="173">
        <f>E36</f>
        <v>64639.839999999997</v>
      </c>
      <c r="K36" s="10" t="s">
        <v>102</v>
      </c>
      <c r="L36" s="158">
        <f>-$N$17</f>
        <v>-2756186.8532700003</v>
      </c>
      <c r="M36" s="158">
        <f>-N29</f>
        <v>-9905082.3736800011</v>
      </c>
      <c r="N36" s="158">
        <f>-$R$15</f>
        <v>-1244156.15646</v>
      </c>
      <c r="O36" s="158">
        <f>-R28</f>
        <v>-4717594.5062899999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24774057.029999997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-1254076.7723350003</v>
      </c>
      <c r="M37" s="118">
        <f>SUM(M35:M36)</f>
        <v>6803318.2546909992</v>
      </c>
      <c r="N37" s="118">
        <f t="shared" si="8"/>
        <v>-551803.00739499996</v>
      </c>
      <c r="O37" s="118">
        <f t="shared" si="8"/>
        <v>3348061.8953389991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26968520.259999998</v>
      </c>
      <c r="F39" s="197">
        <f>SUM(F14:F37)</f>
        <v>1502110.080935</v>
      </c>
      <c r="G39" s="198">
        <f t="shared" ref="G39:I39" si="9">SUM(G14:G37)</f>
        <v>16708400.628371</v>
      </c>
      <c r="H39" s="197">
        <f t="shared" si="9"/>
        <v>692353.14906500001</v>
      </c>
      <c r="I39" s="155">
        <f t="shared" si="9"/>
        <v>8065656.401628999</v>
      </c>
      <c r="K39" s="164"/>
      <c r="L39" s="166" t="s">
        <v>36</v>
      </c>
      <c r="M39" s="127">
        <f>SUM(L37:M37)</f>
        <v>5549241.4823559988</v>
      </c>
      <c r="N39" s="167" t="s">
        <v>37</v>
      </c>
      <c r="O39" s="127">
        <f>SUM(N37:O37)</f>
        <v>2796258.8879439989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26968520.260000002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Amort'!H36:H45)+SUM(#REF!)+SUM(#REF!)-0.01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1" priority="26" operator="equal">
      <formula>"ERROR"</formula>
    </cfRule>
  </conditionalFormatting>
  <conditionalFormatting sqref="E42">
    <cfRule type="cellIs" dxfId="50" priority="1" stopIfTrue="1" operator="equal">
      <formula>0</formula>
    </cfRule>
    <cfRule type="cellIs" dxfId="49" priority="2" stopIfTrue="1" operator="notEqual">
      <formula>0</formula>
    </cfRule>
    <cfRule type="cellIs" dxfId="48" priority="3" stopIfTrue="1" operator="equal">
      <formula>0</formula>
    </cfRule>
    <cfRule type="cellIs" dxfId="47" priority="4" stopIfTrue="1" operator="notEqual">
      <formula>0</formula>
    </cfRule>
  </conditionalFormatting>
  <conditionalFormatting sqref="L19">
    <cfRule type="cellIs" dxfId="46" priority="21" stopIfTrue="1" operator="equal">
      <formula>0</formula>
    </cfRule>
    <cfRule type="cellIs" dxfId="45" priority="22" stopIfTrue="1" operator="notEqual">
      <formula>0</formula>
    </cfRule>
    <cfRule type="cellIs" dxfId="44" priority="23" stopIfTrue="1" operator="equal">
      <formula>0</formula>
    </cfRule>
    <cfRule type="cellIs" dxfId="43" priority="24" stopIfTrue="1" operator="notEqual">
      <formula>0</formula>
    </cfRule>
  </conditionalFormatting>
  <conditionalFormatting sqref="L31">
    <cfRule type="cellIs" dxfId="42" priority="17" stopIfTrue="1" operator="equal">
      <formula>0</formula>
    </cfRule>
    <cfRule type="cellIs" dxfId="41" priority="18" stopIfTrue="1" operator="notEqual">
      <formula>0</formula>
    </cfRule>
    <cfRule type="cellIs" dxfId="40" priority="19" stopIfTrue="1" operator="equal">
      <formula>0</formula>
    </cfRule>
    <cfRule type="cellIs" dxfId="39" priority="20" stopIfTrue="1" operator="notEqual">
      <formula>0</formula>
    </cfRule>
  </conditionalFormatting>
  <conditionalFormatting sqref="P17">
    <cfRule type="cellIs" dxfId="38" priority="13" stopIfTrue="1" operator="equal">
      <formula>0</formula>
    </cfRule>
    <cfRule type="cellIs" dxfId="37" priority="14" stopIfTrue="1" operator="notEqual">
      <formula>0</formula>
    </cfRule>
    <cfRule type="cellIs" dxfId="36" priority="15" stopIfTrue="1" operator="equal">
      <formula>0</formula>
    </cfRule>
    <cfRule type="cellIs" dxfId="35" priority="16" stopIfTrue="1" operator="notEqual">
      <formula>0</formula>
    </cfRule>
  </conditionalFormatting>
  <conditionalFormatting sqref="P30">
    <cfRule type="cellIs" dxfId="34" priority="9" stopIfTrue="1" operator="equal">
      <formula>0</formula>
    </cfRule>
    <cfRule type="cellIs" dxfId="33" priority="10" stopIfTrue="1" operator="notEqual">
      <formula>0</formula>
    </cfRule>
    <cfRule type="cellIs" dxfId="32" priority="11" stopIfTrue="1" operator="equal">
      <formula>0</formula>
    </cfRule>
    <cfRule type="cellIs" dxfId="31" priority="12" stopIfTrue="1" operator="notEqual">
      <formula>0</formula>
    </cfRule>
  </conditionalFormatting>
  <conditionalFormatting sqref="P31">
    <cfRule type="cellIs" dxfId="30" priority="25" operator="notEqual">
      <formula>0</formula>
    </cfRule>
  </conditionalFormatting>
  <conditionalFormatting sqref="P35:P36">
    <cfRule type="cellIs" dxfId="29" priority="5" stopIfTrue="1" operator="equal">
      <formula>0</formula>
    </cfRule>
    <cfRule type="cellIs" dxfId="28" priority="6" stopIfTrue="1" operator="notEqual">
      <formula>0</formula>
    </cfRule>
    <cfRule type="cellIs" dxfId="27" priority="7" stopIfTrue="1" operator="equal">
      <formula>0</formula>
    </cfRule>
    <cfRule type="cellIs" dxfId="26" priority="8" stopIfTrue="1" operator="notEqual">
      <formula>0</formula>
    </cfRule>
  </conditionalFormatting>
  <printOptions horizontalCentered="1"/>
  <pageMargins left="0.1" right="0.1" top="0.5" bottom="0.5" header="0.3" footer="0.3"/>
  <pageSetup scale="42" orientation="landscape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F0C4-82AE-43D3-9BDC-F3F60BA78872}">
  <sheetPr>
    <pageSetUpPr fitToPage="1"/>
  </sheetPr>
  <dimension ref="A1:T1396"/>
  <sheetViews>
    <sheetView tabSelected="1" zoomScale="50" zoomScaleNormal="50" workbookViewId="0">
      <selection activeCell="I58" sqref="I58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25.140625" style="5" bestFit="1" customWidth="1"/>
    <col min="6" max="6" width="18.28515625" style="1" bestFit="1" customWidth="1"/>
    <col min="7" max="7" width="19.7109375" style="1" bestFit="1" customWidth="1"/>
    <col min="8" max="9" width="18.28515625" style="1" bestFit="1" customWidth="1"/>
    <col min="10" max="10" width="4.85546875" style="1" bestFit="1" customWidth="1"/>
    <col min="11" max="11" width="29" style="1" bestFit="1" customWidth="1"/>
    <col min="12" max="12" width="22.5703125" style="1" bestFit="1" customWidth="1"/>
    <col min="13" max="13" width="24.42578125" style="1" bestFit="1" customWidth="1"/>
    <col min="14" max="14" width="24" style="1" bestFit="1" customWidth="1"/>
    <col min="15" max="15" width="24.140625" style="1" bestFit="1" customWidth="1"/>
    <col min="16" max="17" width="18.140625" style="1" customWidth="1"/>
    <col min="18" max="18" width="23" style="1" bestFit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8">
      <c r="B1" s="141" t="s">
        <v>103</v>
      </c>
      <c r="C1" s="142">
        <v>202303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0.66879999999999995</v>
      </c>
      <c r="H8" s="180">
        <v>0.3155</v>
      </c>
      <c r="I8" s="148">
        <f>1-G8</f>
        <v>0.33120000000000005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2344809.56</v>
      </c>
      <c r="F10" s="182"/>
      <c r="G10" s="183"/>
      <c r="H10" s="182"/>
      <c r="I10" s="173"/>
      <c r="K10" s="21" t="s">
        <v>10</v>
      </c>
      <c r="L10" s="228">
        <v>16463840</v>
      </c>
      <c r="M10" s="156">
        <v>0.10111000000000001</v>
      </c>
      <c r="N10" s="136">
        <f t="shared" ref="N10:N16" si="0">L10*M10</f>
        <v>1664658.8624</v>
      </c>
      <c r="O10" s="21" t="s">
        <v>10</v>
      </c>
      <c r="P10" s="228">
        <v>8627125</v>
      </c>
      <c r="Q10" s="156">
        <v>9.1980000000000006E-2</v>
      </c>
      <c r="R10" s="136">
        <f>P10*Q10</f>
        <v>793522.95750000002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41758.32</v>
      </c>
      <c r="F11" s="182"/>
      <c r="G11" s="183"/>
      <c r="H11" s="182"/>
      <c r="I11" s="173"/>
      <c r="K11" s="21" t="s">
        <v>42</v>
      </c>
      <c r="L11" s="228">
        <v>55607</v>
      </c>
      <c r="M11" s="156">
        <v>0.10111000000000001</v>
      </c>
      <c r="N11" s="136">
        <f t="shared" si="0"/>
        <v>5622.4237700000003</v>
      </c>
      <c r="O11" s="21" t="s">
        <v>11</v>
      </c>
      <c r="P11" s="228">
        <v>3486138</v>
      </c>
      <c r="Q11" s="156">
        <f>Q10</f>
        <v>9.1980000000000006E-2</v>
      </c>
      <c r="R11" s="136">
        <f>P11*Q11</f>
        <v>320654.97324000002</v>
      </c>
    </row>
    <row r="12" spans="2:20" ht="15.6" customHeight="1" thickBot="1">
      <c r="B12" s="147" t="s">
        <v>91</v>
      </c>
      <c r="C12" s="3"/>
      <c r="D12" s="3"/>
      <c r="E12" s="192">
        <f>SUM(E10:E11)</f>
        <v>2386567.88</v>
      </c>
      <c r="F12" s="184"/>
      <c r="G12" s="185"/>
      <c r="H12" s="184"/>
      <c r="I12" s="174"/>
      <c r="K12" s="21" t="s">
        <v>11</v>
      </c>
      <c r="L12" s="228">
        <v>7564231</v>
      </c>
      <c r="M12" s="156">
        <v>9.2460000000000001E-2</v>
      </c>
      <c r="N12" s="136">
        <f t="shared" si="0"/>
        <v>699388.79825999995</v>
      </c>
      <c r="O12" s="21" t="s">
        <v>12</v>
      </c>
      <c r="P12" s="228">
        <v>1342</v>
      </c>
      <c r="Q12" s="156">
        <f t="shared" ref="Q12:Q14" si="1">Q11</f>
        <v>9.1980000000000006E-2</v>
      </c>
      <c r="R12" s="136">
        <f>P12*Q12</f>
        <v>123.43716000000001</v>
      </c>
    </row>
    <row r="13" spans="2:20" ht="15.6" customHeight="1" thickBot="1">
      <c r="B13" s="10" t="s">
        <v>25</v>
      </c>
      <c r="E13" s="193">
        <f>-E11</f>
        <v>-41758.32</v>
      </c>
      <c r="F13" s="182"/>
      <c r="G13" s="183"/>
      <c r="H13" s="182"/>
      <c r="I13" s="173"/>
      <c r="K13" s="21" t="s">
        <v>12</v>
      </c>
      <c r="L13" s="228">
        <v>33867</v>
      </c>
      <c r="M13" s="156">
        <v>9.2460000000000001E-2</v>
      </c>
      <c r="N13" s="136">
        <f t="shared" si="0"/>
        <v>3131.3428199999998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2344809.56</v>
      </c>
      <c r="F14" s="199">
        <f>E14*F8</f>
        <v>1605022.1438200001</v>
      </c>
      <c r="G14" s="200"/>
      <c r="H14" s="199">
        <f>E14*H8</f>
        <v>739787.41618000006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349483</v>
      </c>
      <c r="M15" s="156">
        <v>5.9560000000000002E-2</v>
      </c>
      <c r="N15" s="136">
        <f t="shared" si="0"/>
        <v>20815.207480000001</v>
      </c>
      <c r="O15" s="20" t="s">
        <v>29</v>
      </c>
      <c r="P15" s="115">
        <f>SUM(P10:P14)</f>
        <v>12114605</v>
      </c>
      <c r="Q15" s="116"/>
      <c r="R15" s="18">
        <f>SUM(R10:R14)</f>
        <v>1114301.3679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3218328</v>
      </c>
      <c r="M16" s="156">
        <v>5.4000000000000001E-4</v>
      </c>
      <c r="N16" s="136">
        <f t="shared" si="0"/>
        <v>1737.8971200000001</v>
      </c>
      <c r="O16" s="21"/>
      <c r="P16" s="157">
        <v>12114605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13781924.27</v>
      </c>
      <c r="F17" s="205"/>
      <c r="G17" s="203"/>
      <c r="H17" s="202"/>
      <c r="I17" s="204"/>
      <c r="K17" s="20" t="s">
        <v>29</v>
      </c>
      <c r="L17" s="115">
        <f>SUM(L10:L16)</f>
        <v>27685356</v>
      </c>
      <c r="M17" s="3"/>
      <c r="N17" s="18">
        <f>SUM(N10:N16)</f>
        <v>2395354.5318499994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-29595.08</v>
      </c>
      <c r="F18" s="202"/>
      <c r="G18" s="203"/>
      <c r="H18" s="202"/>
      <c r="I18" s="204"/>
      <c r="K18" s="11"/>
      <c r="L18" s="157">
        <v>27685356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42914.06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13734.06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2340310.48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79712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10104688.99</v>
      </c>
      <c r="F23" s="202"/>
      <c r="G23" s="203"/>
      <c r="H23" s="202"/>
      <c r="I23" s="204"/>
      <c r="K23" s="21" t="s">
        <v>10</v>
      </c>
      <c r="L23" s="221">
        <f>+L10</f>
        <v>16463840</v>
      </c>
      <c r="M23" s="156">
        <v>0.35372999999999999</v>
      </c>
      <c r="N23" s="136">
        <f>L23*M23</f>
        <v>5823754.1232000003</v>
      </c>
      <c r="O23" s="21" t="s">
        <v>10</v>
      </c>
      <c r="P23" s="221">
        <f>+P10</f>
        <v>8627125</v>
      </c>
      <c r="Q23" s="156">
        <v>0.34877000000000002</v>
      </c>
      <c r="R23" s="136">
        <f>P23*Q23</f>
        <v>3008882.38625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-1221346.52</v>
      </c>
      <c r="F24" s="202"/>
      <c r="G24" s="203"/>
      <c r="H24" s="202"/>
      <c r="I24" s="204"/>
      <c r="K24" s="21" t="s">
        <v>42</v>
      </c>
      <c r="L24" s="221">
        <f t="shared" ref="L24:L28" si="2">+L11</f>
        <v>55607</v>
      </c>
      <c r="M24" s="156">
        <f>M23</f>
        <v>0.35372999999999999</v>
      </c>
      <c r="N24" s="136">
        <f t="shared" ref="N24:N28" si="3">L24*M24</f>
        <v>19669.864109999999</v>
      </c>
      <c r="O24" s="21" t="s">
        <v>11</v>
      </c>
      <c r="P24" s="221">
        <f t="shared" ref="P24:P27" si="4">+P11</f>
        <v>3486138</v>
      </c>
      <c r="Q24" s="156">
        <f>Q23</f>
        <v>0.34877000000000002</v>
      </c>
      <c r="R24" s="136">
        <f t="shared" ref="R24:R27" si="5">P24*Q24</f>
        <v>1215860.35026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-48303.09</v>
      </c>
      <c r="F25" s="202"/>
      <c r="G25" s="203"/>
      <c r="H25" s="202"/>
      <c r="I25" s="204"/>
      <c r="K25" s="21" t="s">
        <v>11</v>
      </c>
      <c r="L25" s="221">
        <f t="shared" si="2"/>
        <v>7564231</v>
      </c>
      <c r="M25" s="156">
        <f t="shared" ref="M25:M28" si="6">M24</f>
        <v>0.35372999999999999</v>
      </c>
      <c r="N25" s="136">
        <f t="shared" si="3"/>
        <v>2675695.43163</v>
      </c>
      <c r="O25" s="21" t="s">
        <v>12</v>
      </c>
      <c r="P25" s="221">
        <f t="shared" si="4"/>
        <v>1342</v>
      </c>
      <c r="Q25" s="156">
        <f t="shared" ref="Q25:Q27" si="7">Q24</f>
        <v>0.34877000000000002</v>
      </c>
      <c r="R25" s="136">
        <f t="shared" si="5"/>
        <v>468.04934000000003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-7594353.4000000004</v>
      </c>
      <c r="F26" s="205"/>
      <c r="G26" s="203"/>
      <c r="H26" s="202"/>
      <c r="I26" s="204"/>
      <c r="K26" s="21" t="s">
        <v>12</v>
      </c>
      <c r="L26" s="221">
        <f t="shared" si="2"/>
        <v>33867</v>
      </c>
      <c r="M26" s="156">
        <f t="shared" si="6"/>
        <v>0.35372999999999999</v>
      </c>
      <c r="N26" s="136">
        <f t="shared" si="3"/>
        <v>11979.77391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-2591898.38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-1900440.17</v>
      </c>
      <c r="F28" s="202"/>
      <c r="G28" s="203"/>
      <c r="H28" s="202"/>
      <c r="I28" s="204"/>
      <c r="K28" s="21" t="s">
        <v>14</v>
      </c>
      <c r="L28" s="221">
        <f t="shared" si="2"/>
        <v>349483</v>
      </c>
      <c r="M28" s="156">
        <f t="shared" si="6"/>
        <v>0.35372999999999999</v>
      </c>
      <c r="N28" s="136">
        <f t="shared" si="3"/>
        <v>123622.62159</v>
      </c>
      <c r="O28" s="20" t="s">
        <v>31</v>
      </c>
      <c r="P28" s="115">
        <f>SUM(P23:P27)</f>
        <v>12114605</v>
      </c>
      <c r="Q28" s="116"/>
      <c r="R28" s="18">
        <f>SUM(R23:R27)</f>
        <v>4225210.7858500006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24467028</v>
      </c>
      <c r="M29" s="116"/>
      <c r="N29" s="123">
        <f>SUM(N23:N28)</f>
        <v>8654721.8144400008</v>
      </c>
      <c r="O29" s="20"/>
      <c r="P29" s="157">
        <v>12114605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24467028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41758.32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12550355.540000005</v>
      </c>
      <c r="F32" s="209"/>
      <c r="G32" s="183">
        <f>E32*G8</f>
        <v>8393677.7851520032</v>
      </c>
      <c r="H32" s="112"/>
      <c r="I32" s="173">
        <f>E32*I8</f>
        <v>4156677.754848002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-327</v>
      </c>
      <c r="F33" s="206"/>
      <c r="G33" s="183">
        <f>E33</f>
        <v>-327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83016.460000000006</v>
      </c>
      <c r="F35" s="202"/>
      <c r="G35" s="183">
        <f>E35</f>
        <v>83016.460000000006</v>
      </c>
      <c r="H35" s="112"/>
      <c r="I35" s="173"/>
      <c r="K35" s="10" t="s">
        <v>99</v>
      </c>
      <c r="L35" s="113">
        <f>$F$39</f>
        <v>1605022.1438200001</v>
      </c>
      <c r="M35" s="113">
        <f>G39</f>
        <v>8476367.2451520041</v>
      </c>
      <c r="N35" s="113">
        <f>$H$39</f>
        <v>739787.41618000006</v>
      </c>
      <c r="O35" s="113">
        <f>I39</f>
        <v>4194600.9948480017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37923.24</v>
      </c>
      <c r="F36" s="202"/>
      <c r="G36" s="183"/>
      <c r="H36" s="112"/>
      <c r="I36" s="173">
        <f>E36</f>
        <v>37923.24</v>
      </c>
      <c r="K36" s="10" t="s">
        <v>102</v>
      </c>
      <c r="L36" s="158">
        <f>-$N$17</f>
        <v>-2395354.5318499994</v>
      </c>
      <c r="M36" s="158">
        <f>-N29</f>
        <v>-8654721.8144400008</v>
      </c>
      <c r="N36" s="158">
        <f>-$R$15</f>
        <v>-1114301.3679</v>
      </c>
      <c r="O36" s="158">
        <f>-R28</f>
        <v>-4225210.7858500006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12670968.240000006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-790332.38802999933</v>
      </c>
      <c r="M37" s="118">
        <f>SUM(M35:M36)</f>
        <v>-178354.56928799674</v>
      </c>
      <c r="N37" s="118">
        <f t="shared" si="8"/>
        <v>-374513.9517199999</v>
      </c>
      <c r="O37" s="118">
        <f t="shared" si="8"/>
        <v>-30609.791001998819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15015777.800000006</v>
      </c>
      <c r="F39" s="197">
        <f>SUM(F14:F37)</f>
        <v>1605022.1438200001</v>
      </c>
      <c r="G39" s="198">
        <f t="shared" ref="G39:I39" si="9">SUM(G14:G37)</f>
        <v>8476367.2451520041</v>
      </c>
      <c r="H39" s="197">
        <f t="shared" si="9"/>
        <v>739787.41618000006</v>
      </c>
      <c r="I39" s="155">
        <f t="shared" si="9"/>
        <v>4194600.9948480017</v>
      </c>
      <c r="K39" s="164"/>
      <c r="L39" s="166" t="s">
        <v>36</v>
      </c>
      <c r="M39" s="127">
        <f>SUM(L37:M37)</f>
        <v>-968686.95731799607</v>
      </c>
      <c r="N39" s="167" t="s">
        <v>37</v>
      </c>
      <c r="O39" s="127">
        <f>SUM(N37:O37)</f>
        <v>-405123.74272199871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15015777.800000001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5" priority="26" operator="equal">
      <formula>"ERROR"</formula>
    </cfRule>
  </conditionalFormatting>
  <conditionalFormatting sqref="E42">
    <cfRule type="cellIs" dxfId="24" priority="1" stopIfTrue="1" operator="equal">
      <formula>0</formula>
    </cfRule>
    <cfRule type="cellIs" dxfId="23" priority="2" stopIfTrue="1" operator="notEqual">
      <formula>0</formula>
    </cfRule>
    <cfRule type="cellIs" dxfId="22" priority="3" stopIfTrue="1" operator="equal">
      <formula>0</formula>
    </cfRule>
    <cfRule type="cellIs" dxfId="21" priority="4" stopIfTrue="1" operator="notEqual">
      <formula>0</formula>
    </cfRule>
  </conditionalFormatting>
  <conditionalFormatting sqref="L19">
    <cfRule type="cellIs" dxfId="20" priority="21" stopIfTrue="1" operator="equal">
      <formula>0</formula>
    </cfRule>
    <cfRule type="cellIs" dxfId="19" priority="22" stopIfTrue="1" operator="notEqual">
      <formula>0</formula>
    </cfRule>
    <cfRule type="cellIs" dxfId="18" priority="23" stopIfTrue="1" operator="equal">
      <formula>0</formula>
    </cfRule>
    <cfRule type="cellIs" dxfId="17" priority="24" stopIfTrue="1" operator="notEqual">
      <formula>0</formula>
    </cfRule>
  </conditionalFormatting>
  <conditionalFormatting sqref="L31">
    <cfRule type="cellIs" dxfId="16" priority="17" stopIfTrue="1" operator="equal">
      <formula>0</formula>
    </cfRule>
    <cfRule type="cellIs" dxfId="15" priority="18" stopIfTrue="1" operator="notEqual">
      <formula>0</formula>
    </cfRule>
    <cfRule type="cellIs" dxfId="14" priority="19" stopIfTrue="1" operator="equal">
      <formula>0</formula>
    </cfRule>
    <cfRule type="cellIs" dxfId="13" priority="20" stopIfTrue="1" operator="notEqual">
      <formula>0</formula>
    </cfRule>
  </conditionalFormatting>
  <conditionalFormatting sqref="P17">
    <cfRule type="cellIs" dxfId="12" priority="13" stopIfTrue="1" operator="equal">
      <formula>0</formula>
    </cfRule>
    <cfRule type="cellIs" dxfId="11" priority="14" stopIfTrue="1" operator="notEqual">
      <formula>0</formula>
    </cfRule>
    <cfRule type="cellIs" dxfId="10" priority="15" stopIfTrue="1" operator="equal">
      <formula>0</formula>
    </cfRule>
    <cfRule type="cellIs" dxfId="9" priority="16" stopIfTrue="1" operator="notEqual">
      <formula>0</formula>
    </cfRule>
  </conditionalFormatting>
  <conditionalFormatting sqref="P30">
    <cfRule type="cellIs" dxfId="8" priority="9" stopIfTrue="1" operator="equal">
      <formula>0</formula>
    </cfRule>
    <cfRule type="cellIs" dxfId="7" priority="10" stopIfTrue="1" operator="notEqual">
      <formula>0</formula>
    </cfRule>
    <cfRule type="cellIs" dxfId="6" priority="11" stopIfTrue="1" operator="equal">
      <formula>0</formula>
    </cfRule>
    <cfRule type="cellIs" dxfId="5" priority="12" stopIfTrue="1" operator="notEqual">
      <formula>0</formula>
    </cfRule>
  </conditionalFormatting>
  <conditionalFormatting sqref="P31">
    <cfRule type="cellIs" dxfId="4" priority="25" operator="notEqual">
      <formula>0</formula>
    </cfRule>
  </conditionalFormatting>
  <conditionalFormatting sqref="P35:P36">
    <cfRule type="cellIs" dxfId="3" priority="5" stopIfTrue="1" operator="equal">
      <formula>0</formula>
    </cfRule>
    <cfRule type="cellIs" dxfId="2" priority="6" stopIfTrue="1" operator="notEqual">
      <formula>0</formula>
    </cfRule>
    <cfRule type="cellIs" dxfId="1" priority="7" stopIfTrue="1" operator="equal">
      <formula>0</formula>
    </cfRule>
    <cfRule type="cellIs" dxfId="0" priority="8" stopIfTrue="1" operator="notEqual">
      <formula>0</formula>
    </cfRule>
  </conditionalFormatting>
  <printOptions horizontalCentered="1"/>
  <pageMargins left="0.1" right="0.1" top="0.5" bottom="0.5" header="0.3" footer="0.3"/>
  <pageSetup scale="39" orientation="landscape" r:id="rId1"/>
  <headerFooter>
    <oddFooter>&amp;R&amp;Z&amp;F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T45"/>
  <sheetViews>
    <sheetView zoomScale="90" zoomScaleNormal="90" workbookViewId="0">
      <pane ySplit="6" topLeftCell="A7" activePane="bottomLeft" state="frozen"/>
      <selection activeCell="I51" activeCellId="2" sqref="E48 F52 I51"/>
      <selection pane="bottomLeft" activeCell="L32" sqref="L32"/>
    </sheetView>
  </sheetViews>
  <sheetFormatPr defaultColWidth="8.85546875" defaultRowHeight="15"/>
  <cols>
    <col min="1" max="1" width="9.140625" style="26" customWidth="1"/>
    <col min="2" max="2" width="8.85546875" style="26"/>
    <col min="3" max="3" width="1.7109375" style="26" customWidth="1"/>
    <col min="4" max="4" width="13.7109375" style="26" customWidth="1"/>
    <col min="5" max="6" width="14.28515625" style="26" customWidth="1"/>
    <col min="7" max="7" width="14.7109375" style="26" bestFit="1" customWidth="1"/>
    <col min="8" max="8" width="12.140625" style="26" customWidth="1"/>
    <col min="9" max="9" width="15.28515625" style="26" bestFit="1" customWidth="1"/>
    <col min="10" max="10" width="1.7109375" style="26" customWidth="1"/>
    <col min="11" max="11" width="14.28515625" style="26" bestFit="1" customWidth="1"/>
    <col min="12" max="12" width="13.85546875" style="26" bestFit="1" customWidth="1"/>
    <col min="13" max="13" width="6.140625" style="26" customWidth="1"/>
    <col min="14" max="14" width="12.42578125" style="26" bestFit="1" customWidth="1"/>
    <col min="15" max="16" width="8.85546875" style="26"/>
    <col min="17" max="17" width="12.7109375" style="26" customWidth="1"/>
    <col min="18" max="19" width="13.140625" style="26" bestFit="1" customWidth="1"/>
    <col min="20" max="16384" width="8.85546875" style="26"/>
  </cols>
  <sheetData>
    <row r="1" spans="1:15" s="29" customFormat="1" ht="15.75">
      <c r="A1" s="27" t="s">
        <v>4</v>
      </c>
      <c r="B1" s="28"/>
      <c r="C1" s="28"/>
      <c r="D1" s="28"/>
      <c r="E1" s="28"/>
      <c r="F1" s="28"/>
      <c r="G1" s="28"/>
    </row>
    <row r="2" spans="1:15" s="29" customFormat="1" ht="15.75">
      <c r="A2" s="27" t="s">
        <v>0</v>
      </c>
      <c r="B2" s="28"/>
      <c r="C2" s="28"/>
      <c r="D2" s="28"/>
      <c r="E2" s="28"/>
      <c r="F2" s="28"/>
      <c r="G2" s="28"/>
    </row>
    <row r="3" spans="1:15" s="29" customFormat="1" ht="15.75">
      <c r="A3" s="27" t="s">
        <v>79</v>
      </c>
      <c r="B3" s="28"/>
      <c r="C3" s="28"/>
      <c r="D3" s="28"/>
      <c r="E3" s="28"/>
      <c r="F3" s="28"/>
      <c r="G3" s="28"/>
    </row>
    <row r="4" spans="1:15" s="29" customFormat="1" ht="15.75">
      <c r="A4" s="27" t="s">
        <v>80</v>
      </c>
      <c r="B4" s="28"/>
      <c r="C4" s="28"/>
      <c r="D4" s="28"/>
      <c r="E4" s="28"/>
      <c r="F4" s="28"/>
      <c r="G4" s="28"/>
    </row>
    <row r="5" spans="1:15" s="32" customFormat="1" ht="18.75">
      <c r="A5" s="30"/>
      <c r="B5" s="31"/>
      <c r="C5" s="31"/>
      <c r="D5" s="31"/>
      <c r="E5" s="31"/>
      <c r="F5" s="31"/>
      <c r="G5" s="31"/>
    </row>
    <row r="6" spans="1:15" s="33" customFormat="1" ht="56.45" customHeight="1">
      <c r="A6" s="34" t="s">
        <v>43</v>
      </c>
      <c r="B6" s="35" t="s">
        <v>41</v>
      </c>
      <c r="C6" s="36"/>
      <c r="D6" s="35" t="s">
        <v>47</v>
      </c>
      <c r="E6" s="35" t="s">
        <v>40</v>
      </c>
      <c r="F6" s="35" t="s">
        <v>1</v>
      </c>
      <c r="G6" s="35" t="s">
        <v>2</v>
      </c>
      <c r="H6" s="35" t="s">
        <v>3</v>
      </c>
      <c r="I6" s="35" t="s">
        <v>15</v>
      </c>
      <c r="J6" s="36"/>
      <c r="K6" s="37" t="s">
        <v>44</v>
      </c>
      <c r="L6" s="37" t="s">
        <v>45</v>
      </c>
      <c r="M6" s="36"/>
    </row>
    <row r="7" spans="1:15" s="33" customFormat="1" ht="15.75">
      <c r="A7" s="67">
        <v>202201</v>
      </c>
      <c r="B7" s="68">
        <v>3.2500000000000001E-2</v>
      </c>
      <c r="C7" s="49"/>
      <c r="D7" s="69">
        <v>0</v>
      </c>
      <c r="E7" s="70">
        <v>3047879.7558939951</v>
      </c>
      <c r="F7" s="69">
        <v>4404617.2834499981</v>
      </c>
      <c r="G7" s="69">
        <v>-1414616.2167429999</v>
      </c>
      <c r="H7" s="222">
        <v>12303.63</v>
      </c>
      <c r="I7" s="70">
        <v>6050184.4526009932</v>
      </c>
      <c r="J7" s="51"/>
      <c r="K7" s="71">
        <v>6050182.3399999999</v>
      </c>
      <c r="L7" s="72">
        <v>-2.1126009933650494</v>
      </c>
      <c r="M7" s="62"/>
      <c r="N7" s="101" t="s">
        <v>141</v>
      </c>
    </row>
    <row r="8" spans="1:15" s="33" customFormat="1" ht="15.75">
      <c r="A8" s="63">
        <f>A7+1</f>
        <v>202202</v>
      </c>
      <c r="B8" s="68">
        <v>3.2500000000000001E-2</v>
      </c>
      <c r="C8" s="49"/>
      <c r="D8" s="52">
        <v>0</v>
      </c>
      <c r="E8" s="70">
        <f t="shared" ref="E8:E17" si="0">I7+D8</f>
        <v>6050184.4526009932</v>
      </c>
      <c r="F8" s="69">
        <v>2954218.8408320006</v>
      </c>
      <c r="G8" s="69">
        <v>-1006837.3153379997</v>
      </c>
      <c r="H8" s="50">
        <f t="shared" ref="H8" si="1">ROUND(((E8)*(B8/12))+((SUM(F8:G8)/2)*(B8/12)),2)</f>
        <v>19023</v>
      </c>
      <c r="I8" s="88">
        <f t="shared" ref="I8:I12" si="2">SUM(E8:H8)</f>
        <v>8016588.9780949941</v>
      </c>
      <c r="J8" s="51"/>
      <c r="K8" s="71">
        <v>8016588.9699999997</v>
      </c>
      <c r="L8" s="72">
        <f t="shared" ref="L8" si="3">K8-I8</f>
        <v>-8.0949943512678146E-3</v>
      </c>
      <c r="M8" s="62"/>
    </row>
    <row r="9" spans="1:15" s="33" customFormat="1" ht="15.75">
      <c r="A9" s="63">
        <f t="shared" ref="A9:A18" si="4">A8+1</f>
        <v>202203</v>
      </c>
      <c r="B9" s="68">
        <v>3.2500000000000001E-2</v>
      </c>
      <c r="C9" s="49"/>
      <c r="D9" s="52">
        <v>0</v>
      </c>
      <c r="E9" s="70">
        <f t="shared" si="0"/>
        <v>8016588.9780949941</v>
      </c>
      <c r="F9" s="69">
        <v>1397465.5280680005</v>
      </c>
      <c r="G9" s="69">
        <v>-287194.87563999998</v>
      </c>
      <c r="H9" s="50">
        <f>ROUND(((E9)*(B9/12))+((SUM(F9:G9)/2)*(B9/12)),2)</f>
        <v>23215.09</v>
      </c>
      <c r="I9" s="88">
        <f t="shared" si="2"/>
        <v>9150074.7205229942</v>
      </c>
      <c r="J9" s="51"/>
      <c r="K9" s="71">
        <v>9150074.7100000009</v>
      </c>
      <c r="L9" s="72">
        <f t="shared" ref="L9" si="5">K9-I9</f>
        <v>-1.052299328148365E-2</v>
      </c>
      <c r="M9" s="62"/>
    </row>
    <row r="10" spans="1:15" s="33" customFormat="1" ht="15.75">
      <c r="A10" s="63">
        <f t="shared" si="4"/>
        <v>202204</v>
      </c>
      <c r="B10" s="68">
        <v>3.2500000000000001E-2</v>
      </c>
      <c r="C10" s="49"/>
      <c r="D10" s="52">
        <v>0</v>
      </c>
      <c r="E10" s="70">
        <f t="shared" si="0"/>
        <v>9150074.7205229942</v>
      </c>
      <c r="F10" s="69">
        <v>3922154.6497640009</v>
      </c>
      <c r="G10" s="69">
        <v>-55329.702875999967</v>
      </c>
      <c r="H10" s="50">
        <f t="shared" ref="H10:H18" si="6">ROUND(((E10)*(B10/12))+((SUM(F10:G10)/2)*(B10/12)),2)</f>
        <v>30017.78</v>
      </c>
      <c r="I10" s="88">
        <f t="shared" si="2"/>
        <v>13046917.447410995</v>
      </c>
      <c r="J10" s="51"/>
      <c r="K10" s="71">
        <v>13046917.439999999</v>
      </c>
      <c r="L10" s="72">
        <f t="shared" ref="L10" si="7">K10-I10</f>
        <v>-7.4109956622123718E-3</v>
      </c>
      <c r="M10" s="62"/>
      <c r="N10" s="214"/>
      <c r="O10" s="214"/>
    </row>
    <row r="11" spans="1:15" s="33" customFormat="1" ht="15.75">
      <c r="A11" s="63">
        <f t="shared" si="4"/>
        <v>202205</v>
      </c>
      <c r="B11" s="68">
        <v>3.2500000000000001E-2</v>
      </c>
      <c r="C11" s="49"/>
      <c r="D11" s="52">
        <v>0</v>
      </c>
      <c r="E11" s="70">
        <f t="shared" si="0"/>
        <v>13046917.447410995</v>
      </c>
      <c r="F11" s="69">
        <v>2304917.315699996</v>
      </c>
      <c r="G11" s="69">
        <v>560217.39907500008</v>
      </c>
      <c r="H11" s="50">
        <f t="shared" si="6"/>
        <v>39215.269999999997</v>
      </c>
      <c r="I11" s="88">
        <f t="shared" si="2"/>
        <v>15951267.432185991</v>
      </c>
      <c r="J11" s="51"/>
      <c r="K11" s="71">
        <v>15951267.42</v>
      </c>
      <c r="L11" s="72">
        <f t="shared" ref="L11" si="8">K11-I11</f>
        <v>-1.2185990810394287E-2</v>
      </c>
      <c r="M11" s="62"/>
      <c r="N11" s="214"/>
      <c r="O11" s="214"/>
    </row>
    <row r="12" spans="1:15" s="33" customFormat="1" ht="15.75">
      <c r="A12" s="63">
        <f t="shared" si="4"/>
        <v>202206</v>
      </c>
      <c r="B12" s="68">
        <v>3.2500000000000001E-2</v>
      </c>
      <c r="C12" s="49"/>
      <c r="D12" s="52">
        <v>0</v>
      </c>
      <c r="E12" s="70">
        <f t="shared" si="0"/>
        <v>15951267.432185991</v>
      </c>
      <c r="F12" s="69">
        <v>362036.44918000046</v>
      </c>
      <c r="G12" s="69">
        <v>992540.13287099998</v>
      </c>
      <c r="H12" s="50">
        <f t="shared" si="6"/>
        <v>45035.67</v>
      </c>
      <c r="I12" s="88">
        <f t="shared" si="2"/>
        <v>17350879.684236992</v>
      </c>
      <c r="J12" s="51"/>
      <c r="K12" s="71">
        <v>17350879.670000002</v>
      </c>
      <c r="L12" s="72">
        <f t="shared" ref="L12" si="9">K12-I12</f>
        <v>-1.4236990362405777E-2</v>
      </c>
      <c r="M12" s="62"/>
      <c r="N12" s="214"/>
      <c r="O12" s="214"/>
    </row>
    <row r="13" spans="1:15" s="33" customFormat="1" ht="15.75">
      <c r="A13" s="63">
        <f t="shared" si="4"/>
        <v>202207</v>
      </c>
      <c r="B13" s="68">
        <v>3.5999999999999997E-2</v>
      </c>
      <c r="C13" s="49"/>
      <c r="D13" s="52">
        <v>0</v>
      </c>
      <c r="E13" s="70">
        <f t="shared" si="0"/>
        <v>17350879.684236992</v>
      </c>
      <c r="F13" s="69">
        <v>-993656.17931799591</v>
      </c>
      <c r="G13" s="69">
        <v>1216959.2114270001</v>
      </c>
      <c r="H13" s="50">
        <f t="shared" si="6"/>
        <v>52387.59</v>
      </c>
      <c r="I13" s="88">
        <f>SUM(E13:H13)</f>
        <v>17626570.306345996</v>
      </c>
      <c r="J13" s="51"/>
      <c r="K13" s="71">
        <v>17626570.289999999</v>
      </c>
      <c r="L13" s="72">
        <f t="shared" ref="L13" si="10">K13-I13</f>
        <v>-1.6345996409654617E-2</v>
      </c>
      <c r="M13" s="62"/>
      <c r="N13" s="214"/>
    </row>
    <row r="14" spans="1:15" s="33" customFormat="1" ht="15.75">
      <c r="A14" s="63">
        <f t="shared" si="4"/>
        <v>202208</v>
      </c>
      <c r="B14" s="68">
        <v>3.5999999999999997E-2</v>
      </c>
      <c r="C14" s="49"/>
      <c r="D14" s="52">
        <v>0</v>
      </c>
      <c r="E14" s="70">
        <f t="shared" si="0"/>
        <v>17626570.306345996</v>
      </c>
      <c r="F14" s="69">
        <v>-1367094.4645960005</v>
      </c>
      <c r="G14" s="69">
        <v>1183681.9972710002</v>
      </c>
      <c r="H14" s="50">
        <f t="shared" si="6"/>
        <v>52604.59</v>
      </c>
      <c r="I14" s="88">
        <f>SUM(E14:H14)</f>
        <v>17495762.429020997</v>
      </c>
      <c r="J14" s="51"/>
      <c r="K14" s="71">
        <v>17495762.41</v>
      </c>
      <c r="L14" s="72">
        <f t="shared" ref="L14" si="11">K14-I14</f>
        <v>-1.9020996987819672E-2</v>
      </c>
      <c r="M14" s="62"/>
    </row>
    <row r="15" spans="1:15" s="33" customFormat="1" ht="15.75">
      <c r="A15" s="63">
        <f t="shared" si="4"/>
        <v>202209</v>
      </c>
      <c r="B15" s="68">
        <v>3.5999999999999997E-2</v>
      </c>
      <c r="C15" s="49"/>
      <c r="D15" s="52">
        <v>0</v>
      </c>
      <c r="E15" s="70">
        <f t="shared" si="0"/>
        <v>17495762.429020997</v>
      </c>
      <c r="F15" s="69">
        <v>-1576980.8520129996</v>
      </c>
      <c r="G15" s="69">
        <v>1031870.533733</v>
      </c>
      <c r="H15" s="50">
        <f t="shared" si="6"/>
        <v>51669.62</v>
      </c>
      <c r="I15" s="88">
        <f t="shared" ref="I15:I16" si="12">SUM(E15:H15)</f>
        <v>17002321.730740998</v>
      </c>
      <c r="J15" s="51"/>
      <c r="K15" s="71">
        <v>17002321.710000001</v>
      </c>
      <c r="L15" s="72">
        <f t="shared" ref="L15" si="13">K15-I15</f>
        <v>-2.0740997046232224E-2</v>
      </c>
      <c r="M15" s="62"/>
    </row>
    <row r="16" spans="1:15" s="33" customFormat="1" ht="15.75">
      <c r="A16" s="63">
        <f t="shared" si="4"/>
        <v>202210</v>
      </c>
      <c r="B16" s="68">
        <v>4.9099999999999998E-2</v>
      </c>
      <c r="C16" s="49"/>
      <c r="D16" s="52">
        <v>0</v>
      </c>
      <c r="E16" s="70">
        <f t="shared" si="0"/>
        <v>17002321.730740998</v>
      </c>
      <c r="F16" s="69">
        <v>-1152988.7195379995</v>
      </c>
      <c r="G16" s="69">
        <v>701395.85690899997</v>
      </c>
      <c r="H16" s="50">
        <f t="shared" si="6"/>
        <v>68643.95</v>
      </c>
      <c r="I16" s="88">
        <f t="shared" si="12"/>
        <v>16619372.818111997</v>
      </c>
      <c r="J16" s="51"/>
      <c r="K16" s="71">
        <v>16619372.82</v>
      </c>
      <c r="L16" s="72">
        <f t="shared" ref="L16" si="14">K16-I16</f>
        <v>1.8880032002925873E-3</v>
      </c>
      <c r="M16" s="62"/>
    </row>
    <row r="17" spans="1:20" s="33" customFormat="1" ht="15.75">
      <c r="A17" s="63">
        <f t="shared" si="4"/>
        <v>202211</v>
      </c>
      <c r="B17" s="68">
        <v>4.9099999999999998E-2</v>
      </c>
      <c r="C17" s="49"/>
      <c r="D17" s="52">
        <f>-I16</f>
        <v>-16619372.818111997</v>
      </c>
      <c r="E17" s="70">
        <f t="shared" si="0"/>
        <v>0</v>
      </c>
      <c r="F17" s="69">
        <v>3047676.4409279972</v>
      </c>
      <c r="G17" s="69">
        <v>-1357589.193805</v>
      </c>
      <c r="H17" s="50">
        <f t="shared" si="6"/>
        <v>3457.64</v>
      </c>
      <c r="I17" s="88">
        <f>SUM(E17:H17)</f>
        <v>1693544.8871229971</v>
      </c>
      <c r="J17" s="51"/>
      <c r="K17" s="71">
        <v>1693544.89</v>
      </c>
      <c r="L17" s="72">
        <f t="shared" ref="L17" si="15">K17-I17</f>
        <v>2.877002814784646E-3</v>
      </c>
      <c r="M17" s="39"/>
    </row>
    <row r="18" spans="1:20" s="33" customFormat="1" ht="16.5" thickBot="1">
      <c r="A18" s="64">
        <f t="shared" si="4"/>
        <v>202212</v>
      </c>
      <c r="B18" s="53">
        <v>4.9099999999999998E-2</v>
      </c>
      <c r="C18" s="65"/>
      <c r="D18" s="54">
        <v>0</v>
      </c>
      <c r="E18" s="55">
        <f>I17+D18</f>
        <v>1693544.8871229971</v>
      </c>
      <c r="F18" s="54">
        <v>22030617.912720002</v>
      </c>
      <c r="G18" s="54">
        <v>-6679319.3721549995</v>
      </c>
      <c r="H18" s="55">
        <f t="shared" si="6"/>
        <v>38335.620000000003</v>
      </c>
      <c r="I18" s="95">
        <f t="shared" ref="I18" si="16">SUM(E18:H18)</f>
        <v>17083179.047688</v>
      </c>
      <c r="J18" s="66"/>
      <c r="K18" s="56">
        <v>17083179.050000001</v>
      </c>
      <c r="L18" s="57">
        <f t="shared" ref="L18:L19" si="17">K18-I18</f>
        <v>2.3120008409023285E-3</v>
      </c>
      <c r="M18" s="62"/>
    </row>
    <row r="19" spans="1:20" s="33" customFormat="1" ht="15.75">
      <c r="A19" s="67">
        <v>202301</v>
      </c>
      <c r="B19" s="68">
        <v>6.3100000000000003E-2</v>
      </c>
      <c r="C19" s="49"/>
      <c r="D19" s="69">
        <v>0</v>
      </c>
      <c r="E19" s="70">
        <f t="shared" ref="E19:E29" si="18">I18+D19</f>
        <v>17083179.047688</v>
      </c>
      <c r="F19" s="69">
        <f>'Jan 23'!M$37</f>
        <v>35985521.384848014</v>
      </c>
      <c r="G19" s="69">
        <f>'Jan 23'!L$37</f>
        <v>-1602431.3337900005</v>
      </c>
      <c r="H19" s="222">
        <f>ROUND(((E19)*(B19/12))+((SUM(F19:G19)/2)*(B19/12)),2)</f>
        <v>180227.92</v>
      </c>
      <c r="I19" s="70">
        <f>SUM(E19:H19)</f>
        <v>51646497.018746018</v>
      </c>
      <c r="J19" s="51"/>
      <c r="K19" s="71">
        <v>51646497.020000003</v>
      </c>
      <c r="L19" s="72">
        <f t="shared" si="17"/>
        <v>1.2539848685264587E-3</v>
      </c>
      <c r="M19" s="62"/>
      <c r="N19" s="101"/>
    </row>
    <row r="20" spans="1:20" s="33" customFormat="1" ht="15.75">
      <c r="A20" s="63">
        <f>A19+1</f>
        <v>202302</v>
      </c>
      <c r="B20" s="68">
        <v>6.3100000000000003E-2</v>
      </c>
      <c r="C20" s="49"/>
      <c r="D20" s="52">
        <v>0</v>
      </c>
      <c r="E20" s="70">
        <f t="shared" si="18"/>
        <v>51646497.018746018</v>
      </c>
      <c r="F20" s="69">
        <f>'Feb 23'!M$37</f>
        <v>6803318.2546909992</v>
      </c>
      <c r="G20" s="69">
        <f>'Feb 23'!L$37</f>
        <v>-1254076.7723350003</v>
      </c>
      <c r="H20" s="50">
        <f t="shared" ref="H20" si="19">ROUND(((E20)*(B20/12))+((SUM(F20:G20)/2)*(B20/12)),2)</f>
        <v>286164.38</v>
      </c>
      <c r="I20" s="88">
        <f t="shared" ref="I20:I24" si="20">SUM(E20:H20)</f>
        <v>57481902.881102018</v>
      </c>
      <c r="J20" s="51"/>
      <c r="K20" s="71">
        <v>57481902.880000003</v>
      </c>
      <c r="L20" s="72">
        <f t="shared" ref="L20" si="21">K20-I20</f>
        <v>-1.1020153760910034E-3</v>
      </c>
      <c r="M20" s="62"/>
    </row>
    <row r="21" spans="1:20" s="33" customFormat="1" ht="15.75">
      <c r="A21" s="63">
        <f t="shared" ref="A21:A30" si="22">A20+1</f>
        <v>202303</v>
      </c>
      <c r="B21" s="68">
        <v>6.3100000000000003E-2</v>
      </c>
      <c r="C21" s="49"/>
      <c r="D21" s="52">
        <v>0</v>
      </c>
      <c r="E21" s="70">
        <f t="shared" si="18"/>
        <v>57481902.881102018</v>
      </c>
      <c r="F21" s="69">
        <f>'Mar 23'!M$37</f>
        <v>-178354.56928799674</v>
      </c>
      <c r="G21" s="69">
        <f>'Mar 23'!L$37</f>
        <v>-790332.38802999933</v>
      </c>
      <c r="H21" s="50">
        <f>ROUND(((E21)*(B21/12))+((SUM(F21:G21)/2)*(B21/12)),2)</f>
        <v>299712.17</v>
      </c>
      <c r="I21" s="88">
        <f t="shared" si="20"/>
        <v>56812928.093784027</v>
      </c>
      <c r="J21" s="51"/>
      <c r="K21" s="71">
        <v>57481902.880000003</v>
      </c>
      <c r="L21" s="72">
        <f t="shared" ref="L21" si="23">K21-I21</f>
        <v>668974.78621597588</v>
      </c>
      <c r="M21" s="62"/>
    </row>
    <row r="22" spans="1:20" s="33" customFormat="1" ht="15.75">
      <c r="A22" s="63">
        <f t="shared" si="22"/>
        <v>202304</v>
      </c>
      <c r="B22" s="68"/>
      <c r="C22" s="49"/>
      <c r="D22" s="52">
        <v>0</v>
      </c>
      <c r="E22" s="70">
        <f t="shared" si="18"/>
        <v>56812928.093784027</v>
      </c>
      <c r="F22" s="69"/>
      <c r="G22" s="69"/>
      <c r="H22" s="50">
        <f t="shared" ref="H22:H30" si="24">ROUND(((E22)*(B22/12))+((SUM(F22:G22)/2)*(B22/12)),2)</f>
        <v>0</v>
      </c>
      <c r="I22" s="88">
        <f t="shared" si="20"/>
        <v>56812928.093784027</v>
      </c>
      <c r="J22" s="51"/>
      <c r="K22" s="71"/>
      <c r="L22" s="72"/>
      <c r="M22" s="62"/>
      <c r="N22" s="214"/>
      <c r="O22" s="214"/>
    </row>
    <row r="23" spans="1:20" s="33" customFormat="1" ht="15.75">
      <c r="A23" s="63">
        <f t="shared" si="22"/>
        <v>202305</v>
      </c>
      <c r="B23" s="68"/>
      <c r="C23" s="49"/>
      <c r="D23" s="52">
        <v>0</v>
      </c>
      <c r="E23" s="70">
        <f t="shared" si="18"/>
        <v>56812928.093784027</v>
      </c>
      <c r="F23" s="69"/>
      <c r="G23" s="69"/>
      <c r="H23" s="50">
        <f t="shared" si="24"/>
        <v>0</v>
      </c>
      <c r="I23" s="88">
        <f t="shared" si="20"/>
        <v>56812928.093784027</v>
      </c>
      <c r="J23" s="51"/>
      <c r="K23" s="71"/>
      <c r="L23" s="72"/>
      <c r="M23" s="62"/>
      <c r="N23" s="214"/>
      <c r="O23" s="214"/>
    </row>
    <row r="24" spans="1:20" s="33" customFormat="1" ht="15.75">
      <c r="A24" s="63">
        <f t="shared" si="22"/>
        <v>202306</v>
      </c>
      <c r="B24" s="68"/>
      <c r="C24" s="49"/>
      <c r="D24" s="52">
        <v>0</v>
      </c>
      <c r="E24" s="70">
        <f t="shared" si="18"/>
        <v>56812928.093784027</v>
      </c>
      <c r="F24" s="69"/>
      <c r="G24" s="69"/>
      <c r="H24" s="50">
        <f t="shared" si="24"/>
        <v>0</v>
      </c>
      <c r="I24" s="88">
        <f t="shared" si="20"/>
        <v>56812928.093784027</v>
      </c>
      <c r="J24" s="51"/>
      <c r="K24" s="71"/>
      <c r="L24" s="72"/>
      <c r="M24" s="62"/>
      <c r="N24" s="214"/>
      <c r="O24" s="214"/>
    </row>
    <row r="25" spans="1:20" s="33" customFormat="1" ht="15.75">
      <c r="A25" s="63">
        <f t="shared" si="22"/>
        <v>202307</v>
      </c>
      <c r="B25" s="68"/>
      <c r="C25" s="49"/>
      <c r="D25" s="52">
        <v>0</v>
      </c>
      <c r="E25" s="70">
        <f t="shared" si="18"/>
        <v>56812928.093784027</v>
      </c>
      <c r="F25" s="69"/>
      <c r="G25" s="69"/>
      <c r="H25" s="50">
        <f t="shared" si="24"/>
        <v>0</v>
      </c>
      <c r="I25" s="88">
        <f>SUM(E25:H25)</f>
        <v>56812928.093784027</v>
      </c>
      <c r="J25" s="51"/>
      <c r="K25" s="71"/>
      <c r="L25" s="72"/>
      <c r="M25" s="62"/>
      <c r="N25" s="214"/>
    </row>
    <row r="26" spans="1:20" s="33" customFormat="1" ht="15.75">
      <c r="A26" s="63">
        <f t="shared" si="22"/>
        <v>202308</v>
      </c>
      <c r="B26" s="68"/>
      <c r="C26" s="49"/>
      <c r="D26" s="52">
        <v>0</v>
      </c>
      <c r="E26" s="70">
        <f t="shared" si="18"/>
        <v>56812928.093784027</v>
      </c>
      <c r="F26" s="69"/>
      <c r="G26" s="69"/>
      <c r="H26" s="50">
        <f t="shared" si="24"/>
        <v>0</v>
      </c>
      <c r="I26" s="88">
        <f>SUM(E26:H26)</f>
        <v>56812928.093784027</v>
      </c>
      <c r="J26" s="51"/>
      <c r="K26" s="71"/>
      <c r="L26" s="72"/>
      <c r="M26" s="62"/>
    </row>
    <row r="27" spans="1:20" s="33" customFormat="1" ht="15.75">
      <c r="A27" s="63">
        <f t="shared" si="22"/>
        <v>202309</v>
      </c>
      <c r="B27" s="68"/>
      <c r="C27" s="49"/>
      <c r="D27" s="52">
        <v>0</v>
      </c>
      <c r="E27" s="70">
        <f t="shared" si="18"/>
        <v>56812928.093784027</v>
      </c>
      <c r="F27" s="69"/>
      <c r="G27" s="69"/>
      <c r="H27" s="50">
        <f t="shared" si="24"/>
        <v>0</v>
      </c>
      <c r="I27" s="88">
        <f t="shared" ref="I27:I28" si="25">SUM(E27:H27)</f>
        <v>56812928.093784027</v>
      </c>
      <c r="J27" s="51"/>
      <c r="K27" s="71"/>
      <c r="L27" s="72"/>
      <c r="M27" s="62"/>
    </row>
    <row r="28" spans="1:20" s="33" customFormat="1" ht="15.75">
      <c r="A28" s="63">
        <f t="shared" si="22"/>
        <v>202310</v>
      </c>
      <c r="B28" s="68"/>
      <c r="C28" s="49"/>
      <c r="D28" s="52">
        <v>0</v>
      </c>
      <c r="E28" s="70">
        <f t="shared" si="18"/>
        <v>56812928.093784027</v>
      </c>
      <c r="F28" s="69"/>
      <c r="G28" s="69"/>
      <c r="H28" s="50">
        <f t="shared" si="24"/>
        <v>0</v>
      </c>
      <c r="I28" s="88">
        <f t="shared" si="25"/>
        <v>56812928.093784027</v>
      </c>
      <c r="J28" s="51"/>
      <c r="K28" s="71"/>
      <c r="L28" s="72"/>
      <c r="M28" s="62"/>
    </row>
    <row r="29" spans="1:20" s="33" customFormat="1" ht="15.75">
      <c r="A29" s="63">
        <f t="shared" si="22"/>
        <v>202311</v>
      </c>
      <c r="B29" s="68"/>
      <c r="C29" s="49"/>
      <c r="D29" s="52"/>
      <c r="E29" s="70">
        <f t="shared" si="18"/>
        <v>56812928.093784027</v>
      </c>
      <c r="F29" s="69"/>
      <c r="G29" s="69"/>
      <c r="H29" s="50">
        <f t="shared" si="24"/>
        <v>0</v>
      </c>
      <c r="I29" s="88">
        <f>SUM(E29:H29)</f>
        <v>56812928.093784027</v>
      </c>
      <c r="J29" s="51"/>
      <c r="K29" s="71"/>
      <c r="L29" s="72"/>
      <c r="M29" s="39"/>
    </row>
    <row r="30" spans="1:20" s="33" customFormat="1" ht="16.5" thickBot="1">
      <c r="A30" s="64">
        <f t="shared" si="22"/>
        <v>202312</v>
      </c>
      <c r="B30" s="53"/>
      <c r="C30" s="65"/>
      <c r="D30" s="54">
        <v>0</v>
      </c>
      <c r="E30" s="55">
        <f>I29+D30</f>
        <v>56812928.093784027</v>
      </c>
      <c r="F30" s="54"/>
      <c r="G30" s="54"/>
      <c r="H30" s="55">
        <f t="shared" si="24"/>
        <v>0</v>
      </c>
      <c r="I30" s="95">
        <f t="shared" ref="I30" si="26">SUM(E30:H30)</f>
        <v>56812928.093784027</v>
      </c>
      <c r="J30" s="51"/>
      <c r="K30" s="56"/>
      <c r="L30" s="57"/>
      <c r="M30" s="62"/>
    </row>
    <row r="31" spans="1:20" ht="15.75">
      <c r="A31" s="48"/>
      <c r="B31" s="48"/>
      <c r="C31" s="48"/>
      <c r="D31" s="58">
        <f>SUMIF($A$7:$A$30,$D34,D$7:D$30)</f>
        <v>0</v>
      </c>
      <c r="E31" s="48"/>
      <c r="F31" s="58">
        <f>SUMIF($A$7:$A$30,$D34,F$7:F$30)</f>
        <v>-178354.56928799674</v>
      </c>
      <c r="G31" s="58">
        <f>SUMIF($A$7:$A$30,$D34,G$7:G$30)</f>
        <v>-790332.38802999933</v>
      </c>
      <c r="H31" s="58">
        <f>SUMIF($A$7:$A$30,$D34,H$7:H$30)</f>
        <v>299712.17</v>
      </c>
      <c r="I31" s="42" t="s">
        <v>49</v>
      </c>
      <c r="J31" s="48"/>
      <c r="K31" s="48"/>
      <c r="L31" s="48"/>
      <c r="M31" s="48"/>
      <c r="Q31" s="38"/>
      <c r="R31" s="39"/>
      <c r="S31" s="39"/>
      <c r="T31" s="40"/>
    </row>
    <row r="32" spans="1:20" s="98" customFormat="1">
      <c r="A32" s="61"/>
      <c r="B32" s="61"/>
      <c r="C32" s="61"/>
      <c r="D32" s="97" t="s">
        <v>67</v>
      </c>
      <c r="E32" s="61"/>
      <c r="F32" s="97" t="s">
        <v>60</v>
      </c>
      <c r="G32" s="97" t="s">
        <v>61</v>
      </c>
      <c r="H32" s="97" t="s">
        <v>62</v>
      </c>
      <c r="I32" s="61"/>
      <c r="J32" s="61"/>
      <c r="K32" s="61"/>
      <c r="L32" s="61"/>
      <c r="M32" s="61"/>
    </row>
    <row r="33" spans="1:14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4">
      <c r="A34" s="48"/>
      <c r="B34" s="48"/>
      <c r="C34" s="48"/>
      <c r="D34" s="41">
        <v>202303</v>
      </c>
      <c r="E34" s="42" t="s">
        <v>50</v>
      </c>
      <c r="F34" s="43"/>
      <c r="G34" s="48"/>
      <c r="H34" s="48"/>
      <c r="I34" s="48"/>
      <c r="J34" s="48"/>
      <c r="K34" s="48"/>
      <c r="L34" s="48"/>
      <c r="M34" s="48"/>
    </row>
    <row r="35" spans="1:14">
      <c r="A35" s="48"/>
      <c r="B35" s="48"/>
      <c r="C35" s="48"/>
      <c r="D35" s="44" t="s">
        <v>51</v>
      </c>
      <c r="E35" s="44" t="s">
        <v>52</v>
      </c>
      <c r="F35" s="44" t="s">
        <v>53</v>
      </c>
      <c r="G35" s="48"/>
      <c r="H35" s="48"/>
      <c r="I35" s="48"/>
      <c r="J35" s="48"/>
      <c r="K35" s="48"/>
      <c r="L35" s="48"/>
      <c r="M35" s="48"/>
    </row>
    <row r="36" spans="1:14">
      <c r="A36" s="48"/>
      <c r="B36" s="48"/>
      <c r="C36" s="59" t="s">
        <v>21</v>
      </c>
      <c r="D36" s="45" t="s">
        <v>54</v>
      </c>
      <c r="E36" s="46"/>
      <c r="F36" s="47">
        <f>IF($H$31&gt;0,ABS($H$31),"")</f>
        <v>299712.17</v>
      </c>
      <c r="G36" s="61" t="s">
        <v>62</v>
      </c>
      <c r="H36" s="48"/>
      <c r="I36" s="59"/>
      <c r="J36" s="59"/>
      <c r="K36" s="229"/>
      <c r="L36" s="229"/>
      <c r="M36" s="230"/>
      <c r="N36" s="231"/>
    </row>
    <row r="37" spans="1:14">
      <c r="A37" s="48"/>
      <c r="B37" s="48"/>
      <c r="C37" s="59" t="s">
        <v>58</v>
      </c>
      <c r="D37" s="45" t="s">
        <v>55</v>
      </c>
      <c r="E37" s="47" t="str">
        <f>IF($H$31&lt;0,ABS($H$31),"")</f>
        <v/>
      </c>
      <c r="F37" s="46"/>
      <c r="G37" s="61" t="s">
        <v>62</v>
      </c>
      <c r="H37" s="48"/>
      <c r="I37" s="59"/>
      <c r="J37" s="59"/>
      <c r="K37" s="229"/>
      <c r="L37" s="229"/>
      <c r="M37" s="230"/>
      <c r="N37" s="231"/>
    </row>
    <row r="38" spans="1:14">
      <c r="A38" s="48"/>
      <c r="B38" s="48"/>
      <c r="C38" s="59" t="s">
        <v>82</v>
      </c>
      <c r="D38" s="45" t="s">
        <v>56</v>
      </c>
      <c r="E38" s="47" t="str">
        <f>IF($F$31+$G$31+H31&gt;0,ABS($F$31+$G$31+H31),"")</f>
        <v/>
      </c>
      <c r="F38" s="47">
        <f>IF($F$31+$G$31+H31&lt;0,ABS($F$31+$G$31+H31),"")</f>
        <v>668974.78731799615</v>
      </c>
      <c r="G38" s="61" t="s">
        <v>63</v>
      </c>
      <c r="H38" s="48"/>
      <c r="I38" s="59"/>
      <c r="J38" s="59"/>
      <c r="K38" s="229"/>
      <c r="L38" s="229"/>
      <c r="M38" s="230"/>
      <c r="N38" s="231"/>
    </row>
    <row r="39" spans="1:14">
      <c r="A39" s="48"/>
      <c r="B39" s="48"/>
      <c r="C39" s="59" t="s">
        <v>59</v>
      </c>
      <c r="D39" s="45" t="s">
        <v>57</v>
      </c>
      <c r="E39" s="47">
        <f>IF($F$31+$G$31&lt;0,ABS($F$31+$G$31),"")</f>
        <v>968686.95731799607</v>
      </c>
      <c r="F39" s="47" t="str">
        <f>IF($F$31+$G$31&gt;0,ABS($F$31+$G$31),"")</f>
        <v/>
      </c>
      <c r="G39" s="61" t="s">
        <v>64</v>
      </c>
      <c r="H39" s="48"/>
      <c r="I39" s="59"/>
      <c r="J39" s="59"/>
      <c r="K39" s="229"/>
      <c r="L39" s="229"/>
      <c r="M39" s="230"/>
      <c r="N39" s="231"/>
    </row>
    <row r="40" spans="1:14">
      <c r="A40" s="48"/>
      <c r="B40" s="48"/>
      <c r="C40" s="48"/>
      <c r="D40" s="48"/>
      <c r="E40" s="48"/>
      <c r="F40" s="48"/>
      <c r="G40" s="61"/>
      <c r="H40" s="48"/>
      <c r="I40" s="48"/>
      <c r="J40" s="48"/>
      <c r="K40" s="48"/>
      <c r="L40" s="48"/>
      <c r="M40" s="48"/>
    </row>
    <row r="41" spans="1:14">
      <c r="A41" s="48"/>
      <c r="B41" s="48"/>
      <c r="C41" s="48"/>
      <c r="D41" s="48"/>
      <c r="E41" s="48"/>
      <c r="F41" s="60">
        <f>SUM(E36:E39)-SUM(F36:F39)</f>
        <v>0</v>
      </c>
      <c r="G41" s="61" t="s">
        <v>65</v>
      </c>
      <c r="H41" s="48"/>
      <c r="I41" s="48"/>
      <c r="J41" s="48"/>
      <c r="K41" s="48"/>
      <c r="L41" s="48"/>
      <c r="M41" s="48"/>
    </row>
    <row r="42" spans="1:14">
      <c r="G42" s="98"/>
    </row>
    <row r="43" spans="1:14" ht="15.75">
      <c r="D43" s="44" t="s">
        <v>66</v>
      </c>
      <c r="E43" s="232"/>
      <c r="F43" s="233"/>
      <c r="G43" s="99"/>
    </row>
    <row r="44" spans="1:14">
      <c r="D44" s="45" t="s">
        <v>56</v>
      </c>
      <c r="E44" s="47"/>
      <c r="F44" s="75"/>
      <c r="G44" s="61" t="s">
        <v>67</v>
      </c>
    </row>
    <row r="45" spans="1:14">
      <c r="D45" s="74" t="s">
        <v>68</v>
      </c>
      <c r="E45" s="75"/>
      <c r="F45" s="47"/>
      <c r="G45" s="76"/>
    </row>
  </sheetData>
  <printOptions horizontalCentered="1"/>
  <pageMargins left="0.25" right="0.25" top="0.5" bottom="0.5" header="0.3" footer="0.3"/>
  <pageSetup scale="7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U45"/>
  <sheetViews>
    <sheetView zoomScale="90" zoomScaleNormal="90" workbookViewId="0">
      <pane ySplit="6" topLeftCell="A7" activePane="bottomLeft" state="frozen"/>
      <selection activeCell="I51" activeCellId="2" sqref="E48 F52 I51"/>
      <selection pane="bottomLeft" activeCell="C20" sqref="C20"/>
    </sheetView>
  </sheetViews>
  <sheetFormatPr defaultColWidth="8.85546875" defaultRowHeight="12.75" outlineLevelCol="1"/>
  <cols>
    <col min="1" max="1" width="9.140625" style="48" customWidth="1"/>
    <col min="2" max="2" width="9" style="48" bestFit="1" customWidth="1"/>
    <col min="3" max="3" width="14.140625" style="48" bestFit="1" customWidth="1"/>
    <col min="4" max="4" width="12.85546875" style="48" bestFit="1" customWidth="1"/>
    <col min="5" max="5" width="14.140625" style="48" bestFit="1" customWidth="1"/>
    <col min="6" max="6" width="14.28515625" style="48" bestFit="1" customWidth="1"/>
    <col min="7" max="7" width="12.42578125" style="48" customWidth="1"/>
    <col min="8" max="8" width="13.7109375" style="48" bestFit="1" customWidth="1"/>
    <col min="9" max="9" width="11.5703125" style="48" bestFit="1" customWidth="1"/>
    <col min="10" max="10" width="10.140625" style="48" bestFit="1" customWidth="1"/>
    <col min="11" max="11" width="13.7109375" style="48" bestFit="1" customWidth="1"/>
    <col min="12" max="12" width="11.5703125" style="48" hidden="1" customWidth="1" outlineLevel="1"/>
    <col min="13" max="13" width="11" style="48" hidden="1" customWidth="1" outlineLevel="1"/>
    <col min="14" max="14" width="11.5703125" style="48" hidden="1" customWidth="1" outlineLevel="1"/>
    <col min="15" max="15" width="11.28515625" style="48" bestFit="1" customWidth="1" collapsed="1"/>
    <col min="16" max="16" width="14.140625" style="48" bestFit="1" customWidth="1"/>
    <col min="17" max="17" width="1.7109375" style="48" customWidth="1"/>
    <col min="18" max="18" width="14.140625" style="48" bestFit="1" customWidth="1"/>
    <col min="19" max="19" width="13.28515625" style="48" bestFit="1" customWidth="1"/>
    <col min="20" max="20" width="13.5703125" style="48" customWidth="1"/>
    <col min="21" max="21" width="13.85546875" style="48" bestFit="1" customWidth="1"/>
    <col min="22" max="24" width="8.85546875" style="48"/>
    <col min="25" max="25" width="12.7109375" style="48" customWidth="1"/>
    <col min="26" max="27" width="13.140625" style="48" bestFit="1" customWidth="1"/>
    <col min="28" max="16384" width="8.85546875" style="48"/>
  </cols>
  <sheetData>
    <row r="1" spans="1:21" s="29" customFormat="1" ht="15.75">
      <c r="A1" s="78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1" s="29" customFormat="1" ht="15.75">
      <c r="A2" s="7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1" s="29" customFormat="1" ht="15.75">
      <c r="A3" s="78" t="s">
        <v>81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21" s="29" customFormat="1" ht="15.75">
      <c r="A4" s="78" t="s">
        <v>46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1" s="32" customFormat="1" ht="13.5" thickBot="1">
      <c r="A5" s="77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1" s="40" customFormat="1" ht="56.45" customHeight="1">
      <c r="A6" s="35" t="s">
        <v>43</v>
      </c>
      <c r="B6" s="35" t="s">
        <v>41</v>
      </c>
      <c r="C6" s="35" t="s">
        <v>69</v>
      </c>
      <c r="D6" s="35" t="s">
        <v>72</v>
      </c>
      <c r="E6" s="90" t="s">
        <v>40</v>
      </c>
      <c r="F6" s="82" t="s">
        <v>76</v>
      </c>
      <c r="G6" s="83" t="s">
        <v>70</v>
      </c>
      <c r="H6" s="84" t="s">
        <v>48</v>
      </c>
      <c r="I6" s="82" t="s">
        <v>77</v>
      </c>
      <c r="J6" s="83" t="s">
        <v>70</v>
      </c>
      <c r="K6" s="84" t="s">
        <v>48</v>
      </c>
      <c r="L6" s="82" t="s">
        <v>78</v>
      </c>
      <c r="M6" s="83" t="s">
        <v>70</v>
      </c>
      <c r="N6" s="84" t="s">
        <v>48</v>
      </c>
      <c r="O6" s="92" t="s">
        <v>3</v>
      </c>
      <c r="P6" s="35" t="s">
        <v>15</v>
      </c>
      <c r="Q6" s="36"/>
      <c r="R6" s="37" t="s">
        <v>44</v>
      </c>
      <c r="S6" s="37" t="s">
        <v>45</v>
      </c>
    </row>
    <row r="7" spans="1:21">
      <c r="A7" s="119" t="s">
        <v>116</v>
      </c>
      <c r="B7" s="79">
        <v>3.2500000000000001E-2</v>
      </c>
      <c r="C7" s="69">
        <v>0</v>
      </c>
      <c r="D7" s="69">
        <v>0</v>
      </c>
      <c r="E7" s="81">
        <v>8371608.9742069989</v>
      </c>
      <c r="F7" s="225">
        <v>24141718</v>
      </c>
      <c r="G7" s="80">
        <v>-2.0060000000000001E-2</v>
      </c>
      <c r="H7" s="91">
        <v>-484282.86308000004</v>
      </c>
      <c r="I7" s="225">
        <v>8902067</v>
      </c>
      <c r="J7" s="80">
        <v>-2.9020000000000001E-2</v>
      </c>
      <c r="K7" s="91">
        <v>-258337.98434</v>
      </c>
      <c r="L7" s="89"/>
      <c r="M7" s="80"/>
      <c r="N7" s="91">
        <v>0</v>
      </c>
      <c r="O7" s="87">
        <v>21667.48</v>
      </c>
      <c r="P7" s="70">
        <v>7650655.6067869989</v>
      </c>
      <c r="Q7" s="39"/>
      <c r="R7" s="71">
        <v>7650655.5899999999</v>
      </c>
      <c r="S7" s="72">
        <v>-1.6786999069154263E-2</v>
      </c>
    </row>
    <row r="8" spans="1:21">
      <c r="A8" s="119" t="s">
        <v>117</v>
      </c>
      <c r="B8" s="79">
        <v>3.2500000000000001E-2</v>
      </c>
      <c r="C8" s="52">
        <v>0</v>
      </c>
      <c r="D8" s="52">
        <v>0</v>
      </c>
      <c r="E8" s="81">
        <f t="shared" ref="E8:E18" si="0">P7+C8+D8</f>
        <v>7650655.6067869989</v>
      </c>
      <c r="F8" s="224">
        <f>19884076+50305</f>
        <v>19934381</v>
      </c>
      <c r="G8" s="80">
        <v>-2.0060000000000001E-2</v>
      </c>
      <c r="H8" s="91">
        <f t="shared" ref="H8:H16" si="1">F8*G8</f>
        <v>-399883.68286</v>
      </c>
      <c r="I8" s="224">
        <v>7967454</v>
      </c>
      <c r="J8" s="80">
        <v>-2.9020000000000001E-2</v>
      </c>
      <c r="K8" s="91">
        <f t="shared" ref="K8:K16" si="2">I8*J8</f>
        <v>-231215.51508000001</v>
      </c>
      <c r="L8" s="89"/>
      <c r="M8" s="80"/>
      <c r="N8" s="91">
        <f t="shared" ref="N8:N16" si="3">L8*M8</f>
        <v>0</v>
      </c>
      <c r="O8" s="88">
        <f t="shared" ref="O8:O11" si="4">ROUND(((E8*(B8/12))+(H8+K8+N8)/2*(B8/12)),2)</f>
        <v>19865.91</v>
      </c>
      <c r="P8" s="50">
        <f t="shared" ref="P8:P16" si="5">E8+H8+K8+N8+O8</f>
        <v>7039422.3188469987</v>
      </c>
      <c r="Q8" s="39"/>
      <c r="R8" s="71">
        <v>7039422.2999999998</v>
      </c>
      <c r="S8" s="72">
        <f t="shared" ref="S8:S12" si="6">R8-P8</f>
        <v>-1.8846998922526836E-2</v>
      </c>
    </row>
    <row r="9" spans="1:21">
      <c r="A9" s="119" t="s">
        <v>118</v>
      </c>
      <c r="B9" s="79">
        <v>3.2500000000000001E-2</v>
      </c>
      <c r="C9" s="52">
        <v>0</v>
      </c>
      <c r="D9" s="52">
        <v>0</v>
      </c>
      <c r="E9" s="81">
        <f t="shared" si="0"/>
        <v>7039422.3188469987</v>
      </c>
      <c r="F9" s="224">
        <f>14466885+38681</f>
        <v>14505566</v>
      </c>
      <c r="G9" s="80">
        <v>-2.0060000000000001E-2</v>
      </c>
      <c r="H9" s="91">
        <f t="shared" si="1"/>
        <v>-290981.65396000003</v>
      </c>
      <c r="I9" s="224">
        <v>6530840</v>
      </c>
      <c r="J9" s="80">
        <v>-2.9020000000000001E-2</v>
      </c>
      <c r="K9" s="91">
        <f t="shared" si="2"/>
        <v>-189524.9768</v>
      </c>
      <c r="L9" s="89"/>
      <c r="M9" s="80"/>
      <c r="N9" s="91">
        <f t="shared" si="3"/>
        <v>0</v>
      </c>
      <c r="O9" s="88">
        <f t="shared" si="4"/>
        <v>18414.419999999998</v>
      </c>
      <c r="P9" s="50">
        <f t="shared" si="5"/>
        <v>6577330.1080869986</v>
      </c>
      <c r="Q9" s="39"/>
      <c r="R9" s="71">
        <v>6577330.0899999999</v>
      </c>
      <c r="S9" s="72">
        <f t="shared" si="6"/>
        <v>-1.8086998723447323E-2</v>
      </c>
    </row>
    <row r="10" spans="1:21">
      <c r="A10" s="119" t="s">
        <v>119</v>
      </c>
      <c r="B10" s="79">
        <v>3.2500000000000001E-2</v>
      </c>
      <c r="C10" s="52">
        <v>0</v>
      </c>
      <c r="D10" s="52">
        <v>0</v>
      </c>
      <c r="E10" s="81">
        <f t="shared" si="0"/>
        <v>6577330.1080869986</v>
      </c>
      <c r="F10" s="224">
        <f>12130478+33753</f>
        <v>12164231</v>
      </c>
      <c r="G10" s="80">
        <v>-2.0060000000000001E-2</v>
      </c>
      <c r="H10" s="91">
        <f t="shared" si="1"/>
        <v>-244014.47386000003</v>
      </c>
      <c r="I10" s="224">
        <v>5534897</v>
      </c>
      <c r="J10" s="80">
        <v>-2.9020000000000001E-2</v>
      </c>
      <c r="K10" s="91">
        <f t="shared" si="2"/>
        <v>-160622.71093999999</v>
      </c>
      <c r="L10" s="89"/>
      <c r="M10" s="80"/>
      <c r="N10" s="91">
        <f t="shared" si="3"/>
        <v>0</v>
      </c>
      <c r="O10" s="88">
        <f t="shared" si="4"/>
        <v>17265.66</v>
      </c>
      <c r="P10" s="50">
        <f t="shared" si="5"/>
        <v>6189958.5832869988</v>
      </c>
      <c r="Q10" s="39"/>
      <c r="R10" s="71">
        <v>6189958.5700000003</v>
      </c>
      <c r="S10" s="72">
        <f t="shared" si="6"/>
        <v>-1.3286998495459557E-2</v>
      </c>
    </row>
    <row r="11" spans="1:21">
      <c r="A11" s="119" t="s">
        <v>120</v>
      </c>
      <c r="B11" s="79">
        <v>3.2500000000000001E-2</v>
      </c>
      <c r="C11" s="52">
        <v>0</v>
      </c>
      <c r="D11" s="52">
        <v>0</v>
      </c>
      <c r="E11" s="81">
        <f t="shared" si="0"/>
        <v>6189958.5832869988</v>
      </c>
      <c r="F11" s="224">
        <f>7528936+22516</f>
        <v>7551452</v>
      </c>
      <c r="G11" s="80">
        <v>-2.0060000000000001E-2</v>
      </c>
      <c r="H11" s="91">
        <f t="shared" si="1"/>
        <v>-151482.12712000002</v>
      </c>
      <c r="I11" s="224">
        <v>3861543</v>
      </c>
      <c r="J11" s="80">
        <v>-2.9020000000000001E-2</v>
      </c>
      <c r="K11" s="91">
        <f t="shared" si="2"/>
        <v>-112061.97786</v>
      </c>
      <c r="L11" s="89"/>
      <c r="M11" s="80"/>
      <c r="N11" s="91">
        <f t="shared" si="3"/>
        <v>0</v>
      </c>
      <c r="O11" s="88">
        <f t="shared" si="4"/>
        <v>16407.59</v>
      </c>
      <c r="P11" s="50">
        <f t="shared" si="5"/>
        <v>5942822.0683069983</v>
      </c>
      <c r="Q11" s="39"/>
      <c r="R11" s="71">
        <v>5942822.0599999996</v>
      </c>
      <c r="S11" s="72">
        <f t="shared" si="6"/>
        <v>-8.3069987595081329E-3</v>
      </c>
    </row>
    <row r="12" spans="1:21">
      <c r="A12" s="119" t="s">
        <v>121</v>
      </c>
      <c r="B12" s="79">
        <v>3.2500000000000001E-2</v>
      </c>
      <c r="C12" s="52">
        <v>0</v>
      </c>
      <c r="D12" s="52">
        <v>0</v>
      </c>
      <c r="E12" s="81">
        <f t="shared" si="0"/>
        <v>5942822.0683069983</v>
      </c>
      <c r="F12" s="224">
        <f>3513630+10109</f>
        <v>3523739</v>
      </c>
      <c r="G12" s="80">
        <v>-2.0060000000000001E-2</v>
      </c>
      <c r="H12" s="91">
        <f t="shared" si="1"/>
        <v>-70686.204340000011</v>
      </c>
      <c r="I12" s="224">
        <v>2400538</v>
      </c>
      <c r="J12" s="80">
        <v>-2.9020000000000001E-2</v>
      </c>
      <c r="K12" s="91">
        <f t="shared" si="2"/>
        <v>-69663.612760000004</v>
      </c>
      <c r="L12" s="89"/>
      <c r="M12" s="80"/>
      <c r="N12" s="91">
        <f t="shared" si="3"/>
        <v>0</v>
      </c>
      <c r="O12" s="88">
        <f>ROUND(((E12*(B12/12))+(H12+K12+N12)/2*(B12/12)),2)</f>
        <v>15905.09</v>
      </c>
      <c r="P12" s="50">
        <f t="shared" si="5"/>
        <v>5818377.3412069986</v>
      </c>
      <c r="Q12" s="39"/>
      <c r="R12" s="71">
        <v>5818377.3300000001</v>
      </c>
      <c r="S12" s="72">
        <f t="shared" si="6"/>
        <v>-1.1206998489797115E-2</v>
      </c>
    </row>
    <row r="13" spans="1:21">
      <c r="A13" s="119" t="s">
        <v>122</v>
      </c>
      <c r="B13" s="79">
        <v>3.5999999999999997E-2</v>
      </c>
      <c r="C13" s="52">
        <v>0</v>
      </c>
      <c r="D13" s="52">
        <v>0</v>
      </c>
      <c r="E13" s="81">
        <f t="shared" si="0"/>
        <v>5818377.3412069986</v>
      </c>
      <c r="F13" s="224">
        <f>2224703+5190</f>
        <v>2229893</v>
      </c>
      <c r="G13" s="80">
        <v>-2.0060000000000001E-2</v>
      </c>
      <c r="H13" s="91">
        <f t="shared" si="1"/>
        <v>-44731.653580000006</v>
      </c>
      <c r="I13" s="224">
        <v>1968103</v>
      </c>
      <c r="J13" s="80">
        <v>-2.9020000000000001E-2</v>
      </c>
      <c r="K13" s="91">
        <f t="shared" si="2"/>
        <v>-57114.34906</v>
      </c>
      <c r="L13" s="89"/>
      <c r="M13" s="80"/>
      <c r="N13" s="91">
        <f t="shared" si="3"/>
        <v>0</v>
      </c>
      <c r="O13" s="88">
        <f t="shared" ref="O13:O18" si="7">ROUND(((E13*(B13/12))+(H13+K13+N13)/2*(B13/12)),2)</f>
        <v>17302.36</v>
      </c>
      <c r="P13" s="50">
        <f t="shared" si="5"/>
        <v>5733833.6985669993</v>
      </c>
      <c r="Q13" s="39"/>
      <c r="R13" s="71">
        <v>5733833.6900000004</v>
      </c>
      <c r="S13" s="72">
        <f t="shared" ref="S13" si="8">R13-P13</f>
        <v>-8.5669988766312599E-3</v>
      </c>
    </row>
    <row r="14" spans="1:21">
      <c r="A14" s="119" t="s">
        <v>123</v>
      </c>
      <c r="B14" s="79">
        <v>3.5999999999999997E-2</v>
      </c>
      <c r="C14" s="52">
        <v>0</v>
      </c>
      <c r="D14" s="52">
        <v>0</v>
      </c>
      <c r="E14" s="81">
        <f t="shared" si="0"/>
        <v>5733833.6985669993</v>
      </c>
      <c r="F14" s="224">
        <f>1985915+4782</f>
        <v>1990697</v>
      </c>
      <c r="G14" s="80">
        <v>-2.0060000000000001E-2</v>
      </c>
      <c r="H14" s="91">
        <f t="shared" si="1"/>
        <v>-39933.381820000002</v>
      </c>
      <c r="I14" s="224">
        <v>1803204</v>
      </c>
      <c r="J14" s="80">
        <v>-2.9020000000000001E-2</v>
      </c>
      <c r="K14" s="91">
        <f t="shared" si="2"/>
        <v>-52328.980080000001</v>
      </c>
      <c r="L14" s="89"/>
      <c r="M14" s="80"/>
      <c r="N14" s="91">
        <f t="shared" si="3"/>
        <v>0</v>
      </c>
      <c r="O14" s="88">
        <f t="shared" si="7"/>
        <v>17063.11</v>
      </c>
      <c r="P14" s="50">
        <f t="shared" si="5"/>
        <v>5658634.4466669997</v>
      </c>
      <c r="Q14" s="39"/>
      <c r="R14" s="71">
        <v>5658634.4400000004</v>
      </c>
      <c r="S14" s="72">
        <f t="shared" ref="S14" si="9">R14-P14</f>
        <v>-6.6669993102550507E-3</v>
      </c>
      <c r="U14" s="129"/>
    </row>
    <row r="15" spans="1:21">
      <c r="A15" s="119" t="s">
        <v>124</v>
      </c>
      <c r="B15" s="79">
        <v>3.5999999999999997E-2</v>
      </c>
      <c r="C15" s="52">
        <v>0</v>
      </c>
      <c r="D15" s="52">
        <v>0</v>
      </c>
      <c r="E15" s="81">
        <f t="shared" si="0"/>
        <v>5658634.4466669997</v>
      </c>
      <c r="F15" s="224">
        <f>2606125+6911</f>
        <v>2613036</v>
      </c>
      <c r="G15" s="80">
        <v>-2.0060000000000001E-2</v>
      </c>
      <c r="H15" s="91">
        <f t="shared" si="1"/>
        <v>-52417.502160000004</v>
      </c>
      <c r="I15" s="224">
        <v>2229934</v>
      </c>
      <c r="J15" s="80">
        <v>-2.9020000000000001E-2</v>
      </c>
      <c r="K15" s="91">
        <f t="shared" si="2"/>
        <v>-64712.684679999998</v>
      </c>
      <c r="L15" s="89"/>
      <c r="M15" s="80"/>
      <c r="N15" s="91">
        <f t="shared" si="3"/>
        <v>0</v>
      </c>
      <c r="O15" s="88">
        <f t="shared" si="7"/>
        <v>16800.21</v>
      </c>
      <c r="P15" s="50">
        <f t="shared" si="5"/>
        <v>5558304.4698270001</v>
      </c>
      <c r="Q15" s="39"/>
      <c r="R15" s="71">
        <v>5558304.46</v>
      </c>
      <c r="S15" s="72">
        <f t="shared" ref="S15" si="10">R15-P15</f>
        <v>-9.8270000889897346E-3</v>
      </c>
    </row>
    <row r="16" spans="1:21">
      <c r="A16" s="119" t="s">
        <v>125</v>
      </c>
      <c r="B16" s="79">
        <v>4.9099999999999998E-2</v>
      </c>
      <c r="C16" s="52">
        <v>0</v>
      </c>
      <c r="D16" s="52">
        <v>0</v>
      </c>
      <c r="E16" s="81">
        <f t="shared" si="0"/>
        <v>5558304.4698270001</v>
      </c>
      <c r="F16" s="224">
        <f>5688582+17723</f>
        <v>5706305</v>
      </c>
      <c r="G16" s="80">
        <v>-2.0060000000000001E-2</v>
      </c>
      <c r="H16" s="91">
        <f t="shared" si="1"/>
        <v>-114468.4783</v>
      </c>
      <c r="I16" s="224">
        <v>4185171</v>
      </c>
      <c r="J16" s="80">
        <v>-2.9020000000000001E-2</v>
      </c>
      <c r="K16" s="91">
        <f t="shared" si="2"/>
        <v>-121453.66242000001</v>
      </c>
      <c r="L16" s="89"/>
      <c r="M16" s="80"/>
      <c r="N16" s="91">
        <f t="shared" si="3"/>
        <v>0</v>
      </c>
      <c r="O16" s="88">
        <f t="shared" si="7"/>
        <v>22260.07</v>
      </c>
      <c r="P16" s="50">
        <f t="shared" si="5"/>
        <v>5344642.3991070008</v>
      </c>
      <c r="Q16" s="39"/>
      <c r="R16" s="71">
        <v>5344642.4000000004</v>
      </c>
      <c r="S16" s="72">
        <f t="shared" ref="S16" si="11">R16-P16</f>
        <v>8.9299958199262619E-4</v>
      </c>
    </row>
    <row r="17" spans="1:21">
      <c r="A17" s="119" t="s">
        <v>126</v>
      </c>
      <c r="B17" s="79">
        <v>4.9099999999999998E-2</v>
      </c>
      <c r="C17" s="52">
        <f>-'191010 WA DEF'!D17</f>
        <v>16619372.818111997</v>
      </c>
      <c r="D17" s="52">
        <v>-57695.35</v>
      </c>
      <c r="E17" s="81">
        <f t="shared" si="0"/>
        <v>21906319.867218997</v>
      </c>
      <c r="F17" s="224">
        <f>21123575+64852</f>
        <v>21188427</v>
      </c>
      <c r="G17" s="69" t="s">
        <v>71</v>
      </c>
      <c r="H17" s="85">
        <f>-1566507-4817</f>
        <v>-1571324</v>
      </c>
      <c r="I17" s="224">
        <v>8371710</v>
      </c>
      <c r="J17" s="69" t="s">
        <v>71</v>
      </c>
      <c r="K17" s="85">
        <v>-959889</v>
      </c>
      <c r="L17" s="89"/>
      <c r="M17" s="69" t="s">
        <v>71</v>
      </c>
      <c r="N17" s="85">
        <v>0</v>
      </c>
      <c r="O17" s="88">
        <f t="shared" si="7"/>
        <v>84454.92</v>
      </c>
      <c r="P17" s="50">
        <f>E17+H17+K17+N17+O17</f>
        <v>19459561.787218999</v>
      </c>
      <c r="Q17" s="39"/>
      <c r="R17" s="71">
        <v>19459561.789999999</v>
      </c>
      <c r="S17" s="72">
        <f t="shared" ref="S17" si="12">R17-P17</f>
        <v>2.7809999883174896E-3</v>
      </c>
    </row>
    <row r="18" spans="1:21" ht="13.5" thickBot="1">
      <c r="A18" s="135" t="s">
        <v>127</v>
      </c>
      <c r="B18" s="93">
        <v>4.9099999999999998E-2</v>
      </c>
      <c r="C18" s="54">
        <v>0</v>
      </c>
      <c r="D18" s="54">
        <v>0</v>
      </c>
      <c r="E18" s="223">
        <f t="shared" si="0"/>
        <v>19459561.787218999</v>
      </c>
      <c r="F18" s="227">
        <f>26566755+77956</f>
        <v>26644711</v>
      </c>
      <c r="G18" s="73" t="s">
        <v>71</v>
      </c>
      <c r="H18" s="86">
        <f>-2122942-6215</f>
        <v>-2129157</v>
      </c>
      <c r="I18" s="226">
        <v>10057384</v>
      </c>
      <c r="J18" s="73" t="s">
        <v>71</v>
      </c>
      <c r="K18" s="86">
        <v>-1116927</v>
      </c>
      <c r="L18" s="94"/>
      <c r="M18" s="73" t="s">
        <v>71</v>
      </c>
      <c r="N18" s="86">
        <v>0</v>
      </c>
      <c r="O18" s="95">
        <f t="shared" si="7"/>
        <v>72981.09</v>
      </c>
      <c r="P18" s="55">
        <f t="shared" ref="P18:P28" si="13">E18+H18+K18+N18+O18</f>
        <v>16286458.877218999</v>
      </c>
      <c r="Q18" s="96"/>
      <c r="R18" s="56">
        <v>16286458.880000001</v>
      </c>
      <c r="S18" s="57">
        <f t="shared" ref="S18:S19" si="14">R18-P18</f>
        <v>2.7810018509626389E-3</v>
      </c>
    </row>
    <row r="19" spans="1:21">
      <c r="A19" s="119" t="s">
        <v>129</v>
      </c>
      <c r="B19" s="79">
        <v>6.3100000000000003E-2</v>
      </c>
      <c r="C19" s="69">
        <v>0</v>
      </c>
      <c r="D19" s="69">
        <v>0</v>
      </c>
      <c r="E19" s="81">
        <f>P18+C19+D19</f>
        <v>16286458.877218999</v>
      </c>
      <c r="F19" s="225">
        <f>22533765+68120</f>
        <v>22601885</v>
      </c>
      <c r="G19" s="80">
        <v>-7.9930000000000001E-2</v>
      </c>
      <c r="H19" s="91">
        <f>F19*G19</f>
        <v>-1806568.66805</v>
      </c>
      <c r="I19" s="225">
        <v>9462702</v>
      </c>
      <c r="J19" s="80">
        <v>-0.1129</v>
      </c>
      <c r="K19" s="91">
        <f>I19*J19</f>
        <v>-1068339.0558</v>
      </c>
      <c r="L19" s="89"/>
      <c r="M19" s="80"/>
      <c r="N19" s="91">
        <f>L19*M19</f>
        <v>0</v>
      </c>
      <c r="O19" s="87">
        <f>ROUND(((E19*(B19/12))+(H19+K19+N19)/2*(B19/12)),2)</f>
        <v>78081.02</v>
      </c>
      <c r="P19" s="70">
        <f t="shared" si="13"/>
        <v>13489632.173368998</v>
      </c>
      <c r="Q19" s="39"/>
      <c r="R19" s="71">
        <v>13489632.18</v>
      </c>
      <c r="S19" s="72">
        <f t="shared" si="14"/>
        <v>6.6310018301010132E-3</v>
      </c>
    </row>
    <row r="20" spans="1:21">
      <c r="A20" s="119" t="s">
        <v>130</v>
      </c>
      <c r="B20" s="79">
        <v>6.3100000000000003E-2</v>
      </c>
      <c r="C20" s="52">
        <v>0</v>
      </c>
      <c r="D20" s="52">
        <v>0</v>
      </c>
      <c r="E20" s="81">
        <f t="shared" ref="E20:E30" si="15">P19+C20+D20</f>
        <v>13489632.173368998</v>
      </c>
      <c r="F20" s="224">
        <f>19928457+60896</f>
        <v>19989353</v>
      </c>
      <c r="G20" s="80">
        <v>-7.9930000000000001E-2</v>
      </c>
      <c r="H20" s="91">
        <f t="shared" ref="H20:H28" si="16">F20*G20</f>
        <v>-1597748.98529</v>
      </c>
      <c r="I20" s="224">
        <v>7728313</v>
      </c>
      <c r="J20" s="80">
        <v>-0.1129</v>
      </c>
      <c r="K20" s="91">
        <f t="shared" ref="K20:K28" si="17">I20*J20</f>
        <v>-872526.53769999999</v>
      </c>
      <c r="L20" s="89"/>
      <c r="M20" s="80"/>
      <c r="N20" s="91">
        <f t="shared" ref="N20:N28" si="18">L20*M20</f>
        <v>0</v>
      </c>
      <c r="O20" s="88">
        <f t="shared" ref="O20:O23" si="19">ROUND(((E20*(B20/12))+(H20+K20+N20)/2*(B20/12)),2)</f>
        <v>64438.22</v>
      </c>
      <c r="P20" s="50">
        <f t="shared" si="13"/>
        <v>11083794.870378999</v>
      </c>
      <c r="Q20" s="39"/>
      <c r="R20" s="71">
        <v>11083794.880000001</v>
      </c>
      <c r="S20" s="72">
        <f t="shared" ref="S20" si="20">R20-P20</f>
        <v>9.6210017800331116E-3</v>
      </c>
    </row>
    <row r="21" spans="1:21">
      <c r="A21" s="119" t="s">
        <v>131</v>
      </c>
      <c r="B21" s="79">
        <v>6.3100000000000003E-2</v>
      </c>
      <c r="C21" s="52">
        <v>0</v>
      </c>
      <c r="D21" s="52">
        <v>0</v>
      </c>
      <c r="E21" s="81">
        <f t="shared" si="15"/>
        <v>11083794.870378999</v>
      </c>
      <c r="F21" s="224">
        <f>16463840+55607</f>
        <v>16519447</v>
      </c>
      <c r="G21" s="80">
        <v>-7.9930000000000001E-2</v>
      </c>
      <c r="H21" s="91">
        <f t="shared" si="16"/>
        <v>-1320399.3987100001</v>
      </c>
      <c r="I21" s="224">
        <v>7564231</v>
      </c>
      <c r="J21" s="80">
        <v>-0.1129</v>
      </c>
      <c r="K21" s="91">
        <f t="shared" si="17"/>
        <v>-854001.67989999999</v>
      </c>
      <c r="L21" s="89"/>
      <c r="M21" s="80"/>
      <c r="N21" s="91">
        <f t="shared" si="18"/>
        <v>0</v>
      </c>
      <c r="O21" s="88">
        <f t="shared" si="19"/>
        <v>52565.43</v>
      </c>
      <c r="P21" s="50">
        <f t="shared" si="13"/>
        <v>8961959.2217689995</v>
      </c>
      <c r="Q21" s="39"/>
      <c r="R21" s="71">
        <v>11083794.880000001</v>
      </c>
      <c r="S21" s="72">
        <f t="shared" ref="S21" si="21">R21-P21</f>
        <v>2121835.6582310013</v>
      </c>
    </row>
    <row r="22" spans="1:21">
      <c r="A22" s="119" t="s">
        <v>132</v>
      </c>
      <c r="B22" s="79"/>
      <c r="C22" s="52">
        <v>0</v>
      </c>
      <c r="D22" s="52">
        <v>0</v>
      </c>
      <c r="E22" s="81">
        <f t="shared" si="15"/>
        <v>8961959.2217689995</v>
      </c>
      <c r="F22" s="224"/>
      <c r="G22" s="80"/>
      <c r="H22" s="91">
        <f t="shared" si="16"/>
        <v>0</v>
      </c>
      <c r="I22" s="224"/>
      <c r="J22" s="80"/>
      <c r="K22" s="91">
        <f t="shared" si="17"/>
        <v>0</v>
      </c>
      <c r="L22" s="89"/>
      <c r="M22" s="80"/>
      <c r="N22" s="91">
        <f t="shared" si="18"/>
        <v>0</v>
      </c>
      <c r="O22" s="88">
        <f t="shared" si="19"/>
        <v>0</v>
      </c>
      <c r="P22" s="50">
        <f t="shared" si="13"/>
        <v>8961959.2217689995</v>
      </c>
      <c r="Q22" s="39"/>
      <c r="R22" s="71"/>
      <c r="S22" s="72"/>
    </row>
    <row r="23" spans="1:21">
      <c r="A23" s="119" t="s">
        <v>133</v>
      </c>
      <c r="B23" s="79"/>
      <c r="C23" s="52">
        <v>0</v>
      </c>
      <c r="D23" s="52">
        <v>0</v>
      </c>
      <c r="E23" s="81">
        <f t="shared" si="15"/>
        <v>8961959.2217689995</v>
      </c>
      <c r="F23" s="224"/>
      <c r="G23" s="80"/>
      <c r="H23" s="91">
        <f t="shared" si="16"/>
        <v>0</v>
      </c>
      <c r="I23" s="224"/>
      <c r="J23" s="80"/>
      <c r="K23" s="91">
        <f t="shared" si="17"/>
        <v>0</v>
      </c>
      <c r="L23" s="89"/>
      <c r="M23" s="80"/>
      <c r="N23" s="91">
        <f t="shared" si="18"/>
        <v>0</v>
      </c>
      <c r="O23" s="88">
        <f t="shared" si="19"/>
        <v>0</v>
      </c>
      <c r="P23" s="50">
        <f t="shared" si="13"/>
        <v>8961959.2217689995</v>
      </c>
      <c r="Q23" s="39"/>
      <c r="R23" s="71"/>
      <c r="S23" s="72"/>
    </row>
    <row r="24" spans="1:21">
      <c r="A24" s="119" t="s">
        <v>134</v>
      </c>
      <c r="B24" s="79"/>
      <c r="C24" s="52">
        <v>0</v>
      </c>
      <c r="D24" s="52">
        <v>0</v>
      </c>
      <c r="E24" s="81">
        <f t="shared" si="15"/>
        <v>8961959.2217689995</v>
      </c>
      <c r="F24" s="224"/>
      <c r="G24" s="80"/>
      <c r="H24" s="91">
        <f t="shared" si="16"/>
        <v>0</v>
      </c>
      <c r="I24" s="224"/>
      <c r="J24" s="80"/>
      <c r="K24" s="91">
        <f t="shared" si="17"/>
        <v>0</v>
      </c>
      <c r="L24" s="89"/>
      <c r="M24" s="80"/>
      <c r="N24" s="91">
        <f t="shared" si="18"/>
        <v>0</v>
      </c>
      <c r="O24" s="88">
        <f>ROUND(((E24*(B24/12))+(H24+K24+N24)/2*(B24/12)),2)</f>
        <v>0</v>
      </c>
      <c r="P24" s="50">
        <f t="shared" si="13"/>
        <v>8961959.2217689995</v>
      </c>
      <c r="Q24" s="39"/>
      <c r="R24" s="71"/>
      <c r="S24" s="72"/>
    </row>
    <row r="25" spans="1:21">
      <c r="A25" s="119" t="s">
        <v>135</v>
      </c>
      <c r="B25" s="79"/>
      <c r="C25" s="52">
        <v>0</v>
      </c>
      <c r="D25" s="52">
        <v>0</v>
      </c>
      <c r="E25" s="81">
        <f t="shared" si="15"/>
        <v>8961959.2217689995</v>
      </c>
      <c r="F25" s="224"/>
      <c r="G25" s="80"/>
      <c r="H25" s="91">
        <f t="shared" si="16"/>
        <v>0</v>
      </c>
      <c r="I25" s="224"/>
      <c r="J25" s="80"/>
      <c r="K25" s="91">
        <f t="shared" si="17"/>
        <v>0</v>
      </c>
      <c r="L25" s="89"/>
      <c r="M25" s="80"/>
      <c r="N25" s="91">
        <f t="shared" si="18"/>
        <v>0</v>
      </c>
      <c r="O25" s="88">
        <f t="shared" ref="O25:O30" si="22">ROUND(((E25*(B25/12))+(H25+K25+N25)/2*(B25/12)),2)</f>
        <v>0</v>
      </c>
      <c r="P25" s="50">
        <f t="shared" si="13"/>
        <v>8961959.2217689995</v>
      </c>
      <c r="Q25" s="39"/>
      <c r="R25" s="71"/>
      <c r="S25" s="72"/>
    </row>
    <row r="26" spans="1:21">
      <c r="A26" s="119" t="s">
        <v>136</v>
      </c>
      <c r="B26" s="79"/>
      <c r="C26" s="52">
        <v>0</v>
      </c>
      <c r="D26" s="52">
        <v>0</v>
      </c>
      <c r="E26" s="81">
        <f t="shared" si="15"/>
        <v>8961959.2217689995</v>
      </c>
      <c r="F26" s="224"/>
      <c r="G26" s="80"/>
      <c r="H26" s="91">
        <f t="shared" si="16"/>
        <v>0</v>
      </c>
      <c r="I26" s="224"/>
      <c r="J26" s="80"/>
      <c r="K26" s="91">
        <f t="shared" si="17"/>
        <v>0</v>
      </c>
      <c r="L26" s="89"/>
      <c r="M26" s="80"/>
      <c r="N26" s="91">
        <f t="shared" si="18"/>
        <v>0</v>
      </c>
      <c r="O26" s="88">
        <f t="shared" si="22"/>
        <v>0</v>
      </c>
      <c r="P26" s="50">
        <f t="shared" si="13"/>
        <v>8961959.2217689995</v>
      </c>
      <c r="Q26" s="39"/>
      <c r="R26" s="71"/>
      <c r="S26" s="72"/>
      <c r="U26" s="129"/>
    </row>
    <row r="27" spans="1:21">
      <c r="A27" s="119" t="s">
        <v>137</v>
      </c>
      <c r="B27" s="79"/>
      <c r="C27" s="52">
        <v>0</v>
      </c>
      <c r="D27" s="52">
        <v>0</v>
      </c>
      <c r="E27" s="81">
        <f t="shared" si="15"/>
        <v>8961959.2217689995</v>
      </c>
      <c r="F27" s="224"/>
      <c r="G27" s="80"/>
      <c r="H27" s="91">
        <f t="shared" si="16"/>
        <v>0</v>
      </c>
      <c r="I27" s="224"/>
      <c r="J27" s="80"/>
      <c r="K27" s="91">
        <f t="shared" si="17"/>
        <v>0</v>
      </c>
      <c r="L27" s="89"/>
      <c r="M27" s="80"/>
      <c r="N27" s="91">
        <f t="shared" si="18"/>
        <v>0</v>
      </c>
      <c r="O27" s="88">
        <f t="shared" si="22"/>
        <v>0</v>
      </c>
      <c r="P27" s="50">
        <f t="shared" si="13"/>
        <v>8961959.2217689995</v>
      </c>
      <c r="Q27" s="39"/>
      <c r="R27" s="71"/>
      <c r="S27" s="72"/>
    </row>
    <row r="28" spans="1:21">
      <c r="A28" s="119" t="s">
        <v>138</v>
      </c>
      <c r="B28" s="79"/>
      <c r="C28" s="52">
        <v>0</v>
      </c>
      <c r="D28" s="52">
        <v>0</v>
      </c>
      <c r="E28" s="81">
        <f t="shared" si="15"/>
        <v>8961959.2217689995</v>
      </c>
      <c r="F28" s="224"/>
      <c r="G28" s="80"/>
      <c r="H28" s="91">
        <f t="shared" si="16"/>
        <v>0</v>
      </c>
      <c r="I28" s="224"/>
      <c r="J28" s="80"/>
      <c r="K28" s="91">
        <f t="shared" si="17"/>
        <v>0</v>
      </c>
      <c r="L28" s="89"/>
      <c r="M28" s="80"/>
      <c r="N28" s="91">
        <f t="shared" si="18"/>
        <v>0</v>
      </c>
      <c r="O28" s="88">
        <f t="shared" si="22"/>
        <v>0</v>
      </c>
      <c r="P28" s="50">
        <f t="shared" si="13"/>
        <v>8961959.2217689995</v>
      </c>
      <c r="Q28" s="39"/>
      <c r="R28" s="71"/>
      <c r="S28" s="72"/>
    </row>
    <row r="29" spans="1:21">
      <c r="A29" s="119" t="s">
        <v>139</v>
      </c>
      <c r="B29" s="79"/>
      <c r="C29" s="52"/>
      <c r="D29" s="52"/>
      <c r="E29" s="81">
        <f t="shared" si="15"/>
        <v>8961959.2217689995</v>
      </c>
      <c r="F29" s="224"/>
      <c r="G29" s="69" t="s">
        <v>71</v>
      </c>
      <c r="H29" s="85"/>
      <c r="I29" s="224"/>
      <c r="J29" s="69" t="s">
        <v>71</v>
      </c>
      <c r="K29" s="85"/>
      <c r="L29" s="89"/>
      <c r="M29" s="69" t="s">
        <v>71</v>
      </c>
      <c r="N29" s="85">
        <v>0</v>
      </c>
      <c r="O29" s="88">
        <f t="shared" si="22"/>
        <v>0</v>
      </c>
      <c r="P29" s="50">
        <f>E29+H29+K29+N29+O29</f>
        <v>8961959.2217689995</v>
      </c>
      <c r="Q29" s="39"/>
      <c r="R29" s="71"/>
      <c r="S29" s="72"/>
    </row>
    <row r="30" spans="1:21" ht="13.5" thickBot="1">
      <c r="A30" s="135" t="s">
        <v>140</v>
      </c>
      <c r="B30" s="93"/>
      <c r="C30" s="54">
        <v>0</v>
      </c>
      <c r="D30" s="54">
        <v>0</v>
      </c>
      <c r="E30" s="223">
        <f t="shared" si="15"/>
        <v>8961959.2217689995</v>
      </c>
      <c r="F30" s="227"/>
      <c r="G30" s="73" t="s">
        <v>71</v>
      </c>
      <c r="H30" s="86"/>
      <c r="I30" s="226"/>
      <c r="J30" s="73" t="s">
        <v>71</v>
      </c>
      <c r="K30" s="86"/>
      <c r="L30" s="94"/>
      <c r="M30" s="73" t="s">
        <v>71</v>
      </c>
      <c r="N30" s="86">
        <v>0</v>
      </c>
      <c r="O30" s="95">
        <f t="shared" si="22"/>
        <v>0</v>
      </c>
      <c r="P30" s="55">
        <f t="shared" ref="P30" si="23">E30+H30+K30+N30+O30</f>
        <v>8961959.2217689995</v>
      </c>
      <c r="Q30" s="96"/>
      <c r="R30" s="56"/>
      <c r="S30" s="57"/>
    </row>
    <row r="31" spans="1:21" s="98" customFormat="1" ht="15.75">
      <c r="A31" s="61"/>
      <c r="B31" s="61"/>
      <c r="C31" s="61"/>
      <c r="D31" s="58">
        <f>SUMIF($A$7:$A$18,$G34,D$7:D$18)</f>
        <v>0</v>
      </c>
      <c r="E31" s="58"/>
      <c r="F31" s="58"/>
      <c r="G31" s="58"/>
      <c r="H31" s="58">
        <f>SUMIF($A$7:$A$30,$G34,H$7:H$30)</f>
        <v>-1320399.3987100001</v>
      </c>
      <c r="I31" s="42"/>
      <c r="J31" s="61"/>
      <c r="K31" s="58">
        <f>SUMIF($A$7:$A$30,$G34,K$7:K$30)</f>
        <v>-854001.67989999999</v>
      </c>
      <c r="L31" s="61"/>
      <c r="M31" s="61"/>
      <c r="N31" s="58" t="e">
        <f>SUMIF(#REF!,$G34,#REF!)</f>
        <v>#REF!</v>
      </c>
      <c r="O31" s="58">
        <f>SUMIF($A$7:$A$30,$G34,O$7:O$30)</f>
        <v>52565.43</v>
      </c>
      <c r="P31" s="42" t="s">
        <v>49</v>
      </c>
      <c r="Q31" s="100"/>
      <c r="R31" s="101"/>
      <c r="S31" s="101"/>
      <c r="T31" s="102"/>
    </row>
    <row r="32" spans="1:21" s="98" customFormat="1" ht="15">
      <c r="A32" s="61"/>
      <c r="B32" s="61"/>
      <c r="C32" s="61"/>
      <c r="D32" s="97" t="s">
        <v>62</v>
      </c>
      <c r="E32" s="97"/>
      <c r="F32" s="97"/>
      <c r="G32" s="97"/>
      <c r="H32" s="97" t="s">
        <v>60</v>
      </c>
      <c r="I32" s="61"/>
      <c r="J32" s="61"/>
      <c r="K32" s="97" t="s">
        <v>60</v>
      </c>
      <c r="L32" s="97"/>
      <c r="M32" s="97"/>
      <c r="N32" s="97" t="s">
        <v>60</v>
      </c>
      <c r="O32" s="97" t="s">
        <v>61</v>
      </c>
    </row>
    <row r="33" spans="4:16" s="26" customFormat="1" ht="15"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4:16" s="26" customFormat="1" ht="15">
      <c r="D34" s="48"/>
      <c r="E34" s="48"/>
      <c r="F34" s="48"/>
      <c r="G34" s="41">
        <v>202303</v>
      </c>
      <c r="H34" s="42" t="s">
        <v>50</v>
      </c>
      <c r="I34" s="43"/>
      <c r="J34" s="48"/>
      <c r="K34" s="48"/>
      <c r="L34" s="48"/>
      <c r="M34" s="48"/>
      <c r="N34" s="48"/>
      <c r="O34" s="48"/>
      <c r="P34" s="48"/>
    </row>
    <row r="35" spans="4:16" s="26" customFormat="1" ht="15">
      <c r="D35" s="48"/>
      <c r="E35" s="48"/>
      <c r="F35" s="48"/>
      <c r="G35" s="44" t="s">
        <v>51</v>
      </c>
      <c r="H35" s="44" t="s">
        <v>52</v>
      </c>
      <c r="I35" s="44" t="s">
        <v>53</v>
      </c>
      <c r="J35" s="48"/>
      <c r="K35" s="48"/>
      <c r="L35" s="48"/>
      <c r="M35" s="48"/>
      <c r="N35" s="48"/>
      <c r="O35" s="48"/>
      <c r="P35" s="48"/>
    </row>
    <row r="36" spans="4:16" s="26" customFormat="1" ht="15">
      <c r="D36" s="48"/>
      <c r="E36" s="48"/>
      <c r="F36" s="59" t="s">
        <v>21</v>
      </c>
      <c r="G36" s="45" t="s">
        <v>54</v>
      </c>
      <c r="H36" s="46"/>
      <c r="I36" s="47">
        <f>IF($O$31&gt;0,ABS($O$31),"")</f>
        <v>52565.43</v>
      </c>
      <c r="J36" s="61" t="s">
        <v>61</v>
      </c>
      <c r="K36" s="48"/>
      <c r="L36" s="48"/>
      <c r="M36" s="129"/>
      <c r="N36" s="39"/>
      <c r="O36" s="48"/>
      <c r="P36" s="48"/>
    </row>
    <row r="37" spans="4:16" s="26" customFormat="1" ht="15">
      <c r="D37" s="48"/>
      <c r="E37" s="48"/>
      <c r="F37" s="59" t="s">
        <v>58</v>
      </c>
      <c r="G37" s="45" t="s">
        <v>55</v>
      </c>
      <c r="H37" s="47" t="str">
        <f>IF($O$31&lt;0,ABS($O$31),"")</f>
        <v/>
      </c>
      <c r="I37" s="46"/>
      <c r="J37" s="61" t="s">
        <v>83</v>
      </c>
      <c r="K37" s="48"/>
      <c r="L37" s="131"/>
      <c r="M37" s="131"/>
      <c r="N37" s="61"/>
      <c r="O37" s="48"/>
      <c r="P37" s="48"/>
    </row>
    <row r="38" spans="4:16" s="26" customFormat="1" ht="15">
      <c r="D38" s="48"/>
      <c r="E38" s="48"/>
      <c r="F38" s="59" t="s">
        <v>5</v>
      </c>
      <c r="G38" s="45" t="s">
        <v>68</v>
      </c>
      <c r="H38" s="47" t="e">
        <f>IF(H31+$K$31+$N$31+O31&gt;0,ABS(H31+$K$31+$N$31+O31),"")</f>
        <v>#REF!</v>
      </c>
      <c r="I38" s="47" t="e">
        <f>IF(H31+$K$31+$N$31+O31&lt;0,ABS(H31+$K$31+$N$31+O31),"")</f>
        <v>#REF!</v>
      </c>
      <c r="J38" s="61" t="s">
        <v>74</v>
      </c>
      <c r="K38" s="48"/>
      <c r="L38" s="133"/>
      <c r="M38" s="131"/>
      <c r="N38" s="61"/>
      <c r="O38" s="48"/>
      <c r="P38" s="48"/>
    </row>
    <row r="39" spans="4:16" s="26" customFormat="1" ht="15">
      <c r="D39" s="48"/>
      <c r="E39" s="48"/>
      <c r="F39" s="59" t="s">
        <v>75</v>
      </c>
      <c r="G39" s="45" t="s">
        <v>73</v>
      </c>
      <c r="H39" s="47" t="e">
        <f>IF(H31+$K$31+$N$31&lt;0,ABS(H31+$K$31+$N$31),"")</f>
        <v>#REF!</v>
      </c>
      <c r="I39" s="47" t="e">
        <f>IF(H31+$K$31+$N$31&gt;0,ABS(H31+$K$31+$N$31),"")</f>
        <v>#REF!</v>
      </c>
      <c r="J39" s="61" t="s">
        <v>60</v>
      </c>
      <c r="K39" s="48"/>
      <c r="L39" s="133"/>
      <c r="M39" s="131"/>
      <c r="N39" s="61"/>
      <c r="O39" s="48"/>
      <c r="P39" s="48"/>
    </row>
    <row r="40" spans="4:16" s="26" customFormat="1" ht="15">
      <c r="D40" s="48"/>
      <c r="E40" s="48"/>
      <c r="F40" s="48"/>
      <c r="G40" s="48"/>
      <c r="H40" s="48"/>
      <c r="I40" s="48"/>
      <c r="J40" s="61"/>
      <c r="K40" s="48"/>
      <c r="L40" s="133"/>
      <c r="M40" s="131"/>
      <c r="N40" s="131"/>
      <c r="O40" s="48"/>
      <c r="P40" s="48"/>
    </row>
    <row r="41" spans="4:16" s="26" customFormat="1" ht="15">
      <c r="D41" s="48"/>
      <c r="E41" s="48"/>
      <c r="F41" s="48"/>
      <c r="G41" s="48"/>
      <c r="H41" s="48"/>
      <c r="I41" s="60" t="e">
        <f>SUM(H36:H39)-SUM(I36:I39)</f>
        <v>#REF!</v>
      </c>
      <c r="J41" s="61" t="s">
        <v>65</v>
      </c>
      <c r="K41" s="48"/>
      <c r="L41" s="48"/>
      <c r="M41" s="48"/>
      <c r="N41" s="48"/>
      <c r="O41" s="48"/>
      <c r="P41" s="48"/>
    </row>
    <row r="42" spans="4:16" s="26" customFormat="1" ht="15">
      <c r="J42" s="98"/>
    </row>
    <row r="43" spans="4:16" s="26" customFormat="1" ht="15.75">
      <c r="G43" s="44" t="s">
        <v>128</v>
      </c>
      <c r="H43" s="232"/>
      <c r="I43" s="233"/>
      <c r="J43" s="99"/>
    </row>
    <row r="44" spans="4:16" s="26" customFormat="1" ht="15">
      <c r="G44" s="74" t="s">
        <v>68</v>
      </c>
      <c r="H44" s="47"/>
      <c r="I44" s="75"/>
      <c r="J44" s="61" t="s">
        <v>62</v>
      </c>
    </row>
    <row r="45" spans="4:16" s="26" customFormat="1" ht="15">
      <c r="G45" s="74" t="s">
        <v>73</v>
      </c>
      <c r="H45" s="75"/>
      <c r="I45" s="47"/>
      <c r="J45" s="76"/>
    </row>
  </sheetData>
  <printOptions horizontalCentered="1"/>
  <pageMargins left="0.2" right="0.2" top="0.75" bottom="0.75" header="0.3" footer="0.3"/>
  <pageSetup scale="72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054EC1887D74429605D7DD4B8E3D51" ma:contentTypeVersion="28" ma:contentTypeDescription="" ma:contentTypeScope="" ma:versionID="e777ddca35cd8986cff22a475a433c2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2022-09-02T07:00:00+00:00</OpenedDate>
    <SignificantOrder xmlns="dc463f71-b30c-4ab2-9473-d307f9d35888">false</SignificantOrder>
    <Date1 xmlns="dc463f71-b30c-4ab2-9473-d307f9d35888">2023-04-27T07:00:00+00:00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220670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69CD3D7-1082-48ED-8BDC-C3FAA38EB6EE}"/>
</file>

<file path=customXml/itemProps2.xml><?xml version="1.0" encoding="utf-8"?>
<ds:datastoreItem xmlns:ds="http://schemas.openxmlformats.org/officeDocument/2006/customXml" ds:itemID="{23A478DE-8A30-4FD0-8305-2C314DE05FF2}"/>
</file>

<file path=customXml/itemProps3.xml><?xml version="1.0" encoding="utf-8"?>
<ds:datastoreItem xmlns:ds="http://schemas.openxmlformats.org/officeDocument/2006/customXml" ds:itemID="{834CA3C7-CBF4-41EC-B9AC-D2A69522F3FA}"/>
</file>

<file path=customXml/itemProps4.xml><?xml version="1.0" encoding="utf-8"?>
<ds:datastoreItem xmlns:ds="http://schemas.openxmlformats.org/officeDocument/2006/customXml" ds:itemID="{A64A0BFC-37B4-46A5-8E59-8F09B2697D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Jan 23</vt:lpstr>
      <vt:lpstr>Feb 23</vt:lpstr>
      <vt:lpstr>Mar 23</vt:lpstr>
      <vt:lpstr>191010 WA DEF</vt:lpstr>
      <vt:lpstr>191000 WA Amort</vt:lpstr>
      <vt:lpstr>'191000 WA Amort'!Print_Area</vt:lpstr>
      <vt:lpstr>'191010 WA DEF'!Print_Area</vt:lpstr>
      <vt:lpstr>'Feb 23'!Print_Area</vt:lpstr>
      <vt:lpstr>'Jan 23'!Print_Area</vt:lpstr>
      <vt:lpstr>'Mar 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Doyle, Andrew (UTC)</cp:lastModifiedBy>
  <cp:lastPrinted>2023-04-06T16:00:23Z</cp:lastPrinted>
  <dcterms:created xsi:type="dcterms:W3CDTF">2003-05-01T14:02:57Z</dcterms:created>
  <dcterms:modified xsi:type="dcterms:W3CDTF">2023-04-27T20:22:19Z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0x0101006E56B4D1795A2E4DB2F0B01679ED314A007B054EC1887D74429605D7DD4B8E3D51</vt:lpwstr>
  </property>
  <property fmtid="{D5CDD505-2E9C-101B-9397-08002B2CF9AE}" pid="5" name="_docset_NoMedatataSyncRequired">
    <vt:lpwstr>False</vt:lpwstr>
  </property>
</Properties>
</file>