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4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xl/comments5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S:\PGA Analysis\WA PGA\WA Monthly Report\2022\07.2022\"/>
    </mc:Choice>
  </mc:AlternateContent>
  <xr:revisionPtr revIDLastSave="0" documentId="13_ncr:1_{3F5F2BAD-E787-44B3-B0CE-DF40A67E9E76}" xr6:coauthVersionLast="46" xr6:coauthVersionMax="46" xr10:uidLastSave="{00000000-0000-0000-0000-000000000000}"/>
  <bookViews>
    <workbookView xWindow="-120" yWindow="-120" windowWidth="29040" windowHeight="15840" tabRatio="772" activeTab="6" xr2:uid="{00000000-000D-0000-FFFF-FFFF00000000}"/>
  </bookViews>
  <sheets>
    <sheet name="Jan 22" sheetId="74" r:id="rId1"/>
    <sheet name="Feb 22" sheetId="75" r:id="rId2"/>
    <sheet name="Mar 22" sheetId="76" r:id="rId3"/>
    <sheet name="Apr 22" sheetId="77" r:id="rId4"/>
    <sheet name="May 22" sheetId="78" r:id="rId5"/>
    <sheet name="Jun 22" sheetId="79" r:id="rId6"/>
    <sheet name="Jul 22" sheetId="80" r:id="rId7"/>
    <sheet name="191010 WA DEF" sheetId="39" r:id="rId8"/>
    <sheet name="191000 WA Amort" sheetId="41" r:id="rId9"/>
  </sheets>
  <externalReferences>
    <externalReference r:id="rId10"/>
    <externalReference r:id="rId11"/>
    <externalReference r:id="rId12"/>
  </externalReferences>
  <definedNames>
    <definedName name="Actual_Cost_Per_MMBtu" localSheetId="8">'[1]Oregon Gas Costs - 1999'!#REF!</definedName>
    <definedName name="Actual_Cost_Per_MMBtu">'[1]Oregon Gas Costs - 1999'!#REF!</definedName>
    <definedName name="Actual_Gas_Costs" localSheetId="8">#REF!</definedName>
    <definedName name="Actual_Gas_Costs">#REF!</definedName>
    <definedName name="Actual_Volumes" localSheetId="8">#REF!</definedName>
    <definedName name="Actual_Volumes">#REF!</definedName>
    <definedName name="Analysis_of_Year_to_Date_Gas_Costs___WWP_System" localSheetId="8">#REF!</definedName>
    <definedName name="Analysis_of_Year_to_Date_Gas_Costs___WWP_System">#REF!</definedName>
    <definedName name="Balancing_Account_Summary" localSheetId="8">#REF!</definedName>
    <definedName name="Balancing_Account_Summary">#REF!</definedName>
    <definedName name="Budgeted_Costs_Volumes" localSheetId="8">#REF!</definedName>
    <definedName name="Budgeted_Costs_Volumes">#REF!</definedName>
    <definedName name="Commodity_Costs" localSheetId="8">#REF!</definedName>
    <definedName name="Commodity_Costs">#REF!</definedName>
    <definedName name="_xlnm.Database" localSheetId="8">'[2]May 2000'!#REF!</definedName>
    <definedName name="_xlnm.Database">'[2]May 2000'!#REF!</definedName>
    <definedName name="EIA857_Report_Info" localSheetId="8">#REF!</definedName>
    <definedName name="EIA857_Report_Info">#REF!</definedName>
    <definedName name="InputMonth">[3]Start!$B$2</definedName>
    <definedName name="JanJunPretaxRate">[3]Start!$C$7</definedName>
    <definedName name="jj" localSheetId="8">'[1]Oregon Gas Costs - 1999'!#REF!</definedName>
    <definedName name="jj">'[1]Oregon Gas Costs - 1999'!#REF!</definedName>
    <definedName name="Journal_Entry_Dollars" localSheetId="8">#REF!</definedName>
    <definedName name="Journal_Entry_Dollars">#REF!</definedName>
    <definedName name="Journal_Entry_Volumes" localSheetId="8">#REF!</definedName>
    <definedName name="Journal_Entry_Volumes">#REF!</definedName>
    <definedName name="JournalEntryPrintArea" localSheetId="8">#REF!</definedName>
    <definedName name="JournalEntryPrintArea">#REF!</definedName>
    <definedName name="JulDecPretaxRate">[3]Start!$C$8</definedName>
    <definedName name="Notes" localSheetId="8">#REF!</definedName>
    <definedName name="Notes">#REF!</definedName>
    <definedName name="_xlnm.Print_Area" localSheetId="8">'191000 WA Amort'!$A$1:$S$45</definedName>
    <definedName name="_xlnm.Print_Area" localSheetId="7">'191010 WA DEF'!$A$1:$L$45</definedName>
    <definedName name="_xlnm.Print_Area" localSheetId="3">'Apr 22'!$B$1:$R$48</definedName>
    <definedName name="_xlnm.Print_Area" localSheetId="1">'Feb 22'!$B$1:$R$48</definedName>
    <definedName name="_xlnm.Print_Area" localSheetId="0">'Jan 22'!$B$1:$R$48</definedName>
    <definedName name="_xlnm.Print_Area" localSheetId="6">'Jul 22'!$B$1:$R$48</definedName>
    <definedName name="_xlnm.Print_Area" localSheetId="5">'Jun 22'!$B$1:$R$48</definedName>
    <definedName name="_xlnm.Print_Area" localSheetId="2">'Mar 22'!$B$1:$R$48</definedName>
    <definedName name="_xlnm.Print_Area" localSheetId="4">'May 22'!$B$1:$R$48</definedName>
    <definedName name="SPREADSHEET_DOCUMENTATION" localSheetId="8">#REF!</definedName>
    <definedName name="SPREADSHEET_DOCUMENTATION">#REF!</definedName>
    <definedName name="Summary_of_Off_system_Sales" localSheetId="8">'[1]Oregon Gas Costs - 1999'!#REF!</definedName>
    <definedName name="Summary_of_Off_system_Sales">'[1]Oregon Gas Costs - 1999'!#REF!</definedName>
    <definedName name="Transportation_Costs" localSheetId="8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41" l="1"/>
  <c r="D1396" i="80" l="1"/>
  <c r="L28" i="80"/>
  <c r="P27" i="80"/>
  <c r="L27" i="80"/>
  <c r="P26" i="80"/>
  <c r="L26" i="80"/>
  <c r="P25" i="80"/>
  <c r="L25" i="80"/>
  <c r="P24" i="80"/>
  <c r="L24" i="80"/>
  <c r="P23" i="80"/>
  <c r="L23" i="80"/>
  <c r="L17" i="80"/>
  <c r="L19" i="80" s="1"/>
  <c r="N16" i="80"/>
  <c r="P15" i="80"/>
  <c r="P17" i="80" s="1"/>
  <c r="N15" i="80"/>
  <c r="N14" i="80"/>
  <c r="N13" i="80"/>
  <c r="N12" i="80"/>
  <c r="Q11" i="80"/>
  <c r="R11" i="80" s="1"/>
  <c r="N11" i="80"/>
  <c r="R10" i="80"/>
  <c r="N10" i="80"/>
  <c r="E8" i="80"/>
  <c r="F24" i="41"/>
  <c r="D1396" i="79"/>
  <c r="L28" i="79"/>
  <c r="P27" i="79"/>
  <c r="R27" i="79" s="1"/>
  <c r="L27" i="79"/>
  <c r="P26" i="79"/>
  <c r="R26" i="79" s="1"/>
  <c r="L26" i="79"/>
  <c r="P25" i="79"/>
  <c r="R25" i="79" s="1"/>
  <c r="L25" i="79"/>
  <c r="P24" i="79"/>
  <c r="R24" i="79" s="1"/>
  <c r="M24" i="79"/>
  <c r="L24" i="79"/>
  <c r="P23" i="79"/>
  <c r="R23" i="79" s="1"/>
  <c r="L23" i="79"/>
  <c r="L17" i="79"/>
  <c r="L19" i="79" s="1"/>
  <c r="N16" i="79"/>
  <c r="P15" i="79"/>
  <c r="P17" i="79" s="1"/>
  <c r="N15" i="79"/>
  <c r="N14" i="79"/>
  <c r="N13" i="79"/>
  <c r="N12" i="79"/>
  <c r="Q11" i="79"/>
  <c r="R11" i="79" s="1"/>
  <c r="N11" i="79"/>
  <c r="R10" i="79"/>
  <c r="N10" i="79"/>
  <c r="E8" i="79"/>
  <c r="F23" i="41"/>
  <c r="D1396" i="78"/>
  <c r="L28" i="78"/>
  <c r="P27" i="78"/>
  <c r="R27" i="78" s="1"/>
  <c r="L27" i="78"/>
  <c r="P26" i="78"/>
  <c r="R26" i="78" s="1"/>
  <c r="L26" i="78"/>
  <c r="P25" i="78"/>
  <c r="R25" i="78" s="1"/>
  <c r="L25" i="78"/>
  <c r="P24" i="78"/>
  <c r="R24" i="78" s="1"/>
  <c r="M24" i="78"/>
  <c r="L24" i="78"/>
  <c r="P23" i="78"/>
  <c r="R23" i="78" s="1"/>
  <c r="L23" i="78"/>
  <c r="N23" i="78" s="1"/>
  <c r="L17" i="78"/>
  <c r="L19" i="78" s="1"/>
  <c r="N16" i="78"/>
  <c r="P15" i="78"/>
  <c r="P17" i="78" s="1"/>
  <c r="N15" i="78"/>
  <c r="N14" i="78"/>
  <c r="N13" i="78"/>
  <c r="N12" i="78"/>
  <c r="Q11" i="78"/>
  <c r="Q12" i="78" s="1"/>
  <c r="N11" i="78"/>
  <c r="R10" i="78"/>
  <c r="N10" i="78"/>
  <c r="E8" i="78"/>
  <c r="F22" i="41"/>
  <c r="P28" i="80" l="1"/>
  <c r="P30" i="80" s="1"/>
  <c r="N17" i="80"/>
  <c r="L36" i="80" s="1"/>
  <c r="L29" i="80"/>
  <c r="G35" i="80"/>
  <c r="E13" i="80"/>
  <c r="E31" i="80" s="1"/>
  <c r="E32" i="80" s="1"/>
  <c r="I36" i="80"/>
  <c r="G33" i="80"/>
  <c r="E12" i="80"/>
  <c r="E14" i="80" s="1"/>
  <c r="I34" i="80"/>
  <c r="R28" i="80"/>
  <c r="O36" i="80" s="1"/>
  <c r="Q12" i="80"/>
  <c r="N17" i="79"/>
  <c r="L36" i="79" s="1"/>
  <c r="L29" i="79"/>
  <c r="E13" i="79"/>
  <c r="E31" i="79" s="1"/>
  <c r="R28" i="79"/>
  <c r="O36" i="79" s="1"/>
  <c r="N24" i="79"/>
  <c r="P28" i="79"/>
  <c r="P30" i="79" s="1"/>
  <c r="I36" i="79"/>
  <c r="G35" i="79"/>
  <c r="E32" i="79"/>
  <c r="E12" i="79"/>
  <c r="G33" i="79"/>
  <c r="I34" i="79"/>
  <c r="L31" i="79"/>
  <c r="Q12" i="79"/>
  <c r="M25" i="79"/>
  <c r="M26" i="79" s="1"/>
  <c r="M27" i="79" s="1"/>
  <c r="N23" i="79"/>
  <c r="N17" i="78"/>
  <c r="L36" i="78" s="1"/>
  <c r="R11" i="78"/>
  <c r="N24" i="78"/>
  <c r="L29" i="78"/>
  <c r="L31" i="78" s="1"/>
  <c r="I36" i="78"/>
  <c r="G35" i="78"/>
  <c r="E13" i="78"/>
  <c r="E31" i="78" s="1"/>
  <c r="E32" i="78" s="1"/>
  <c r="E12" i="78"/>
  <c r="I34" i="78"/>
  <c r="G33" i="78"/>
  <c r="R28" i="78"/>
  <c r="O36" i="78" s="1"/>
  <c r="Q13" i="78"/>
  <c r="R12" i="78"/>
  <c r="P28" i="78"/>
  <c r="P30" i="78" s="1"/>
  <c r="M25" i="78"/>
  <c r="D1396" i="77"/>
  <c r="L28" i="77"/>
  <c r="P27" i="77"/>
  <c r="R27" i="77" s="1"/>
  <c r="L27" i="77"/>
  <c r="P26" i="77"/>
  <c r="R26" i="77" s="1"/>
  <c r="L26" i="77"/>
  <c r="P25" i="77"/>
  <c r="R25" i="77" s="1"/>
  <c r="L25" i="77"/>
  <c r="P24" i="77"/>
  <c r="R24" i="77" s="1"/>
  <c r="M24" i="77"/>
  <c r="M25" i="77" s="1"/>
  <c r="L24" i="77"/>
  <c r="N24" i="77" s="1"/>
  <c r="P23" i="77"/>
  <c r="R23" i="77" s="1"/>
  <c r="R28" i="77" s="1"/>
  <c r="L23" i="77"/>
  <c r="L17" i="77"/>
  <c r="L19" i="77" s="1"/>
  <c r="N16" i="77"/>
  <c r="P15" i="77"/>
  <c r="P17" i="77" s="1"/>
  <c r="N15" i="77"/>
  <c r="N14" i="77"/>
  <c r="N13" i="77"/>
  <c r="N12" i="77"/>
  <c r="Q11" i="77"/>
  <c r="Q12" i="77" s="1"/>
  <c r="N11" i="77"/>
  <c r="R10" i="77"/>
  <c r="N10" i="77"/>
  <c r="E8" i="77"/>
  <c r="F21" i="41"/>
  <c r="G8" i="80" l="1"/>
  <c r="I8" i="80" s="1"/>
  <c r="I32" i="80" s="1"/>
  <c r="I39" i="80" s="1"/>
  <c r="O35" i="80" s="1"/>
  <c r="O37" i="80" s="1"/>
  <c r="L31" i="80"/>
  <c r="F14" i="80"/>
  <c r="F39" i="80" s="1"/>
  <c r="H14" i="80"/>
  <c r="H39" i="80" s="1"/>
  <c r="N35" i="80" s="1"/>
  <c r="N29" i="80"/>
  <c r="M36" i="80" s="1"/>
  <c r="E37" i="80"/>
  <c r="E39" i="80" s="1"/>
  <c r="Q13" i="80"/>
  <c r="R12" i="80"/>
  <c r="G8" i="79"/>
  <c r="I8" i="79" s="1"/>
  <c r="N25" i="79"/>
  <c r="E14" i="79"/>
  <c r="F14" i="79" s="1"/>
  <c r="F39" i="79" s="1"/>
  <c r="L35" i="79" s="1"/>
  <c r="L37" i="79" s="1"/>
  <c r="G24" i="39" s="1"/>
  <c r="M28" i="79"/>
  <c r="N28" i="79" s="1"/>
  <c r="N27" i="79"/>
  <c r="Q13" i="79"/>
  <c r="R12" i="79"/>
  <c r="N26" i="79"/>
  <c r="E37" i="79"/>
  <c r="E39" i="79" s="1"/>
  <c r="I32" i="79"/>
  <c r="I39" i="79" s="1"/>
  <c r="O35" i="79" s="1"/>
  <c r="O37" i="79" s="1"/>
  <c r="G32" i="79"/>
  <c r="G39" i="79" s="1"/>
  <c r="M35" i="79" s="1"/>
  <c r="G8" i="78"/>
  <c r="I8" i="78" s="1"/>
  <c r="I32" i="78" s="1"/>
  <c r="I39" i="78" s="1"/>
  <c r="O35" i="78" s="1"/>
  <c r="O37" i="78" s="1"/>
  <c r="E14" i="78"/>
  <c r="H14" i="78" s="1"/>
  <c r="H39" i="78" s="1"/>
  <c r="N35" i="78" s="1"/>
  <c r="E37" i="78"/>
  <c r="E39" i="78" s="1"/>
  <c r="R13" i="78"/>
  <c r="Q14" i="78"/>
  <c r="R14" i="78" s="1"/>
  <c r="N25" i="78"/>
  <c r="M26" i="78"/>
  <c r="R15" i="78"/>
  <c r="N36" i="78" s="1"/>
  <c r="N17" i="77"/>
  <c r="L36" i="77" s="1"/>
  <c r="L29" i="77"/>
  <c r="L31" i="77" s="1"/>
  <c r="R11" i="77"/>
  <c r="P28" i="77"/>
  <c r="P30" i="77" s="1"/>
  <c r="O36" i="77"/>
  <c r="G35" i="77"/>
  <c r="I36" i="77"/>
  <c r="E13" i="77"/>
  <c r="E31" i="77" s="1"/>
  <c r="E32" i="77" s="1"/>
  <c r="E12" i="77"/>
  <c r="G33" i="77"/>
  <c r="I34" i="77"/>
  <c r="R12" i="77"/>
  <c r="Q13" i="77"/>
  <c r="N25" i="77"/>
  <c r="M26" i="77"/>
  <c r="N23" i="77"/>
  <c r="D1396" i="76"/>
  <c r="R28" i="76"/>
  <c r="O36" i="76" s="1"/>
  <c r="L28" i="76"/>
  <c r="P27" i="76"/>
  <c r="L27" i="76"/>
  <c r="P26" i="76"/>
  <c r="L26" i="76"/>
  <c r="P25" i="76"/>
  <c r="L25" i="76"/>
  <c r="P24" i="76"/>
  <c r="M24" i="76"/>
  <c r="M25" i="76" s="1"/>
  <c r="L24" i="76"/>
  <c r="N24" i="76" s="1"/>
  <c r="P23" i="76"/>
  <c r="L23" i="76"/>
  <c r="L17" i="76"/>
  <c r="L19" i="76" s="1"/>
  <c r="N16" i="76"/>
  <c r="P15" i="76"/>
  <c r="P17" i="76" s="1"/>
  <c r="N15" i="76"/>
  <c r="N14" i="76"/>
  <c r="N13" i="76"/>
  <c r="N12" i="76"/>
  <c r="Q11" i="76"/>
  <c r="Q12" i="76" s="1"/>
  <c r="N11" i="76"/>
  <c r="R10" i="76"/>
  <c r="N10" i="76"/>
  <c r="E8" i="76"/>
  <c r="L35" i="80" l="1"/>
  <c r="L37" i="80" s="1"/>
  <c r="G25" i="39" s="1"/>
  <c r="G32" i="80"/>
  <c r="G39" i="80" s="1"/>
  <c r="M35" i="80" s="1"/>
  <c r="M37" i="80" s="1"/>
  <c r="E42" i="80"/>
  <c r="R13" i="80"/>
  <c r="Q14" i="80"/>
  <c r="R14" i="80" s="1"/>
  <c r="N29" i="79"/>
  <c r="M36" i="79" s="1"/>
  <c r="M37" i="79" s="1"/>
  <c r="H14" i="79"/>
  <c r="H39" i="79" s="1"/>
  <c r="N35" i="79" s="1"/>
  <c r="P35" i="79"/>
  <c r="E42" i="79"/>
  <c r="R13" i="79"/>
  <c r="Q14" i="79"/>
  <c r="R14" i="79" s="1"/>
  <c r="R15" i="79" s="1"/>
  <c r="N37" i="78"/>
  <c r="G32" i="78"/>
  <c r="G39" i="78" s="1"/>
  <c r="M35" i="78" s="1"/>
  <c r="F14" i="78"/>
  <c r="F39" i="78" s="1"/>
  <c r="L35" i="78" s="1"/>
  <c r="L37" i="78" s="1"/>
  <c r="M27" i="78"/>
  <c r="N26" i="78"/>
  <c r="E42" i="78"/>
  <c r="G8" i="77"/>
  <c r="I8" i="77" s="1"/>
  <c r="I32" i="77" s="1"/>
  <c r="I39" i="77" s="1"/>
  <c r="O35" i="77" s="1"/>
  <c r="O37" i="77" s="1"/>
  <c r="E14" i="77"/>
  <c r="F14" i="77" s="1"/>
  <c r="F39" i="77" s="1"/>
  <c r="L35" i="77" s="1"/>
  <c r="L37" i="77" s="1"/>
  <c r="G22" i="39" s="1"/>
  <c r="Q14" i="77"/>
  <c r="R14" i="77" s="1"/>
  <c r="R13" i="77"/>
  <c r="E37" i="77"/>
  <c r="N26" i="77"/>
  <c r="M27" i="77"/>
  <c r="L29" i="76"/>
  <c r="L31" i="76" s="1"/>
  <c r="N17" i="76"/>
  <c r="L36" i="76" s="1"/>
  <c r="P28" i="76"/>
  <c r="P30" i="76" s="1"/>
  <c r="I36" i="76"/>
  <c r="G33" i="76"/>
  <c r="E13" i="76"/>
  <c r="E31" i="76" s="1"/>
  <c r="G35" i="76"/>
  <c r="E12" i="76"/>
  <c r="E32" i="76"/>
  <c r="I34" i="76"/>
  <c r="R12" i="76"/>
  <c r="Q13" i="76"/>
  <c r="N25" i="76"/>
  <c r="M26" i="76"/>
  <c r="M27" i="76" s="1"/>
  <c r="N23" i="76"/>
  <c r="R11" i="76"/>
  <c r="E39" i="77" l="1"/>
  <c r="P35" i="77" s="1"/>
  <c r="H14" i="77"/>
  <c r="H39" i="77" s="1"/>
  <c r="N35" i="77" s="1"/>
  <c r="P35" i="80"/>
  <c r="R15" i="80"/>
  <c r="N36" i="80" s="1"/>
  <c r="M39" i="80"/>
  <c r="F25" i="39"/>
  <c r="F24" i="39"/>
  <c r="M39" i="79"/>
  <c r="N36" i="79"/>
  <c r="N37" i="79" s="1"/>
  <c r="O39" i="78"/>
  <c r="G23" i="39"/>
  <c r="P35" i="78"/>
  <c r="M28" i="78"/>
  <c r="N28" i="78" s="1"/>
  <c r="N27" i="78"/>
  <c r="N29" i="78" s="1"/>
  <c r="G32" i="77"/>
  <c r="G39" i="77" s="1"/>
  <c r="M35" i="77" s="1"/>
  <c r="M28" i="77"/>
  <c r="N28" i="77" s="1"/>
  <c r="N27" i="77"/>
  <c r="R15" i="77"/>
  <c r="N36" i="77" s="1"/>
  <c r="N37" i="77" s="1"/>
  <c r="G8" i="76"/>
  <c r="I8" i="76" s="1"/>
  <c r="I32" i="76" s="1"/>
  <c r="I39" i="76" s="1"/>
  <c r="O35" i="76" s="1"/>
  <c r="O37" i="76" s="1"/>
  <c r="E14" i="76"/>
  <c r="F14" i="76" s="1"/>
  <c r="F39" i="76" s="1"/>
  <c r="L35" i="76" s="1"/>
  <c r="L37" i="76" s="1"/>
  <c r="G21" i="39" s="1"/>
  <c r="M28" i="76"/>
  <c r="N28" i="76" s="1"/>
  <c r="N27" i="76"/>
  <c r="E37" i="76"/>
  <c r="E39" i="76" s="1"/>
  <c r="Q14" i="76"/>
  <c r="R14" i="76" s="1"/>
  <c r="R13" i="76"/>
  <c r="N26" i="76"/>
  <c r="R15" i="76"/>
  <c r="N36" i="76" s="1"/>
  <c r="F20" i="41"/>
  <c r="E42" i="77" l="1"/>
  <c r="N37" i="80"/>
  <c r="P36" i="80"/>
  <c r="O39" i="79"/>
  <c r="P36" i="79"/>
  <c r="M36" i="78"/>
  <c r="O39" i="77"/>
  <c r="N29" i="77"/>
  <c r="M36" i="77" s="1"/>
  <c r="M37" i="77" s="1"/>
  <c r="N29" i="76"/>
  <c r="G32" i="76"/>
  <c r="G39" i="76" s="1"/>
  <c r="M35" i="76" s="1"/>
  <c r="H14" i="76"/>
  <c r="H39" i="76" s="1"/>
  <c r="N35" i="76" s="1"/>
  <c r="N37" i="76" s="1"/>
  <c r="M36" i="76"/>
  <c r="P36" i="76"/>
  <c r="E42" i="76"/>
  <c r="Q11" i="75"/>
  <c r="Q12" i="75" s="1"/>
  <c r="Q13" i="75" s="1"/>
  <c r="Q14" i="75" s="1"/>
  <c r="O39" i="80" l="1"/>
  <c r="P36" i="78"/>
  <c r="M37" i="78"/>
  <c r="P36" i="77"/>
  <c r="F22" i="39"/>
  <c r="M39" i="77"/>
  <c r="M37" i="76"/>
  <c r="F21" i="39" s="1"/>
  <c r="P35" i="76"/>
  <c r="O39" i="76"/>
  <c r="D1396" i="75"/>
  <c r="L28" i="75"/>
  <c r="P27" i="75"/>
  <c r="L27" i="75"/>
  <c r="P26" i="75"/>
  <c r="L26" i="75"/>
  <c r="P25" i="75"/>
  <c r="L25" i="75"/>
  <c r="P24" i="75"/>
  <c r="M24" i="75"/>
  <c r="M25" i="75" s="1"/>
  <c r="L24" i="75"/>
  <c r="P23" i="75"/>
  <c r="R28" i="75" s="1"/>
  <c r="O36" i="75" s="1"/>
  <c r="L23" i="75"/>
  <c r="L17" i="75"/>
  <c r="L19" i="75" s="1"/>
  <c r="N16" i="75"/>
  <c r="P15" i="75"/>
  <c r="P17" i="75" s="1"/>
  <c r="N15" i="75"/>
  <c r="R14" i="75"/>
  <c r="N14" i="75"/>
  <c r="R13" i="75"/>
  <c r="N13" i="75"/>
  <c r="R12" i="75"/>
  <c r="N12" i="75"/>
  <c r="R11" i="75"/>
  <c r="N11" i="75"/>
  <c r="R10" i="75"/>
  <c r="N10" i="75"/>
  <c r="E8" i="75"/>
  <c r="M39" i="76" l="1"/>
  <c r="F23" i="39"/>
  <c r="M39" i="78"/>
  <c r="L29" i="75"/>
  <c r="L31" i="75" s="1"/>
  <c r="R15" i="75"/>
  <c r="N36" i="75" s="1"/>
  <c r="N17" i="75"/>
  <c r="L36" i="75" s="1"/>
  <c r="I36" i="75"/>
  <c r="G35" i="75"/>
  <c r="G33" i="75"/>
  <c r="E12" i="75"/>
  <c r="E13" i="75"/>
  <c r="E31" i="75" s="1"/>
  <c r="E32" i="75" s="1"/>
  <c r="I34" i="75"/>
  <c r="N25" i="75"/>
  <c r="M26" i="75"/>
  <c r="P28" i="75"/>
  <c r="P30" i="75" s="1"/>
  <c r="N24" i="75"/>
  <c r="N23" i="75"/>
  <c r="K19" i="41"/>
  <c r="F19" i="41"/>
  <c r="H19" i="41" s="1"/>
  <c r="E14" i="75" l="1"/>
  <c r="H14" i="75" s="1"/>
  <c r="H39" i="75" s="1"/>
  <c r="N35" i="75" s="1"/>
  <c r="N37" i="75" s="1"/>
  <c r="M27" i="75"/>
  <c r="N26" i="75"/>
  <c r="F14" i="75"/>
  <c r="F39" i="75" s="1"/>
  <c r="L35" i="75" s="1"/>
  <c r="L37" i="75" s="1"/>
  <c r="G20" i="39" s="1"/>
  <c r="E37" i="75"/>
  <c r="G8" i="75"/>
  <c r="I8" i="75" s="1"/>
  <c r="I32" i="75" s="1"/>
  <c r="I39" i="75" s="1"/>
  <c r="O35" i="75" s="1"/>
  <c r="O37" i="75" s="1"/>
  <c r="N16" i="74"/>
  <c r="N15" i="74"/>
  <c r="N14" i="74"/>
  <c r="N13" i="74"/>
  <c r="N12" i="74"/>
  <c r="N11" i="74"/>
  <c r="N10" i="74"/>
  <c r="M24" i="74"/>
  <c r="M25" i="74" s="1"/>
  <c r="M26" i="74" s="1"/>
  <c r="M27" i="74" s="1"/>
  <c r="M28" i="74" s="1"/>
  <c r="E39" i="75" l="1"/>
  <c r="E42" i="75" s="1"/>
  <c r="G32" i="75"/>
  <c r="G39" i="75" s="1"/>
  <c r="M35" i="75" s="1"/>
  <c r="O39" i="75"/>
  <c r="M28" i="75"/>
  <c r="N28" i="75" s="1"/>
  <c r="N27" i="75"/>
  <c r="N17" i="74"/>
  <c r="P35" i="75" l="1"/>
  <c r="N29" i="75"/>
  <c r="M36" i="75" l="1"/>
  <c r="D31" i="4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H24" i="41"/>
  <c r="N23" i="41"/>
  <c r="K23" i="41"/>
  <c r="H23" i="41"/>
  <c r="N22" i="41"/>
  <c r="K22" i="41"/>
  <c r="H22" i="41"/>
  <c r="N21" i="41"/>
  <c r="K21" i="41"/>
  <c r="H21" i="41"/>
  <c r="N20" i="41"/>
  <c r="K20" i="41"/>
  <c r="H20" i="41"/>
  <c r="N19" i="41"/>
  <c r="K31" i="41"/>
  <c r="H31" i="41"/>
  <c r="P36" i="75" l="1"/>
  <c r="M37" i="75"/>
  <c r="A20" i="39"/>
  <c r="D1396" i="74"/>
  <c r="L28" i="74"/>
  <c r="N28" i="74" s="1"/>
  <c r="P27" i="74"/>
  <c r="R27" i="74" s="1"/>
  <c r="L27" i="74"/>
  <c r="N27" i="74" s="1"/>
  <c r="P26" i="74"/>
  <c r="R26" i="74" s="1"/>
  <c r="L26" i="74"/>
  <c r="N26" i="74" s="1"/>
  <c r="P25" i="74"/>
  <c r="R25" i="74" s="1"/>
  <c r="L25" i="74"/>
  <c r="N25" i="74" s="1"/>
  <c r="P24" i="74"/>
  <c r="R24" i="74" s="1"/>
  <c r="L24" i="74"/>
  <c r="N24" i="74" s="1"/>
  <c r="P23" i="74"/>
  <c r="L23" i="74"/>
  <c r="L36" i="74"/>
  <c r="L17" i="74"/>
  <c r="L19" i="74" s="1"/>
  <c r="P15" i="74"/>
  <c r="P17" i="74" s="1"/>
  <c r="R14" i="74"/>
  <c r="R13" i="74"/>
  <c r="R12" i="74"/>
  <c r="R11" i="74"/>
  <c r="R10" i="74"/>
  <c r="R15" i="74" s="1"/>
  <c r="N36" i="74" s="1"/>
  <c r="E8" i="74"/>
  <c r="F20" i="39" l="1"/>
  <c r="M39" i="75"/>
  <c r="A21" i="39"/>
  <c r="P28" i="74"/>
  <c r="P30" i="74" s="1"/>
  <c r="L29" i="74"/>
  <c r="L31" i="74" s="1"/>
  <c r="N23" i="74"/>
  <c r="N29" i="74" s="1"/>
  <c r="M36" i="74" s="1"/>
  <c r="I34" i="74"/>
  <c r="E13" i="74"/>
  <c r="E31" i="74" s="1"/>
  <c r="E32" i="74" s="1"/>
  <c r="I36" i="74"/>
  <c r="G35" i="74"/>
  <c r="E12" i="74"/>
  <c r="G33" i="74"/>
  <c r="R23" i="74"/>
  <c r="R28" i="74" s="1"/>
  <c r="O36" i="74" s="1"/>
  <c r="H18" i="41"/>
  <c r="A22" i="39" l="1"/>
  <c r="P36" i="74"/>
  <c r="G8" i="74"/>
  <c r="I8" i="74" s="1"/>
  <c r="I32" i="74" s="1"/>
  <c r="I39" i="74" s="1"/>
  <c r="O35" i="74" s="1"/>
  <c r="O37" i="74" s="1"/>
  <c r="E14" i="74"/>
  <c r="H14" i="74" s="1"/>
  <c r="H39" i="74" s="1"/>
  <c r="N35" i="74" s="1"/>
  <c r="N37" i="74" s="1"/>
  <c r="E37" i="74"/>
  <c r="F18" i="41"/>
  <c r="E39" i="74" l="1"/>
  <c r="E42" i="74" s="1"/>
  <c r="A23" i="39"/>
  <c r="G32" i="74"/>
  <c r="G39" i="74" s="1"/>
  <c r="O39" i="74"/>
  <c r="F14" i="74"/>
  <c r="F39" i="74" s="1"/>
  <c r="L35" i="74" s="1"/>
  <c r="L37" i="74" s="1"/>
  <c r="G19" i="39" s="1"/>
  <c r="A24" i="39" l="1"/>
  <c r="M35" i="74"/>
  <c r="M37" i="74" s="1"/>
  <c r="F19" i="39" s="1"/>
  <c r="P35" i="74"/>
  <c r="M39" i="74" l="1"/>
  <c r="A25" i="39"/>
  <c r="H17" i="41"/>
  <c r="A26" i="39" l="1"/>
  <c r="A27" i="39" s="1"/>
  <c r="A28" i="39" s="1"/>
  <c r="A29" i="39" s="1"/>
  <c r="A30" i="39" s="1"/>
  <c r="F17" i="41"/>
  <c r="F16" i="41" l="1"/>
  <c r="F15" i="41" l="1"/>
  <c r="F14" i="41" l="1"/>
  <c r="F13" i="41" l="1"/>
  <c r="F12" i="41" l="1"/>
  <c r="F11" i="41" l="1"/>
  <c r="F10" i="41" l="1"/>
  <c r="F9" i="41" l="1"/>
  <c r="F8" i="41" l="1"/>
  <c r="F7" i="41" l="1"/>
  <c r="N16" i="41" l="1"/>
  <c r="K16" i="41"/>
  <c r="H16" i="41"/>
  <c r="N15" i="41"/>
  <c r="K15" i="41"/>
  <c r="H15" i="41"/>
  <c r="N14" i="41"/>
  <c r="K14" i="41"/>
  <c r="H14" i="41"/>
  <c r="N13" i="41"/>
  <c r="K13" i="41"/>
  <c r="H13" i="41"/>
  <c r="N12" i="41"/>
  <c r="K12" i="41"/>
  <c r="H12" i="41"/>
  <c r="N11" i="41"/>
  <c r="K11" i="41"/>
  <c r="H11" i="41"/>
  <c r="N10" i="41"/>
  <c r="K10" i="41"/>
  <c r="H10" i="41"/>
  <c r="N9" i="41"/>
  <c r="K9" i="41"/>
  <c r="H9" i="41"/>
  <c r="N8" i="41"/>
  <c r="K8" i="41"/>
  <c r="H8" i="41"/>
  <c r="N7" i="41"/>
  <c r="N31" i="41" s="1"/>
  <c r="K7" i="41"/>
  <c r="H7" i="41"/>
  <c r="A8" i="39"/>
  <c r="A9" i="39" l="1"/>
  <c r="A10" i="39" l="1"/>
  <c r="A11" i="39" l="1"/>
  <c r="A12" i="39" l="1"/>
  <c r="A13" i="39" l="1"/>
  <c r="A14" i="39" l="1"/>
  <c r="A15" i="39" l="1"/>
  <c r="A16" i="39" l="1"/>
  <c r="A17" i="39" l="1"/>
  <c r="A18" i="39" l="1"/>
  <c r="G31" i="39" l="1"/>
  <c r="D31" i="39"/>
  <c r="F31" i="39"/>
  <c r="H39" i="41" l="1"/>
  <c r="I39" i="41"/>
  <c r="F39" i="39" l="1"/>
  <c r="E39" i="39" l="1"/>
  <c r="H7" i="39" l="1"/>
  <c r="O7" i="41" l="1"/>
  <c r="I7" i="39"/>
  <c r="L7" i="39" l="1"/>
  <c r="E8" i="39"/>
  <c r="H8" i="39" s="1"/>
  <c r="P7" i="41"/>
  <c r="E8" i="41" s="1"/>
  <c r="O8" i="41" s="1"/>
  <c r="P8" i="41" s="1"/>
  <c r="S7" i="41" l="1"/>
  <c r="S8" i="41"/>
  <c r="E9" i="41"/>
  <c r="O9" i="41" s="1"/>
  <c r="P9" i="41" s="1"/>
  <c r="I8" i="39"/>
  <c r="S9" i="41" l="1"/>
  <c r="E10" i="41"/>
  <c r="O10" i="41" s="1"/>
  <c r="P10" i="41" s="1"/>
  <c r="L8" i="39"/>
  <c r="E9" i="39"/>
  <c r="H9" i="39" s="1"/>
  <c r="S10" i="41" l="1"/>
  <c r="E11" i="41"/>
  <c r="O11" i="41" s="1"/>
  <c r="P11" i="41" s="1"/>
  <c r="I9" i="39"/>
  <c r="S11" i="41" l="1"/>
  <c r="E12" i="41"/>
  <c r="L9" i="39"/>
  <c r="E10" i="39"/>
  <c r="H10" i="39" s="1"/>
  <c r="O12" i="41"/>
  <c r="P12" i="41" s="1"/>
  <c r="S12" i="41" l="1"/>
  <c r="E13" i="41"/>
  <c r="O13" i="41" s="1"/>
  <c r="P13" i="41" s="1"/>
  <c r="I10" i="39"/>
  <c r="E14" i="41" l="1"/>
  <c r="O14" i="41" s="1"/>
  <c r="P14" i="41" s="1"/>
  <c r="S13" i="41"/>
  <c r="L10" i="39"/>
  <c r="E11" i="39"/>
  <c r="H11" i="39" s="1"/>
  <c r="E15" i="41" l="1"/>
  <c r="O15" i="41" s="1"/>
  <c r="P15" i="41" s="1"/>
  <c r="S14" i="41"/>
  <c r="I11" i="39"/>
  <c r="E16" i="41" l="1"/>
  <c r="O16" i="41" s="1"/>
  <c r="P16" i="41" s="1"/>
  <c r="S15" i="41"/>
  <c r="L11" i="39"/>
  <c r="E12" i="39"/>
  <c r="H12" i="39" s="1"/>
  <c r="S16" i="41" l="1"/>
  <c r="I12" i="39"/>
  <c r="L12" i="39" l="1"/>
  <c r="E13" i="39"/>
  <c r="H13" i="39" s="1"/>
  <c r="I13" i="39" l="1"/>
  <c r="E14" i="39" l="1"/>
  <c r="H14" i="39" s="1"/>
  <c r="I14" i="39" s="1"/>
  <c r="L14" i="39" s="1"/>
  <c r="L13" i="39"/>
  <c r="E15" i="39" l="1"/>
  <c r="H15" i="39" s="1"/>
  <c r="I15" i="39" s="1"/>
  <c r="E16" i="39" l="1"/>
  <c r="H16" i="39" s="1"/>
  <c r="L15" i="39"/>
  <c r="I16" i="39" l="1"/>
  <c r="D17" i="39" s="1"/>
  <c r="C17" i="41" l="1"/>
  <c r="E17" i="41" s="1"/>
  <c r="O17" i="41" s="1"/>
  <c r="E17" i="39"/>
  <c r="H17" i="39" s="1"/>
  <c r="L16" i="39"/>
  <c r="P17" i="41" l="1"/>
  <c r="I17" i="39"/>
  <c r="E18" i="41" l="1"/>
  <c r="O18" i="41" s="1"/>
  <c r="S17" i="41"/>
  <c r="E18" i="39"/>
  <c r="H18" i="39" s="1"/>
  <c r="L17" i="39"/>
  <c r="I18" i="39" l="1"/>
  <c r="P18" i="41"/>
  <c r="S18" i="41" l="1"/>
  <c r="E19" i="41"/>
  <c r="O19" i="41" s="1"/>
  <c r="L18" i="39"/>
  <c r="E19" i="39"/>
  <c r="H19" i="39" l="1"/>
  <c r="I19" i="39" s="1"/>
  <c r="P19" i="41" l="1"/>
  <c r="E20" i="39"/>
  <c r="H20" i="39" s="1"/>
  <c r="I20" i="39" s="1"/>
  <c r="L20" i="39" s="1"/>
  <c r="E20" i="41" l="1"/>
  <c r="O20" i="41" s="1"/>
  <c r="S19" i="41"/>
  <c r="L19" i="39"/>
  <c r="E21" i="39"/>
  <c r="H21" i="39" s="1"/>
  <c r="I21" i="39" l="1"/>
  <c r="L21" i="39" s="1"/>
  <c r="P20" i="41"/>
  <c r="E22" i="39" l="1"/>
  <c r="H22" i="39" s="1"/>
  <c r="S20" i="41"/>
  <c r="E21" i="41"/>
  <c r="O21" i="41" s="1"/>
  <c r="I22" i="39" l="1"/>
  <c r="P21" i="41"/>
  <c r="E23" i="39" l="1"/>
  <c r="H23" i="39" s="1"/>
  <c r="L22" i="39"/>
  <c r="E22" i="41"/>
  <c r="O22" i="41" s="1"/>
  <c r="S21" i="41"/>
  <c r="I23" i="39" l="1"/>
  <c r="P22" i="41"/>
  <c r="E24" i="39" l="1"/>
  <c r="H24" i="39" s="1"/>
  <c r="L23" i="39"/>
  <c r="E23" i="41"/>
  <c r="O23" i="41" s="1"/>
  <c r="S22" i="41"/>
  <c r="I24" i="39" l="1"/>
  <c r="P23" i="41"/>
  <c r="E25" i="39" l="1"/>
  <c r="H25" i="39" s="1"/>
  <c r="L24" i="39"/>
  <c r="E24" i="41"/>
  <c r="O24" i="41" s="1"/>
  <c r="S23" i="41"/>
  <c r="I25" i="39" l="1"/>
  <c r="H31" i="39"/>
  <c r="P24" i="41"/>
  <c r="F36" i="39" l="1"/>
  <c r="E38" i="39"/>
  <c r="F38" i="39"/>
  <c r="E37" i="39"/>
  <c r="E26" i="39"/>
  <c r="H26" i="39" s="1"/>
  <c r="I26" i="39" s="1"/>
  <c r="E27" i="39" s="1"/>
  <c r="H27" i="39" s="1"/>
  <c r="I27" i="39" s="1"/>
  <c r="E28" i="39" s="1"/>
  <c r="H28" i="39" s="1"/>
  <c r="I28" i="39" s="1"/>
  <c r="E29" i="39" s="1"/>
  <c r="H29" i="39" s="1"/>
  <c r="I29" i="39" s="1"/>
  <c r="E30" i="39" s="1"/>
  <c r="H30" i="39" s="1"/>
  <c r="I30" i="39" s="1"/>
  <c r="L25" i="39"/>
  <c r="E25" i="41"/>
  <c r="O25" i="41" s="1"/>
  <c r="S24" i="41"/>
  <c r="P25" i="41" l="1"/>
  <c r="O31" i="41"/>
  <c r="F41" i="39"/>
  <c r="E26" i="41" l="1"/>
  <c r="O26" i="41" s="1"/>
  <c r="P26" i="41" s="1"/>
  <c r="E27" i="41" s="1"/>
  <c r="O27" i="41" s="1"/>
  <c r="P27" i="41" s="1"/>
  <c r="E28" i="41" s="1"/>
  <c r="O28" i="41" s="1"/>
  <c r="P28" i="41" s="1"/>
  <c r="E29" i="41" s="1"/>
  <c r="O29" i="41" s="1"/>
  <c r="P29" i="41" s="1"/>
  <c r="E30" i="41" s="1"/>
  <c r="O30" i="41" s="1"/>
  <c r="P30" i="41" s="1"/>
  <c r="S25" i="41"/>
  <c r="I38" i="41"/>
  <c r="H38" i="41"/>
  <c r="I36" i="41"/>
  <c r="H37" i="41"/>
  <c r="I41" i="41" l="1"/>
  <c r="E47" i="75"/>
  <c r="F47" i="75" s="1"/>
  <c r="E47" i="77"/>
  <c r="F47" i="77" s="1"/>
  <c r="E47" i="80"/>
  <c r="F47" i="80" s="1"/>
  <c r="E47" i="76"/>
  <c r="F47" i="76" s="1"/>
  <c r="E47" i="79"/>
  <c r="F47" i="79" s="1"/>
  <c r="E47" i="78"/>
  <c r="F47" i="78" s="1"/>
  <c r="E47" i="74"/>
  <c r="F47" i="7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557CDE33-F5FD-4D05-92B2-C02DFC4E0570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M15" authorId="1" shapeId="0" xr:uid="{64AD2CF0-49ED-4393-8BF7-9C5654FF0EDD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Jan journal had wrong rate of .054443 (extra 4) - error of $2.11
Corrected the rate during Feb month end close and corrected $2.11 on Febuary journal entry</t>
        </r>
      </text>
    </comment>
    <comment ref="K37" authorId="1" shapeId="0" xr:uid="{B6083EC0-DCE0-4F6D-8FFE-372DF6F35397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F7ECD862-9496-4532-8CA3-970C6BDEDFF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3CE8FEDB-4F55-41FC-9A29-4239E03AE315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6FB3B617-CA15-402D-AB22-E909908DE80D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43A0DCAF-637E-4B91-A9F7-CBF6C6BCC589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65111EF-0AE2-4EEB-9DCF-64CE5DAF736F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A67E306F-9B94-4C8D-B2F7-E82367119C86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07C869E2-52E8-4572-BB7B-F05C08F3989B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E11060EE-E999-4F1D-92C8-BD3B9F35491B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F298A19-E792-4C15-8899-8E98A49FE6D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D4AF9440-B57C-4AD5-8DF6-6FBE74BF7A4E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6C30E8BD-4BCF-458A-A49B-66A10895854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BA14B0E1-7DB6-428F-A98E-A5ADF397B767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sharedStrings.xml><?xml version="1.0" encoding="utf-8"?>
<sst xmlns="http://schemas.openxmlformats.org/spreadsheetml/2006/main" count="1141" uniqueCount="158">
  <si>
    <t>State of Washington</t>
  </si>
  <si>
    <t>Commodity</t>
  </si>
  <si>
    <t>Demand</t>
  </si>
  <si>
    <t>Interest</t>
  </si>
  <si>
    <t>Avista Corporation</t>
  </si>
  <si>
    <t>Amortization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</si>
  <si>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</si>
  <si>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</si>
  <si>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</si>
  <si>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</si>
  <si>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</si>
  <si>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</si>
  <si>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</si>
  <si>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</si>
  <si>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</si>
  <si>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Ending Balance</t>
  </si>
  <si>
    <t>Idaho</t>
  </si>
  <si>
    <t xml:space="preserve">Total </t>
  </si>
  <si>
    <t>Expense Calculation</t>
  </si>
  <si>
    <t>Deferral Calculation</t>
  </si>
  <si>
    <t>Schedule 146</t>
  </si>
  <si>
    <t>Interest Income</t>
  </si>
  <si>
    <t>Volumes</t>
  </si>
  <si>
    <t>check</t>
  </si>
  <si>
    <t xml:space="preserve">Balance Sheet </t>
  </si>
  <si>
    <t>less variable costs charged to Commodity</t>
  </si>
  <si>
    <t>plus variable costs from Demand</t>
  </si>
  <si>
    <t>Total Commodity Costs to be Allocated</t>
  </si>
  <si>
    <t>DEMAND</t>
  </si>
  <si>
    <t xml:space="preserve">Total Demand </t>
  </si>
  <si>
    <t>COMMODITY</t>
  </si>
  <si>
    <t>Total Commodity</t>
  </si>
  <si>
    <t>WASHINGTON</t>
  </si>
  <si>
    <t>IDAHO</t>
  </si>
  <si>
    <t>Check</t>
  </si>
  <si>
    <t>Def Rev Calc</t>
  </si>
  <si>
    <t>WA Total</t>
  </si>
  <si>
    <t>ID Total</t>
  </si>
  <si>
    <t>Debits</t>
  </si>
  <si>
    <t>Credits</t>
  </si>
  <si>
    <t>Beginning Balance</t>
  </si>
  <si>
    <t>Interest Rate</t>
  </si>
  <si>
    <t>Schedule 102</t>
  </si>
  <si>
    <t>Month Ending</t>
  </si>
  <si>
    <t>GL WAND BALANCES</t>
  </si>
  <si>
    <t>MONTHLY RECON</t>
  </si>
  <si>
    <t>Accounts 191000</t>
  </si>
  <si>
    <t>Annual xfer of balance per PGA to 191000</t>
  </si>
  <si>
    <t>Amort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</si>
  <si>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</si>
  <si>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</si>
  <si>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</si>
  <si>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</si>
  <si>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</si>
  <si>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</si>
  <si>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</si>
  <si>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</si>
  <si>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</si>
  <si>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</si>
  <si>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</si>
  <si>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A</t>
  </si>
  <si>
    <t>B</t>
  </si>
  <si>
    <t>C</t>
  </si>
  <si>
    <t>A+B+C</t>
  </si>
  <si>
    <t>(A+B)</t>
  </si>
  <si>
    <t>check s/b 0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</si>
  <si>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</si>
  <si>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</si>
  <si>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</si>
  <si>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</si>
  <si>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</si>
  <si>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</si>
  <si>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</si>
  <si>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</si>
  <si>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</si>
  <si>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</si>
  <si>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</si>
  <si>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</si>
  <si>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</si>
  <si>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</si>
  <si>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</si>
  <si>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</si>
  <si>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</si>
  <si>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</si>
  <si>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(B)</t>
  </si>
  <si>
    <t>ID Entitlement Penalty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</si>
  <si>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</si>
  <si>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</si>
  <si>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</si>
  <si>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</si>
  <si>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</si>
  <si>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</si>
  <si>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</si>
  <si>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</si>
  <si>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</si>
  <si>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</si>
  <si>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</si>
  <si>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</si>
  <si>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WA Entitlement Penalty</t>
  </si>
  <si>
    <t>AN Entitlement Penalty</t>
  </si>
  <si>
    <t>GD.AN</t>
  </si>
  <si>
    <t>KEY:</t>
  </si>
  <si>
    <t>Manual Input</t>
  </si>
  <si>
    <t>GLWand</t>
  </si>
  <si>
    <t>Total Demand Costs</t>
  </si>
  <si>
    <t>GD.WA</t>
  </si>
  <si>
    <t>GD.ID</t>
  </si>
  <si>
    <t>WA Imbalance Costs</t>
  </si>
  <si>
    <t>ID Imbalance Costs</t>
  </si>
  <si>
    <t>Total Demand and Commodity</t>
  </si>
  <si>
    <t>check:</t>
  </si>
  <si>
    <t>JET Entry - check</t>
  </si>
  <si>
    <t>Deferral Expenses</t>
  </si>
  <si>
    <t>Total Deferred</t>
  </si>
  <si>
    <t>System Cost</t>
  </si>
  <si>
    <t>Deferral Revenue</t>
  </si>
  <si>
    <t>WASHINGTON / IDAHO GAS COSTS</t>
  </si>
  <si>
    <t>Total Current Demand Costs</t>
  </si>
  <si>
    <t>Total Commodity Costs</t>
  </si>
  <si>
    <t>Total per GL</t>
  </si>
  <si>
    <t>804%,808%,811000,483%,495028,495100</t>
  </si>
  <si>
    <t>Deferrals dependant on:</t>
  </si>
  <si>
    <t>NUC export - Gas costs</t>
  </si>
  <si>
    <t>DJ 404 - Realized FX G/L</t>
  </si>
  <si>
    <t>DJ 436 - Imbalances</t>
  </si>
  <si>
    <t>DJ 437 - GST (Qtrly)</t>
  </si>
  <si>
    <t>DJ 467 - Merchandise processing fees</t>
  </si>
  <si>
    <t>DJ 471 - Broker Fees</t>
  </si>
  <si>
    <t>DJ 476 - Mizuho/Wells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</si>
  <si>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</si>
  <si>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</si>
  <si>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</si>
  <si>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</si>
  <si>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</si>
  <si>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</si>
  <si>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</si>
  <si>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</si>
  <si>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</si>
  <si>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</si>
  <si>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</si>
  <si>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</si>
  <si>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pro rated</t>
  </si>
  <si>
    <t>$2.11 Jan demand rate error - fixed in Feb</t>
  </si>
  <si>
    <t>GAS COSTS-COMMODITY</t>
  </si>
  <si>
    <t>GAS COSTS - FX HEDGE</t>
  </si>
  <si>
    <t>GAS COSTS-TRANSACTION FEE</t>
  </si>
  <si>
    <t>Gas Costs - Merchandise Processing Fee</t>
  </si>
  <si>
    <t>GAS PURCHASES - FINANCIAL</t>
  </si>
  <si>
    <t>GAS COSTS-INTRACO LDC GAS</t>
  </si>
  <si>
    <t>GAS STORAGE WITHDRAWALS</t>
  </si>
  <si>
    <t>GAS STORAGE INJECTIONS</t>
  </si>
  <si>
    <t>GAS USED FOR PRODUCTS EXTRACTION</t>
  </si>
  <si>
    <t>SALES FOR RESALE PHYSICAL-GAS</t>
  </si>
  <si>
    <t>SALES FOR RESALE-FINANCIAL GAS</t>
  </si>
  <si>
    <t>SALES FOR RESALE-INTRACO LDC GAS</t>
  </si>
  <si>
    <t>DEFERRED EXCHANGE RESERVATION FEE</t>
  </si>
  <si>
    <t>GAS COSTS-DEMAND</t>
  </si>
  <si>
    <t>TRANSPORT VARIABLE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</si>
</sst>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#,##0.00000_);\(#,##0.00000\)"/>
    <numFmt numFmtId="169" formatCode="#,##0.0000_);\(#,##0.0000\)"/>
    <numFmt numFmtId="170" formatCode="#,##0.0000_);[Red]\(#,##0.0000\)"/>
    <numFmt numFmtId="171" formatCode="&quot;$&quot;#,##0\ ;\(&quot;$&quot;#,##0\)"/>
    <numFmt numFmtId="172" formatCode="_(* #,##0_);_(* \(#,##0\);_(* &quot;-&quot;??_);_(@_)"/>
    <numFmt numFmtId="173" formatCode="_(* #,##0.00000_);_(* \(#,##0.00000\);_(* &quot;-&quot;?????_);_(@_)"/>
    <numFmt numFmtId="174" formatCode="_(&quot;$&quot;* #,##0.00000_);_(&quot;$&quot;* \(#,##0.00000\);_(&quot;$&quot;* &quot;-&quot;??_);_(@_)"/>
  </numFmts>
  <fonts count="53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sz val="14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9"/>
      <color indexed="17"/>
      <name val="Arial"/>
      <family val="2"/>
    </font>
    <font>
      <b/>
      <sz val="12"/>
      <color indexed="17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275">
    <xf numFmtId="39" fontId="0" fillId="0" borderId="0" xfId="0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3" fillId="0" borderId="0" xfId="0" applyFont="1" applyBorder="1"/>
    <xf numFmtId="39" fontId="12" fillId="3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2" fillId="0" borderId="8" xfId="0" applyFont="1" applyFill="1" applyBorder="1"/>
    <xf numFmtId="39" fontId="13" fillId="0" borderId="5" xfId="0" applyFont="1" applyFill="1" applyBorder="1" applyAlignment="1">
      <alignment horizontal="center"/>
    </xf>
    <xf numFmtId="39" fontId="12" fillId="0" borderId="2" xfId="0" applyFont="1" applyFill="1" applyBorder="1"/>
    <xf numFmtId="39" fontId="12" fillId="0" borderId="7" xfId="0" applyFont="1" applyFill="1" applyBorder="1"/>
    <xf numFmtId="39" fontId="12" fillId="0" borderId="7" xfId="0" applyFont="1" applyFill="1" applyBorder="1" applyAlignment="1">
      <alignment horizontal="left"/>
    </xf>
    <xf numFmtId="168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8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5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39" fontId="12" fillId="0" borderId="3" xfId="0" applyFont="1" applyFill="1" applyBorder="1"/>
    <xf numFmtId="0" fontId="12" fillId="0" borderId="0" xfId="0" applyNumberFormat="1" applyFont="1" applyFill="1" applyBorder="1" applyAlignment="1">
      <alignment horizontal="left"/>
    </xf>
    <xf numFmtId="38" fontId="12" fillId="0" borderId="0" xfId="1" applyNumberFormat="1" applyFont="1"/>
    <xf numFmtId="39" fontId="12" fillId="0" borderId="6" xfId="0" applyFont="1" applyBorder="1"/>
    <xf numFmtId="39" fontId="12" fillId="0" borderId="0" xfId="0" applyFont="1"/>
    <xf numFmtId="39" fontId="12" fillId="0" borderId="0" xfId="0" applyFont="1" applyFill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19" xfId="137" applyFont="1" applyBorder="1" applyAlignment="1">
      <alignment horizontal="center" wrapText="1"/>
    </xf>
    <xf numFmtId="0" fontId="27" fillId="0" borderId="18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6" borderId="18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7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18" xfId="63" applyNumberFormat="1" applyFont="1" applyFill="1" applyBorder="1" applyAlignment="1">
      <alignment horizontal="left"/>
    </xf>
    <xf numFmtId="40" fontId="26" fillId="8" borderId="18" xfId="1" applyFont="1" applyFill="1" applyBorder="1"/>
    <xf numFmtId="40" fontId="26" fillId="0" borderId="18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18" xfId="138" applyFont="1" applyFill="1" applyBorder="1"/>
    <xf numFmtId="43" fontId="35" fillId="0" borderId="0" xfId="138" applyFont="1" applyFill="1" applyBorder="1"/>
    <xf numFmtId="43" fontId="35" fillId="5" borderId="18" xfId="138" applyFont="1" applyFill="1" applyBorder="1"/>
    <xf numFmtId="10" fontId="35" fillId="5" borderId="22" xfId="4" applyNumberFormat="1" applyFont="1" applyFill="1" applyBorder="1"/>
    <xf numFmtId="43" fontId="35" fillId="5" borderId="22" xfId="138" applyFont="1" applyFill="1" applyBorder="1"/>
    <xf numFmtId="43" fontId="26" fillId="0" borderId="22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19" xfId="137" quotePrefix="1" applyFont="1" applyBorder="1" applyAlignment="1">
      <alignment horizontal="center" wrapText="1"/>
    </xf>
    <xf numFmtId="0" fontId="27" fillId="0" borderId="22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0" xfId="137" quotePrefix="1" applyFont="1" applyBorder="1" applyAlignment="1">
      <alignment horizontal="center" wrapText="1"/>
    </xf>
    <xf numFmtId="10" fontId="35" fillId="5" borderId="21" xfId="4" applyNumberFormat="1" applyFont="1" applyFill="1" applyBorder="1"/>
    <xf numFmtId="43" fontId="35" fillId="5" borderId="21" xfId="138" applyFont="1" applyFill="1" applyBorder="1"/>
    <xf numFmtId="43" fontId="26" fillId="0" borderId="21" xfId="138" applyFont="1" applyFill="1" applyBorder="1"/>
    <xf numFmtId="43" fontId="26" fillId="6" borderId="21" xfId="138" applyFont="1" applyFill="1" applyBorder="1"/>
    <xf numFmtId="43" fontId="27" fillId="6" borderId="21" xfId="138" applyFont="1" applyFill="1" applyBorder="1"/>
    <xf numFmtId="43" fontId="35" fillId="5" borderId="23" xfId="138" applyFont="1" applyFill="1" applyBorder="1"/>
    <xf numFmtId="1" fontId="26" fillId="0" borderId="18" xfId="24" applyNumberFormat="1" applyFont="1" applyFill="1" applyBorder="1" applyAlignment="1">
      <alignment horizontal="left"/>
    </xf>
    <xf numFmtId="43" fontId="26" fillId="0" borderId="18" xfId="9" applyFont="1" applyFill="1" applyBorder="1"/>
    <xf numFmtId="0" fontId="33" fillId="0" borderId="0" xfId="24" applyFont="1" applyFill="1"/>
    <xf numFmtId="164" fontId="27" fillId="0" borderId="0" xfId="92" applyNumberFormat="1" applyFont="1" applyAlignment="1">
      <alignment horizontal="left"/>
    </xf>
    <xf numFmtId="0" fontId="26" fillId="0" borderId="0" xfId="137" applyFont="1"/>
    <xf numFmtId="164" fontId="38" fillId="0" borderId="0" xfId="92" applyNumberFormat="1" applyFont="1" applyAlignment="1">
      <alignment horizontal="left"/>
    </xf>
    <xf numFmtId="10" fontId="35" fillId="5" borderId="21" xfId="139" applyNumberFormat="1" applyFont="1" applyFill="1" applyBorder="1"/>
    <xf numFmtId="168" fontId="39" fillId="5" borderId="21" xfId="145" applyNumberFormat="1" applyFont="1" applyFill="1" applyBorder="1" applyAlignment="1">
      <alignment horizontal="center"/>
    </xf>
    <xf numFmtId="43" fontId="26" fillId="0" borderId="24" xfId="138" applyFont="1" applyFill="1" applyBorder="1"/>
    <xf numFmtId="0" fontId="27" fillId="0" borderId="26" xfId="137" applyFont="1" applyBorder="1" applyAlignment="1">
      <alignment horizontal="center" wrapText="1"/>
    </xf>
    <xf numFmtId="0" fontId="27" fillId="0" borderId="27" xfId="137" applyFont="1" applyBorder="1" applyAlignment="1">
      <alignment horizontal="center" wrapText="1"/>
    </xf>
    <xf numFmtId="0" fontId="27" fillId="0" borderId="28" xfId="137" applyFont="1" applyBorder="1" applyAlignment="1">
      <alignment horizontal="center" wrapText="1"/>
    </xf>
    <xf numFmtId="43" fontId="35" fillId="5" borderId="30" xfId="138" applyFont="1" applyFill="1" applyBorder="1"/>
    <xf numFmtId="43" fontId="35" fillId="5" borderId="32" xfId="138" applyFont="1" applyFill="1" applyBorder="1"/>
    <xf numFmtId="43" fontId="26" fillId="0" borderId="25" xfId="138" applyFont="1" applyFill="1" applyBorder="1"/>
    <xf numFmtId="43" fontId="26" fillId="0" borderId="33" xfId="138" applyFont="1" applyFill="1" applyBorder="1"/>
    <xf numFmtId="38" fontId="35" fillId="5" borderId="29" xfId="138" applyNumberFormat="1" applyFont="1" applyFill="1" applyBorder="1"/>
    <xf numFmtId="0" fontId="27" fillId="0" borderId="34" xfId="137" applyFont="1" applyBorder="1" applyAlignment="1">
      <alignment horizontal="center" wrapText="1"/>
    </xf>
    <xf numFmtId="43" fontId="26" fillId="0" borderId="30" xfId="138" applyFont="1" applyFill="1" applyBorder="1"/>
    <xf numFmtId="0" fontId="27" fillId="0" borderId="33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5" borderId="23" xfId="139" applyNumberFormat="1" applyFont="1" applyFill="1" applyBorder="1"/>
    <xf numFmtId="38" fontId="35" fillId="5" borderId="31" xfId="138" applyNumberFormat="1" applyFont="1" applyFill="1" applyBorder="1"/>
    <xf numFmtId="43" fontId="26" fillId="0" borderId="36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7" fontId="12" fillId="0" borderId="0" xfId="0" applyNumberFormat="1" applyFont="1" applyFill="1" applyAlignment="1" applyProtection="1">
      <alignment horizontal="center"/>
    </xf>
    <xf numFmtId="168" fontId="12" fillId="0" borderId="0" xfId="0" applyNumberFormat="1" applyFont="1" applyFill="1" applyBorder="1" applyAlignment="1" applyProtection="1">
      <alignment horizontal="center"/>
      <protection locked="0"/>
    </xf>
    <xf numFmtId="5" fontId="12" fillId="0" borderId="0" xfId="0" applyNumberFormat="1" applyFont="1" applyFill="1" applyAlignment="1">
      <alignment horizontal="center"/>
    </xf>
    <xf numFmtId="39" fontId="12" fillId="0" borderId="12" xfId="0" applyFont="1" applyFill="1" applyBorder="1" applyAlignment="1">
      <alignment horizontal="center"/>
    </xf>
    <xf numFmtId="39" fontId="12" fillId="0" borderId="13" xfId="0" applyFont="1" applyFill="1" applyBorder="1" applyAlignment="1">
      <alignment horizontal="center"/>
    </xf>
    <xf numFmtId="39" fontId="12" fillId="0" borderId="12" xfId="0" applyFont="1" applyFill="1" applyBorder="1"/>
    <xf numFmtId="39" fontId="12" fillId="0" borderId="13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43" fontId="12" fillId="0" borderId="0" xfId="1" applyNumberFormat="1" applyFont="1" applyFill="1" applyBorder="1"/>
    <xf numFmtId="43" fontId="12" fillId="0" borderId="0" xfId="0" applyNumberFormat="1" applyFont="1" applyFill="1" applyBorder="1"/>
    <xf numFmtId="43" fontId="12" fillId="4" borderId="0" xfId="1" applyNumberFormat="1" applyFont="1" applyFill="1" applyBorder="1"/>
    <xf numFmtId="37" fontId="13" fillId="0" borderId="16" xfId="0" applyNumberFormat="1" applyFont="1" applyFill="1" applyBorder="1" applyProtection="1"/>
    <xf numFmtId="168" fontId="13" fillId="0" borderId="0" xfId="0" applyNumberFormat="1" applyFont="1" applyFill="1" applyBorder="1" applyAlignment="1" applyProtection="1">
      <alignment horizontal="center"/>
      <protection locked="0"/>
    </xf>
    <xf numFmtId="173" fontId="12" fillId="0" borderId="8" xfId="0" applyNumberFormat="1" applyFont="1" applyFill="1" applyBorder="1"/>
    <xf numFmtId="44" fontId="13" fillId="9" borderId="17" xfId="0" applyNumberFormat="1" applyFont="1" applyFill="1" applyBorder="1"/>
    <xf numFmtId="49" fontId="27" fillId="0" borderId="21" xfId="137" quotePrefix="1" applyNumberFormat="1" applyFont="1" applyFill="1" applyBorder="1" applyAlignment="1">
      <alignment horizontal="right"/>
    </xf>
    <xf numFmtId="173" fontId="12" fillId="0" borderId="38" xfId="0" applyNumberFormat="1" applyFont="1" applyFill="1" applyBorder="1"/>
    <xf numFmtId="43" fontId="12" fillId="4" borderId="5" xfId="1" applyNumberFormat="1" applyFont="1" applyFill="1" applyBorder="1"/>
    <xf numFmtId="39" fontId="0" fillId="0" borderId="5" xfId="0" applyBorder="1"/>
    <xf numFmtId="44" fontId="13" fillId="0" borderId="16" xfId="2" applyNumberFormat="1" applyFont="1" applyFill="1" applyBorder="1"/>
    <xf numFmtId="173" fontId="12" fillId="0" borderId="39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26" fillId="0" borderId="19" xfId="138" applyFont="1" applyFill="1" applyBorder="1"/>
    <xf numFmtId="43" fontId="34" fillId="0" borderId="0" xfId="137" applyNumberFormat="1" applyFont="1" applyFill="1" applyBorder="1"/>
    <xf numFmtId="169" fontId="14" fillId="0" borderId="0" xfId="0" applyNumberFormat="1" applyFont="1"/>
    <xf numFmtId="43" fontId="34" fillId="0" borderId="0" xfId="137" applyNumberFormat="1" applyFont="1"/>
    <xf numFmtId="0" fontId="42" fillId="0" borderId="0" xfId="137" applyFont="1" applyFill="1" applyBorder="1"/>
    <xf numFmtId="39" fontId="14" fillId="0" borderId="0" xfId="0" applyFont="1" applyBorder="1"/>
    <xf numFmtId="0" fontId="42" fillId="0" borderId="0" xfId="137" applyFont="1" applyBorder="1"/>
    <xf numFmtId="0" fontId="37" fillId="0" borderId="0" xfId="137" applyFont="1" applyBorder="1"/>
    <xf numFmtId="43" fontId="42" fillId="0" borderId="0" xfId="1" applyNumberFormat="1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9" fontId="27" fillId="0" borderId="23" xfId="137" quotePrefix="1" applyNumberFormat="1" applyFont="1" applyFill="1" applyBorder="1" applyAlignment="1">
      <alignment horizontal="right"/>
    </xf>
    <xf numFmtId="43" fontId="26" fillId="6" borderId="23" xfId="138" applyFont="1" applyFill="1" applyBorder="1"/>
    <xf numFmtId="43" fontId="27" fillId="6" borderId="23" xfId="138" applyFont="1" applyFill="1" applyBorder="1"/>
    <xf numFmtId="43" fontId="12" fillId="0" borderId="8" xfId="2" applyNumberFormat="1" applyFont="1" applyBorder="1"/>
    <xf numFmtId="39" fontId="13" fillId="0" borderId="0" xfId="145" applyFont="1" applyAlignment="1" applyProtection="1">
      <alignment horizontal="right"/>
      <protection locked="0"/>
    </xf>
    <xf numFmtId="167" fontId="13" fillId="0" borderId="0" xfId="145" applyNumberFormat="1" applyFont="1" applyAlignment="1" applyProtection="1">
      <alignment horizontal="center"/>
      <protection locked="0"/>
    </xf>
    <xf numFmtId="174" fontId="44" fillId="10" borderId="0" xfId="57" applyNumberFormat="1" applyFont="1" applyFill="1" applyAlignment="1" applyProtection="1">
      <alignment horizontal="left"/>
      <protection locked="0"/>
    </xf>
    <xf numFmtId="39" fontId="12" fillId="0" borderId="7" xfId="145" applyFont="1" applyBorder="1" applyProtection="1">
      <protection locked="0"/>
    </xf>
    <xf numFmtId="17" fontId="45" fillId="0" borderId="0" xfId="0" applyNumberFormat="1" applyFont="1" applyProtection="1">
      <protection locked="0"/>
    </xf>
    <xf numFmtId="0" fontId="46" fillId="10" borderId="0" xfId="145" applyNumberFormat="1" applyFont="1" applyFill="1" applyAlignment="1" applyProtection="1">
      <alignment horizontal="center"/>
      <protection locked="0"/>
    </xf>
    <xf numFmtId="39" fontId="48" fillId="11" borderId="0" xfId="145" applyFont="1" applyFill="1" applyAlignment="1" applyProtection="1">
      <alignment horizontal="left"/>
      <protection locked="0"/>
    </xf>
    <xf numFmtId="174" fontId="44" fillId="0" borderId="0" xfId="57" applyNumberFormat="1" applyFont="1" applyFill="1" applyAlignment="1" applyProtection="1">
      <alignment horizontal="left"/>
      <protection locked="0"/>
    </xf>
    <xf numFmtId="39" fontId="12" fillId="0" borderId="0" xfId="145" applyFont="1" applyProtection="1">
      <protection locked="0"/>
    </xf>
    <xf numFmtId="0" fontId="13" fillId="0" borderId="1" xfId="0" applyNumberFormat="1" applyFont="1" applyFill="1" applyBorder="1" applyAlignment="1">
      <alignment horizontal="center"/>
    </xf>
    <xf numFmtId="39" fontId="13" fillId="0" borderId="7" xfId="0" applyFont="1" applyFill="1" applyBorder="1"/>
    <xf numFmtId="10" fontId="12" fillId="0" borderId="8" xfId="4" applyNumberFormat="1" applyFont="1" applyFill="1" applyBorder="1" applyAlignment="1">
      <alignment horizontal="center"/>
    </xf>
    <xf numFmtId="39" fontId="13" fillId="0" borderId="7" xfId="0" applyFont="1" applyBorder="1"/>
    <xf numFmtId="39" fontId="12" fillId="0" borderId="7" xfId="0" applyFont="1" applyBorder="1"/>
    <xf numFmtId="166" fontId="12" fillId="0" borderId="0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Protection="1">
      <protection locked="0"/>
    </xf>
    <xf numFmtId="39" fontId="12" fillId="0" borderId="7" xfId="0" applyFont="1" applyBorder="1" applyAlignment="1">
      <alignment horizontal="left"/>
    </xf>
    <xf numFmtId="166" fontId="12" fillId="0" borderId="7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Alignment="1" applyProtection="1">
      <alignment horizontal="center"/>
    </xf>
    <xf numFmtId="39" fontId="13" fillId="0" borderId="4" xfId="0" applyFont="1" applyFill="1" applyBorder="1"/>
    <xf numFmtId="166" fontId="12" fillId="0" borderId="5" xfId="0" applyNumberFormat="1" applyFont="1" applyFill="1" applyBorder="1" applyAlignment="1" applyProtection="1">
      <alignment horizontal="left"/>
    </xf>
    <xf numFmtId="44" fontId="12" fillId="0" borderId="40" xfId="0" applyNumberFormat="1" applyFont="1" applyFill="1" applyBorder="1" applyProtection="1">
      <protection locked="0"/>
    </xf>
    <xf numFmtId="168" fontId="47" fillId="11" borderId="0" xfId="0" applyNumberFormat="1" applyFont="1" applyFill="1" applyBorder="1" applyAlignment="1" applyProtection="1">
      <alignment horizontal="center"/>
      <protection locked="0"/>
    </xf>
    <xf numFmtId="37" fontId="47" fillId="11" borderId="0" xfId="0" applyNumberFormat="1" applyFont="1" applyFill="1" applyBorder="1" applyProtection="1"/>
    <xf numFmtId="43" fontId="12" fillId="0" borderId="0" xfId="2" applyNumberFormat="1" applyFont="1" applyFill="1" applyBorder="1" applyProtection="1"/>
    <xf numFmtId="39" fontId="13" fillId="0" borderId="1" xfId="0" applyFont="1" applyFill="1" applyBorder="1"/>
    <xf numFmtId="8" fontId="12" fillId="0" borderId="3" xfId="2" applyFont="1" applyFill="1" applyBorder="1"/>
    <xf numFmtId="44" fontId="12" fillId="0" borderId="8" xfId="2" applyNumberFormat="1" applyFont="1" applyFill="1" applyBorder="1" applyProtection="1"/>
    <xf numFmtId="39" fontId="14" fillId="0" borderId="7" xfId="0" applyFont="1" applyBorder="1"/>
    <xf numFmtId="39" fontId="0" fillId="0" borderId="8" xfId="0" applyBorder="1"/>
    <xf numFmtId="39" fontId="14" fillId="0" borderId="4" xfId="0" applyNumberFormat="1" applyFont="1" applyBorder="1"/>
    <xf numFmtId="39" fontId="12" fillId="0" borderId="5" xfId="0" applyFont="1" applyBorder="1"/>
    <xf numFmtId="39" fontId="13" fillId="0" borderId="0" xfId="0" applyFont="1" applyBorder="1" applyAlignment="1">
      <alignment horizontal="right"/>
    </xf>
    <xf numFmtId="39" fontId="13" fillId="0" borderId="5" xfId="0" applyFont="1" applyBorder="1"/>
    <xf numFmtId="39" fontId="13" fillId="0" borderId="5" xfId="0" applyFont="1" applyBorder="1" applyAlignment="1">
      <alignment horizontal="right"/>
    </xf>
    <xf numFmtId="43" fontId="12" fillId="4" borderId="8" xfId="1" applyNumberFormat="1" applyFont="1" applyFill="1" applyBorder="1"/>
    <xf numFmtId="39" fontId="12" fillId="0" borderId="8" xfId="0" applyFont="1" applyFill="1" applyBorder="1" applyAlignment="1">
      <alignment horizontal="right"/>
    </xf>
    <xf numFmtId="43" fontId="12" fillId="0" borderId="6" xfId="2" applyNumberFormat="1" applyFont="1" applyBorder="1"/>
    <xf numFmtId="39" fontId="12" fillId="0" borderId="8" xfId="145" applyFont="1" applyBorder="1" applyProtection="1">
      <protection locked="0"/>
    </xf>
    <xf numFmtId="43" fontId="12" fillId="0" borderId="4" xfId="2" applyNumberFormat="1" applyFont="1" applyBorder="1"/>
    <xf numFmtId="169" fontId="14" fillId="0" borderId="0" xfId="0" applyNumberFormat="1" applyFont="1" applyFill="1"/>
    <xf numFmtId="43" fontId="12" fillId="0" borderId="8" xfId="1" applyNumberFormat="1" applyFont="1" applyFill="1" applyBorder="1"/>
    <xf numFmtId="44" fontId="13" fillId="0" borderId="8" xfId="0" applyNumberFormat="1" applyFont="1" applyFill="1" applyBorder="1"/>
    <xf numFmtId="167" fontId="13" fillId="0" borderId="6" xfId="0" applyNumberFormat="1" applyFont="1" applyFill="1" applyBorder="1" applyAlignment="1" applyProtection="1">
      <alignment horizontal="center"/>
    </xf>
    <xf numFmtId="167" fontId="13" fillId="0" borderId="41" xfId="0" applyNumberFormat="1" applyFont="1" applyFill="1" applyBorder="1" applyAlignment="1" applyProtection="1">
      <alignment horizontal="center"/>
    </xf>
    <xf numFmtId="167" fontId="13" fillId="0" borderId="42" xfId="0" applyNumberFormat="1" applyFont="1" applyFill="1" applyBorder="1" applyAlignment="1" applyProtection="1">
      <alignment horizontal="center"/>
    </xf>
    <xf numFmtId="39" fontId="12" fillId="0" borderId="43" xfId="0" applyFont="1" applyFill="1" applyBorder="1"/>
    <xf numFmtId="39" fontId="12" fillId="0" borderId="44" xfId="0" applyFont="1" applyFill="1" applyBorder="1"/>
    <xf numFmtId="10" fontId="47" fillId="11" borderId="43" xfId="4" applyNumberFormat="1" applyFont="1" applyFill="1" applyBorder="1" applyAlignment="1">
      <alignment horizontal="center"/>
    </xf>
    <xf numFmtId="10" fontId="12" fillId="0" borderId="44" xfId="4" applyNumberFormat="1" applyFont="1" applyFill="1" applyBorder="1" applyAlignment="1">
      <alignment horizontal="center"/>
    </xf>
    <xf numFmtId="43" fontId="12" fillId="0" borderId="43" xfId="1" applyNumberFormat="1" applyFont="1" applyFill="1" applyBorder="1"/>
    <xf numFmtId="43" fontId="12" fillId="0" borderId="44" xfId="1" applyNumberFormat="1" applyFont="1" applyFill="1" applyBorder="1"/>
    <xf numFmtId="44" fontId="13" fillId="0" borderId="43" xfId="0" applyNumberFormat="1" applyFont="1" applyFill="1" applyBorder="1"/>
    <xf numFmtId="44" fontId="13" fillId="0" borderId="44" xfId="0" applyNumberFormat="1" applyFont="1" applyFill="1" applyBorder="1"/>
    <xf numFmtId="44" fontId="12" fillId="0" borderId="44" xfId="0" applyNumberFormat="1" applyFont="1" applyFill="1" applyBorder="1" applyProtection="1">
      <protection locked="0"/>
    </xf>
    <xf numFmtId="44" fontId="12" fillId="0" borderId="43" xfId="0" applyNumberFormat="1" applyFont="1" applyFill="1" applyBorder="1" applyAlignment="1" applyProtection="1">
      <alignment horizontal="center"/>
    </xf>
    <xf numFmtId="44" fontId="12" fillId="0" borderId="44" xfId="0" applyNumberFormat="1" applyFont="1" applyFill="1" applyBorder="1" applyAlignment="1" applyProtection="1">
      <alignment horizontal="center"/>
    </xf>
    <xf numFmtId="167" fontId="13" fillId="0" borderId="23" xfId="0" applyNumberFormat="1" applyFont="1" applyFill="1" applyBorder="1" applyAlignment="1" applyProtection="1">
      <alignment horizontal="center"/>
    </xf>
    <xf numFmtId="39" fontId="12" fillId="0" borderId="20" xfId="0" applyFont="1" applyFill="1" applyBorder="1"/>
    <xf numFmtId="43" fontId="12" fillId="10" borderId="20" xfId="1" applyNumberFormat="1" applyFont="1" applyFill="1" applyBorder="1"/>
    <xf numFmtId="44" fontId="13" fillId="3" borderId="45" xfId="0" applyNumberFormat="1" applyFont="1" applyFill="1" applyBorder="1"/>
    <xf numFmtId="43" fontId="12" fillId="0" borderId="20" xfId="1" applyNumberFormat="1" applyFont="1" applyFill="1" applyBorder="1"/>
    <xf numFmtId="44" fontId="12" fillId="0" borderId="20" xfId="0" applyNumberFormat="1" applyFont="1" applyFill="1" applyBorder="1"/>
    <xf numFmtId="44" fontId="12" fillId="0" borderId="20" xfId="0" applyNumberFormat="1" applyFont="1" applyFill="1" applyBorder="1" applyAlignment="1" applyProtection="1">
      <alignment horizontal="center"/>
    </xf>
    <xf numFmtId="167" fontId="13" fillId="0" borderId="46" xfId="0" applyNumberFormat="1" applyFont="1" applyFill="1" applyBorder="1" applyAlignment="1" applyProtection="1">
      <alignment horizontal="center"/>
    </xf>
    <xf numFmtId="44" fontId="12" fillId="0" borderId="35" xfId="0" applyNumberFormat="1" applyFont="1" applyFill="1" applyBorder="1" applyProtection="1">
      <protection locked="0"/>
    </xf>
    <xf numFmtId="44" fontId="12" fillId="0" borderId="36" xfId="0" applyNumberFormat="1" applyFont="1" applyFill="1" applyBorder="1" applyProtection="1">
      <protection locked="0"/>
    </xf>
    <xf numFmtId="40" fontId="12" fillId="0" borderId="43" xfId="1" applyFont="1" applyFill="1" applyBorder="1" applyProtection="1">
      <protection locked="0"/>
    </xf>
    <xf numFmtId="40" fontId="13" fillId="0" borderId="44" xfId="1" applyFont="1" applyFill="1" applyBorder="1"/>
    <xf numFmtId="40" fontId="13" fillId="0" borderId="8" xfId="1" applyFont="1" applyFill="1" applyBorder="1"/>
    <xf numFmtId="40" fontId="12" fillId="0" borderId="43" xfId="1" applyFont="1" applyFill="1" applyBorder="1"/>
    <xf numFmtId="40" fontId="12" fillId="0" borderId="44" xfId="1" applyFont="1" applyFill="1" applyBorder="1"/>
    <xf numFmtId="40" fontId="12" fillId="0" borderId="8" xfId="1" applyFont="1" applyFill="1" applyBorder="1"/>
    <xf numFmtId="40" fontId="49" fillId="0" borderId="43" xfId="1" applyFont="1" applyBorder="1" applyAlignment="1" applyProtection="1">
      <alignment horizontal="left"/>
      <protection locked="0"/>
    </xf>
    <xf numFmtId="40" fontId="47" fillId="0" borderId="43" xfId="1" applyFont="1" applyFill="1" applyBorder="1"/>
    <xf numFmtId="40" fontId="47" fillId="0" borderId="44" xfId="1" applyFont="1" applyFill="1" applyBorder="1"/>
    <xf numFmtId="40" fontId="47" fillId="0" borderId="8" xfId="1" applyFont="1" applyFill="1" applyBorder="1"/>
    <xf numFmtId="40" fontId="13" fillId="0" borderId="43" xfId="1" applyFont="1" applyFill="1" applyBorder="1"/>
    <xf numFmtId="9" fontId="12" fillId="0" borderId="20" xfId="4" applyFont="1" applyFill="1" applyBorder="1" applyAlignment="1">
      <alignment horizontal="center"/>
    </xf>
    <xf numFmtId="40" fontId="18" fillId="0" borderId="0" xfId="1" applyFont="1" applyFill="1"/>
    <xf numFmtId="39" fontId="12" fillId="0" borderId="0" xfId="0" quotePrefix="1" applyFont="1" applyFill="1" applyAlignment="1">
      <alignment horizontal="left"/>
    </xf>
    <xf numFmtId="170" fontId="12" fillId="0" borderId="0" xfId="1" quotePrefix="1" applyNumberFormat="1" applyFont="1" applyFill="1"/>
    <xf numFmtId="0" fontId="33" fillId="0" borderId="0" xfId="137" applyFont="1"/>
    <xf numFmtId="39" fontId="12" fillId="0" borderId="0" xfId="145" applyFont="1" applyBorder="1" applyProtection="1">
      <protection locked="0"/>
    </xf>
    <xf numFmtId="43" fontId="12" fillId="0" borderId="0" xfId="2" applyNumberFormat="1" applyFont="1" applyBorder="1"/>
    <xf numFmtId="39" fontId="49" fillId="0" borderId="9" xfId="145" applyFont="1" applyBorder="1" applyAlignment="1" applyProtection="1">
      <alignment horizontal="left"/>
      <protection locked="0"/>
    </xf>
    <xf numFmtId="39" fontId="50" fillId="0" borderId="0" xfId="145" applyFont="1" applyAlignment="1" applyProtection="1">
      <alignment horizontal="left"/>
      <protection locked="0"/>
    </xf>
    <xf numFmtId="172" fontId="12" fillId="4" borderId="0" xfId="1" applyNumberFormat="1" applyFont="1" applyFill="1" applyBorder="1"/>
    <xf numFmtId="17" fontId="13" fillId="0" borderId="0" xfId="0" applyNumberFormat="1" applyFont="1" applyFill="1" applyBorder="1"/>
    <xf numFmtId="0" fontId="29" fillId="0" borderId="0" xfId="24" applyFont="1" applyFill="1"/>
    <xf numFmtId="43" fontId="29" fillId="0" borderId="0" xfId="24" applyNumberFormat="1" applyFont="1" applyFill="1"/>
    <xf numFmtId="43" fontId="47" fillId="0" borderId="8" xfId="2" applyNumberFormat="1" applyFont="1" applyFill="1" applyBorder="1"/>
    <xf numFmtId="43" fontId="12" fillId="10" borderId="0" xfId="1" applyNumberFormat="1" applyFont="1" applyFill="1" applyBorder="1"/>
    <xf numFmtId="37" fontId="12" fillId="0" borderId="0" xfId="136" applyNumberFormat="1" applyFont="1" applyFill="1" applyAlignment="1" applyProtection="1">
      <alignment horizontal="center"/>
      <protection locked="0"/>
    </xf>
    <xf numFmtId="43" fontId="26" fillId="0" borderId="20" xfId="138" applyFont="1" applyFill="1" applyBorder="1"/>
    <xf numFmtId="43" fontId="27" fillId="0" borderId="33" xfId="138" applyFont="1" applyFill="1" applyBorder="1"/>
    <xf numFmtId="43" fontId="26" fillId="0" borderId="41" xfId="138" applyFont="1" applyFill="1" applyBorder="1"/>
    <xf numFmtId="172" fontId="51" fillId="5" borderId="18" xfId="43" applyNumberFormat="1" applyFont="1" applyFill="1" applyBorder="1"/>
    <xf numFmtId="172" fontId="51" fillId="5" borderId="21" xfId="43" applyNumberFormat="1" applyFont="1" applyFill="1" applyBorder="1"/>
    <xf numFmtId="172" fontId="51" fillId="5" borderId="37" xfId="43" applyNumberFormat="1" applyFont="1" applyFill="1" applyBorder="1"/>
    <xf numFmtId="172" fontId="51" fillId="5" borderId="22" xfId="43" applyNumberFormat="1" applyFont="1" applyFill="1" applyBorder="1"/>
    <xf numFmtId="37" fontId="52" fillId="11" borderId="0" xfId="136" applyNumberFormat="1" applyFont="1" applyFill="1" applyAlignment="1" applyProtection="1">
      <alignment horizontal="center"/>
      <protection locked="0"/>
    </xf>
    <xf numFmtId="43" fontId="47" fillId="11" borderId="8" xfId="2" applyNumberFormat="1" applyFont="1" applyFill="1" applyBorder="1"/>
    <xf numFmtId="40" fontId="34" fillId="0" borderId="0" xfId="1" applyFont="1"/>
    <xf numFmtId="40" fontId="34" fillId="0" borderId="0" xfId="1" applyFont="1" applyFill="1"/>
    <xf numFmtId="40" fontId="1" fillId="0" borderId="0" xfId="1" applyFont="1"/>
    <xf numFmtId="39" fontId="12" fillId="0" borderId="10" xfId="145" applyFont="1" applyBorder="1" applyAlignment="1" applyProtection="1">
      <alignment horizontal="center"/>
      <protection locked="0"/>
    </xf>
    <xf numFmtId="39" fontId="12" fillId="0" borderId="14" xfId="145" applyFont="1" applyBorder="1" applyAlignment="1" applyProtection="1">
      <alignment horizontal="center"/>
      <protection locked="0"/>
    </xf>
    <xf numFmtId="39" fontId="12" fillId="0" borderId="0" xfId="145" applyFont="1" applyBorder="1" applyAlignment="1" applyProtection="1">
      <alignment horizontal="center"/>
      <protection locked="0"/>
    </xf>
    <xf numFmtId="167" fontId="13" fillId="0" borderId="47" xfId="0" applyNumberFormat="1" applyFont="1" applyFill="1" applyBorder="1" applyAlignment="1" applyProtection="1">
      <alignment horizontal="center"/>
    </xf>
    <xf numFmtId="167" fontId="13" fillId="0" borderId="48" xfId="0" applyNumberFormat="1" applyFont="1" applyFill="1" applyBorder="1" applyAlignment="1" applyProtection="1">
      <alignment horizontal="center"/>
    </xf>
    <xf numFmtId="167" fontId="13" fillId="0" borderId="3" xfId="0" applyNumberFormat="1" applyFont="1" applyFill="1" applyBorder="1" applyAlignment="1" applyProtection="1">
      <alignment horizontal="center"/>
    </xf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189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99"/>
      <color rgb="FF00CC66"/>
      <color rgb="FF66FF33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84F5F-AFBA-4B54-82E2-57D1CFDFF548}">
  <sheetPr>
    <pageSetUpPr fitToPage="1"/>
  </sheetPr>
  <dimension ref="A1:T1396"/>
  <sheetViews>
    <sheetView topLeftCell="A7" zoomScale="60" zoomScaleNormal="60" workbookViewId="0">
      <selection activeCell="M16" sqref="M16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202201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0.68300000000000005</v>
      </c>
      <c r="H8" s="208">
        <v>0.31669999999999998</v>
      </c>
      <c r="I8" s="171">
        <f>1-G8</f>
        <v>0.31699999999999995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2396180.79</v>
      </c>
      <c r="F10" s="210"/>
      <c r="G10" s="211"/>
      <c r="H10" s="210"/>
      <c r="I10" s="201"/>
      <c r="J10" s="31"/>
      <c r="K10" s="25" t="s">
        <v>10</v>
      </c>
      <c r="L10" s="261">
        <v>24086808</v>
      </c>
      <c r="M10" s="182">
        <v>9.3729999999999994E-2</v>
      </c>
      <c r="N10" s="159">
        <f t="shared" ref="N10:N16" si="0">L10*M10</f>
        <v>2257656.5138399997</v>
      </c>
      <c r="O10" s="25" t="s">
        <v>10</v>
      </c>
      <c r="P10" s="261">
        <v>11983473</v>
      </c>
      <c r="Q10" s="182">
        <v>9.2030000000000001E-2</v>
      </c>
      <c r="R10" s="251">
        <f>P10*Q10</f>
        <v>1102839.0201900001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34799.51</v>
      </c>
      <c r="F11" s="210"/>
      <c r="G11" s="211"/>
      <c r="H11" s="210"/>
      <c r="I11" s="201"/>
      <c r="J11" s="31"/>
      <c r="K11" s="25" t="s">
        <v>42</v>
      </c>
      <c r="L11" s="261">
        <v>54910</v>
      </c>
      <c r="M11" s="182">
        <v>9.3729999999999994E-2</v>
      </c>
      <c r="N11" s="159">
        <f t="shared" si="0"/>
        <v>5146.7142999999996</v>
      </c>
      <c r="O11" s="25" t="s">
        <v>11</v>
      </c>
      <c r="P11" s="261">
        <v>3429612</v>
      </c>
      <c r="Q11" s="182">
        <v>9.2030000000000001E-2</v>
      </c>
      <c r="R11" s="251">
        <f>P11*Q11</f>
        <v>315627.19235999999</v>
      </c>
    </row>
    <row r="12" spans="2:20" ht="15.6" customHeight="1" thickBot="1">
      <c r="B12" s="172" t="s">
        <v>104</v>
      </c>
      <c r="C12" s="6"/>
      <c r="D12" s="6"/>
      <c r="E12" s="220">
        <f>SUM(E10:E11)</f>
        <v>2430980.2999999998</v>
      </c>
      <c r="F12" s="212"/>
      <c r="G12" s="213"/>
      <c r="H12" s="212"/>
      <c r="I12" s="202"/>
      <c r="J12" s="31"/>
      <c r="K12" s="25" t="s">
        <v>11</v>
      </c>
      <c r="L12" s="261">
        <v>8902067</v>
      </c>
      <c r="M12" s="182">
        <v>8.7319999999999995E-2</v>
      </c>
      <c r="N12" s="159">
        <f t="shared" si="0"/>
        <v>777328.49043999997</v>
      </c>
      <c r="O12" s="25" t="s">
        <v>12</v>
      </c>
      <c r="P12" s="261">
        <v>1204</v>
      </c>
      <c r="Q12" s="182">
        <v>9.2030000000000001E-2</v>
      </c>
      <c r="R12" s="251">
        <f>P12*Q12</f>
        <v>110.80412</v>
      </c>
    </row>
    <row r="13" spans="2:20" ht="15.6" customHeight="1" thickBot="1">
      <c r="B13" s="173" t="s">
        <v>25</v>
      </c>
      <c r="C13" s="1"/>
      <c r="D13" s="1"/>
      <c r="E13" s="221">
        <f>-E11</f>
        <v>-34799.51</v>
      </c>
      <c r="F13" s="210"/>
      <c r="G13" s="211"/>
      <c r="H13" s="210"/>
      <c r="I13" s="201"/>
      <c r="J13" s="31"/>
      <c r="K13" s="25" t="s">
        <v>12</v>
      </c>
      <c r="L13" s="261">
        <v>9823</v>
      </c>
      <c r="M13" s="182">
        <v>8.7319999999999995E-2</v>
      </c>
      <c r="N13" s="159">
        <f t="shared" si="0"/>
        <v>857.74435999999992</v>
      </c>
      <c r="O13" s="25" t="s">
        <v>13</v>
      </c>
      <c r="P13" s="261">
        <v>0</v>
      </c>
      <c r="Q13" s="182"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2396180.79</v>
      </c>
      <c r="F14" s="227">
        <f>E14*F8</f>
        <v>1637310.333807</v>
      </c>
      <c r="G14" s="228"/>
      <c r="H14" s="227">
        <f>E14*H8</f>
        <v>758870.45619299996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163095</v>
      </c>
      <c r="M15" s="182">
        <v>5.4429999999999999E-2</v>
      </c>
      <c r="N15" s="159">
        <f t="shared" si="0"/>
        <v>8877.2608500000006</v>
      </c>
      <c r="O15" s="24" t="s">
        <v>29</v>
      </c>
      <c r="P15" s="131">
        <f>SUM(P10:P14)</f>
        <v>15414289</v>
      </c>
      <c r="Q15" s="132"/>
      <c r="R15" s="22">
        <f>SUM(R10:R14)</f>
        <v>1418577.01667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3814494</v>
      </c>
      <c r="M16" s="182">
        <v>5.4000000000000001E-4</v>
      </c>
      <c r="N16" s="159">
        <f t="shared" si="0"/>
        <v>2059.8267599999999</v>
      </c>
      <c r="O16" s="25"/>
      <c r="P16" s="183">
        <v>15414289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22833800.960000001</v>
      </c>
      <c r="F17" s="233"/>
      <c r="G17" s="231"/>
      <c r="H17" s="230"/>
      <c r="I17" s="232"/>
      <c r="J17" s="31"/>
      <c r="K17" s="24" t="s">
        <v>29</v>
      </c>
      <c r="L17" s="131">
        <f>SUM(L10:L16)</f>
        <v>37031197</v>
      </c>
      <c r="M17" s="4"/>
      <c r="N17" s="22">
        <f>SUM(N10:N16)</f>
        <v>3051926.5505499998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30813.49</v>
      </c>
      <c r="F18" s="230"/>
      <c r="G18" s="231"/>
      <c r="H18" s="230"/>
      <c r="I18" s="232"/>
      <c r="J18" s="31"/>
      <c r="K18" s="15"/>
      <c r="L18" s="183">
        <v>37031197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46043.71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6891.99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-2358142.9700000002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0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4699813.26</v>
      </c>
      <c r="F23" s="230"/>
      <c r="G23" s="231"/>
      <c r="H23" s="230"/>
      <c r="I23" s="232"/>
      <c r="J23" s="31"/>
      <c r="K23" s="25" t="s">
        <v>10</v>
      </c>
      <c r="L23" s="253">
        <f>+L10</f>
        <v>24086808</v>
      </c>
      <c r="M23" s="182">
        <v>0.22319</v>
      </c>
      <c r="N23" s="159">
        <f t="shared" ref="N23" si="1">L23*M23</f>
        <v>5375934.6775200004</v>
      </c>
      <c r="O23" s="25" t="s">
        <v>10</v>
      </c>
      <c r="P23" s="253">
        <f>+P10</f>
        <v>11983473</v>
      </c>
      <c r="Q23" s="182">
        <v>0.20177</v>
      </c>
      <c r="R23" s="251">
        <f>P23*Q23</f>
        <v>2417905.3472100003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-436050.4</v>
      </c>
      <c r="F24" s="230"/>
      <c r="G24" s="231"/>
      <c r="H24" s="230"/>
      <c r="I24" s="232"/>
      <c r="J24" s="31"/>
      <c r="K24" s="25" t="s">
        <v>42</v>
      </c>
      <c r="L24" s="253">
        <f t="shared" ref="L24:L28" si="2">+L11</f>
        <v>54910</v>
      </c>
      <c r="M24" s="182">
        <f>M23</f>
        <v>0.22319</v>
      </c>
      <c r="N24" s="159">
        <f>L24*M24</f>
        <v>12255.3629</v>
      </c>
      <c r="O24" s="25" t="s">
        <v>11</v>
      </c>
      <c r="P24" s="253">
        <f t="shared" ref="P24:P27" si="3">+P11</f>
        <v>3429612</v>
      </c>
      <c r="Q24" s="182">
        <v>0.20177</v>
      </c>
      <c r="R24" s="251">
        <f>P24*Q24</f>
        <v>691992.81324000005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-66333.66</v>
      </c>
      <c r="F25" s="230"/>
      <c r="G25" s="231"/>
      <c r="H25" s="230"/>
      <c r="I25" s="232"/>
      <c r="J25" s="31"/>
      <c r="K25" s="25" t="s">
        <v>11</v>
      </c>
      <c r="L25" s="253">
        <f t="shared" si="2"/>
        <v>8902067</v>
      </c>
      <c r="M25" s="182">
        <f t="shared" ref="M25:M28" si="4">M24</f>
        <v>0.22319</v>
      </c>
      <c r="N25" s="159">
        <f>L25*M25</f>
        <v>1986852.3337300001</v>
      </c>
      <c r="O25" s="25" t="s">
        <v>12</v>
      </c>
      <c r="P25" s="253">
        <f t="shared" si="3"/>
        <v>1204</v>
      </c>
      <c r="Q25" s="182">
        <v>0.20177</v>
      </c>
      <c r="R25" s="251">
        <f>P25*Q25</f>
        <v>242.93108000000001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-12587361.16</v>
      </c>
      <c r="F26" s="233"/>
      <c r="G26" s="231"/>
      <c r="H26" s="230"/>
      <c r="I26" s="232"/>
      <c r="J26" s="31"/>
      <c r="K26" s="25" t="s">
        <v>12</v>
      </c>
      <c r="L26" s="253">
        <f t="shared" si="2"/>
        <v>9823</v>
      </c>
      <c r="M26" s="182">
        <f t="shared" si="4"/>
        <v>0.22319</v>
      </c>
      <c r="N26" s="159">
        <f>L26*M26</f>
        <v>2192.3953700000002</v>
      </c>
      <c r="O26" s="25" t="s">
        <v>13</v>
      </c>
      <c r="P26" s="253">
        <f t="shared" si="3"/>
        <v>0</v>
      </c>
      <c r="Q26" s="182">
        <v>0.20177</v>
      </c>
      <c r="R26" s="251">
        <f>P26*Q26</f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7620236.5099999998</v>
      </c>
      <c r="F27" s="230"/>
      <c r="G27" s="231"/>
      <c r="H27" s="230"/>
      <c r="I27" s="232"/>
      <c r="J27" s="31"/>
      <c r="K27" s="25" t="s">
        <v>13</v>
      </c>
      <c r="L27" s="253">
        <f t="shared" si="2"/>
        <v>0</v>
      </c>
      <c r="M27" s="182">
        <f t="shared" si="4"/>
        <v>0.22319</v>
      </c>
      <c r="N27" s="159">
        <f>L27*M27</f>
        <v>0</v>
      </c>
      <c r="O27" s="25" t="s">
        <v>14</v>
      </c>
      <c r="P27" s="253">
        <f t="shared" si="3"/>
        <v>0</v>
      </c>
      <c r="Q27" s="182">
        <v>0.20177</v>
      </c>
      <c r="R27" s="251">
        <f>P27*Q27</f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-2299563.2999999998</v>
      </c>
      <c r="F28" s="230"/>
      <c r="G28" s="231"/>
      <c r="H28" s="230"/>
      <c r="I28" s="232"/>
      <c r="J28" s="31"/>
      <c r="K28" s="25" t="s">
        <v>14</v>
      </c>
      <c r="L28" s="253">
        <f t="shared" si="2"/>
        <v>163095</v>
      </c>
      <c r="M28" s="182">
        <f t="shared" si="4"/>
        <v>0.22319</v>
      </c>
      <c r="N28" s="159">
        <f>L28*M28</f>
        <v>36401.173049999998</v>
      </c>
      <c r="O28" s="24" t="s">
        <v>31</v>
      </c>
      <c r="P28" s="131">
        <f>SUM(P23:P27)</f>
        <v>15414289</v>
      </c>
      <c r="Q28" s="132"/>
      <c r="R28" s="22">
        <f>SUM(R23:R27)</f>
        <v>3110141.0915300003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33216703</v>
      </c>
      <c r="M29" s="132"/>
      <c r="N29" s="139">
        <f>SUM(N23:N28)</f>
        <v>7413635.9425700009</v>
      </c>
      <c r="O29" s="24"/>
      <c r="P29" s="183">
        <v>15414289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-78279</v>
      </c>
      <c r="F30" s="234"/>
      <c r="G30" s="235"/>
      <c r="H30" s="234"/>
      <c r="I30" s="236"/>
      <c r="J30" s="31"/>
      <c r="K30" s="15"/>
      <c r="L30" s="183">
        <v>33216703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34799.51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16977918.939999998</v>
      </c>
      <c r="F32" s="237"/>
      <c r="G32" s="211">
        <f>E32*G8</f>
        <v>11595918.636019999</v>
      </c>
      <c r="H32" s="128"/>
      <c r="I32" s="201">
        <f>E32*I8</f>
        <v>5382000.3039799985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222334.59</v>
      </c>
      <c r="F35" s="230"/>
      <c r="G35" s="211">
        <f>E35</f>
        <v>222334.59</v>
      </c>
      <c r="H35" s="128"/>
      <c r="I35" s="201"/>
      <c r="J35" s="31"/>
      <c r="K35" s="14" t="s">
        <v>112</v>
      </c>
      <c r="L35" s="129">
        <f>$F$39</f>
        <v>1637310.333807</v>
      </c>
      <c r="M35" s="129">
        <f>G39</f>
        <v>11818253.226019999</v>
      </c>
      <c r="N35" s="129">
        <f>$H$39</f>
        <v>758870.45619299996</v>
      </c>
      <c r="O35" s="129">
        <f>I39</f>
        <v>5486655.0239799982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104654.72</v>
      </c>
      <c r="F36" s="230"/>
      <c r="G36" s="211"/>
      <c r="H36" s="128"/>
      <c r="I36" s="201">
        <f>E36</f>
        <v>104654.72</v>
      </c>
      <c r="J36" s="31"/>
      <c r="K36" s="14" t="s">
        <v>115</v>
      </c>
      <c r="L36" s="184">
        <f>-$N$17</f>
        <v>-3051926.5505499998</v>
      </c>
      <c r="M36" s="184">
        <f>-N29</f>
        <v>-7413635.9425700009</v>
      </c>
      <c r="N36" s="184">
        <f>-$R$15</f>
        <v>-1418577.01667</v>
      </c>
      <c r="O36" s="184">
        <f>-R28</f>
        <v>-3110141.0915300003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17304908.249999996</v>
      </c>
      <c r="F37" s="212"/>
      <c r="G37" s="214"/>
      <c r="H37" s="212"/>
      <c r="I37" s="175"/>
      <c r="J37" s="31"/>
      <c r="K37" s="172" t="s">
        <v>113</v>
      </c>
      <c r="L37" s="134">
        <f t="shared" ref="L37:O37" si="5">SUM(L35:L36)</f>
        <v>-1414616.2167429999</v>
      </c>
      <c r="M37" s="134">
        <f>SUM(M35:M36)</f>
        <v>4404617.2834499981</v>
      </c>
      <c r="N37" s="134">
        <f t="shared" si="5"/>
        <v>-659706.56047700008</v>
      </c>
      <c r="O37" s="134">
        <f t="shared" si="5"/>
        <v>2376513.9324499979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19701089.039999995</v>
      </c>
      <c r="F39" s="225">
        <f>SUM(F14:F37)</f>
        <v>1637310.333807</v>
      </c>
      <c r="G39" s="226">
        <f t="shared" ref="G39:I39" si="6">SUM(G14:G37)</f>
        <v>11818253.226019999</v>
      </c>
      <c r="H39" s="225">
        <f t="shared" si="6"/>
        <v>758870.45619299996</v>
      </c>
      <c r="I39" s="181">
        <f t="shared" si="6"/>
        <v>5486655.0239799982</v>
      </c>
      <c r="J39" s="31"/>
      <c r="K39" s="190"/>
      <c r="L39" s="193" t="s">
        <v>36</v>
      </c>
      <c r="M39" s="191">
        <f>SUM(L37:M37)</f>
        <v>2990001.0667069983</v>
      </c>
      <c r="N39" s="194" t="s">
        <v>37</v>
      </c>
      <c r="O39" s="191">
        <f>SUM(N37:O37)</f>
        <v>1716807.3719729977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19701089.039999999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88" priority="27" operator="equal">
      <formula>"ERROR"</formula>
    </cfRule>
  </conditionalFormatting>
  <conditionalFormatting sqref="D43:D46">
    <cfRule type="cellIs" dxfId="187" priority="26" operator="equal">
      <formula>"ERROR"</formula>
    </cfRule>
  </conditionalFormatting>
  <conditionalFormatting sqref="P31">
    <cfRule type="cellIs" dxfId="186" priority="25" operator="notEqual">
      <formula>0</formula>
    </cfRule>
  </conditionalFormatting>
  <conditionalFormatting sqref="L19">
    <cfRule type="cellIs" dxfId="185" priority="23" stopIfTrue="1" operator="equal">
      <formula>0</formula>
    </cfRule>
    <cfRule type="cellIs" dxfId="184" priority="24" stopIfTrue="1" operator="notEqual">
      <formula>0</formula>
    </cfRule>
  </conditionalFormatting>
  <conditionalFormatting sqref="L19">
    <cfRule type="cellIs" dxfId="183" priority="21" stopIfTrue="1" operator="equal">
      <formula>0</formula>
    </cfRule>
    <cfRule type="cellIs" dxfId="182" priority="22" stopIfTrue="1" operator="notEqual">
      <formula>0</formula>
    </cfRule>
  </conditionalFormatting>
  <conditionalFormatting sqref="L31">
    <cfRule type="cellIs" dxfId="181" priority="19" stopIfTrue="1" operator="equal">
      <formula>0</formula>
    </cfRule>
    <cfRule type="cellIs" dxfId="180" priority="20" stopIfTrue="1" operator="notEqual">
      <formula>0</formula>
    </cfRule>
  </conditionalFormatting>
  <conditionalFormatting sqref="L31">
    <cfRule type="cellIs" dxfId="179" priority="17" stopIfTrue="1" operator="equal">
      <formula>0</formula>
    </cfRule>
    <cfRule type="cellIs" dxfId="178" priority="18" stopIfTrue="1" operator="notEqual">
      <formula>0</formula>
    </cfRule>
  </conditionalFormatting>
  <conditionalFormatting sqref="P17">
    <cfRule type="cellIs" dxfId="177" priority="15" stopIfTrue="1" operator="equal">
      <formula>0</formula>
    </cfRule>
    <cfRule type="cellIs" dxfId="176" priority="16" stopIfTrue="1" operator="notEqual">
      <formula>0</formula>
    </cfRule>
  </conditionalFormatting>
  <conditionalFormatting sqref="P17">
    <cfRule type="cellIs" dxfId="175" priority="13" stopIfTrue="1" operator="equal">
      <formula>0</formula>
    </cfRule>
    <cfRule type="cellIs" dxfId="174" priority="14" stopIfTrue="1" operator="notEqual">
      <formula>0</formula>
    </cfRule>
  </conditionalFormatting>
  <conditionalFormatting sqref="P30">
    <cfRule type="cellIs" dxfId="173" priority="11" stopIfTrue="1" operator="equal">
      <formula>0</formula>
    </cfRule>
    <cfRule type="cellIs" dxfId="172" priority="12" stopIfTrue="1" operator="notEqual">
      <formula>0</formula>
    </cfRule>
  </conditionalFormatting>
  <conditionalFormatting sqref="P30">
    <cfRule type="cellIs" dxfId="171" priority="9" stopIfTrue="1" operator="equal">
      <formula>0</formula>
    </cfRule>
    <cfRule type="cellIs" dxfId="170" priority="10" stopIfTrue="1" operator="notEqual">
      <formula>0</formula>
    </cfRule>
  </conditionalFormatting>
  <conditionalFormatting sqref="P35:P36">
    <cfRule type="cellIs" dxfId="169" priority="7" stopIfTrue="1" operator="equal">
      <formula>0</formula>
    </cfRule>
    <cfRule type="cellIs" dxfId="168" priority="8" stopIfTrue="1" operator="notEqual">
      <formula>0</formula>
    </cfRule>
  </conditionalFormatting>
  <conditionalFormatting sqref="P35:P36">
    <cfRule type="cellIs" dxfId="167" priority="5" stopIfTrue="1" operator="equal">
      <formula>0</formula>
    </cfRule>
    <cfRule type="cellIs" dxfId="166" priority="6" stopIfTrue="1" operator="notEqual">
      <formula>0</formula>
    </cfRule>
  </conditionalFormatting>
  <conditionalFormatting sqref="E42">
    <cfRule type="cellIs" dxfId="165" priority="3" stopIfTrue="1" operator="equal">
      <formula>0</formula>
    </cfRule>
    <cfRule type="cellIs" dxfId="164" priority="4" stopIfTrue="1" operator="notEqual">
      <formula>0</formula>
    </cfRule>
  </conditionalFormatting>
  <conditionalFormatting sqref="E42">
    <cfRule type="cellIs" dxfId="163" priority="1" stopIfTrue="1" operator="equal">
      <formula>0</formula>
    </cfRule>
    <cfRule type="cellIs" dxfId="162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2609D-A58F-4933-BCB6-0F12FFD1F293}">
  <sheetPr>
    <pageSetUpPr fitToPage="1"/>
  </sheetPr>
  <dimension ref="A1:T1396"/>
  <sheetViews>
    <sheetView zoomScale="60" zoomScaleNormal="60" workbookViewId="0">
      <selection activeCell="H43" sqref="H43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202202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0.67279999999999995</v>
      </c>
      <c r="H8" s="208">
        <v>0.31669999999999998</v>
      </c>
      <c r="I8" s="171">
        <f>1-G8</f>
        <v>0.32720000000000005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2286910.94</v>
      </c>
      <c r="F10" s="210"/>
      <c r="G10" s="211"/>
      <c r="H10" s="210"/>
      <c r="I10" s="201"/>
      <c r="J10" s="31"/>
      <c r="K10" s="25" t="s">
        <v>10</v>
      </c>
      <c r="L10" s="261">
        <v>19884076</v>
      </c>
      <c r="M10" s="182">
        <v>9.3729999999999994E-2</v>
      </c>
      <c r="N10" s="159">
        <f t="shared" ref="N10:N16" si="0">L10*M10</f>
        <v>1863734.4434799999</v>
      </c>
      <c r="O10" s="25" t="s">
        <v>10</v>
      </c>
      <c r="P10" s="261">
        <v>10247431</v>
      </c>
      <c r="Q10" s="182">
        <v>9.2030000000000001E-2</v>
      </c>
      <c r="R10" s="251">
        <f>P10*Q10</f>
        <v>943071.07493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34323.769999999997</v>
      </c>
      <c r="F11" s="210"/>
      <c r="G11" s="211"/>
      <c r="H11" s="210"/>
      <c r="I11" s="201"/>
      <c r="J11" s="31"/>
      <c r="K11" s="25" t="s">
        <v>42</v>
      </c>
      <c r="L11" s="261">
        <v>50305</v>
      </c>
      <c r="M11" s="182">
        <v>9.3729999999999994E-2</v>
      </c>
      <c r="N11" s="159">
        <f t="shared" si="0"/>
        <v>4715.0876499999995</v>
      </c>
      <c r="O11" s="25" t="s">
        <v>11</v>
      </c>
      <c r="P11" s="261">
        <v>3348762</v>
      </c>
      <c r="Q11" s="182">
        <f>Q10</f>
        <v>9.2030000000000001E-2</v>
      </c>
      <c r="R11" s="251">
        <f>P11*Q11</f>
        <v>308186.56686000002</v>
      </c>
    </row>
    <row r="12" spans="2:20" ht="15.6" customHeight="1" thickBot="1">
      <c r="B12" s="172" t="s">
        <v>104</v>
      </c>
      <c r="C12" s="6"/>
      <c r="D12" s="6"/>
      <c r="E12" s="220">
        <f>SUM(E10:E11)</f>
        <v>2321234.71</v>
      </c>
      <c r="F12" s="212"/>
      <c r="G12" s="213"/>
      <c r="H12" s="212"/>
      <c r="I12" s="202"/>
      <c r="J12" s="31"/>
      <c r="K12" s="25" t="s">
        <v>11</v>
      </c>
      <c r="L12" s="261">
        <v>7967454</v>
      </c>
      <c r="M12" s="182">
        <v>8.7319999999999995E-2</v>
      </c>
      <c r="N12" s="159">
        <f t="shared" si="0"/>
        <v>695718.0832799999</v>
      </c>
      <c r="O12" s="25" t="s">
        <v>12</v>
      </c>
      <c r="P12" s="261">
        <v>1265</v>
      </c>
      <c r="Q12" s="182">
        <f t="shared" ref="Q12:Q14" si="1">Q11</f>
        <v>9.2030000000000001E-2</v>
      </c>
      <c r="R12" s="251">
        <f>P12*Q12</f>
        <v>116.41795</v>
      </c>
    </row>
    <row r="13" spans="2:20" ht="15.6" customHeight="1" thickBot="1">
      <c r="B13" s="173" t="s">
        <v>25</v>
      </c>
      <c r="C13" s="1"/>
      <c r="D13" s="1"/>
      <c r="E13" s="221">
        <f>-E11</f>
        <v>-34323.769999999997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2286910.94</v>
      </c>
      <c r="F14" s="227">
        <f>E14*F8</f>
        <v>1562646.2453020001</v>
      </c>
      <c r="G14" s="228"/>
      <c r="H14" s="227">
        <f>E14*H8</f>
        <v>724264.69469799998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63053</v>
      </c>
      <c r="M15" s="182">
        <v>5.4429999999999999E-2</v>
      </c>
      <c r="N15" s="159">
        <f t="shared" si="0"/>
        <v>3431.9747899999998</v>
      </c>
      <c r="O15" s="24" t="s">
        <v>29</v>
      </c>
      <c r="P15" s="131">
        <f>SUM(P10:P14)</f>
        <v>13597458</v>
      </c>
      <c r="Q15" s="132"/>
      <c r="R15" s="22">
        <f>SUM(R10:R14)</f>
        <v>1251374.0597399999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3488836</v>
      </c>
      <c r="M16" s="182">
        <v>5.4000000000000001E-4</v>
      </c>
      <c r="N16" s="159">
        <f t="shared" si="0"/>
        <v>1883.97144</v>
      </c>
      <c r="O16" s="25"/>
      <c r="P16" s="183">
        <v>13597458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19862575.5</v>
      </c>
      <c r="F17" s="233"/>
      <c r="G17" s="231"/>
      <c r="H17" s="230"/>
      <c r="I17" s="232"/>
      <c r="J17" s="31"/>
      <c r="K17" s="24" t="s">
        <v>29</v>
      </c>
      <c r="L17" s="131">
        <f>SUM(L10:L16)</f>
        <v>31453724</v>
      </c>
      <c r="M17" s="4"/>
      <c r="N17" s="22">
        <f>SUM(N10:N16)</f>
        <v>2569483.5606399998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-36731.65</v>
      </c>
      <c r="F18" s="230"/>
      <c r="G18" s="231"/>
      <c r="H18" s="230"/>
      <c r="I18" s="232"/>
      <c r="J18" s="31"/>
      <c r="K18" s="15"/>
      <c r="L18" s="183">
        <v>31453724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42516.67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11232.89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-1760781.75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228976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3762567.37</v>
      </c>
      <c r="F23" s="230"/>
      <c r="G23" s="231"/>
      <c r="H23" s="230"/>
      <c r="I23" s="232"/>
      <c r="J23" s="31"/>
      <c r="K23" s="25" t="s">
        <v>10</v>
      </c>
      <c r="L23" s="253">
        <f>+L10</f>
        <v>19884076</v>
      </c>
      <c r="M23" s="182">
        <v>0.22319</v>
      </c>
      <c r="N23" s="159">
        <f t="shared" ref="N23" si="2">L23*M23</f>
        <v>4437926.9224399999</v>
      </c>
      <c r="O23" s="25" t="s">
        <v>10</v>
      </c>
      <c r="P23" s="253">
        <f>+P10</f>
        <v>10247431</v>
      </c>
      <c r="Q23" s="182" t="s">
        <v>141</v>
      </c>
      <c r="R23" s="262">
        <v>2825515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-149963.94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50305</v>
      </c>
      <c r="M24" s="182">
        <f>M23</f>
        <v>0.22319</v>
      </c>
      <c r="N24" s="159">
        <f>L24*M24</f>
        <v>11227.57295</v>
      </c>
      <c r="O24" s="25" t="s">
        <v>11</v>
      </c>
      <c r="P24" s="253">
        <f t="shared" ref="P24:P27" si="4">+P11</f>
        <v>3348762</v>
      </c>
      <c r="Q24" s="182" t="s">
        <v>141</v>
      </c>
      <c r="R24" s="262">
        <v>896077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-80788.67</v>
      </c>
      <c r="F25" s="230"/>
      <c r="G25" s="231"/>
      <c r="H25" s="230"/>
      <c r="I25" s="232"/>
      <c r="J25" s="31"/>
      <c r="K25" s="25" t="s">
        <v>11</v>
      </c>
      <c r="L25" s="253">
        <f t="shared" si="3"/>
        <v>7967454</v>
      </c>
      <c r="M25" s="182">
        <f t="shared" ref="M25:M28" si="5">M24</f>
        <v>0.22319</v>
      </c>
      <c r="N25" s="159">
        <f>L25*M25</f>
        <v>1778256.0582600001</v>
      </c>
      <c r="O25" s="25" t="s">
        <v>12</v>
      </c>
      <c r="P25" s="253">
        <f t="shared" si="4"/>
        <v>1265</v>
      </c>
      <c r="Q25" s="182" t="s">
        <v>141</v>
      </c>
      <c r="R25" s="262">
        <v>309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-6051592.4400000004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 t="s">
        <v>141</v>
      </c>
      <c r="R26" s="262"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1024206.75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 t="s">
        <v>141</v>
      </c>
      <c r="R27" s="262"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-2423999.16</v>
      </c>
      <c r="F28" s="230"/>
      <c r="G28" s="231"/>
      <c r="H28" s="230"/>
      <c r="I28" s="232"/>
      <c r="J28" s="31"/>
      <c r="K28" s="25" t="s">
        <v>14</v>
      </c>
      <c r="L28" s="253">
        <f t="shared" si="3"/>
        <v>63053</v>
      </c>
      <c r="M28" s="182">
        <f t="shared" si="5"/>
        <v>0.22319</v>
      </c>
      <c r="N28" s="159">
        <f>L28*M28</f>
        <v>14072.799069999999</v>
      </c>
      <c r="O28" s="24" t="s">
        <v>31</v>
      </c>
      <c r="P28" s="131">
        <f>SUM(P23:P27)</f>
        <v>13597458</v>
      </c>
      <c r="Q28" s="132"/>
      <c r="R28" s="22">
        <f>SUM(R23:R27)</f>
        <v>3721901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27964888</v>
      </c>
      <c r="M29" s="132"/>
      <c r="N29" s="139">
        <f>SUM(N23:N28)</f>
        <v>6241483.3527199998</v>
      </c>
      <c r="O29" s="24"/>
      <c r="P29" s="183">
        <v>13597458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27964888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34323.769999999997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13993791.34</v>
      </c>
      <c r="F32" s="237"/>
      <c r="G32" s="211">
        <f>E32*G8</f>
        <v>9415022.8135519996</v>
      </c>
      <c r="H32" s="128"/>
      <c r="I32" s="201">
        <f>E32*I8</f>
        <v>4578768.5264480002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-219320.62</v>
      </c>
      <c r="F35" s="230"/>
      <c r="G35" s="211">
        <f>E35</f>
        <v>-219320.62</v>
      </c>
      <c r="H35" s="128"/>
      <c r="I35" s="201"/>
      <c r="J35" s="31"/>
      <c r="K35" s="14" t="s">
        <v>112</v>
      </c>
      <c r="L35" s="129">
        <f>$F$39</f>
        <v>1562646.2453020001</v>
      </c>
      <c r="M35" s="129">
        <f>G39</f>
        <v>9195702.1935520004</v>
      </c>
      <c r="N35" s="129">
        <f>$H$39</f>
        <v>724264.69469799998</v>
      </c>
      <c r="O35" s="129">
        <f>I39</f>
        <v>4475279.9664480006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-103488.56</v>
      </c>
      <c r="F36" s="230"/>
      <c r="G36" s="211"/>
      <c r="H36" s="128"/>
      <c r="I36" s="201">
        <f>E36</f>
        <v>-103488.56</v>
      </c>
      <c r="J36" s="31"/>
      <c r="K36" s="14" t="s">
        <v>115</v>
      </c>
      <c r="L36" s="184">
        <f>-$N$17</f>
        <v>-2569483.5606399998</v>
      </c>
      <c r="M36" s="184">
        <f>-N29</f>
        <v>-6241483.3527199998</v>
      </c>
      <c r="N36" s="184">
        <f>-$R$15</f>
        <v>-1251374.0597399999</v>
      </c>
      <c r="O36" s="184">
        <f>-R28</f>
        <v>-3721901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13670982.16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-1006837.3153379997</v>
      </c>
      <c r="M37" s="134">
        <f>SUM(M35:M36)</f>
        <v>2954218.8408320006</v>
      </c>
      <c r="N37" s="134">
        <f t="shared" si="6"/>
        <v>-527109.36504199996</v>
      </c>
      <c r="O37" s="134">
        <f t="shared" si="6"/>
        <v>753378.96644800063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15957893.1</v>
      </c>
      <c r="F39" s="225">
        <f>SUM(F14:F37)</f>
        <v>1562646.2453020001</v>
      </c>
      <c r="G39" s="226">
        <f t="shared" ref="G39:I39" si="7">SUM(G14:G37)</f>
        <v>9195702.1935520004</v>
      </c>
      <c r="H39" s="225">
        <f t="shared" si="7"/>
        <v>724264.69469799998</v>
      </c>
      <c r="I39" s="181">
        <f t="shared" si="7"/>
        <v>4475279.9664480006</v>
      </c>
      <c r="J39" s="31"/>
      <c r="K39" s="190"/>
      <c r="L39" s="193" t="s">
        <v>36</v>
      </c>
      <c r="M39" s="191">
        <f>SUM(L37:M37)</f>
        <v>1947381.5254940009</v>
      </c>
      <c r="N39" s="194" t="s">
        <v>37</v>
      </c>
      <c r="O39" s="191">
        <f>SUM(N37:O37)</f>
        <v>226269.60140600067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15957893.1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Amort'!H36:H45)+SUM(#REF!)+SUM(#REF!)+'191010 WA DEF'!#REF!-0.01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61" priority="27" operator="equal">
      <formula>"ERROR"</formula>
    </cfRule>
  </conditionalFormatting>
  <conditionalFormatting sqref="D43:D46">
    <cfRule type="cellIs" dxfId="160" priority="26" operator="equal">
      <formula>"ERROR"</formula>
    </cfRule>
  </conditionalFormatting>
  <conditionalFormatting sqref="P31">
    <cfRule type="cellIs" dxfId="159" priority="25" operator="notEqual">
      <formula>0</formula>
    </cfRule>
  </conditionalFormatting>
  <conditionalFormatting sqref="L19">
    <cfRule type="cellIs" dxfId="158" priority="23" stopIfTrue="1" operator="equal">
      <formula>0</formula>
    </cfRule>
    <cfRule type="cellIs" dxfId="157" priority="24" stopIfTrue="1" operator="notEqual">
      <formula>0</formula>
    </cfRule>
  </conditionalFormatting>
  <conditionalFormatting sqref="L19">
    <cfRule type="cellIs" dxfId="156" priority="21" stopIfTrue="1" operator="equal">
      <formula>0</formula>
    </cfRule>
    <cfRule type="cellIs" dxfId="155" priority="22" stopIfTrue="1" operator="notEqual">
      <formula>0</formula>
    </cfRule>
  </conditionalFormatting>
  <conditionalFormatting sqref="L31">
    <cfRule type="cellIs" dxfId="154" priority="19" stopIfTrue="1" operator="equal">
      <formula>0</formula>
    </cfRule>
    <cfRule type="cellIs" dxfId="153" priority="20" stopIfTrue="1" operator="notEqual">
      <formula>0</formula>
    </cfRule>
  </conditionalFormatting>
  <conditionalFormatting sqref="L31">
    <cfRule type="cellIs" dxfId="152" priority="17" stopIfTrue="1" operator="equal">
      <formula>0</formula>
    </cfRule>
    <cfRule type="cellIs" dxfId="151" priority="18" stopIfTrue="1" operator="notEqual">
      <formula>0</formula>
    </cfRule>
  </conditionalFormatting>
  <conditionalFormatting sqref="P17">
    <cfRule type="cellIs" dxfId="150" priority="15" stopIfTrue="1" operator="equal">
      <formula>0</formula>
    </cfRule>
    <cfRule type="cellIs" dxfId="149" priority="16" stopIfTrue="1" operator="notEqual">
      <formula>0</formula>
    </cfRule>
  </conditionalFormatting>
  <conditionalFormatting sqref="P17">
    <cfRule type="cellIs" dxfId="148" priority="13" stopIfTrue="1" operator="equal">
      <formula>0</formula>
    </cfRule>
    <cfRule type="cellIs" dxfId="147" priority="14" stopIfTrue="1" operator="notEqual">
      <formula>0</formula>
    </cfRule>
  </conditionalFormatting>
  <conditionalFormatting sqref="P30">
    <cfRule type="cellIs" dxfId="146" priority="11" stopIfTrue="1" operator="equal">
      <formula>0</formula>
    </cfRule>
    <cfRule type="cellIs" dxfId="145" priority="12" stopIfTrue="1" operator="notEqual">
      <formula>0</formula>
    </cfRule>
  </conditionalFormatting>
  <conditionalFormatting sqref="P30">
    <cfRule type="cellIs" dxfId="144" priority="9" stopIfTrue="1" operator="equal">
      <formula>0</formula>
    </cfRule>
    <cfRule type="cellIs" dxfId="143" priority="10" stopIfTrue="1" operator="notEqual">
      <formula>0</formula>
    </cfRule>
  </conditionalFormatting>
  <conditionalFormatting sqref="P35:P36">
    <cfRule type="cellIs" dxfId="142" priority="7" stopIfTrue="1" operator="equal">
      <formula>0</formula>
    </cfRule>
    <cfRule type="cellIs" dxfId="141" priority="8" stopIfTrue="1" operator="notEqual">
      <formula>0</formula>
    </cfRule>
  </conditionalFormatting>
  <conditionalFormatting sqref="P35:P36">
    <cfRule type="cellIs" dxfId="140" priority="5" stopIfTrue="1" operator="equal">
      <formula>0</formula>
    </cfRule>
    <cfRule type="cellIs" dxfId="139" priority="6" stopIfTrue="1" operator="notEqual">
      <formula>0</formula>
    </cfRule>
  </conditionalFormatting>
  <conditionalFormatting sqref="E42">
    <cfRule type="cellIs" dxfId="138" priority="3" stopIfTrue="1" operator="equal">
      <formula>0</formula>
    </cfRule>
    <cfRule type="cellIs" dxfId="137" priority="4" stopIfTrue="1" operator="notEqual">
      <formula>0</formula>
    </cfRule>
  </conditionalFormatting>
  <conditionalFormatting sqref="E42">
    <cfRule type="cellIs" dxfId="136" priority="1" stopIfTrue="1" operator="equal">
      <formula>0</formula>
    </cfRule>
    <cfRule type="cellIs" dxfId="135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04DA0-4F71-4068-AEAC-ED90FFA6448F}">
  <sheetPr>
    <pageSetUpPr fitToPage="1"/>
  </sheetPr>
  <dimension ref="A1:T1396"/>
  <sheetViews>
    <sheetView topLeftCell="A4" zoomScale="60" zoomScaleNormal="60" workbookViewId="0">
      <selection activeCell="Q23" sqref="Q23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202203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0.6764</v>
      </c>
      <c r="H8" s="208">
        <v>0.31669999999999998</v>
      </c>
      <c r="I8" s="171">
        <f>1-G8</f>
        <v>0.3236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2420983.7999999998</v>
      </c>
      <c r="F10" s="210"/>
      <c r="G10" s="211"/>
      <c r="H10" s="210"/>
      <c r="I10" s="201"/>
      <c r="J10" s="31"/>
      <c r="K10" s="25" t="s">
        <v>10</v>
      </c>
      <c r="L10" s="261">
        <v>14466885</v>
      </c>
      <c r="M10" s="182">
        <v>9.3729999999999994E-2</v>
      </c>
      <c r="N10" s="159">
        <f t="shared" ref="N10:N16" si="0">L10*M10</f>
        <v>1355981.13105</v>
      </c>
      <c r="O10" s="25" t="s">
        <v>10</v>
      </c>
      <c r="P10" s="261">
        <v>7426725</v>
      </c>
      <c r="Q10" s="182">
        <v>9.2030000000000001E-2</v>
      </c>
      <c r="R10" s="251">
        <f>P10*Q10</f>
        <v>683481.50175000005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27647.7</v>
      </c>
      <c r="F11" s="210"/>
      <c r="G11" s="211"/>
      <c r="H11" s="210"/>
      <c r="I11" s="201"/>
      <c r="J11" s="31"/>
      <c r="K11" s="25" t="s">
        <v>42</v>
      </c>
      <c r="L11" s="261">
        <v>38681</v>
      </c>
      <c r="M11" s="182">
        <v>9.3729999999999994E-2</v>
      </c>
      <c r="N11" s="159">
        <f t="shared" si="0"/>
        <v>3625.5701299999996</v>
      </c>
      <c r="O11" s="25" t="s">
        <v>11</v>
      </c>
      <c r="P11" s="261">
        <v>2721000</v>
      </c>
      <c r="Q11" s="182">
        <f>Q10</f>
        <v>9.2030000000000001E-2</v>
      </c>
      <c r="R11" s="251">
        <f>P11*Q11</f>
        <v>250413.63</v>
      </c>
    </row>
    <row r="12" spans="2:20" ht="15.6" customHeight="1" thickBot="1">
      <c r="B12" s="172" t="s">
        <v>104</v>
      </c>
      <c r="C12" s="6"/>
      <c r="D12" s="6"/>
      <c r="E12" s="220">
        <f>SUM(E10:E11)</f>
        <v>2448631.5</v>
      </c>
      <c r="F12" s="212"/>
      <c r="G12" s="213"/>
      <c r="H12" s="212"/>
      <c r="I12" s="202"/>
      <c r="J12" s="31"/>
      <c r="K12" s="25" t="s">
        <v>11</v>
      </c>
      <c r="L12" s="261">
        <v>6530840</v>
      </c>
      <c r="M12" s="182">
        <v>8.7319999999999995E-2</v>
      </c>
      <c r="N12" s="159">
        <f t="shared" si="0"/>
        <v>570272.94880000001</v>
      </c>
      <c r="O12" s="25" t="s">
        <v>12</v>
      </c>
      <c r="P12" s="261">
        <v>993</v>
      </c>
      <c r="Q12" s="182">
        <f t="shared" ref="Q12:Q14" si="1">Q11</f>
        <v>9.2030000000000001E-2</v>
      </c>
      <c r="R12" s="251">
        <f>P12*Q12</f>
        <v>91.38579</v>
      </c>
    </row>
    <row r="13" spans="2:20" ht="15.6" customHeight="1" thickBot="1">
      <c r="B13" s="173" t="s">
        <v>25</v>
      </c>
      <c r="C13" s="1"/>
      <c r="D13" s="1"/>
      <c r="E13" s="221">
        <f>-E11</f>
        <v>-27647.7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2420983.7999999998</v>
      </c>
      <c r="F14" s="227">
        <f>E14*F8</f>
        <v>1654258.2305399999</v>
      </c>
      <c r="G14" s="228"/>
      <c r="H14" s="227">
        <f>E14*H8</f>
        <v>766725.56945999991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181468</v>
      </c>
      <c r="M15" s="182">
        <v>5.4429999999999999E-2</v>
      </c>
      <c r="N15" s="159">
        <f t="shared" si="0"/>
        <v>9877.3032399999993</v>
      </c>
      <c r="O15" s="24" t="s">
        <v>29</v>
      </c>
      <c r="P15" s="131">
        <f>SUM(P10:P14)</f>
        <v>10148718</v>
      </c>
      <c r="Q15" s="132"/>
      <c r="R15" s="22">
        <f>SUM(R10:R14)</f>
        <v>933986.51754000003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3141024</v>
      </c>
      <c r="M16" s="182">
        <v>5.4000000000000001E-4</v>
      </c>
      <c r="N16" s="159">
        <f t="shared" si="0"/>
        <v>1696.1529600000001</v>
      </c>
      <c r="O16" s="25"/>
      <c r="P16" s="183">
        <v>10148718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16886840.010000002</v>
      </c>
      <c r="F17" s="233"/>
      <c r="G17" s="231"/>
      <c r="H17" s="230"/>
      <c r="I17" s="232"/>
      <c r="J17" s="31"/>
      <c r="K17" s="24" t="s">
        <v>29</v>
      </c>
      <c r="L17" s="131">
        <f>SUM(L10:L16)</f>
        <v>24358898</v>
      </c>
      <c r="M17" s="4"/>
      <c r="N17" s="22">
        <f>SUM(N10:N16)</f>
        <v>1941453.1061799999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-91123.92</v>
      </c>
      <c r="F18" s="230"/>
      <c r="G18" s="231"/>
      <c r="H18" s="230"/>
      <c r="I18" s="232"/>
      <c r="J18" s="31"/>
      <c r="K18" s="15"/>
      <c r="L18" s="183">
        <v>24358898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42771.25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13081.68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-1911522.05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13880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3888298.53</v>
      </c>
      <c r="F23" s="230"/>
      <c r="G23" s="231"/>
      <c r="H23" s="230"/>
      <c r="I23" s="232"/>
      <c r="J23" s="31"/>
      <c r="K23" s="25" t="s">
        <v>10</v>
      </c>
      <c r="L23" s="253">
        <f>+L10</f>
        <v>14466885</v>
      </c>
      <c r="M23" s="182">
        <v>0.22319</v>
      </c>
      <c r="N23" s="159">
        <f t="shared" ref="N23" si="2">L23*M23</f>
        <v>3228864.0631499998</v>
      </c>
      <c r="O23" s="25" t="s">
        <v>10</v>
      </c>
      <c r="P23" s="253">
        <f>+P10</f>
        <v>7426725</v>
      </c>
      <c r="Q23" s="182" t="s">
        <v>141</v>
      </c>
      <c r="R23" s="262">
        <v>1960801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-180790.98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38681</v>
      </c>
      <c r="M24" s="182">
        <f>M23</f>
        <v>0.22319</v>
      </c>
      <c r="N24" s="159">
        <f>L24*M24</f>
        <v>8633.2123900000006</v>
      </c>
      <c r="O24" s="25" t="s">
        <v>11</v>
      </c>
      <c r="P24" s="253">
        <f t="shared" ref="P24:P27" si="4">+P11</f>
        <v>2721000</v>
      </c>
      <c r="Q24" s="182" t="s">
        <v>141</v>
      </c>
      <c r="R24" s="262">
        <v>717331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-80470.38</v>
      </c>
      <c r="F25" s="230"/>
      <c r="G25" s="231"/>
      <c r="H25" s="230"/>
      <c r="I25" s="232"/>
      <c r="J25" s="31"/>
      <c r="K25" s="25" t="s">
        <v>11</v>
      </c>
      <c r="L25" s="253">
        <f t="shared" si="3"/>
        <v>6530840</v>
      </c>
      <c r="M25" s="182">
        <f t="shared" ref="M25:M28" si="5">M24</f>
        <v>0.22319</v>
      </c>
      <c r="N25" s="159">
        <f>L25*M25</f>
        <v>1457618.1795999999</v>
      </c>
      <c r="O25" s="25" t="s">
        <v>12</v>
      </c>
      <c r="P25" s="253">
        <f t="shared" si="4"/>
        <v>993</v>
      </c>
      <c r="Q25" s="182" t="s">
        <v>141</v>
      </c>
      <c r="R25" s="262">
        <v>262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-5692416.2000000002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 t="s">
        <v>141</v>
      </c>
      <c r="R26" s="262"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709549.32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 t="s">
        <v>141</v>
      </c>
      <c r="R27" s="262"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-4501148.4400000004</v>
      </c>
      <c r="F28" s="230"/>
      <c r="G28" s="231"/>
      <c r="H28" s="230"/>
      <c r="I28" s="232"/>
      <c r="J28" s="31"/>
      <c r="K28" s="25" t="s">
        <v>14</v>
      </c>
      <c r="L28" s="253">
        <f t="shared" si="3"/>
        <v>181468</v>
      </c>
      <c r="M28" s="182">
        <f t="shared" si="5"/>
        <v>0.22319</v>
      </c>
      <c r="N28" s="159">
        <f>L28*M28</f>
        <v>40501.842920000003</v>
      </c>
      <c r="O28" s="24" t="s">
        <v>31</v>
      </c>
      <c r="P28" s="131">
        <f>SUM(P23:P27)</f>
        <v>10148718</v>
      </c>
      <c r="Q28" s="132"/>
      <c r="R28" s="22">
        <f>SUM(R23:R27)</f>
        <v>2678394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21217874</v>
      </c>
      <c r="M29" s="132"/>
      <c r="N29" s="139">
        <f>SUM(N23:N28)</f>
        <v>4735617.2980599999</v>
      </c>
      <c r="O29" s="24"/>
      <c r="P29" s="183">
        <v>10148718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21217874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27647.7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8655846.5199999996</v>
      </c>
      <c r="F32" s="237"/>
      <c r="G32" s="211">
        <f>E32*G8</f>
        <v>5854814.5861280002</v>
      </c>
      <c r="H32" s="128"/>
      <c r="I32" s="201">
        <f>E32*I8</f>
        <v>2801031.9338719998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278268.24</v>
      </c>
      <c r="F35" s="230"/>
      <c r="G35" s="211">
        <f>E35</f>
        <v>278268.24</v>
      </c>
      <c r="H35" s="128"/>
      <c r="I35" s="201"/>
      <c r="J35" s="31"/>
      <c r="K35" s="14" t="s">
        <v>112</v>
      </c>
      <c r="L35" s="129">
        <f>$F$39</f>
        <v>1654258.2305399999</v>
      </c>
      <c r="M35" s="129">
        <f>G39</f>
        <v>6133082.8261280004</v>
      </c>
      <c r="N35" s="129">
        <f>$H$39</f>
        <v>766725.56945999991</v>
      </c>
      <c r="O35" s="129">
        <f>I39</f>
        <v>2934269.7338719997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133237.79999999999</v>
      </c>
      <c r="F36" s="230"/>
      <c r="G36" s="211"/>
      <c r="H36" s="128"/>
      <c r="I36" s="201">
        <f>E36</f>
        <v>133237.79999999999</v>
      </c>
      <c r="J36" s="31"/>
      <c r="K36" s="14" t="s">
        <v>115</v>
      </c>
      <c r="L36" s="184">
        <f>-$N$17</f>
        <v>-1941453.1061799999</v>
      </c>
      <c r="M36" s="184">
        <f>-N29</f>
        <v>-4735617.2980599999</v>
      </c>
      <c r="N36" s="184">
        <f>-$R$15</f>
        <v>-933986.51754000003</v>
      </c>
      <c r="O36" s="184">
        <f>-R28</f>
        <v>-2678394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9067352.5600000005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-287194.87563999998</v>
      </c>
      <c r="M37" s="134">
        <f>SUM(M35:M36)</f>
        <v>1397465.5280680005</v>
      </c>
      <c r="N37" s="134">
        <f t="shared" si="6"/>
        <v>-167260.94808000012</v>
      </c>
      <c r="O37" s="134">
        <f t="shared" si="6"/>
        <v>255875.73387199966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11488336.359999999</v>
      </c>
      <c r="F39" s="225">
        <f>SUM(F14:F37)</f>
        <v>1654258.2305399999</v>
      </c>
      <c r="G39" s="226">
        <f t="shared" ref="G39:I39" si="7">SUM(G14:G37)</f>
        <v>6133082.8261280004</v>
      </c>
      <c r="H39" s="225">
        <f t="shared" si="7"/>
        <v>766725.56945999991</v>
      </c>
      <c r="I39" s="181">
        <f t="shared" si="7"/>
        <v>2934269.7338719997</v>
      </c>
      <c r="J39" s="31"/>
      <c r="K39" s="190"/>
      <c r="L39" s="193" t="s">
        <v>36</v>
      </c>
      <c r="M39" s="191">
        <f>SUM(L37:M37)</f>
        <v>1110270.6524280005</v>
      </c>
      <c r="N39" s="194" t="s">
        <v>37</v>
      </c>
      <c r="O39" s="191">
        <f>SUM(N37:O37)</f>
        <v>88614.785791999544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11488336.359999999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34" priority="27" operator="equal">
      <formula>"ERROR"</formula>
    </cfRule>
  </conditionalFormatting>
  <conditionalFormatting sqref="D43:D46">
    <cfRule type="cellIs" dxfId="133" priority="26" operator="equal">
      <formula>"ERROR"</formula>
    </cfRule>
  </conditionalFormatting>
  <conditionalFormatting sqref="P31">
    <cfRule type="cellIs" dxfId="132" priority="25" operator="notEqual">
      <formula>0</formula>
    </cfRule>
  </conditionalFormatting>
  <conditionalFormatting sqref="L19">
    <cfRule type="cellIs" dxfId="131" priority="23" stopIfTrue="1" operator="equal">
      <formula>0</formula>
    </cfRule>
    <cfRule type="cellIs" dxfId="130" priority="24" stopIfTrue="1" operator="notEqual">
      <formula>0</formula>
    </cfRule>
  </conditionalFormatting>
  <conditionalFormatting sqref="L19">
    <cfRule type="cellIs" dxfId="129" priority="21" stopIfTrue="1" operator="equal">
      <formula>0</formula>
    </cfRule>
    <cfRule type="cellIs" dxfId="128" priority="22" stopIfTrue="1" operator="notEqual">
      <formula>0</formula>
    </cfRule>
  </conditionalFormatting>
  <conditionalFormatting sqref="L31">
    <cfRule type="cellIs" dxfId="127" priority="19" stopIfTrue="1" operator="equal">
      <formula>0</formula>
    </cfRule>
    <cfRule type="cellIs" dxfId="126" priority="20" stopIfTrue="1" operator="notEqual">
      <formula>0</formula>
    </cfRule>
  </conditionalFormatting>
  <conditionalFormatting sqref="L31">
    <cfRule type="cellIs" dxfId="125" priority="17" stopIfTrue="1" operator="equal">
      <formula>0</formula>
    </cfRule>
    <cfRule type="cellIs" dxfId="124" priority="18" stopIfTrue="1" operator="notEqual">
      <formula>0</formula>
    </cfRule>
  </conditionalFormatting>
  <conditionalFormatting sqref="P17">
    <cfRule type="cellIs" dxfId="123" priority="15" stopIfTrue="1" operator="equal">
      <formula>0</formula>
    </cfRule>
    <cfRule type="cellIs" dxfId="122" priority="16" stopIfTrue="1" operator="notEqual">
      <formula>0</formula>
    </cfRule>
  </conditionalFormatting>
  <conditionalFormatting sqref="P17">
    <cfRule type="cellIs" dxfId="121" priority="13" stopIfTrue="1" operator="equal">
      <formula>0</formula>
    </cfRule>
    <cfRule type="cellIs" dxfId="120" priority="14" stopIfTrue="1" operator="notEqual">
      <formula>0</formula>
    </cfRule>
  </conditionalFormatting>
  <conditionalFormatting sqref="P30">
    <cfRule type="cellIs" dxfId="119" priority="11" stopIfTrue="1" operator="equal">
      <formula>0</formula>
    </cfRule>
    <cfRule type="cellIs" dxfId="118" priority="12" stopIfTrue="1" operator="notEqual">
      <formula>0</formula>
    </cfRule>
  </conditionalFormatting>
  <conditionalFormatting sqref="P30">
    <cfRule type="cellIs" dxfId="117" priority="9" stopIfTrue="1" operator="equal">
      <formula>0</formula>
    </cfRule>
    <cfRule type="cellIs" dxfId="116" priority="10" stopIfTrue="1" operator="notEqual">
      <formula>0</formula>
    </cfRule>
  </conditionalFormatting>
  <conditionalFormatting sqref="P35:P36">
    <cfRule type="cellIs" dxfId="115" priority="7" stopIfTrue="1" operator="equal">
      <formula>0</formula>
    </cfRule>
    <cfRule type="cellIs" dxfId="114" priority="8" stopIfTrue="1" operator="notEqual">
      <formula>0</formula>
    </cfRule>
  </conditionalFormatting>
  <conditionalFormatting sqref="P35:P36">
    <cfRule type="cellIs" dxfId="113" priority="5" stopIfTrue="1" operator="equal">
      <formula>0</formula>
    </cfRule>
    <cfRule type="cellIs" dxfId="112" priority="6" stopIfTrue="1" operator="notEqual">
      <formula>0</formula>
    </cfRule>
  </conditionalFormatting>
  <conditionalFormatting sqref="E42">
    <cfRule type="cellIs" dxfId="111" priority="3" stopIfTrue="1" operator="equal">
      <formula>0</formula>
    </cfRule>
    <cfRule type="cellIs" dxfId="110" priority="4" stopIfTrue="1" operator="notEqual">
      <formula>0</formula>
    </cfRule>
  </conditionalFormatting>
  <conditionalFormatting sqref="E42">
    <cfRule type="cellIs" dxfId="109" priority="1" stopIfTrue="1" operator="equal">
      <formula>0</formula>
    </cfRule>
    <cfRule type="cellIs" dxfId="108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4315-4032-4AED-9176-AF0B0FA48C37}">
  <sheetPr>
    <pageSetUpPr fitToPage="1"/>
  </sheetPr>
  <dimension ref="A1:T1396"/>
  <sheetViews>
    <sheetView topLeftCell="A7" zoomScale="60" zoomScaleNormal="60" workbookViewId="0">
      <selection activeCell="G23" sqref="G23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202204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0.66410000000000002</v>
      </c>
      <c r="H8" s="208">
        <v>0.31669999999999998</v>
      </c>
      <c r="I8" s="171">
        <f>1-G8</f>
        <v>0.33589999999999998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2304928.98</v>
      </c>
      <c r="F10" s="210"/>
      <c r="G10" s="211"/>
      <c r="H10" s="210"/>
      <c r="I10" s="201"/>
      <c r="J10" s="31"/>
      <c r="K10" s="25" t="s">
        <v>10</v>
      </c>
      <c r="L10" s="261">
        <v>12130478</v>
      </c>
      <c r="M10" s="182">
        <v>9.3729999999999994E-2</v>
      </c>
      <c r="N10" s="159">
        <f t="shared" ref="N10:N16" si="0">L10*M10</f>
        <v>1136989.70294</v>
      </c>
      <c r="O10" s="25" t="s">
        <v>10</v>
      </c>
      <c r="P10" s="261">
        <v>6663215</v>
      </c>
      <c r="Q10" s="182">
        <v>9.2030000000000001E-2</v>
      </c>
      <c r="R10" s="251">
        <f>P10*Q10</f>
        <v>613215.67645000003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22029.59</v>
      </c>
      <c r="F11" s="210"/>
      <c r="G11" s="211"/>
      <c r="H11" s="210"/>
      <c r="I11" s="201"/>
      <c r="J11" s="31"/>
      <c r="K11" s="25" t="s">
        <v>42</v>
      </c>
      <c r="L11" s="261">
        <v>33753</v>
      </c>
      <c r="M11" s="182">
        <v>9.3729999999999994E-2</v>
      </c>
      <c r="N11" s="159">
        <f t="shared" si="0"/>
        <v>3163.66869</v>
      </c>
      <c r="O11" s="25" t="s">
        <v>11</v>
      </c>
      <c r="P11" s="261">
        <v>2320122</v>
      </c>
      <c r="Q11" s="182">
        <f>Q10</f>
        <v>9.2030000000000001E-2</v>
      </c>
      <c r="R11" s="251">
        <f>P11*Q11</f>
        <v>213520.82766000001</v>
      </c>
    </row>
    <row r="12" spans="2:20" ht="15.6" customHeight="1" thickBot="1">
      <c r="B12" s="172" t="s">
        <v>104</v>
      </c>
      <c r="C12" s="6"/>
      <c r="D12" s="6"/>
      <c r="E12" s="220">
        <f>SUM(E10:E11)</f>
        <v>2326958.5699999998</v>
      </c>
      <c r="F12" s="212"/>
      <c r="G12" s="213"/>
      <c r="H12" s="212"/>
      <c r="I12" s="202"/>
      <c r="J12" s="31"/>
      <c r="K12" s="25" t="s">
        <v>11</v>
      </c>
      <c r="L12" s="261">
        <v>5534897</v>
      </c>
      <c r="M12" s="182">
        <v>8.7319999999999995E-2</v>
      </c>
      <c r="N12" s="159">
        <f t="shared" si="0"/>
        <v>483307.20603999996</v>
      </c>
      <c r="O12" s="25" t="s">
        <v>12</v>
      </c>
      <c r="P12" s="261">
        <v>15477</v>
      </c>
      <c r="Q12" s="182">
        <f t="shared" ref="Q12:Q14" si="1">Q11</f>
        <v>9.2030000000000001E-2</v>
      </c>
      <c r="R12" s="251">
        <f>P12*Q12</f>
        <v>1424.3483100000001</v>
      </c>
    </row>
    <row r="13" spans="2:20" ht="15.6" customHeight="1" thickBot="1">
      <c r="B13" s="173" t="s">
        <v>25</v>
      </c>
      <c r="C13" s="1"/>
      <c r="D13" s="1"/>
      <c r="E13" s="221">
        <f>-E11</f>
        <v>-22029.59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2304928.98</v>
      </c>
      <c r="F14" s="227">
        <f>E14*F8</f>
        <v>1574957.9720340001</v>
      </c>
      <c r="G14" s="228"/>
      <c r="H14" s="227">
        <f>E14*H8</f>
        <v>729971.007966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95076</v>
      </c>
      <c r="M15" s="182">
        <v>5.4429999999999999E-2</v>
      </c>
      <c r="N15" s="159">
        <f t="shared" si="0"/>
        <v>5174.98668</v>
      </c>
      <c r="O15" s="24" t="s">
        <v>29</v>
      </c>
      <c r="P15" s="131">
        <f>SUM(P10:P14)</f>
        <v>8998814</v>
      </c>
      <c r="Q15" s="132"/>
      <c r="R15" s="22">
        <f>SUM(R10:R14)</f>
        <v>828160.85242000013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3059464</v>
      </c>
      <c r="M16" s="182">
        <v>5.4000000000000001E-4</v>
      </c>
      <c r="N16" s="159">
        <f t="shared" si="0"/>
        <v>1652.1105600000001</v>
      </c>
      <c r="O16" s="25"/>
      <c r="P16" s="183">
        <v>8998814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22269587.510000002</v>
      </c>
      <c r="F17" s="233"/>
      <c r="G17" s="231"/>
      <c r="H17" s="230"/>
      <c r="I17" s="232"/>
      <c r="J17" s="31"/>
      <c r="K17" s="24" t="s">
        <v>29</v>
      </c>
      <c r="L17" s="131">
        <f>SUM(L10:L16)</f>
        <v>20853668</v>
      </c>
      <c r="M17" s="4"/>
      <c r="N17" s="22">
        <f>SUM(N10:N16)</f>
        <v>1630287.6749100001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289137.73</v>
      </c>
      <c r="F18" s="230"/>
      <c r="G18" s="231"/>
      <c r="H18" s="230"/>
      <c r="I18" s="232"/>
      <c r="J18" s="31"/>
      <c r="K18" s="15"/>
      <c r="L18" s="183">
        <v>20853668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43637.02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11568.29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-1791751.49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75301.58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1636142.75</v>
      </c>
      <c r="F23" s="230"/>
      <c r="G23" s="231"/>
      <c r="H23" s="230"/>
      <c r="I23" s="232"/>
      <c r="J23" s="31"/>
      <c r="K23" s="25" t="s">
        <v>10</v>
      </c>
      <c r="L23" s="253">
        <f>+L10</f>
        <v>12130478</v>
      </c>
      <c r="M23" s="182">
        <v>0.22319</v>
      </c>
      <c r="N23" s="159">
        <f t="shared" ref="N23" si="2">L23*M23</f>
        <v>2707401.3848199998</v>
      </c>
      <c r="O23" s="25" t="s">
        <v>10</v>
      </c>
      <c r="P23" s="253">
        <f>+P10</f>
        <v>6663215</v>
      </c>
      <c r="Q23" s="182">
        <v>0.26384000000000002</v>
      </c>
      <c r="R23" s="251">
        <f>P23*Q23</f>
        <v>1758022.6456000002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-1082087.8999999999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33753</v>
      </c>
      <c r="M24" s="182">
        <f>M23</f>
        <v>0.22319</v>
      </c>
      <c r="N24" s="159">
        <f>L24*M24</f>
        <v>7533.3320700000004</v>
      </c>
      <c r="O24" s="25" t="s">
        <v>11</v>
      </c>
      <c r="P24" s="253">
        <f t="shared" ref="P24:P27" si="4">+P11</f>
        <v>2320122</v>
      </c>
      <c r="Q24" s="182">
        <v>0.26384000000000002</v>
      </c>
      <c r="R24" s="251">
        <f>P24*Q24</f>
        <v>612140.98848000006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-117973.66</v>
      </c>
      <c r="F25" s="230"/>
      <c r="G25" s="231"/>
      <c r="H25" s="230"/>
      <c r="I25" s="232"/>
      <c r="J25" s="31"/>
      <c r="K25" s="25" t="s">
        <v>11</v>
      </c>
      <c r="L25" s="253">
        <f t="shared" si="3"/>
        <v>5534897</v>
      </c>
      <c r="M25" s="182">
        <f t="shared" ref="M25:M28" si="5">M24</f>
        <v>0.22319</v>
      </c>
      <c r="N25" s="159">
        <f>L25*M25</f>
        <v>1235333.6614300001</v>
      </c>
      <c r="O25" s="25" t="s">
        <v>12</v>
      </c>
      <c r="P25" s="253">
        <f t="shared" si="4"/>
        <v>15477</v>
      </c>
      <c r="Q25" s="182">
        <v>0.26384000000000002</v>
      </c>
      <c r="R25" s="251">
        <f>P25*Q25</f>
        <v>4083.4516800000001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-5293891.46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>
        <v>0.26384000000000002</v>
      </c>
      <c r="R26" s="251">
        <f>P26*Q26</f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340807.5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>
        <v>0.26384000000000002</v>
      </c>
      <c r="R27" s="251">
        <f>P27*Q27</f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-3313401.82</v>
      </c>
      <c r="F28" s="230"/>
      <c r="G28" s="231"/>
      <c r="H28" s="230"/>
      <c r="I28" s="232"/>
      <c r="J28" s="31"/>
      <c r="K28" s="25" t="s">
        <v>14</v>
      </c>
      <c r="L28" s="253">
        <f t="shared" si="3"/>
        <v>95076</v>
      </c>
      <c r="M28" s="182">
        <f t="shared" si="5"/>
        <v>0.22319</v>
      </c>
      <c r="N28" s="159">
        <f>L28*M28</f>
        <v>21220.012439999999</v>
      </c>
      <c r="O28" s="24" t="s">
        <v>31</v>
      </c>
      <c r="P28" s="131">
        <f>SUM(P23:P27)</f>
        <v>8998814</v>
      </c>
      <c r="Q28" s="132"/>
      <c r="R28" s="22">
        <f>SUM(R23:R27)</f>
        <v>2374247.0857600002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17794204</v>
      </c>
      <c r="M29" s="132"/>
      <c r="N29" s="139">
        <f>SUM(N23:N28)</f>
        <v>3971488.3907600003</v>
      </c>
      <c r="O29" s="24"/>
      <c r="P29" s="183">
        <v>8998814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17794204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22029.59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12620355.640000001</v>
      </c>
      <c r="F32" s="237"/>
      <c r="G32" s="211">
        <f>E32*G8</f>
        <v>8381178.1805240009</v>
      </c>
      <c r="H32" s="128"/>
      <c r="I32" s="201">
        <f>E32*I8</f>
        <v>4239177.4594759997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-487535.14</v>
      </c>
      <c r="F35" s="230"/>
      <c r="G35" s="211">
        <f>E35</f>
        <v>-487535.14</v>
      </c>
      <c r="H35" s="128"/>
      <c r="I35" s="201"/>
      <c r="J35" s="31"/>
      <c r="K35" s="14" t="s">
        <v>112</v>
      </c>
      <c r="L35" s="129">
        <f>$F$39</f>
        <v>1574957.9720340001</v>
      </c>
      <c r="M35" s="129">
        <f>G39</f>
        <v>7893643.0405240012</v>
      </c>
      <c r="N35" s="129">
        <f>$H$39</f>
        <v>729971.007966</v>
      </c>
      <c r="O35" s="129">
        <f>I39</f>
        <v>4000407.8194759996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-238769.64</v>
      </c>
      <c r="F36" s="230"/>
      <c r="G36" s="211"/>
      <c r="H36" s="128"/>
      <c r="I36" s="201">
        <f>E36</f>
        <v>-238769.64</v>
      </c>
      <c r="J36" s="31"/>
      <c r="K36" s="14" t="s">
        <v>115</v>
      </c>
      <c r="L36" s="184">
        <f>-$N$17</f>
        <v>-1630287.6749100001</v>
      </c>
      <c r="M36" s="184">
        <f>-N29</f>
        <v>-3971488.3907600003</v>
      </c>
      <c r="N36" s="184">
        <f>-$R$15</f>
        <v>-828160.85242000013</v>
      </c>
      <c r="O36" s="184">
        <f>-R28</f>
        <v>-2374247.0857600002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11894050.859999999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-55329.702875999967</v>
      </c>
      <c r="M37" s="134">
        <f>SUM(M35:M36)</f>
        <v>3922154.6497640009</v>
      </c>
      <c r="N37" s="134">
        <f t="shared" si="6"/>
        <v>-98189.844454000122</v>
      </c>
      <c r="O37" s="134">
        <f t="shared" si="6"/>
        <v>1626160.7337159994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14198979.84</v>
      </c>
      <c r="F39" s="225">
        <f>SUM(F14:F37)</f>
        <v>1574957.9720340001</v>
      </c>
      <c r="G39" s="226">
        <f t="shared" ref="G39:I39" si="7">SUM(G14:G37)</f>
        <v>7893643.0405240012</v>
      </c>
      <c r="H39" s="225">
        <f t="shared" si="7"/>
        <v>729971.007966</v>
      </c>
      <c r="I39" s="181">
        <f t="shared" si="7"/>
        <v>4000407.8194759996</v>
      </c>
      <c r="J39" s="31"/>
      <c r="K39" s="190"/>
      <c r="L39" s="193" t="s">
        <v>36</v>
      </c>
      <c r="M39" s="191">
        <f>SUM(L37:M37)</f>
        <v>3866824.9468880007</v>
      </c>
      <c r="N39" s="194" t="s">
        <v>37</v>
      </c>
      <c r="O39" s="191">
        <f>SUM(N37:O37)</f>
        <v>1527970.8892619992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14198979.84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07" priority="27" operator="equal">
      <formula>"ERROR"</formula>
    </cfRule>
  </conditionalFormatting>
  <conditionalFormatting sqref="D43:D46">
    <cfRule type="cellIs" dxfId="106" priority="26" operator="equal">
      <formula>"ERROR"</formula>
    </cfRule>
  </conditionalFormatting>
  <conditionalFormatting sqref="P31">
    <cfRule type="cellIs" dxfId="105" priority="25" operator="notEqual">
      <formula>0</formula>
    </cfRule>
  </conditionalFormatting>
  <conditionalFormatting sqref="L19">
    <cfRule type="cellIs" dxfId="104" priority="23" stopIfTrue="1" operator="equal">
      <formula>0</formula>
    </cfRule>
    <cfRule type="cellIs" dxfId="103" priority="24" stopIfTrue="1" operator="notEqual">
      <formula>0</formula>
    </cfRule>
  </conditionalFormatting>
  <conditionalFormatting sqref="L19">
    <cfRule type="cellIs" dxfId="102" priority="21" stopIfTrue="1" operator="equal">
      <formula>0</formula>
    </cfRule>
    <cfRule type="cellIs" dxfId="101" priority="22" stopIfTrue="1" operator="notEqual">
      <formula>0</formula>
    </cfRule>
  </conditionalFormatting>
  <conditionalFormatting sqref="L31">
    <cfRule type="cellIs" dxfId="100" priority="19" stopIfTrue="1" operator="equal">
      <formula>0</formula>
    </cfRule>
    <cfRule type="cellIs" dxfId="99" priority="20" stopIfTrue="1" operator="notEqual">
      <formula>0</formula>
    </cfRule>
  </conditionalFormatting>
  <conditionalFormatting sqref="L31">
    <cfRule type="cellIs" dxfId="98" priority="17" stopIfTrue="1" operator="equal">
      <formula>0</formula>
    </cfRule>
    <cfRule type="cellIs" dxfId="97" priority="18" stopIfTrue="1" operator="notEqual">
      <formula>0</formula>
    </cfRule>
  </conditionalFormatting>
  <conditionalFormatting sqref="P17">
    <cfRule type="cellIs" dxfId="96" priority="15" stopIfTrue="1" operator="equal">
      <formula>0</formula>
    </cfRule>
    <cfRule type="cellIs" dxfId="95" priority="16" stopIfTrue="1" operator="notEqual">
      <formula>0</formula>
    </cfRule>
  </conditionalFormatting>
  <conditionalFormatting sqref="P17">
    <cfRule type="cellIs" dxfId="94" priority="13" stopIfTrue="1" operator="equal">
      <formula>0</formula>
    </cfRule>
    <cfRule type="cellIs" dxfId="93" priority="14" stopIfTrue="1" operator="notEqual">
      <formula>0</formula>
    </cfRule>
  </conditionalFormatting>
  <conditionalFormatting sqref="P30">
    <cfRule type="cellIs" dxfId="92" priority="11" stopIfTrue="1" operator="equal">
      <formula>0</formula>
    </cfRule>
    <cfRule type="cellIs" dxfId="91" priority="12" stopIfTrue="1" operator="notEqual">
      <formula>0</formula>
    </cfRule>
  </conditionalFormatting>
  <conditionalFormatting sqref="P30">
    <cfRule type="cellIs" dxfId="90" priority="9" stopIfTrue="1" operator="equal">
      <formula>0</formula>
    </cfRule>
    <cfRule type="cellIs" dxfId="89" priority="10" stopIfTrue="1" operator="notEqual">
      <formula>0</formula>
    </cfRule>
  </conditionalFormatting>
  <conditionalFormatting sqref="P35:P36">
    <cfRule type="cellIs" dxfId="88" priority="7" stopIfTrue="1" operator="equal">
      <formula>0</formula>
    </cfRule>
    <cfRule type="cellIs" dxfId="87" priority="8" stopIfTrue="1" operator="notEqual">
      <formula>0</formula>
    </cfRule>
  </conditionalFormatting>
  <conditionalFormatting sqref="P35:P36">
    <cfRule type="cellIs" dxfId="86" priority="5" stopIfTrue="1" operator="equal">
      <formula>0</formula>
    </cfRule>
    <cfRule type="cellIs" dxfId="85" priority="6" stopIfTrue="1" operator="notEqual">
      <formula>0</formula>
    </cfRule>
  </conditionalFormatting>
  <conditionalFormatting sqref="E42">
    <cfRule type="cellIs" dxfId="84" priority="3" stopIfTrue="1" operator="equal">
      <formula>0</formula>
    </cfRule>
    <cfRule type="cellIs" dxfId="83" priority="4" stopIfTrue="1" operator="notEqual">
      <formula>0</formula>
    </cfRule>
  </conditionalFormatting>
  <conditionalFormatting sqref="E42">
    <cfRule type="cellIs" dxfId="82" priority="1" stopIfTrue="1" operator="equal">
      <formula>0</formula>
    </cfRule>
    <cfRule type="cellIs" dxfId="81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5D177-B545-40FD-AB51-5D947F8957B2}">
  <sheetPr>
    <pageSetUpPr fitToPage="1"/>
  </sheetPr>
  <dimension ref="A1:T1396"/>
  <sheetViews>
    <sheetView topLeftCell="A16" zoomScale="70" zoomScaleNormal="70" workbookViewId="0">
      <selection activeCell="E48" sqref="E48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202205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0.66249999999999998</v>
      </c>
      <c r="H8" s="208">
        <v>0.31669999999999998</v>
      </c>
      <c r="I8" s="171">
        <f>1-G8</f>
        <v>0.33750000000000002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2358473.85</v>
      </c>
      <c r="F10" s="210"/>
      <c r="G10" s="211"/>
      <c r="H10" s="210"/>
      <c r="I10" s="201"/>
      <c r="J10" s="31"/>
      <c r="K10" s="25" t="s">
        <v>10</v>
      </c>
      <c r="L10" s="261">
        <v>7528936</v>
      </c>
      <c r="M10" s="182">
        <v>9.3729999999999994E-2</v>
      </c>
      <c r="N10" s="159">
        <f t="shared" ref="N10:N16" si="0">L10*M10</f>
        <v>705687.17128000001</v>
      </c>
      <c r="O10" s="25" t="s">
        <v>10</v>
      </c>
      <c r="P10" s="261">
        <v>4002566</v>
      </c>
      <c r="Q10" s="182">
        <v>9.2030000000000001E-2</v>
      </c>
      <c r="R10" s="251">
        <f>P10*Q10</f>
        <v>368356.14898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23372.799999999999</v>
      </c>
      <c r="F11" s="210"/>
      <c r="G11" s="211"/>
      <c r="H11" s="210"/>
      <c r="I11" s="201"/>
      <c r="J11" s="31"/>
      <c r="K11" s="25" t="s">
        <v>42</v>
      </c>
      <c r="L11" s="261">
        <v>22516</v>
      </c>
      <c r="M11" s="182">
        <v>9.3729999999999994E-2</v>
      </c>
      <c r="N11" s="159">
        <f t="shared" si="0"/>
        <v>2110.4246800000001</v>
      </c>
      <c r="O11" s="25" t="s">
        <v>11</v>
      </c>
      <c r="P11" s="261">
        <v>1773056</v>
      </c>
      <c r="Q11" s="182">
        <f>Q10</f>
        <v>9.2030000000000001E-2</v>
      </c>
      <c r="R11" s="251">
        <f>P11*Q11</f>
        <v>163174.34367999999</v>
      </c>
    </row>
    <row r="12" spans="2:20" ht="15.6" customHeight="1" thickBot="1">
      <c r="B12" s="172" t="s">
        <v>104</v>
      </c>
      <c r="C12" s="6"/>
      <c r="D12" s="6"/>
      <c r="E12" s="220">
        <f>SUM(E10:E11)</f>
        <v>2381846.65</v>
      </c>
      <c r="F12" s="212"/>
      <c r="G12" s="213"/>
      <c r="H12" s="212"/>
      <c r="I12" s="202"/>
      <c r="J12" s="31"/>
      <c r="K12" s="25" t="s">
        <v>11</v>
      </c>
      <c r="L12" s="261">
        <v>3861543</v>
      </c>
      <c r="M12" s="182">
        <v>8.7319999999999995E-2</v>
      </c>
      <c r="N12" s="159">
        <f t="shared" si="0"/>
        <v>337189.93475999997</v>
      </c>
      <c r="O12" s="25" t="s">
        <v>12</v>
      </c>
      <c r="P12" s="261">
        <v>84209</v>
      </c>
      <c r="Q12" s="182">
        <f t="shared" ref="Q12:Q14" si="1">Q11</f>
        <v>9.2030000000000001E-2</v>
      </c>
      <c r="R12" s="251">
        <f>P12*Q12</f>
        <v>7749.7542700000004</v>
      </c>
    </row>
    <row r="13" spans="2:20" ht="15.6" customHeight="1" thickBot="1">
      <c r="B13" s="173" t="s">
        <v>25</v>
      </c>
      <c r="C13" s="1"/>
      <c r="D13" s="1"/>
      <c r="E13" s="221">
        <f>-E11</f>
        <v>-23372.799999999999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2358473.85</v>
      </c>
      <c r="F14" s="227">
        <f>E14*F8</f>
        <v>1611545.1817050001</v>
      </c>
      <c r="G14" s="228"/>
      <c r="H14" s="227">
        <f>E14*H8</f>
        <v>746928.66829499998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88225</v>
      </c>
      <c r="M15" s="182">
        <v>5.4429999999999999E-2</v>
      </c>
      <c r="N15" s="159">
        <f t="shared" si="0"/>
        <v>4802.0867499999995</v>
      </c>
      <c r="O15" s="24" t="s">
        <v>29</v>
      </c>
      <c r="P15" s="131">
        <f>SUM(P10:P14)</f>
        <v>5859831</v>
      </c>
      <c r="Q15" s="132"/>
      <c r="R15" s="22">
        <f>SUM(R10:R14)</f>
        <v>539280.24693000002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2848454</v>
      </c>
      <c r="M16" s="182">
        <v>5.4000000000000001E-4</v>
      </c>
      <c r="N16" s="159">
        <f t="shared" si="0"/>
        <v>1538.16516</v>
      </c>
      <c r="O16" s="25"/>
      <c r="P16" s="183">
        <v>5859831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24605282.289999999</v>
      </c>
      <c r="F17" s="233"/>
      <c r="G17" s="231"/>
      <c r="H17" s="230"/>
      <c r="I17" s="232"/>
      <c r="J17" s="31"/>
      <c r="K17" s="24" t="s">
        <v>29</v>
      </c>
      <c r="L17" s="131">
        <f>SUM(L10:L16)</f>
        <v>14349674</v>
      </c>
      <c r="M17" s="4"/>
      <c r="N17" s="22">
        <f>SUM(N10:N16)</f>
        <v>1051327.78263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-338052.1</v>
      </c>
      <c r="F18" s="230"/>
      <c r="G18" s="231"/>
      <c r="H18" s="230"/>
      <c r="I18" s="232"/>
      <c r="J18" s="31"/>
      <c r="K18" s="15"/>
      <c r="L18" s="183">
        <v>14349674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53547.45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15196.65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-2553044.14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1408993.33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19339.34</v>
      </c>
      <c r="F23" s="230"/>
      <c r="G23" s="231"/>
      <c r="H23" s="230"/>
      <c r="I23" s="232"/>
      <c r="J23" s="31"/>
      <c r="K23" s="25" t="s">
        <v>10</v>
      </c>
      <c r="L23" s="253">
        <f>+L10</f>
        <v>7528936</v>
      </c>
      <c r="M23" s="182">
        <v>0.22319</v>
      </c>
      <c r="N23" s="159">
        <f t="shared" ref="N23" si="2">L23*M23</f>
        <v>1680383.22584</v>
      </c>
      <c r="O23" s="25" t="s">
        <v>10</v>
      </c>
      <c r="P23" s="253">
        <f>+P10</f>
        <v>4002566</v>
      </c>
      <c r="Q23" s="182">
        <v>0.26384000000000002</v>
      </c>
      <c r="R23" s="251">
        <f>P23*Q23</f>
        <v>1056037.0134400001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-9102589.4100000001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22516</v>
      </c>
      <c r="M24" s="182">
        <f>M23</f>
        <v>0.22319</v>
      </c>
      <c r="N24" s="159">
        <f>L24*M24</f>
        <v>5025.3460400000004</v>
      </c>
      <c r="O24" s="25" t="s">
        <v>11</v>
      </c>
      <c r="P24" s="253">
        <f t="shared" ref="P24:P27" si="4">+P11</f>
        <v>1773056</v>
      </c>
      <c r="Q24" s="182">
        <v>0.26384000000000002</v>
      </c>
      <c r="R24" s="251">
        <f>P24*Q24</f>
        <v>467803.09504000004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-75360.25</v>
      </c>
      <c r="F25" s="230"/>
      <c r="G25" s="231"/>
      <c r="H25" s="230"/>
      <c r="I25" s="232"/>
      <c r="J25" s="31"/>
      <c r="K25" s="25" t="s">
        <v>11</v>
      </c>
      <c r="L25" s="253">
        <f t="shared" si="3"/>
        <v>3861543</v>
      </c>
      <c r="M25" s="182">
        <f t="shared" ref="M25:M28" si="5">M24</f>
        <v>0.22319</v>
      </c>
      <c r="N25" s="159">
        <f>L25*M25</f>
        <v>861857.78217000002</v>
      </c>
      <c r="O25" s="25" t="s">
        <v>12</v>
      </c>
      <c r="P25" s="253">
        <f t="shared" si="4"/>
        <v>84209</v>
      </c>
      <c r="Q25" s="182">
        <v>0.26384000000000002</v>
      </c>
      <c r="R25" s="251">
        <f>P25*Q25</f>
        <v>22217.702560000002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-3062334.55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>
        <v>0.26384000000000002</v>
      </c>
      <c r="R26" s="251">
        <f>P26*Q26</f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486610.87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>
        <v>0.26384000000000002</v>
      </c>
      <c r="R27" s="251">
        <f>P27*Q27</f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-4136328.48</v>
      </c>
      <c r="F28" s="230"/>
      <c r="G28" s="231"/>
      <c r="H28" s="230"/>
      <c r="I28" s="232"/>
      <c r="J28" s="31"/>
      <c r="K28" s="25" t="s">
        <v>14</v>
      </c>
      <c r="L28" s="253">
        <f t="shared" si="3"/>
        <v>88225</v>
      </c>
      <c r="M28" s="182">
        <f t="shared" si="5"/>
        <v>0.22319</v>
      </c>
      <c r="N28" s="159">
        <f>L28*M28</f>
        <v>19690.937750000001</v>
      </c>
      <c r="O28" s="24" t="s">
        <v>31</v>
      </c>
      <c r="P28" s="131">
        <f>SUM(P23:P27)</f>
        <v>5859831</v>
      </c>
      <c r="Q28" s="132"/>
      <c r="R28" s="22">
        <f>SUM(R23:R27)</f>
        <v>1546057.8110400001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11501220</v>
      </c>
      <c r="M29" s="132"/>
      <c r="N29" s="139">
        <f>SUM(N23:N28)</f>
        <v>2566957.2918000002</v>
      </c>
      <c r="O29" s="24"/>
      <c r="P29" s="183">
        <v>5859831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11501220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23372.799999999999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6875883.7999999942</v>
      </c>
      <c r="F32" s="237"/>
      <c r="G32" s="211">
        <f>E32*G8</f>
        <v>4555273.0174999963</v>
      </c>
      <c r="H32" s="128"/>
      <c r="I32" s="201">
        <f>E32*I8</f>
        <v>2320610.7824999983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316601.59000000003</v>
      </c>
      <c r="F35" s="230"/>
      <c r="G35" s="211">
        <f>E35</f>
        <v>316601.59000000003</v>
      </c>
      <c r="H35" s="128"/>
      <c r="I35" s="201"/>
      <c r="J35" s="31"/>
      <c r="K35" s="14" t="s">
        <v>112</v>
      </c>
      <c r="L35" s="129">
        <f>$F$39</f>
        <v>1611545.1817050001</v>
      </c>
      <c r="M35" s="129">
        <f>G39</f>
        <v>4871874.6074999962</v>
      </c>
      <c r="N35" s="129">
        <f>$H$39</f>
        <v>746928.66829499998</v>
      </c>
      <c r="O35" s="129">
        <f>I39</f>
        <v>2478542.7724999981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157931.99</v>
      </c>
      <c r="F36" s="230"/>
      <c r="G36" s="211"/>
      <c r="H36" s="128"/>
      <c r="I36" s="201">
        <f>E36</f>
        <v>157931.99</v>
      </c>
      <c r="J36" s="31"/>
      <c r="K36" s="14" t="s">
        <v>115</v>
      </c>
      <c r="L36" s="184">
        <f>-$N$17</f>
        <v>-1051327.78263</v>
      </c>
      <c r="M36" s="184">
        <f>-N29</f>
        <v>-2566957.2918000002</v>
      </c>
      <c r="N36" s="184">
        <f>-$R$15</f>
        <v>-539280.24693000002</v>
      </c>
      <c r="O36" s="184">
        <f>-R28</f>
        <v>-1546057.8110400001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7350417.3799999943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560217.39907500008</v>
      </c>
      <c r="M37" s="134">
        <f>SUM(M35:M36)</f>
        <v>2304917.315699996</v>
      </c>
      <c r="N37" s="134">
        <f t="shared" si="6"/>
        <v>207648.42136499996</v>
      </c>
      <c r="O37" s="134">
        <f t="shared" si="6"/>
        <v>932484.96145999804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9708891.2299999949</v>
      </c>
      <c r="F39" s="225">
        <f>SUM(F14:F37)</f>
        <v>1611545.1817050001</v>
      </c>
      <c r="G39" s="226">
        <f t="shared" ref="G39:I39" si="7">SUM(G14:G37)</f>
        <v>4871874.6074999962</v>
      </c>
      <c r="H39" s="225">
        <f t="shared" si="7"/>
        <v>746928.66829499998</v>
      </c>
      <c r="I39" s="181">
        <f t="shared" si="7"/>
        <v>2478542.7724999981</v>
      </c>
      <c r="J39" s="31"/>
      <c r="K39" s="190"/>
      <c r="L39" s="193" t="s">
        <v>36</v>
      </c>
      <c r="M39" s="191">
        <f>SUM(L37:M37)</f>
        <v>2865134.714774996</v>
      </c>
      <c r="N39" s="194" t="s">
        <v>37</v>
      </c>
      <c r="O39" s="191">
        <f>SUM(N37:O37)</f>
        <v>1140133.3828249979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9708891.2300000004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80" priority="27" operator="equal">
      <formula>"ERROR"</formula>
    </cfRule>
  </conditionalFormatting>
  <conditionalFormatting sqref="D43:D46">
    <cfRule type="cellIs" dxfId="79" priority="26" operator="equal">
      <formula>"ERROR"</formula>
    </cfRule>
  </conditionalFormatting>
  <conditionalFormatting sqref="P31">
    <cfRule type="cellIs" dxfId="78" priority="25" operator="notEqual">
      <formula>0</formula>
    </cfRule>
  </conditionalFormatting>
  <conditionalFormatting sqref="L19">
    <cfRule type="cellIs" dxfId="77" priority="23" stopIfTrue="1" operator="equal">
      <formula>0</formula>
    </cfRule>
    <cfRule type="cellIs" dxfId="76" priority="24" stopIfTrue="1" operator="notEqual">
      <formula>0</formula>
    </cfRule>
  </conditionalFormatting>
  <conditionalFormatting sqref="L19">
    <cfRule type="cellIs" dxfId="75" priority="21" stopIfTrue="1" operator="equal">
      <formula>0</formula>
    </cfRule>
    <cfRule type="cellIs" dxfId="74" priority="22" stopIfTrue="1" operator="notEqual">
      <formula>0</formula>
    </cfRule>
  </conditionalFormatting>
  <conditionalFormatting sqref="L31">
    <cfRule type="cellIs" dxfId="73" priority="19" stopIfTrue="1" operator="equal">
      <formula>0</formula>
    </cfRule>
    <cfRule type="cellIs" dxfId="72" priority="20" stopIfTrue="1" operator="notEqual">
      <formula>0</formula>
    </cfRule>
  </conditionalFormatting>
  <conditionalFormatting sqref="L31">
    <cfRule type="cellIs" dxfId="71" priority="17" stopIfTrue="1" operator="equal">
      <formula>0</formula>
    </cfRule>
    <cfRule type="cellIs" dxfId="70" priority="18" stopIfTrue="1" operator="notEqual">
      <formula>0</formula>
    </cfRule>
  </conditionalFormatting>
  <conditionalFormatting sqref="P17">
    <cfRule type="cellIs" dxfId="69" priority="15" stopIfTrue="1" operator="equal">
      <formula>0</formula>
    </cfRule>
    <cfRule type="cellIs" dxfId="68" priority="16" stopIfTrue="1" operator="notEqual">
      <formula>0</formula>
    </cfRule>
  </conditionalFormatting>
  <conditionalFormatting sqref="P17">
    <cfRule type="cellIs" dxfId="67" priority="13" stopIfTrue="1" operator="equal">
      <formula>0</formula>
    </cfRule>
    <cfRule type="cellIs" dxfId="66" priority="14" stopIfTrue="1" operator="notEqual">
      <formula>0</formula>
    </cfRule>
  </conditionalFormatting>
  <conditionalFormatting sqref="P30">
    <cfRule type="cellIs" dxfId="65" priority="11" stopIfTrue="1" operator="equal">
      <formula>0</formula>
    </cfRule>
    <cfRule type="cellIs" dxfId="64" priority="12" stopIfTrue="1" operator="notEqual">
      <formula>0</formula>
    </cfRule>
  </conditionalFormatting>
  <conditionalFormatting sqref="P30">
    <cfRule type="cellIs" dxfId="63" priority="9" stopIfTrue="1" operator="equal">
      <formula>0</formula>
    </cfRule>
    <cfRule type="cellIs" dxfId="62" priority="10" stopIfTrue="1" operator="notEqual">
      <formula>0</formula>
    </cfRule>
  </conditionalFormatting>
  <conditionalFormatting sqref="P35:P36">
    <cfRule type="cellIs" dxfId="61" priority="7" stopIfTrue="1" operator="equal">
      <formula>0</formula>
    </cfRule>
    <cfRule type="cellIs" dxfId="60" priority="8" stopIfTrue="1" operator="notEqual">
      <formula>0</formula>
    </cfRule>
  </conditionalFormatting>
  <conditionalFormatting sqref="P35:P36">
    <cfRule type="cellIs" dxfId="59" priority="5" stopIfTrue="1" operator="equal">
      <formula>0</formula>
    </cfRule>
    <cfRule type="cellIs" dxfId="58" priority="6" stopIfTrue="1" operator="notEqual">
      <formula>0</formula>
    </cfRule>
  </conditionalFormatting>
  <conditionalFormatting sqref="E42">
    <cfRule type="cellIs" dxfId="57" priority="3" stopIfTrue="1" operator="equal">
      <formula>0</formula>
    </cfRule>
    <cfRule type="cellIs" dxfId="56" priority="4" stopIfTrue="1" operator="notEqual">
      <formula>0</formula>
    </cfRule>
  </conditionalFormatting>
  <conditionalFormatting sqref="E42">
    <cfRule type="cellIs" dxfId="55" priority="1" stopIfTrue="1" operator="equal">
      <formula>0</formula>
    </cfRule>
    <cfRule type="cellIs" dxfId="54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6F172-A8F1-48F1-A9DF-70C3FD5CFF5F}">
  <sheetPr>
    <pageSetUpPr fitToPage="1"/>
  </sheetPr>
  <dimension ref="A1:T1396"/>
  <sheetViews>
    <sheetView topLeftCell="A7" zoomScale="60" zoomScaleNormal="60" workbookViewId="0">
      <selection activeCell="G27" sqref="G27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202206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0.65900000000000003</v>
      </c>
      <c r="H8" s="208">
        <v>0.31669999999999998</v>
      </c>
      <c r="I8" s="171">
        <f>1-G8</f>
        <v>0.34099999999999997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2249962.0699999998</v>
      </c>
      <c r="F10" s="210"/>
      <c r="G10" s="211"/>
      <c r="H10" s="210"/>
      <c r="I10" s="201"/>
      <c r="J10" s="31"/>
      <c r="K10" s="25" t="s">
        <v>10</v>
      </c>
      <c r="L10" s="261">
        <v>3513630</v>
      </c>
      <c r="M10" s="182">
        <v>9.3729999999999994E-2</v>
      </c>
      <c r="N10" s="159">
        <f t="shared" ref="N10:N16" si="0">L10*M10</f>
        <v>329332.53989999997</v>
      </c>
      <c r="O10" s="25" t="s">
        <v>10</v>
      </c>
      <c r="P10" s="261">
        <v>1848959</v>
      </c>
      <c r="Q10" s="182">
        <v>9.2030000000000001E-2</v>
      </c>
      <c r="R10" s="159">
        <f>P10*Q10</f>
        <v>170159.69677000001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26012.959999999999</v>
      </c>
      <c r="F11" s="210"/>
      <c r="G11" s="211"/>
      <c r="H11" s="210"/>
      <c r="I11" s="201"/>
      <c r="J11" s="31"/>
      <c r="K11" s="25" t="s">
        <v>42</v>
      </c>
      <c r="L11" s="261">
        <v>10109</v>
      </c>
      <c r="M11" s="182">
        <v>9.3729999999999994E-2</v>
      </c>
      <c r="N11" s="159">
        <f t="shared" si="0"/>
        <v>947.51656999999989</v>
      </c>
      <c r="O11" s="25" t="s">
        <v>11</v>
      </c>
      <c r="P11" s="261">
        <v>1190481</v>
      </c>
      <c r="Q11" s="182">
        <f>Q10</f>
        <v>9.2030000000000001E-2</v>
      </c>
      <c r="R11" s="159">
        <f>P11*Q11</f>
        <v>109559.96643</v>
      </c>
    </row>
    <row r="12" spans="2:20" ht="15.6" customHeight="1" thickBot="1">
      <c r="B12" s="172" t="s">
        <v>104</v>
      </c>
      <c r="C12" s="6"/>
      <c r="D12" s="6"/>
      <c r="E12" s="220">
        <f>SUM(E10:E11)</f>
        <v>2275975.0299999998</v>
      </c>
      <c r="F12" s="212"/>
      <c r="G12" s="213"/>
      <c r="H12" s="212"/>
      <c r="I12" s="202"/>
      <c r="J12" s="31"/>
      <c r="K12" s="25" t="s">
        <v>11</v>
      </c>
      <c r="L12" s="261">
        <v>2400538</v>
      </c>
      <c r="M12" s="182">
        <v>8.7319999999999995E-2</v>
      </c>
      <c r="N12" s="159">
        <f t="shared" si="0"/>
        <v>209614.97816</v>
      </c>
      <c r="O12" s="25" t="s">
        <v>12</v>
      </c>
      <c r="P12" s="261">
        <v>60747</v>
      </c>
      <c r="Q12" s="182">
        <f t="shared" ref="Q12:Q14" si="1">Q11</f>
        <v>9.2030000000000001E-2</v>
      </c>
      <c r="R12" s="159">
        <f>P12*Q12</f>
        <v>5590.5464099999999</v>
      </c>
    </row>
    <row r="13" spans="2:20" ht="15.6" customHeight="1" thickBot="1">
      <c r="B13" s="173" t="s">
        <v>25</v>
      </c>
      <c r="C13" s="1"/>
      <c r="D13" s="1"/>
      <c r="E13" s="221">
        <f>-E11</f>
        <v>-26012.959999999999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159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2249962.0699999998</v>
      </c>
      <c r="F14" s="227">
        <f>E14*F8</f>
        <v>1537399.082431</v>
      </c>
      <c r="G14" s="228"/>
      <c r="H14" s="227">
        <f>E14*H8</f>
        <v>712562.98756899987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15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66891</v>
      </c>
      <c r="M15" s="182">
        <v>5.4429999999999999E-2</v>
      </c>
      <c r="N15" s="159">
        <f t="shared" si="0"/>
        <v>3640.8771299999999</v>
      </c>
      <c r="O15" s="24" t="s">
        <v>29</v>
      </c>
      <c r="P15" s="131">
        <f>SUM(P10:P14)</f>
        <v>3100187</v>
      </c>
      <c r="Q15" s="132"/>
      <c r="R15" s="22">
        <f>SUM(R10:R14)</f>
        <v>285310.20961000002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2450070</v>
      </c>
      <c r="M16" s="182">
        <v>5.4000000000000001E-4</v>
      </c>
      <c r="N16" s="159">
        <f t="shared" si="0"/>
        <v>1323.0378000000001</v>
      </c>
      <c r="O16" s="25"/>
      <c r="P16" s="183">
        <v>3100187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23966515</v>
      </c>
      <c r="F17" s="233"/>
      <c r="G17" s="231"/>
      <c r="H17" s="230"/>
      <c r="I17" s="232"/>
      <c r="J17" s="31"/>
      <c r="K17" s="24" t="s">
        <v>29</v>
      </c>
      <c r="L17" s="131">
        <f>SUM(L10:L16)</f>
        <v>8441238</v>
      </c>
      <c r="M17" s="4"/>
      <c r="N17" s="22">
        <f>SUM(N10:N16)</f>
        <v>544858.94955999998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175199.84</v>
      </c>
      <c r="F18" s="230"/>
      <c r="G18" s="231"/>
      <c r="H18" s="230"/>
      <c r="I18" s="232"/>
      <c r="J18" s="31"/>
      <c r="K18" s="15"/>
      <c r="L18" s="183">
        <v>8441238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41623.9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16218.91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-3490993.11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851053.66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19804.14</v>
      </c>
      <c r="F23" s="230"/>
      <c r="G23" s="231"/>
      <c r="H23" s="230"/>
      <c r="I23" s="232"/>
      <c r="J23" s="31"/>
      <c r="K23" s="25" t="s">
        <v>10</v>
      </c>
      <c r="L23" s="253">
        <f>+L10</f>
        <v>3513630</v>
      </c>
      <c r="M23" s="182">
        <v>0.22319</v>
      </c>
      <c r="N23" s="159">
        <f t="shared" ref="N23" si="2">L23*M23</f>
        <v>784207.0797</v>
      </c>
      <c r="O23" s="25" t="s">
        <v>10</v>
      </c>
      <c r="P23" s="253">
        <f>+P10</f>
        <v>1848959</v>
      </c>
      <c r="Q23" s="182">
        <v>0.26384000000000002</v>
      </c>
      <c r="R23" s="159">
        <f>P23*Q23</f>
        <v>487829.34256000002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-13826538.439999999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10109</v>
      </c>
      <c r="M24" s="182">
        <f>M23</f>
        <v>0.22319</v>
      </c>
      <c r="N24" s="159">
        <f>L24*M24</f>
        <v>2256.2277100000001</v>
      </c>
      <c r="O24" s="25" t="s">
        <v>11</v>
      </c>
      <c r="P24" s="253">
        <f t="shared" ref="P24:P27" si="4">+P11</f>
        <v>1190481</v>
      </c>
      <c r="Q24" s="182">
        <v>0.26384000000000002</v>
      </c>
      <c r="R24" s="159">
        <f>P24*Q24</f>
        <v>314096.50704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-51440.58</v>
      </c>
      <c r="F25" s="230"/>
      <c r="G25" s="231"/>
      <c r="H25" s="230"/>
      <c r="I25" s="232"/>
      <c r="J25" s="31"/>
      <c r="K25" s="25" t="s">
        <v>11</v>
      </c>
      <c r="L25" s="253">
        <f t="shared" si="3"/>
        <v>2400538</v>
      </c>
      <c r="M25" s="182">
        <f t="shared" ref="M25:M28" si="5">M24</f>
        <v>0.22319</v>
      </c>
      <c r="N25" s="159">
        <f>L25*M25</f>
        <v>535776.07622000005</v>
      </c>
      <c r="O25" s="25" t="s">
        <v>12</v>
      </c>
      <c r="P25" s="253">
        <f t="shared" si="4"/>
        <v>60747</v>
      </c>
      <c r="Q25" s="182">
        <v>0.26384000000000002</v>
      </c>
      <c r="R25" s="159">
        <f>P25*Q25</f>
        <v>16027.488480000002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-2518596.36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>
        <v>0.26384000000000002</v>
      </c>
      <c r="R26" s="159">
        <f>P26*Q26</f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652657.5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>
        <v>0.26384000000000002</v>
      </c>
      <c r="R27" s="159">
        <f>P27*Q27</f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-2665988.52</v>
      </c>
      <c r="F28" s="230"/>
      <c r="G28" s="231"/>
      <c r="H28" s="230"/>
      <c r="I28" s="232"/>
      <c r="J28" s="31"/>
      <c r="K28" s="25" t="s">
        <v>14</v>
      </c>
      <c r="L28" s="253">
        <f t="shared" si="3"/>
        <v>66891</v>
      </c>
      <c r="M28" s="182">
        <f t="shared" si="5"/>
        <v>0.22319</v>
      </c>
      <c r="N28" s="159">
        <f>L28*M28</f>
        <v>14929.40229</v>
      </c>
      <c r="O28" s="24" t="s">
        <v>31</v>
      </c>
      <c r="P28" s="131">
        <f>SUM(P23:P27)</f>
        <v>3100187</v>
      </c>
      <c r="Q28" s="132"/>
      <c r="R28" s="22">
        <f>SUM(R23:R27)</f>
        <v>817953.33808000013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5991168</v>
      </c>
      <c r="M29" s="132"/>
      <c r="N29" s="139">
        <f>SUM(N23:N28)</f>
        <v>1337168.7859200002</v>
      </c>
      <c r="O29" s="24"/>
      <c r="P29" s="183">
        <v>3100187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5991168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26012.959999999999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2726778.9000000008</v>
      </c>
      <c r="F32" s="237"/>
      <c r="G32" s="211">
        <f>E32*G8</f>
        <v>1796947.2951000007</v>
      </c>
      <c r="H32" s="128"/>
      <c r="I32" s="201">
        <f>E32*I8</f>
        <v>929831.60490000015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-97742.06</v>
      </c>
      <c r="F35" s="230"/>
      <c r="G35" s="211">
        <f>E35</f>
        <v>-97742.06</v>
      </c>
      <c r="H35" s="128"/>
      <c r="I35" s="201"/>
      <c r="J35" s="31"/>
      <c r="K35" s="14" t="s">
        <v>112</v>
      </c>
      <c r="L35" s="129">
        <f>$F$39</f>
        <v>1537399.082431</v>
      </c>
      <c r="M35" s="129">
        <f>G39</f>
        <v>1699205.2351000006</v>
      </c>
      <c r="N35" s="129">
        <f>$H$39</f>
        <v>712562.98756899987</v>
      </c>
      <c r="O35" s="129">
        <f>I39</f>
        <v>880067.86490000016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-49763.74</v>
      </c>
      <c r="F36" s="230"/>
      <c r="G36" s="211"/>
      <c r="H36" s="128"/>
      <c r="I36" s="201">
        <f>E36</f>
        <v>-49763.74</v>
      </c>
      <c r="J36" s="31"/>
      <c r="K36" s="14" t="s">
        <v>115</v>
      </c>
      <c r="L36" s="184">
        <f>-$N$17</f>
        <v>-544858.94955999998</v>
      </c>
      <c r="M36" s="184">
        <f>-N29</f>
        <v>-1337168.7859200002</v>
      </c>
      <c r="N36" s="184">
        <f>-$R$15</f>
        <v>-285310.20961000002</v>
      </c>
      <c r="O36" s="184">
        <f>-R28</f>
        <v>-817953.33808000013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2579273.1000000006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992540.13287099998</v>
      </c>
      <c r="M37" s="134">
        <f>SUM(M35:M36)</f>
        <v>362036.44918000046</v>
      </c>
      <c r="N37" s="134">
        <f t="shared" si="6"/>
        <v>427252.77795899985</v>
      </c>
      <c r="O37" s="134">
        <f t="shared" si="6"/>
        <v>62114.526820000028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4829235.17</v>
      </c>
      <c r="F39" s="225">
        <f>SUM(F14:F37)</f>
        <v>1537399.082431</v>
      </c>
      <c r="G39" s="226">
        <f t="shared" ref="G39:I39" si="7">SUM(G14:G37)</f>
        <v>1699205.2351000006</v>
      </c>
      <c r="H39" s="225">
        <f t="shared" si="7"/>
        <v>712562.98756899987</v>
      </c>
      <c r="I39" s="181">
        <f t="shared" si="7"/>
        <v>880067.86490000016</v>
      </c>
      <c r="J39" s="31"/>
      <c r="K39" s="190"/>
      <c r="L39" s="193" t="s">
        <v>36</v>
      </c>
      <c r="M39" s="191">
        <f>SUM(L37:M37)</f>
        <v>1354576.5820510006</v>
      </c>
      <c r="N39" s="194" t="s">
        <v>37</v>
      </c>
      <c r="O39" s="191">
        <f>SUM(N37:O37)</f>
        <v>489367.30477899988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4829235.17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53" priority="27" operator="equal">
      <formula>"ERROR"</formula>
    </cfRule>
  </conditionalFormatting>
  <conditionalFormatting sqref="D43:D46">
    <cfRule type="cellIs" dxfId="52" priority="26" operator="equal">
      <formula>"ERROR"</formula>
    </cfRule>
  </conditionalFormatting>
  <conditionalFormatting sqref="P31">
    <cfRule type="cellIs" dxfId="51" priority="25" operator="notEqual">
      <formula>0</formula>
    </cfRule>
  </conditionalFormatting>
  <conditionalFormatting sqref="L19">
    <cfRule type="cellIs" dxfId="50" priority="23" stopIfTrue="1" operator="equal">
      <formula>0</formula>
    </cfRule>
    <cfRule type="cellIs" dxfId="49" priority="24" stopIfTrue="1" operator="notEqual">
      <formula>0</formula>
    </cfRule>
  </conditionalFormatting>
  <conditionalFormatting sqref="L19">
    <cfRule type="cellIs" dxfId="48" priority="21" stopIfTrue="1" operator="equal">
      <formula>0</formula>
    </cfRule>
    <cfRule type="cellIs" dxfId="47" priority="22" stopIfTrue="1" operator="notEqual">
      <formula>0</formula>
    </cfRule>
  </conditionalFormatting>
  <conditionalFormatting sqref="L31">
    <cfRule type="cellIs" dxfId="46" priority="19" stopIfTrue="1" operator="equal">
      <formula>0</formula>
    </cfRule>
    <cfRule type="cellIs" dxfId="45" priority="20" stopIfTrue="1" operator="notEqual">
      <formula>0</formula>
    </cfRule>
  </conditionalFormatting>
  <conditionalFormatting sqref="L31">
    <cfRule type="cellIs" dxfId="44" priority="17" stopIfTrue="1" operator="equal">
      <formula>0</formula>
    </cfRule>
    <cfRule type="cellIs" dxfId="43" priority="18" stopIfTrue="1" operator="notEqual">
      <formula>0</formula>
    </cfRule>
  </conditionalFormatting>
  <conditionalFormatting sqref="P17">
    <cfRule type="cellIs" dxfId="42" priority="15" stopIfTrue="1" operator="equal">
      <formula>0</formula>
    </cfRule>
    <cfRule type="cellIs" dxfId="41" priority="16" stopIfTrue="1" operator="notEqual">
      <formula>0</formula>
    </cfRule>
  </conditionalFormatting>
  <conditionalFormatting sqref="P17">
    <cfRule type="cellIs" dxfId="40" priority="13" stopIfTrue="1" operator="equal">
      <formula>0</formula>
    </cfRule>
    <cfRule type="cellIs" dxfId="39" priority="14" stopIfTrue="1" operator="notEqual">
      <formula>0</formula>
    </cfRule>
  </conditionalFormatting>
  <conditionalFormatting sqref="P30">
    <cfRule type="cellIs" dxfId="38" priority="11" stopIfTrue="1" operator="equal">
      <formula>0</formula>
    </cfRule>
    <cfRule type="cellIs" dxfId="37" priority="12" stopIfTrue="1" operator="notEqual">
      <formula>0</formula>
    </cfRule>
  </conditionalFormatting>
  <conditionalFormatting sqref="P30">
    <cfRule type="cellIs" dxfId="36" priority="9" stopIfTrue="1" operator="equal">
      <formula>0</formula>
    </cfRule>
    <cfRule type="cellIs" dxfId="35" priority="10" stopIfTrue="1" operator="notEqual">
      <formula>0</formula>
    </cfRule>
  </conditionalFormatting>
  <conditionalFormatting sqref="P35:P36">
    <cfRule type="cellIs" dxfId="34" priority="7" stopIfTrue="1" operator="equal">
      <formula>0</formula>
    </cfRule>
    <cfRule type="cellIs" dxfId="33" priority="8" stopIfTrue="1" operator="notEqual">
      <formula>0</formula>
    </cfRule>
  </conditionalFormatting>
  <conditionalFormatting sqref="P35:P36">
    <cfRule type="cellIs" dxfId="32" priority="5" stopIfTrue="1" operator="equal">
      <formula>0</formula>
    </cfRule>
    <cfRule type="cellIs" dxfId="31" priority="6" stopIfTrue="1" operator="notEqual">
      <formula>0</formula>
    </cfRule>
  </conditionalFormatting>
  <conditionalFormatting sqref="E42">
    <cfRule type="cellIs" dxfId="30" priority="3" stopIfTrue="1" operator="equal">
      <formula>0</formula>
    </cfRule>
    <cfRule type="cellIs" dxfId="29" priority="4" stopIfTrue="1" operator="notEqual">
      <formula>0</formula>
    </cfRule>
  </conditionalFormatting>
  <conditionalFormatting sqref="E42">
    <cfRule type="cellIs" dxfId="28" priority="1" stopIfTrue="1" operator="equal">
      <formula>0</formula>
    </cfRule>
    <cfRule type="cellIs" dxfId="27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7561-A2EF-4B3D-A728-A5B3EE123161}">
  <sheetPr>
    <pageSetUpPr fitToPage="1"/>
  </sheetPr>
  <dimension ref="A1:T1396"/>
  <sheetViews>
    <sheetView tabSelected="1" zoomScale="60" zoomScaleNormal="60" workbookViewId="0">
      <selection activeCell="P20" sqref="P20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202207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68"/>
      <c r="O1" s="268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69" t="s">
        <v>32</v>
      </c>
      <c r="G5" s="270"/>
      <c r="H5" s="269" t="s">
        <v>33</v>
      </c>
      <c r="I5" s="271"/>
      <c r="J5" s="31"/>
      <c r="K5" s="272" t="s">
        <v>32</v>
      </c>
      <c r="L5" s="273"/>
      <c r="M5" s="273"/>
      <c r="N5" s="274"/>
      <c r="O5" s="272" t="s">
        <v>33</v>
      </c>
      <c r="P5" s="273"/>
      <c r="Q5" s="273"/>
      <c r="R5" s="274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0.66010000000000002</v>
      </c>
      <c r="H8" s="208">
        <v>0.31669999999999998</v>
      </c>
      <c r="I8" s="171">
        <f>1-G8</f>
        <v>0.33989999999999998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156</v>
      </c>
      <c r="C10" s="27">
        <v>804001</v>
      </c>
      <c r="D10" s="27" t="s">
        <v>100</v>
      </c>
      <c r="E10" s="219">
        <v>2343543.09</v>
      </c>
      <c r="F10" s="210"/>
      <c r="G10" s="211"/>
      <c r="H10" s="210"/>
      <c r="I10" s="201"/>
      <c r="J10" s="31"/>
      <c r="K10" s="25" t="s">
        <v>10</v>
      </c>
      <c r="L10" s="261">
        <v>2224703</v>
      </c>
      <c r="M10" s="182">
        <v>9.3729999999999994E-2</v>
      </c>
      <c r="N10" s="159">
        <f t="shared" ref="N10:N16" si="0">L10*M10</f>
        <v>208521.41218999997</v>
      </c>
      <c r="O10" s="25" t="s">
        <v>10</v>
      </c>
      <c r="P10" s="261">
        <v>1197969</v>
      </c>
      <c r="Q10" s="182">
        <v>9.2030000000000001E-2</v>
      </c>
      <c r="R10" s="159">
        <f>P10*Q10</f>
        <v>110249.08706999999</v>
      </c>
    </row>
    <row r="11" spans="2:20" ht="15.6" customHeight="1" thickBot="1">
      <c r="B11" s="163" t="s">
        <v>157</v>
      </c>
      <c r="C11" s="27">
        <v>804002</v>
      </c>
      <c r="D11" s="27" t="s">
        <v>100</v>
      </c>
      <c r="E11" s="219">
        <v>20224.349999999999</v>
      </c>
      <c r="F11" s="210"/>
      <c r="G11" s="211"/>
      <c r="H11" s="210"/>
      <c r="I11" s="201"/>
      <c r="J11" s="31"/>
      <c r="K11" s="25" t="s">
        <v>42</v>
      </c>
      <c r="L11" s="261">
        <v>5190</v>
      </c>
      <c r="M11" s="182">
        <v>9.3729999999999994E-2</v>
      </c>
      <c r="N11" s="159">
        <f t="shared" si="0"/>
        <v>486.45869999999996</v>
      </c>
      <c r="O11" s="25" t="s">
        <v>11</v>
      </c>
      <c r="P11" s="261">
        <v>933655</v>
      </c>
      <c r="Q11" s="182">
        <f>Q10</f>
        <v>9.2030000000000001E-2</v>
      </c>
      <c r="R11" s="159">
        <f>P11*Q11</f>
        <v>85924.269650000002</v>
      </c>
    </row>
    <row r="12" spans="2:20" ht="15.6" customHeight="1" thickBot="1">
      <c r="B12" s="172" t="s">
        <v>104</v>
      </c>
      <c r="C12" s="6"/>
      <c r="D12" s="6"/>
      <c r="E12" s="220">
        <f>SUM(E10:E11)</f>
        <v>2363767.44</v>
      </c>
      <c r="F12" s="212"/>
      <c r="G12" s="213"/>
      <c r="H12" s="212"/>
      <c r="I12" s="202"/>
      <c r="J12" s="31"/>
      <c r="K12" s="25" t="s">
        <v>11</v>
      </c>
      <c r="L12" s="261">
        <v>1968103</v>
      </c>
      <c r="M12" s="182">
        <v>8.7319999999999995E-2</v>
      </c>
      <c r="N12" s="159">
        <f t="shared" si="0"/>
        <v>171854.75396</v>
      </c>
      <c r="O12" s="25" t="s">
        <v>12</v>
      </c>
      <c r="P12" s="261">
        <v>52381</v>
      </c>
      <c r="Q12" s="182">
        <f t="shared" ref="Q12:Q14" si="1">Q11</f>
        <v>9.2030000000000001E-2</v>
      </c>
      <c r="R12" s="159">
        <f>P12*Q12</f>
        <v>4820.6234299999996</v>
      </c>
    </row>
    <row r="13" spans="2:20" ht="15.6" customHeight="1" thickBot="1">
      <c r="B13" s="173" t="s">
        <v>25</v>
      </c>
      <c r="C13" s="1"/>
      <c r="D13" s="1"/>
      <c r="E13" s="221">
        <f>-E11</f>
        <v>-20224.349999999999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159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2343543.09</v>
      </c>
      <c r="F14" s="227">
        <f>E14*F8</f>
        <v>1601342.993397</v>
      </c>
      <c r="G14" s="228"/>
      <c r="H14" s="227">
        <f>E14*H8</f>
        <v>742200.09660299995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159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43650</v>
      </c>
      <c r="M15" s="182">
        <v>5.4429999999999999E-2</v>
      </c>
      <c r="N15" s="159">
        <f t="shared" si="0"/>
        <v>2375.8694999999998</v>
      </c>
      <c r="O15" s="24" t="s">
        <v>29</v>
      </c>
      <c r="P15" s="131">
        <f>SUM(P10:P14)</f>
        <v>2184005</v>
      </c>
      <c r="Q15" s="132"/>
      <c r="R15" s="22">
        <f>SUM(R10:R14)</f>
        <v>200993.98014999999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2120903</v>
      </c>
      <c r="M16" s="182">
        <v>5.4000000000000001E-4</v>
      </c>
      <c r="N16" s="159">
        <f t="shared" si="0"/>
        <v>1145.2876200000001</v>
      </c>
      <c r="O16" s="25"/>
      <c r="P16" s="183">
        <v>2184005</v>
      </c>
      <c r="Q16" s="16"/>
      <c r="R16" s="133"/>
    </row>
    <row r="17" spans="2:18" ht="15.6" customHeight="1" thickBot="1">
      <c r="B17" s="163" t="s">
        <v>143</v>
      </c>
      <c r="C17" s="27">
        <v>804000</v>
      </c>
      <c r="D17" s="27" t="s">
        <v>100</v>
      </c>
      <c r="E17" s="219">
        <v>20395325.77</v>
      </c>
      <c r="F17" s="233"/>
      <c r="G17" s="231"/>
      <c r="H17" s="230"/>
      <c r="I17" s="232"/>
      <c r="J17" s="31"/>
      <c r="K17" s="24" t="s">
        <v>29</v>
      </c>
      <c r="L17" s="131">
        <f>SUM(L10:L16)</f>
        <v>6362549</v>
      </c>
      <c r="M17" s="4"/>
      <c r="N17" s="22">
        <f>SUM(N10:N16)</f>
        <v>384383.78196999995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144</v>
      </c>
      <c r="C18" s="27">
        <v>804010</v>
      </c>
      <c r="D18" s="27" t="s">
        <v>100</v>
      </c>
      <c r="E18" s="219">
        <v>-101905.24</v>
      </c>
      <c r="F18" s="230"/>
      <c r="G18" s="231"/>
      <c r="H18" s="230"/>
      <c r="I18" s="232"/>
      <c r="J18" s="31"/>
      <c r="K18" s="15"/>
      <c r="L18" s="183">
        <v>6362549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145</v>
      </c>
      <c r="C19" s="27">
        <v>804017</v>
      </c>
      <c r="D19" s="27" t="s">
        <v>100</v>
      </c>
      <c r="E19" s="219">
        <v>48228.3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146</v>
      </c>
      <c r="C20" s="27">
        <v>804018</v>
      </c>
      <c r="D20" s="27" t="s">
        <v>100</v>
      </c>
      <c r="E20" s="219">
        <v>17239.939999999999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147</v>
      </c>
      <c r="C21" s="27">
        <v>804600</v>
      </c>
      <c r="D21" s="27" t="s">
        <v>100</v>
      </c>
      <c r="E21" s="219">
        <v>-2388206.29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148</v>
      </c>
      <c r="C22" s="27">
        <v>804730</v>
      </c>
      <c r="D22" s="27" t="s">
        <v>100</v>
      </c>
      <c r="E22" s="219">
        <v>959122.23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149</v>
      </c>
      <c r="C23" s="27">
        <v>808100</v>
      </c>
      <c r="D23" s="27" t="s">
        <v>100</v>
      </c>
      <c r="E23" s="219">
        <v>97028.92</v>
      </c>
      <c r="F23" s="230"/>
      <c r="G23" s="231"/>
      <c r="H23" s="230"/>
      <c r="I23" s="232"/>
      <c r="J23" s="31"/>
      <c r="K23" s="25" t="s">
        <v>10</v>
      </c>
      <c r="L23" s="253">
        <f>+L10</f>
        <v>2224703</v>
      </c>
      <c r="M23" s="182" t="s">
        <v>141</v>
      </c>
      <c r="N23" s="262">
        <v>770483</v>
      </c>
      <c r="O23" s="25" t="s">
        <v>10</v>
      </c>
      <c r="P23" s="253">
        <f>+P10</f>
        <v>1197969</v>
      </c>
      <c r="Q23" s="182" t="s">
        <v>141</v>
      </c>
      <c r="R23" s="262">
        <v>434521</v>
      </c>
    </row>
    <row r="24" spans="2:18" ht="15.6" customHeight="1">
      <c r="B24" s="163" t="s">
        <v>150</v>
      </c>
      <c r="C24" s="27">
        <v>808200</v>
      </c>
      <c r="D24" s="27" t="s">
        <v>100</v>
      </c>
      <c r="E24" s="219">
        <v>-11282821.470000001</v>
      </c>
      <c r="F24" s="230"/>
      <c r="G24" s="231"/>
      <c r="H24" s="230"/>
      <c r="I24" s="232"/>
      <c r="J24" s="31"/>
      <c r="K24" s="25" t="s">
        <v>42</v>
      </c>
      <c r="L24" s="253">
        <f t="shared" ref="L24:L28" si="2">+L11</f>
        <v>5190</v>
      </c>
      <c r="M24" s="182" t="s">
        <v>141</v>
      </c>
      <c r="N24" s="262">
        <v>1875</v>
      </c>
      <c r="O24" s="25" t="s">
        <v>11</v>
      </c>
      <c r="P24" s="253">
        <f t="shared" ref="P24:P27" si="3">+P11</f>
        <v>933655</v>
      </c>
      <c r="Q24" s="182" t="s">
        <v>141</v>
      </c>
      <c r="R24" s="262">
        <v>324896</v>
      </c>
    </row>
    <row r="25" spans="2:18" ht="15.6" customHeight="1">
      <c r="B25" s="163" t="s">
        <v>151</v>
      </c>
      <c r="C25" s="27">
        <v>811000</v>
      </c>
      <c r="D25" s="27" t="s">
        <v>100</v>
      </c>
      <c r="E25" s="219">
        <v>-55052.13</v>
      </c>
      <c r="F25" s="230"/>
      <c r="G25" s="231"/>
      <c r="H25" s="230"/>
      <c r="I25" s="232"/>
      <c r="J25" s="31"/>
      <c r="K25" s="25" t="s">
        <v>11</v>
      </c>
      <c r="L25" s="253">
        <f t="shared" si="2"/>
        <v>1968103</v>
      </c>
      <c r="M25" s="182" t="s">
        <v>141</v>
      </c>
      <c r="N25" s="262">
        <v>645580</v>
      </c>
      <c r="O25" s="25" t="s">
        <v>12</v>
      </c>
      <c r="P25" s="253">
        <f t="shared" si="3"/>
        <v>52381</v>
      </c>
      <c r="Q25" s="182" t="s">
        <v>141</v>
      </c>
      <c r="R25" s="262">
        <v>17153</v>
      </c>
    </row>
    <row r="26" spans="2:18" ht="15.6" customHeight="1">
      <c r="B26" s="163" t="s">
        <v>152</v>
      </c>
      <c r="C26" s="27">
        <v>483000</v>
      </c>
      <c r="D26" s="27" t="s">
        <v>100</v>
      </c>
      <c r="E26" s="219">
        <v>-1977646.18</v>
      </c>
      <c r="F26" s="233"/>
      <c r="G26" s="231"/>
      <c r="H26" s="230"/>
      <c r="I26" s="232"/>
      <c r="J26" s="31"/>
      <c r="K26" s="25" t="s">
        <v>12</v>
      </c>
      <c r="L26" s="253">
        <f t="shared" si="2"/>
        <v>0</v>
      </c>
      <c r="M26" s="182" t="s">
        <v>141</v>
      </c>
      <c r="N26" s="262">
        <v>0</v>
      </c>
      <c r="O26" s="25" t="s">
        <v>13</v>
      </c>
      <c r="P26" s="253">
        <f t="shared" si="3"/>
        <v>0</v>
      </c>
      <c r="Q26" s="182" t="s">
        <v>141</v>
      </c>
      <c r="R26" s="262">
        <v>0</v>
      </c>
    </row>
    <row r="27" spans="2:18" ht="15.6" customHeight="1">
      <c r="B27" s="163" t="s">
        <v>153</v>
      </c>
      <c r="C27" s="27">
        <v>483600</v>
      </c>
      <c r="D27" s="27" t="s">
        <v>100</v>
      </c>
      <c r="E27" s="219">
        <v>898449.75</v>
      </c>
      <c r="F27" s="230"/>
      <c r="G27" s="231"/>
      <c r="H27" s="230"/>
      <c r="I27" s="232"/>
      <c r="J27" s="31"/>
      <c r="K27" s="25" t="s">
        <v>13</v>
      </c>
      <c r="L27" s="253">
        <f t="shared" si="2"/>
        <v>0</v>
      </c>
      <c r="M27" s="182" t="s">
        <v>141</v>
      </c>
      <c r="N27" s="262">
        <v>0</v>
      </c>
      <c r="O27" s="25" t="s">
        <v>14</v>
      </c>
      <c r="P27" s="253">
        <f t="shared" si="3"/>
        <v>0</v>
      </c>
      <c r="Q27" s="182" t="s">
        <v>141</v>
      </c>
      <c r="R27" s="262">
        <v>0</v>
      </c>
    </row>
    <row r="28" spans="2:18" ht="15.6" customHeight="1" thickBot="1">
      <c r="B28" s="163" t="s">
        <v>154</v>
      </c>
      <c r="C28" s="27">
        <v>483730</v>
      </c>
      <c r="D28" s="27" t="s">
        <v>100</v>
      </c>
      <c r="E28" s="219">
        <v>-5269743.13</v>
      </c>
      <c r="F28" s="230"/>
      <c r="G28" s="231"/>
      <c r="H28" s="230"/>
      <c r="I28" s="232"/>
      <c r="J28" s="31"/>
      <c r="K28" s="25" t="s">
        <v>14</v>
      </c>
      <c r="L28" s="253">
        <f t="shared" si="2"/>
        <v>43650</v>
      </c>
      <c r="M28" s="182" t="s">
        <v>141</v>
      </c>
      <c r="N28" s="262">
        <v>12903</v>
      </c>
      <c r="O28" s="24" t="s">
        <v>31</v>
      </c>
      <c r="P28" s="131">
        <f>SUM(P23:P27)</f>
        <v>2184005</v>
      </c>
      <c r="Q28" s="132"/>
      <c r="R28" s="22">
        <f>SUM(R23:R27)</f>
        <v>776570</v>
      </c>
    </row>
    <row r="29" spans="2:18" ht="15.6" customHeight="1" thickTop="1" thickBot="1">
      <c r="B29" s="163" t="s">
        <v>155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4241646</v>
      </c>
      <c r="M29" s="132"/>
      <c r="N29" s="139">
        <f>SUM(N23:N28)</f>
        <v>1430841</v>
      </c>
      <c r="O29" s="24"/>
      <c r="P29" s="183">
        <v>2184005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4241646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20224.349999999999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891494.82000000624</v>
      </c>
      <c r="F32" s="237"/>
      <c r="G32" s="211">
        <f>E32*G8</f>
        <v>588475.73068200413</v>
      </c>
      <c r="H32" s="128"/>
      <c r="I32" s="201">
        <f>E32*I8</f>
        <v>303019.08931800211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-151290.91</v>
      </c>
      <c r="F35" s="230"/>
      <c r="G35" s="211">
        <f>E35</f>
        <v>-151290.91</v>
      </c>
      <c r="H35" s="128"/>
      <c r="I35" s="201"/>
      <c r="J35" s="31"/>
      <c r="K35" s="14" t="s">
        <v>112</v>
      </c>
      <c r="L35" s="129">
        <f>$F$39</f>
        <v>1601342.993397</v>
      </c>
      <c r="M35" s="129">
        <f>G39</f>
        <v>437184.82068200409</v>
      </c>
      <c r="N35" s="129">
        <f>$H$39</f>
        <v>742200.09660299995</v>
      </c>
      <c r="O35" s="129">
        <f>I39</f>
        <v>225156.56931800209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-77862.52</v>
      </c>
      <c r="F36" s="230"/>
      <c r="G36" s="211"/>
      <c r="H36" s="128"/>
      <c r="I36" s="201">
        <f>E36</f>
        <v>-77862.52</v>
      </c>
      <c r="J36" s="31"/>
      <c r="K36" s="14" t="s">
        <v>115</v>
      </c>
      <c r="L36" s="184">
        <f>-$N$17</f>
        <v>-384383.78196999995</v>
      </c>
      <c r="M36" s="184">
        <f>-N29</f>
        <v>-1430841</v>
      </c>
      <c r="N36" s="184">
        <f>-$R$15</f>
        <v>-200993.98014999999</v>
      </c>
      <c r="O36" s="184">
        <f>-R28</f>
        <v>-776570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662341.39000000618</v>
      </c>
      <c r="F37" s="212"/>
      <c r="G37" s="214"/>
      <c r="H37" s="212"/>
      <c r="I37" s="175"/>
      <c r="J37" s="31"/>
      <c r="K37" s="172" t="s">
        <v>113</v>
      </c>
      <c r="L37" s="134">
        <f t="shared" ref="L37:O37" si="4">SUM(L35:L36)</f>
        <v>1216959.2114270001</v>
      </c>
      <c r="M37" s="134">
        <f>SUM(M35:M36)</f>
        <v>-993656.17931799591</v>
      </c>
      <c r="N37" s="134">
        <f t="shared" si="4"/>
        <v>541206.116453</v>
      </c>
      <c r="O37" s="134">
        <f t="shared" si="4"/>
        <v>-551413.43068199791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3005884.480000006</v>
      </c>
      <c r="F39" s="225">
        <f>SUM(F14:F37)</f>
        <v>1601342.993397</v>
      </c>
      <c r="G39" s="226">
        <f t="shared" ref="G39:I39" si="5">SUM(G14:G37)</f>
        <v>437184.82068200409</v>
      </c>
      <c r="H39" s="225">
        <f t="shared" si="5"/>
        <v>742200.09660299995</v>
      </c>
      <c r="I39" s="181">
        <f t="shared" si="5"/>
        <v>225156.56931800209</v>
      </c>
      <c r="J39" s="31"/>
      <c r="K39" s="190"/>
      <c r="L39" s="193" t="s">
        <v>36</v>
      </c>
      <c r="M39" s="191">
        <f>SUM(L37:M37)</f>
        <v>223303.03210900421</v>
      </c>
      <c r="N39" s="194" t="s">
        <v>37</v>
      </c>
      <c r="O39" s="191">
        <f>SUM(N37:O37)</f>
        <v>-10207.314228997915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3005884.48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6" t="s">
        <v>111</v>
      </c>
      <c r="F45" s="267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DEF'!E36:E45)+SUM('191000 WA Amort'!H36:H45)+SUM(#REF!)+SUM(#REF!)-0.01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6" priority="27" operator="equal">
      <formula>"ERROR"</formula>
    </cfRule>
  </conditionalFormatting>
  <conditionalFormatting sqref="D43:D46">
    <cfRule type="cellIs" dxfId="25" priority="26" operator="equal">
      <formula>"ERROR"</formula>
    </cfRule>
  </conditionalFormatting>
  <conditionalFormatting sqref="P31">
    <cfRule type="cellIs" dxfId="24" priority="25" operator="notEqual">
      <formula>0</formula>
    </cfRule>
  </conditionalFormatting>
  <conditionalFormatting sqref="L19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L19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L31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L31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P17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P17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P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P30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P35:P36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P35:P36">
    <cfRule type="cellIs" dxfId="5" priority="5" stopIfTrue="1" operator="equal">
      <formula>0</formula>
    </cfRule>
    <cfRule type="cellIs" dxfId="4" priority="6" stopIfTrue="1" operator="notEqual">
      <formula>0</formula>
    </cfRule>
  </conditionalFormatting>
  <conditionalFormatting sqref="E42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E42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W45"/>
  <sheetViews>
    <sheetView zoomScale="90" zoomScaleNormal="90" workbookViewId="0">
      <pane ySplit="6" topLeftCell="A27" activePane="bottomLeft" state="frozen"/>
      <selection activeCell="F26" sqref="F26"/>
      <selection pane="bottomLeft" activeCell="E38" sqref="E38"/>
    </sheetView>
  </sheetViews>
  <sheetFormatPr defaultColWidth="8.85546875" defaultRowHeight="15"/>
  <cols>
    <col min="1" max="1" width="9.140625" style="32" customWidth="1"/>
    <col min="2" max="2" width="8.85546875" style="32"/>
    <col min="3" max="3" width="1.7109375" style="33" customWidth="1"/>
    <col min="4" max="4" width="13.7109375" style="32" customWidth="1"/>
    <col min="5" max="6" width="14.28515625" style="32" customWidth="1"/>
    <col min="7" max="7" width="14.7109375" style="32" bestFit="1" customWidth="1"/>
    <col min="8" max="8" width="12.140625" style="32" customWidth="1"/>
    <col min="9" max="9" width="15.28515625" style="32" bestFit="1" customWidth="1"/>
    <col min="10" max="10" width="1.7109375" style="33" customWidth="1"/>
    <col min="11" max="11" width="14.28515625" style="32" bestFit="1" customWidth="1"/>
    <col min="12" max="12" width="13.85546875" style="32" bestFit="1" customWidth="1"/>
    <col min="13" max="13" width="6.140625" style="71" customWidth="1"/>
    <col min="14" max="14" width="12.42578125" style="32" bestFit="1" customWidth="1"/>
    <col min="15" max="16" width="8.85546875" style="32"/>
    <col min="17" max="17" width="12.7109375" style="32" customWidth="1"/>
    <col min="18" max="19" width="13.140625" style="32" bestFit="1" customWidth="1"/>
    <col min="20" max="16384" width="8.85546875" style="32"/>
  </cols>
  <sheetData>
    <row r="1" spans="1:15" s="36" customFormat="1" ht="15.75">
      <c r="A1" s="34" t="s">
        <v>4</v>
      </c>
      <c r="B1" s="35"/>
      <c r="C1" s="35"/>
      <c r="D1" s="35"/>
      <c r="E1" s="35"/>
      <c r="F1" s="35"/>
      <c r="G1" s="35"/>
    </row>
    <row r="2" spans="1:15" s="36" customFormat="1" ht="15.75">
      <c r="A2" s="34" t="s">
        <v>0</v>
      </c>
      <c r="B2" s="35"/>
      <c r="C2" s="35"/>
      <c r="D2" s="35"/>
      <c r="E2" s="35"/>
      <c r="F2" s="35"/>
      <c r="G2" s="35"/>
    </row>
    <row r="3" spans="1:15" s="36" customFormat="1" ht="15.75">
      <c r="A3" s="34" t="s">
        <v>80</v>
      </c>
      <c r="B3" s="35"/>
      <c r="C3" s="35"/>
      <c r="D3" s="35"/>
      <c r="E3" s="35"/>
      <c r="F3" s="35"/>
      <c r="G3" s="35"/>
    </row>
    <row r="4" spans="1:15" s="36" customFormat="1" ht="15.75">
      <c r="A4" s="34" t="s">
        <v>81</v>
      </c>
      <c r="B4" s="35"/>
      <c r="C4" s="35"/>
      <c r="D4" s="35"/>
      <c r="E4" s="35"/>
      <c r="F4" s="35"/>
      <c r="G4" s="35"/>
    </row>
    <row r="5" spans="1:15" s="39" customFormat="1" ht="18.75">
      <c r="A5" s="37"/>
      <c r="B5" s="38"/>
      <c r="C5" s="38"/>
      <c r="D5" s="38"/>
      <c r="E5" s="38"/>
      <c r="F5" s="38"/>
      <c r="G5" s="38"/>
    </row>
    <row r="6" spans="1:15" s="40" customFormat="1" ht="56.45" customHeight="1">
      <c r="A6" s="41" t="s">
        <v>43</v>
      </c>
      <c r="B6" s="42" t="s">
        <v>41</v>
      </c>
      <c r="C6" s="43"/>
      <c r="D6" s="42" t="s">
        <v>47</v>
      </c>
      <c r="E6" s="42" t="s">
        <v>40</v>
      </c>
      <c r="F6" s="42" t="s">
        <v>1</v>
      </c>
      <c r="G6" s="42" t="s">
        <v>2</v>
      </c>
      <c r="H6" s="42" t="s">
        <v>3</v>
      </c>
      <c r="I6" s="42" t="s">
        <v>15</v>
      </c>
      <c r="J6" s="43"/>
      <c r="K6" s="44" t="s">
        <v>44</v>
      </c>
      <c r="L6" s="44" t="s">
        <v>45</v>
      </c>
      <c r="M6" s="43"/>
    </row>
    <row r="7" spans="1:15" s="40" customFormat="1" ht="15.75">
      <c r="A7" s="76">
        <v>202101</v>
      </c>
      <c r="B7" s="77">
        <v>3.2500000000000001E-2</v>
      </c>
      <c r="C7" s="57"/>
      <c r="D7" s="60">
        <v>0</v>
      </c>
      <c r="E7" s="79">
        <v>-599153.96947600157</v>
      </c>
      <c r="F7" s="78">
        <v>759776.25110800192</v>
      </c>
      <c r="G7" s="78">
        <v>-1158080.322801</v>
      </c>
      <c r="H7" s="145">
        <f>ROUND(((E7)*(B7/12))+((SUM(F7:G7)/2)*(B7/12)),2)</f>
        <v>-2162.08</v>
      </c>
      <c r="I7" s="79">
        <f>SUM(E7:H7)</f>
        <v>-999620.12116899958</v>
      </c>
      <c r="J7" s="59"/>
      <c r="K7" s="80">
        <v>-999620.12</v>
      </c>
      <c r="L7" s="81">
        <f t="shared" ref="L7" si="0">K7-I7</f>
        <v>1.1689995881170034E-3</v>
      </c>
      <c r="M7" s="70"/>
    </row>
    <row r="8" spans="1:15" s="40" customFormat="1" ht="15.75">
      <c r="A8" s="72">
        <f>A7+1</f>
        <v>202102</v>
      </c>
      <c r="B8" s="77">
        <v>3.2500000000000001E-2</v>
      </c>
      <c r="C8" s="57"/>
      <c r="D8" s="60">
        <v>0</v>
      </c>
      <c r="E8" s="79">
        <f t="shared" ref="E8:E18" si="1">I7+D8</f>
        <v>-999620.12116899958</v>
      </c>
      <c r="F8" s="78">
        <v>3250005.8152399994</v>
      </c>
      <c r="G8" s="78">
        <v>-1308687.1376409999</v>
      </c>
      <c r="H8" s="58">
        <f t="shared" ref="H8" si="2">ROUND(((E8)*(B8/12))+((SUM(F8:G8)/2)*(B8/12)),2)</f>
        <v>-78.44</v>
      </c>
      <c r="I8" s="98">
        <f t="shared" ref="I8:I12" si="3">SUM(E8:H8)</f>
        <v>941620.11643000017</v>
      </c>
      <c r="J8" s="59"/>
      <c r="K8" s="80">
        <v>941663.63</v>
      </c>
      <c r="L8" s="81">
        <f t="shared" ref="L8" si="4">K8-I8</f>
        <v>43.513569999835454</v>
      </c>
      <c r="M8" s="70"/>
    </row>
    <row r="9" spans="1:15" s="40" customFormat="1" ht="15.75">
      <c r="A9" s="72">
        <f t="shared" ref="A9:A18" si="5">A8+1</f>
        <v>202103</v>
      </c>
      <c r="B9" s="77">
        <v>3.2500000000000001E-2</v>
      </c>
      <c r="C9" s="57"/>
      <c r="D9" s="60">
        <v>0</v>
      </c>
      <c r="E9" s="79">
        <f t="shared" si="1"/>
        <v>941620.11643000017</v>
      </c>
      <c r="F9" s="78">
        <v>-477149.37523399992</v>
      </c>
      <c r="G9" s="78">
        <v>-528059.47194600035</v>
      </c>
      <c r="H9" s="58">
        <f>ROUND(((E9)*(B9/12))+((SUM(F9:G9)/2)*(B9/12)),2)</f>
        <v>1189</v>
      </c>
      <c r="I9" s="98">
        <f t="shared" si="3"/>
        <v>-62399.730750000104</v>
      </c>
      <c r="J9" s="59"/>
      <c r="K9" s="80">
        <v>-62159.9</v>
      </c>
      <c r="L9" s="81">
        <f t="shared" ref="L9" si="6">K9-I9</f>
        <v>239.83075000010285</v>
      </c>
      <c r="M9" s="70"/>
    </row>
    <row r="10" spans="1:15" s="40" customFormat="1" ht="15.75">
      <c r="A10" s="72">
        <f t="shared" si="5"/>
        <v>202104</v>
      </c>
      <c r="B10" s="77">
        <v>3.2500000000000001E-2</v>
      </c>
      <c r="C10" s="57"/>
      <c r="D10" s="60">
        <v>0</v>
      </c>
      <c r="E10" s="79">
        <f t="shared" si="1"/>
        <v>-62399.730750000104</v>
      </c>
      <c r="F10" s="78">
        <v>168916.46053000027</v>
      </c>
      <c r="G10" s="78">
        <v>280833.7815040003</v>
      </c>
      <c r="H10" s="58">
        <f t="shared" ref="H10:H18" si="7">ROUND(((E10)*(B10/12))+((SUM(F10:G10)/2)*(B10/12)),2)</f>
        <v>440.04</v>
      </c>
      <c r="I10" s="98">
        <f t="shared" si="3"/>
        <v>387790.55128400045</v>
      </c>
      <c r="J10" s="59"/>
      <c r="K10" s="80">
        <v>387790.55</v>
      </c>
      <c r="L10" s="81">
        <f t="shared" ref="L10" si="8">K10-I10</f>
        <v>-1.284000463783741E-3</v>
      </c>
      <c r="M10" s="70"/>
      <c r="N10" s="242"/>
      <c r="O10" s="242"/>
    </row>
    <row r="11" spans="1:15" s="40" customFormat="1" ht="15.75">
      <c r="A11" s="72">
        <f t="shared" si="5"/>
        <v>202105</v>
      </c>
      <c r="B11" s="77">
        <v>3.2500000000000001E-2</v>
      </c>
      <c r="C11" s="57"/>
      <c r="D11" s="60">
        <v>0</v>
      </c>
      <c r="E11" s="79">
        <f t="shared" si="1"/>
        <v>387790.55128400045</v>
      </c>
      <c r="F11" s="78">
        <v>167165.72298000008</v>
      </c>
      <c r="G11" s="78">
        <v>846112.27455000009</v>
      </c>
      <c r="H11" s="58">
        <f t="shared" si="7"/>
        <v>2422.41</v>
      </c>
      <c r="I11" s="98">
        <f t="shared" si="3"/>
        <v>1403490.9588140005</v>
      </c>
      <c r="J11" s="59"/>
      <c r="K11" s="80">
        <v>1403490.96</v>
      </c>
      <c r="L11" s="81">
        <f t="shared" ref="L11" si="9">K11-I11</f>
        <v>1.1859994847327471E-3</v>
      </c>
      <c r="M11" s="70"/>
      <c r="N11" s="242"/>
      <c r="O11" s="242"/>
    </row>
    <row r="12" spans="1:15" s="40" customFormat="1" ht="15.75">
      <c r="A12" s="72">
        <f t="shared" si="5"/>
        <v>202106</v>
      </c>
      <c r="B12" s="77">
        <v>3.2500000000000001E-2</v>
      </c>
      <c r="C12" s="57"/>
      <c r="D12" s="60">
        <v>0</v>
      </c>
      <c r="E12" s="79">
        <f t="shared" si="1"/>
        <v>1403490.9588140005</v>
      </c>
      <c r="F12" s="78">
        <v>-54575.778331000824</v>
      </c>
      <c r="G12" s="78">
        <v>1064454.1866520001</v>
      </c>
      <c r="H12" s="58">
        <f t="shared" si="7"/>
        <v>5168.67</v>
      </c>
      <c r="I12" s="98">
        <f t="shared" si="3"/>
        <v>2418538.0371349994</v>
      </c>
      <c r="J12" s="59"/>
      <c r="K12" s="80">
        <v>2418538.04</v>
      </c>
      <c r="L12" s="81">
        <f t="shared" ref="L12" si="10">K12-I12</f>
        <v>2.8650006279349327E-3</v>
      </c>
      <c r="M12" s="70"/>
      <c r="N12" s="242"/>
      <c r="O12" s="242"/>
    </row>
    <row r="13" spans="1:15" s="40" customFormat="1" ht="15.75">
      <c r="A13" s="72">
        <f t="shared" si="5"/>
        <v>202107</v>
      </c>
      <c r="B13" s="77">
        <v>3.2500000000000001E-2</v>
      </c>
      <c r="C13" s="57"/>
      <c r="D13" s="60">
        <v>0</v>
      </c>
      <c r="E13" s="79">
        <f t="shared" si="1"/>
        <v>2418538.0371349994</v>
      </c>
      <c r="F13" s="78">
        <v>201380.80450599967</v>
      </c>
      <c r="G13" s="78">
        <v>1186640.7478760001</v>
      </c>
      <c r="H13" s="58">
        <f t="shared" si="7"/>
        <v>8429.82</v>
      </c>
      <c r="I13" s="98">
        <f>SUM(E13:H13)</f>
        <v>3814989.409516999</v>
      </c>
      <c r="J13" s="59"/>
      <c r="K13" s="80">
        <v>3814989.41</v>
      </c>
      <c r="L13" s="81">
        <f t="shared" ref="L13" si="11">K13-I13</f>
        <v>4.8300111666321754E-4</v>
      </c>
      <c r="M13" s="70"/>
      <c r="N13" s="242"/>
    </row>
    <row r="14" spans="1:15" s="40" customFormat="1" ht="15.75">
      <c r="A14" s="72">
        <f t="shared" si="5"/>
        <v>202108</v>
      </c>
      <c r="B14" s="77">
        <v>3.2500000000000001E-2</v>
      </c>
      <c r="C14" s="57"/>
      <c r="D14" s="60">
        <v>0</v>
      </c>
      <c r="E14" s="79">
        <f t="shared" si="1"/>
        <v>3814989.409516999</v>
      </c>
      <c r="F14" s="78">
        <v>-686888.80716499977</v>
      </c>
      <c r="G14" s="78">
        <v>1088873.9676080004</v>
      </c>
      <c r="H14" s="58">
        <f t="shared" si="7"/>
        <v>10876.62</v>
      </c>
      <c r="I14" s="98">
        <f>SUM(E14:H14)</f>
        <v>4227851.1899600001</v>
      </c>
      <c r="J14" s="59"/>
      <c r="K14" s="80">
        <v>4227851.1900000004</v>
      </c>
      <c r="L14" s="81">
        <f t="shared" ref="L14" si="12">K14-I14</f>
        <v>4.0000304579734802E-5</v>
      </c>
      <c r="M14" s="70"/>
    </row>
    <row r="15" spans="1:15" s="40" customFormat="1" ht="15.75">
      <c r="A15" s="72">
        <f t="shared" si="5"/>
        <v>202109</v>
      </c>
      <c r="B15" s="77">
        <v>3.2500000000000001E-2</v>
      </c>
      <c r="C15" s="57"/>
      <c r="D15" s="60">
        <v>0</v>
      </c>
      <c r="E15" s="79">
        <f t="shared" si="1"/>
        <v>4227851.1899600001</v>
      </c>
      <c r="F15" s="78">
        <v>234914.16278000001</v>
      </c>
      <c r="G15" s="78">
        <v>947319.05468399997</v>
      </c>
      <c r="H15" s="58">
        <f t="shared" si="7"/>
        <v>13051.37</v>
      </c>
      <c r="I15" s="98">
        <f t="shared" ref="I15:I16" si="13">SUM(E15:H15)</f>
        <v>5423135.7774240002</v>
      </c>
      <c r="J15" s="59"/>
      <c r="K15" s="80">
        <v>5423135.7800000003</v>
      </c>
      <c r="L15" s="81">
        <f t="shared" ref="L15" si="14">K15-I15</f>
        <v>2.5760000571608543E-3</v>
      </c>
      <c r="M15" s="70"/>
    </row>
    <row r="16" spans="1:15" s="40" customFormat="1" ht="15.75">
      <c r="A16" s="72">
        <f t="shared" si="5"/>
        <v>202110</v>
      </c>
      <c r="B16" s="77">
        <v>3.2500000000000001E-2</v>
      </c>
      <c r="C16" s="57"/>
      <c r="D16" s="60">
        <v>0</v>
      </c>
      <c r="E16" s="79">
        <f t="shared" si="1"/>
        <v>5423135.7774240002</v>
      </c>
      <c r="F16" s="78">
        <v>1575541.5688560002</v>
      </c>
      <c r="G16" s="78">
        <v>402622.35408799979</v>
      </c>
      <c r="H16" s="58">
        <f t="shared" si="7"/>
        <v>17366.419999999998</v>
      </c>
      <c r="I16" s="255">
        <f t="shared" si="13"/>
        <v>7418666.1203680001</v>
      </c>
      <c r="J16" s="59"/>
      <c r="K16" s="80">
        <v>7418666.1200000001</v>
      </c>
      <c r="L16" s="81">
        <f t="shared" ref="L16" si="15">K16-I16</f>
        <v>-3.6800000816583633E-4</v>
      </c>
      <c r="M16" s="70"/>
    </row>
    <row r="17" spans="1:23" s="40" customFormat="1" ht="15.75">
      <c r="A17" s="72">
        <f t="shared" si="5"/>
        <v>202111</v>
      </c>
      <c r="B17" s="77">
        <v>3.2500000000000001E-2</v>
      </c>
      <c r="C17" s="57"/>
      <c r="D17" s="60">
        <f>-I16</f>
        <v>-7418666.1203680001</v>
      </c>
      <c r="E17" s="79">
        <f t="shared" si="1"/>
        <v>0</v>
      </c>
      <c r="F17" s="78">
        <v>2350542.1530599985</v>
      </c>
      <c r="G17" s="78">
        <v>-142392.52266999986</v>
      </c>
      <c r="H17" s="58">
        <f t="shared" si="7"/>
        <v>2990.2</v>
      </c>
      <c r="I17" s="98">
        <f>SUM(E17:H17)</f>
        <v>2211139.8303899989</v>
      </c>
      <c r="J17" s="59"/>
      <c r="K17" s="80">
        <v>2211139.83</v>
      </c>
      <c r="L17" s="81">
        <f t="shared" ref="L17" si="16">K17-I17</f>
        <v>-3.8999877870082855E-4</v>
      </c>
      <c r="M17" s="46"/>
    </row>
    <row r="18" spans="1:23" s="40" customFormat="1" ht="16.5" thickBot="1">
      <c r="A18" s="73">
        <f t="shared" si="5"/>
        <v>202112</v>
      </c>
      <c r="B18" s="61">
        <v>3.2500000000000001E-2</v>
      </c>
      <c r="C18" s="74"/>
      <c r="D18" s="62">
        <v>0</v>
      </c>
      <c r="E18" s="63">
        <f t="shared" si="1"/>
        <v>2211139.8303899989</v>
      </c>
      <c r="F18" s="62">
        <v>2278910.1743999962</v>
      </c>
      <c r="G18" s="62">
        <v>-1449282.2088959999</v>
      </c>
      <c r="H18" s="63">
        <f t="shared" si="7"/>
        <v>7111.96</v>
      </c>
      <c r="I18" s="107">
        <f t="shared" ref="I18" si="17">SUM(E18:H18)</f>
        <v>3047879.7558939951</v>
      </c>
      <c r="J18" s="75"/>
      <c r="K18" s="157">
        <v>3047879.76</v>
      </c>
      <c r="L18" s="158">
        <f t="shared" ref="L18:L19" si="18">K18-I18</f>
        <v>4.1060047224164009E-3</v>
      </c>
      <c r="M18" s="70"/>
    </row>
    <row r="19" spans="1:23" s="40" customFormat="1" ht="15.75">
      <c r="A19" s="76">
        <v>202201</v>
      </c>
      <c r="B19" s="77">
        <v>3.2500000000000001E-2</v>
      </c>
      <c r="C19" s="57"/>
      <c r="D19" s="78">
        <v>0</v>
      </c>
      <c r="E19" s="79">
        <f t="shared" ref="E19:E30" si="19">I18+D19</f>
        <v>3047879.7558939951</v>
      </c>
      <c r="F19" s="78">
        <f>'Jan 22'!M$37</f>
        <v>4404617.2834499981</v>
      </c>
      <c r="G19" s="78">
        <f>'Jan 22'!L$37</f>
        <v>-1414616.2167429999</v>
      </c>
      <c r="H19" s="254">
        <f>ROUND(((E19)*(B19/12))+((SUM(F19:G19)/2)*(B19/12)),2)</f>
        <v>12303.63</v>
      </c>
      <c r="I19" s="79">
        <f>SUM(E19:H19)</f>
        <v>6050184.4526009932</v>
      </c>
      <c r="J19" s="59"/>
      <c r="K19" s="80">
        <v>6050182.3399999999</v>
      </c>
      <c r="L19" s="81">
        <f t="shared" si="18"/>
        <v>-2.1126009933650494</v>
      </c>
      <c r="M19" s="70"/>
      <c r="N19" s="116" t="s">
        <v>142</v>
      </c>
    </row>
    <row r="20" spans="1:23" s="40" customFormat="1" ht="15.75">
      <c r="A20" s="72">
        <f>A19+1</f>
        <v>202202</v>
      </c>
      <c r="B20" s="77">
        <v>3.2500000000000001E-2</v>
      </c>
      <c r="C20" s="57"/>
      <c r="D20" s="60">
        <v>0</v>
      </c>
      <c r="E20" s="79">
        <f t="shared" si="19"/>
        <v>6050184.4526009932</v>
      </c>
      <c r="F20" s="78">
        <f>'Feb 22'!M$37</f>
        <v>2954218.8408320006</v>
      </c>
      <c r="G20" s="78">
        <f>'Feb 22'!L$37</f>
        <v>-1006837.3153379997</v>
      </c>
      <c r="H20" s="58">
        <f t="shared" ref="H20" si="20">ROUND(((E20)*(B20/12))+((SUM(F20:G20)/2)*(B20/12)),2)</f>
        <v>19023</v>
      </c>
      <c r="I20" s="98">
        <f t="shared" ref="I20:I24" si="21">SUM(E20:H20)</f>
        <v>8016588.9780949941</v>
      </c>
      <c r="J20" s="59"/>
      <c r="K20" s="80">
        <v>8016588.9699999997</v>
      </c>
      <c r="L20" s="81">
        <f t="shared" ref="L20" si="22">K20-I20</f>
        <v>-8.0949943512678146E-3</v>
      </c>
      <c r="M20" s="70"/>
    </row>
    <row r="21" spans="1:23" s="40" customFormat="1" ht="15.75">
      <c r="A21" s="72">
        <f t="shared" ref="A21:A30" si="23">A20+1</f>
        <v>202203</v>
      </c>
      <c r="B21" s="77">
        <v>3.2500000000000001E-2</v>
      </c>
      <c r="C21" s="57"/>
      <c r="D21" s="60">
        <v>0</v>
      </c>
      <c r="E21" s="79">
        <f t="shared" si="19"/>
        <v>8016588.9780949941</v>
      </c>
      <c r="F21" s="78">
        <f>'Mar 22'!M$37</f>
        <v>1397465.5280680005</v>
      </c>
      <c r="G21" s="78">
        <f>'Mar 22'!L$37</f>
        <v>-287194.87563999998</v>
      </c>
      <c r="H21" s="58">
        <f>ROUND(((E21)*(B21/12))+((SUM(F21:G21)/2)*(B21/12)),2)</f>
        <v>23215.09</v>
      </c>
      <c r="I21" s="98">
        <f t="shared" si="21"/>
        <v>9150074.7205229942</v>
      </c>
      <c r="J21" s="59"/>
      <c r="K21" s="80">
        <v>9150074.7100000009</v>
      </c>
      <c r="L21" s="81">
        <f t="shared" ref="L21" si="24">K21-I21</f>
        <v>-1.052299328148365E-2</v>
      </c>
      <c r="M21" s="70"/>
    </row>
    <row r="22" spans="1:23" s="40" customFormat="1" ht="15.75">
      <c r="A22" s="72">
        <f t="shared" si="23"/>
        <v>202204</v>
      </c>
      <c r="B22" s="77">
        <v>3.2500000000000001E-2</v>
      </c>
      <c r="C22" s="57"/>
      <c r="D22" s="60">
        <v>0</v>
      </c>
      <c r="E22" s="79">
        <f t="shared" si="19"/>
        <v>9150074.7205229942</v>
      </c>
      <c r="F22" s="78">
        <f>'Apr 22'!M$37</f>
        <v>3922154.6497640009</v>
      </c>
      <c r="G22" s="78">
        <f>'Apr 22'!L$37</f>
        <v>-55329.702875999967</v>
      </c>
      <c r="H22" s="58">
        <f t="shared" ref="H22:H30" si="25">ROUND(((E22)*(B22/12))+((SUM(F22:G22)/2)*(B22/12)),2)</f>
        <v>30017.78</v>
      </c>
      <c r="I22" s="98">
        <f t="shared" si="21"/>
        <v>13046917.447410995</v>
      </c>
      <c r="J22" s="59"/>
      <c r="K22" s="80">
        <v>13046917.439999999</v>
      </c>
      <c r="L22" s="81">
        <f t="shared" ref="L22" si="26">K22-I22</f>
        <v>-7.4109956622123718E-3</v>
      </c>
      <c r="M22" s="70"/>
      <c r="N22" s="242"/>
      <c r="O22" s="242"/>
    </row>
    <row r="23" spans="1:23" s="40" customFormat="1" ht="15.75">
      <c r="A23" s="72">
        <f t="shared" si="23"/>
        <v>202205</v>
      </c>
      <c r="B23" s="77">
        <v>3.2500000000000001E-2</v>
      </c>
      <c r="C23" s="57"/>
      <c r="D23" s="60">
        <v>0</v>
      </c>
      <c r="E23" s="79">
        <f t="shared" si="19"/>
        <v>13046917.447410995</v>
      </c>
      <c r="F23" s="78">
        <f>'May 22'!M$37</f>
        <v>2304917.315699996</v>
      </c>
      <c r="G23" s="78">
        <f>'May 22'!L$37</f>
        <v>560217.39907500008</v>
      </c>
      <c r="H23" s="58">
        <f t="shared" si="25"/>
        <v>39215.269999999997</v>
      </c>
      <c r="I23" s="98">
        <f t="shared" si="21"/>
        <v>15951267.432185991</v>
      </c>
      <c r="J23" s="59"/>
      <c r="K23" s="80">
        <v>15951267.42</v>
      </c>
      <c r="L23" s="81">
        <f t="shared" ref="L23" si="27">K23-I23</f>
        <v>-1.2185990810394287E-2</v>
      </c>
      <c r="M23" s="70"/>
      <c r="N23" s="242"/>
      <c r="O23" s="242"/>
    </row>
    <row r="24" spans="1:23" s="40" customFormat="1" ht="15.75">
      <c r="A24" s="72">
        <f t="shared" si="23"/>
        <v>202206</v>
      </c>
      <c r="B24" s="77">
        <v>3.2500000000000001E-2</v>
      </c>
      <c r="C24" s="57"/>
      <c r="D24" s="60">
        <v>0</v>
      </c>
      <c r="E24" s="79">
        <f t="shared" si="19"/>
        <v>15951267.432185991</v>
      </c>
      <c r="F24" s="78">
        <f>'Jun 22'!M$37</f>
        <v>362036.44918000046</v>
      </c>
      <c r="G24" s="78">
        <f>'Jun 22'!L$37</f>
        <v>992540.13287099998</v>
      </c>
      <c r="H24" s="58">
        <f t="shared" si="25"/>
        <v>45035.67</v>
      </c>
      <c r="I24" s="98">
        <f t="shared" si="21"/>
        <v>17350879.684236992</v>
      </c>
      <c r="J24" s="59"/>
      <c r="K24" s="80">
        <v>17350879.670000002</v>
      </c>
      <c r="L24" s="81">
        <f t="shared" ref="L24" si="28">K24-I24</f>
        <v>-1.4236990362405777E-2</v>
      </c>
      <c r="M24" s="70"/>
      <c r="N24" s="242"/>
      <c r="O24" s="242"/>
    </row>
    <row r="25" spans="1:23" s="40" customFormat="1" ht="15.75">
      <c r="A25" s="72">
        <f t="shared" si="23"/>
        <v>202207</v>
      </c>
      <c r="B25" s="77">
        <v>3.5999999999999997E-2</v>
      </c>
      <c r="C25" s="57"/>
      <c r="D25" s="60">
        <v>0</v>
      </c>
      <c r="E25" s="79">
        <f t="shared" si="19"/>
        <v>17350879.684236992</v>
      </c>
      <c r="F25" s="78">
        <f>'Jul 22'!M$37</f>
        <v>-993656.17931799591</v>
      </c>
      <c r="G25" s="78">
        <f>'Jul 22'!L$37</f>
        <v>1216959.2114270001</v>
      </c>
      <c r="H25" s="58">
        <f t="shared" si="25"/>
        <v>52387.59</v>
      </c>
      <c r="I25" s="98">
        <f>SUM(E25:H25)</f>
        <v>17626570.306345996</v>
      </c>
      <c r="J25" s="59"/>
      <c r="K25" s="80">
        <v>17350879.670000002</v>
      </c>
      <c r="L25" s="81">
        <f t="shared" ref="L25" si="29">K25-I25</f>
        <v>-275690.63634599373</v>
      </c>
      <c r="M25" s="70"/>
      <c r="N25" s="242"/>
    </row>
    <row r="26" spans="1:23" s="40" customFormat="1" ht="15.75">
      <c r="A26" s="72">
        <f t="shared" si="23"/>
        <v>202208</v>
      </c>
      <c r="B26" s="77"/>
      <c r="C26" s="57"/>
      <c r="D26" s="60">
        <v>0</v>
      </c>
      <c r="E26" s="79">
        <f t="shared" si="19"/>
        <v>17626570.306345996</v>
      </c>
      <c r="F26" s="78"/>
      <c r="G26" s="78"/>
      <c r="H26" s="58">
        <f t="shared" si="25"/>
        <v>0</v>
      </c>
      <c r="I26" s="98">
        <f>SUM(E26:H26)</f>
        <v>17626570.306345996</v>
      </c>
      <c r="J26" s="59"/>
      <c r="K26" s="80"/>
      <c r="L26" s="81"/>
      <c r="M26" s="70"/>
    </row>
    <row r="27" spans="1:23" s="40" customFormat="1" ht="15.75">
      <c r="A27" s="72">
        <f t="shared" si="23"/>
        <v>202209</v>
      </c>
      <c r="B27" s="77"/>
      <c r="C27" s="57"/>
      <c r="D27" s="60">
        <v>0</v>
      </c>
      <c r="E27" s="79">
        <f t="shared" si="19"/>
        <v>17626570.306345996</v>
      </c>
      <c r="F27" s="78"/>
      <c r="G27" s="78"/>
      <c r="H27" s="58">
        <f t="shared" si="25"/>
        <v>0</v>
      </c>
      <c r="I27" s="98">
        <f t="shared" ref="I27:I28" si="30">SUM(E27:H27)</f>
        <v>17626570.306345996</v>
      </c>
      <c r="J27" s="59"/>
      <c r="K27" s="80"/>
      <c r="L27" s="81"/>
      <c r="M27" s="70"/>
    </row>
    <row r="28" spans="1:23" s="40" customFormat="1" ht="15.75">
      <c r="A28" s="72">
        <f t="shared" si="23"/>
        <v>202210</v>
      </c>
      <c r="B28" s="77"/>
      <c r="C28" s="57"/>
      <c r="D28" s="60">
        <v>0</v>
      </c>
      <c r="E28" s="79">
        <f t="shared" si="19"/>
        <v>17626570.306345996</v>
      </c>
      <c r="F28" s="78"/>
      <c r="G28" s="78"/>
      <c r="H28" s="58">
        <f t="shared" si="25"/>
        <v>0</v>
      </c>
      <c r="I28" s="98">
        <f t="shared" si="30"/>
        <v>17626570.306345996</v>
      </c>
      <c r="J28" s="59"/>
      <c r="K28" s="80"/>
      <c r="L28" s="81"/>
      <c r="M28" s="70"/>
    </row>
    <row r="29" spans="1:23" s="40" customFormat="1" ht="15.75">
      <c r="A29" s="72">
        <f t="shared" si="23"/>
        <v>202211</v>
      </c>
      <c r="B29" s="77"/>
      <c r="C29" s="57"/>
      <c r="D29" s="60"/>
      <c r="E29" s="79">
        <f t="shared" si="19"/>
        <v>17626570.306345996</v>
      </c>
      <c r="F29" s="78"/>
      <c r="G29" s="78"/>
      <c r="H29" s="58">
        <f t="shared" si="25"/>
        <v>0</v>
      </c>
      <c r="I29" s="98">
        <f>SUM(E29:H29)</f>
        <v>17626570.306345996</v>
      </c>
      <c r="J29" s="59"/>
      <c r="K29" s="80"/>
      <c r="L29" s="81"/>
      <c r="M29" s="46"/>
    </row>
    <row r="30" spans="1:23" s="40" customFormat="1" ht="16.5" thickBot="1">
      <c r="A30" s="73">
        <f t="shared" si="23"/>
        <v>202212</v>
      </c>
      <c r="B30" s="61"/>
      <c r="C30" s="74"/>
      <c r="D30" s="62">
        <v>0</v>
      </c>
      <c r="E30" s="63">
        <f t="shared" si="19"/>
        <v>17626570.306345996</v>
      </c>
      <c r="F30" s="62"/>
      <c r="G30" s="62"/>
      <c r="H30" s="63">
        <f t="shared" si="25"/>
        <v>0</v>
      </c>
      <c r="I30" s="107">
        <f t="shared" ref="I30" si="31">SUM(E30:H30)</f>
        <v>17626570.306345996</v>
      </c>
      <c r="J30" s="59"/>
      <c r="K30" s="80"/>
      <c r="L30" s="81"/>
      <c r="M30" s="70"/>
    </row>
    <row r="31" spans="1:23" ht="15.75">
      <c r="A31" s="55"/>
      <c r="B31" s="55"/>
      <c r="C31" s="56"/>
      <c r="D31" s="64">
        <f>SUMIF($A$7:$A$30,$D34,D$7:D$30)</f>
        <v>0</v>
      </c>
      <c r="E31" s="55"/>
      <c r="F31" s="64">
        <f>SUMIF($A$7:$A$30,$D34,F$7:F$30)</f>
        <v>-993656.17931799591</v>
      </c>
      <c r="G31" s="64">
        <f>SUMIF($A$7:$A$30,$D34,G$7:G$30)</f>
        <v>1216959.2114270001</v>
      </c>
      <c r="H31" s="64">
        <f>SUMIF($A$7:$A$30,$D34,H$7:H$30)</f>
        <v>52387.59</v>
      </c>
      <c r="I31" s="65" t="s">
        <v>49</v>
      </c>
      <c r="J31" s="56"/>
      <c r="K31" s="55"/>
      <c r="L31" s="55"/>
      <c r="M31" s="69"/>
      <c r="Q31" s="45"/>
      <c r="R31" s="46"/>
      <c r="S31" s="46"/>
      <c r="T31" s="47"/>
      <c r="U31" s="33"/>
      <c r="V31" s="33"/>
      <c r="W31" s="33"/>
    </row>
    <row r="32" spans="1:23" s="112" customFormat="1">
      <c r="A32" s="68"/>
      <c r="B32" s="68"/>
      <c r="C32" s="109"/>
      <c r="D32" s="110" t="s">
        <v>67</v>
      </c>
      <c r="E32" s="68"/>
      <c r="F32" s="110" t="s">
        <v>60</v>
      </c>
      <c r="G32" s="110" t="s">
        <v>61</v>
      </c>
      <c r="H32" s="110" t="s">
        <v>62</v>
      </c>
      <c r="I32" s="68"/>
      <c r="J32" s="109"/>
      <c r="K32" s="68"/>
      <c r="L32" s="68"/>
      <c r="M32" s="111"/>
      <c r="Q32" s="113"/>
      <c r="R32" s="113"/>
      <c r="S32" s="113"/>
      <c r="T32" s="113"/>
      <c r="U32" s="113"/>
      <c r="V32" s="113"/>
      <c r="W32" s="113"/>
    </row>
    <row r="33" spans="1:23">
      <c r="A33" s="55"/>
      <c r="B33" s="55"/>
      <c r="C33" s="56"/>
      <c r="D33" s="55"/>
      <c r="E33" s="55"/>
      <c r="F33" s="55"/>
      <c r="G33" s="55"/>
      <c r="H33" s="55"/>
      <c r="I33" s="55"/>
      <c r="J33" s="56"/>
      <c r="K33" s="55"/>
      <c r="L33" s="55"/>
      <c r="M33" s="69"/>
      <c r="Q33" s="33"/>
      <c r="R33" s="33"/>
      <c r="S33" s="33"/>
      <c r="T33" s="33"/>
      <c r="U33" s="33"/>
      <c r="V33" s="33"/>
      <c r="W33" s="33"/>
    </row>
    <row r="34" spans="1:23">
      <c r="A34" s="55"/>
      <c r="B34" s="55"/>
      <c r="C34" s="56"/>
      <c r="D34" s="48">
        <v>202207</v>
      </c>
      <c r="E34" s="49" t="s">
        <v>50</v>
      </c>
      <c r="F34" s="50"/>
      <c r="G34" s="55"/>
      <c r="H34" s="55"/>
      <c r="I34" s="55"/>
      <c r="J34" s="56"/>
      <c r="K34" s="55"/>
      <c r="L34" s="55"/>
      <c r="M34" s="69"/>
    </row>
    <row r="35" spans="1:23">
      <c r="A35" s="55"/>
      <c r="B35" s="55"/>
      <c r="C35" s="56"/>
      <c r="D35" s="51" t="s">
        <v>51</v>
      </c>
      <c r="E35" s="51" t="s">
        <v>52</v>
      </c>
      <c r="F35" s="51" t="s">
        <v>53</v>
      </c>
      <c r="G35" s="55"/>
      <c r="H35" s="55"/>
      <c r="I35" s="55"/>
      <c r="J35" s="56"/>
      <c r="K35" s="55"/>
      <c r="L35" s="55"/>
      <c r="M35" s="69"/>
    </row>
    <row r="36" spans="1:23">
      <c r="A36" s="55"/>
      <c r="B36" s="55"/>
      <c r="C36" s="66" t="s">
        <v>21</v>
      </c>
      <c r="D36" s="52" t="s">
        <v>54</v>
      </c>
      <c r="E36" s="53"/>
      <c r="F36" s="54">
        <f>IF($H$31&gt;0,ABS($H$31),"")</f>
        <v>52387.59</v>
      </c>
      <c r="G36" s="68" t="s">
        <v>62</v>
      </c>
      <c r="H36" s="55"/>
      <c r="I36" s="66"/>
      <c r="J36" s="66"/>
      <c r="K36" s="263"/>
      <c r="L36" s="263"/>
      <c r="M36" s="264"/>
      <c r="N36" s="265"/>
    </row>
    <row r="37" spans="1:23">
      <c r="A37" s="55"/>
      <c r="B37" s="55"/>
      <c r="C37" s="66" t="s">
        <v>58</v>
      </c>
      <c r="D37" s="52" t="s">
        <v>55</v>
      </c>
      <c r="E37" s="54" t="str">
        <f>IF($H$31&lt;0,ABS($H$31),"")</f>
        <v/>
      </c>
      <c r="F37" s="53"/>
      <c r="G37" s="68" t="s">
        <v>62</v>
      </c>
      <c r="H37" s="55"/>
      <c r="I37" s="66"/>
      <c r="J37" s="66"/>
      <c r="K37" s="263"/>
      <c r="L37" s="263"/>
      <c r="M37" s="264"/>
      <c r="N37" s="265"/>
    </row>
    <row r="38" spans="1:23">
      <c r="A38" s="55"/>
      <c r="B38" s="55"/>
      <c r="C38" s="66" t="s">
        <v>83</v>
      </c>
      <c r="D38" s="52" t="s">
        <v>56</v>
      </c>
      <c r="E38" s="54">
        <f>IF($F$31+$G$31+H31&gt;0,ABS($F$31+$G$31+H31),"")</f>
        <v>275690.62210900418</v>
      </c>
      <c r="F38" s="54" t="str">
        <f>IF($F$31+$G$31+H31&lt;0,ABS($F$31+$G$31+H31),"")</f>
        <v/>
      </c>
      <c r="G38" s="68" t="s">
        <v>63</v>
      </c>
      <c r="H38" s="55"/>
      <c r="I38" s="66"/>
      <c r="J38" s="66"/>
      <c r="K38" s="263"/>
      <c r="L38" s="263"/>
      <c r="M38" s="264"/>
      <c r="N38" s="265"/>
    </row>
    <row r="39" spans="1:23">
      <c r="A39" s="55"/>
      <c r="B39" s="55"/>
      <c r="C39" s="66" t="s">
        <v>59</v>
      </c>
      <c r="D39" s="52" t="s">
        <v>57</v>
      </c>
      <c r="E39" s="54" t="str">
        <f>IF($F$31+$G$31&lt;0,ABS($F$31+$G$31),"")</f>
        <v/>
      </c>
      <c r="F39" s="54">
        <f>IF($F$31+$G$31&gt;0,ABS($F$31+$G$31),"")</f>
        <v>223303.03210900421</v>
      </c>
      <c r="G39" s="68" t="s">
        <v>64</v>
      </c>
      <c r="H39" s="55"/>
      <c r="I39" s="66"/>
      <c r="J39" s="66"/>
      <c r="K39" s="263"/>
      <c r="L39" s="263"/>
      <c r="M39" s="264"/>
      <c r="N39" s="265"/>
    </row>
    <row r="40" spans="1:23">
      <c r="A40" s="55"/>
      <c r="B40" s="55"/>
      <c r="C40" s="56"/>
      <c r="D40" s="55"/>
      <c r="E40" s="55"/>
      <c r="F40" s="55"/>
      <c r="G40" s="68"/>
      <c r="H40" s="55"/>
      <c r="I40" s="55"/>
      <c r="J40" s="56"/>
      <c r="K40" s="55"/>
      <c r="L40" s="55"/>
      <c r="M40" s="69"/>
    </row>
    <row r="41" spans="1:23">
      <c r="A41" s="55"/>
      <c r="B41" s="55"/>
      <c r="C41" s="56"/>
      <c r="D41" s="55"/>
      <c r="E41" s="55"/>
      <c r="F41" s="67">
        <f>SUM(E36:E39)-SUM(F36:F39)</f>
        <v>0</v>
      </c>
      <c r="G41" s="68" t="s">
        <v>65</v>
      </c>
      <c r="H41" s="55"/>
      <c r="I41" s="55"/>
      <c r="J41" s="56"/>
      <c r="K41" s="55"/>
      <c r="L41" s="55"/>
      <c r="M41" s="69"/>
    </row>
    <row r="42" spans="1:23">
      <c r="G42" s="112"/>
    </row>
    <row r="43" spans="1:23" ht="15.75">
      <c r="D43" s="51" t="s">
        <v>66</v>
      </c>
      <c r="E43" s="249"/>
      <c r="F43" s="250"/>
      <c r="G43" s="114"/>
    </row>
    <row r="44" spans="1:23">
      <c r="D44" s="52" t="s">
        <v>56</v>
      </c>
      <c r="E44" s="54"/>
      <c r="F44" s="84"/>
      <c r="G44" s="68" t="s">
        <v>67</v>
      </c>
    </row>
    <row r="45" spans="1:23">
      <c r="D45" s="83" t="s">
        <v>68</v>
      </c>
      <c r="E45" s="84"/>
      <c r="F45" s="54"/>
      <c r="G45" s="85"/>
    </row>
  </sheetData>
  <printOptions horizontalCentered="1"/>
  <pageMargins left="0.25" right="0.25" top="0.5" bottom="0.5" header="0.3" footer="0.3"/>
  <pageSetup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Z47"/>
  <sheetViews>
    <sheetView zoomScale="90" zoomScaleNormal="90" workbookViewId="0">
      <pane ySplit="6" topLeftCell="A7" activePane="bottomLeft" state="frozen"/>
      <selection activeCell="F26" sqref="F26"/>
      <selection pane="bottomLeft" activeCell="A42" sqref="A7:XFD42"/>
    </sheetView>
  </sheetViews>
  <sheetFormatPr defaultColWidth="8.85546875" defaultRowHeight="12.75" outlineLevelCol="1"/>
  <cols>
    <col min="1" max="1" width="9.140625" style="55" customWidth="1"/>
    <col min="2" max="2" width="9" style="55" bestFit="1" customWidth="1"/>
    <col min="3" max="3" width="14.140625" style="55" bestFit="1" customWidth="1"/>
    <col min="4" max="4" width="12.85546875" style="55" bestFit="1" customWidth="1"/>
    <col min="5" max="5" width="14.140625" style="55" bestFit="1" customWidth="1"/>
    <col min="6" max="6" width="14.28515625" style="55" bestFit="1" customWidth="1"/>
    <col min="7" max="7" width="12.42578125" style="55" customWidth="1"/>
    <col min="8" max="8" width="13.140625" style="55" bestFit="1" customWidth="1"/>
    <col min="9" max="9" width="11.5703125" style="55" bestFit="1" customWidth="1"/>
    <col min="10" max="10" width="10.140625" style="55" bestFit="1" customWidth="1"/>
    <col min="11" max="11" width="12.42578125" style="55" bestFit="1" customWidth="1"/>
    <col min="12" max="12" width="11.5703125" style="55" hidden="1" customWidth="1" outlineLevel="1"/>
    <col min="13" max="13" width="11" style="55" hidden="1" customWidth="1" outlineLevel="1"/>
    <col min="14" max="14" width="11.5703125" style="55" hidden="1" customWidth="1" outlineLevel="1"/>
    <col min="15" max="15" width="11.28515625" style="55" bestFit="1" customWidth="1" collapsed="1"/>
    <col min="16" max="16" width="14.140625" style="55" bestFit="1" customWidth="1"/>
    <col min="17" max="17" width="1.7109375" style="104" customWidth="1"/>
    <col min="18" max="18" width="14.140625" style="55" bestFit="1" customWidth="1"/>
    <col min="19" max="19" width="13.28515625" style="56" bestFit="1" customWidth="1"/>
    <col min="20" max="20" width="13.5703125" style="55" customWidth="1"/>
    <col min="21" max="21" width="13.85546875" style="55" bestFit="1" customWidth="1"/>
    <col min="22" max="24" width="8.85546875" style="55"/>
    <col min="25" max="25" width="12.7109375" style="55" customWidth="1"/>
    <col min="26" max="27" width="13.140625" style="55" bestFit="1" customWidth="1"/>
    <col min="28" max="16384" width="8.85546875" style="55"/>
  </cols>
  <sheetData>
    <row r="1" spans="1:21" s="36" customFormat="1" ht="15.75">
      <c r="A1" s="88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21" s="36" customFormat="1" ht="15.75">
      <c r="A2" s="88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21" s="36" customFormat="1" ht="15.75">
      <c r="A3" s="88" t="s">
        <v>82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21" s="36" customFormat="1" ht="15.75">
      <c r="A4" s="88" t="s">
        <v>46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21" s="39" customFormat="1" ht="13.5" thickBot="1">
      <c r="A5" s="86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21" s="87" customFormat="1" ht="56.45" customHeight="1">
      <c r="A6" s="42" t="s">
        <v>43</v>
      </c>
      <c r="B6" s="42" t="s">
        <v>41</v>
      </c>
      <c r="C6" s="42" t="s">
        <v>69</v>
      </c>
      <c r="D6" s="42" t="s">
        <v>72</v>
      </c>
      <c r="E6" s="100" t="s">
        <v>40</v>
      </c>
      <c r="F6" s="92" t="s">
        <v>77</v>
      </c>
      <c r="G6" s="93" t="s">
        <v>70</v>
      </c>
      <c r="H6" s="94" t="s">
        <v>48</v>
      </c>
      <c r="I6" s="92" t="s">
        <v>78</v>
      </c>
      <c r="J6" s="93" t="s">
        <v>70</v>
      </c>
      <c r="K6" s="94" t="s">
        <v>48</v>
      </c>
      <c r="L6" s="92" t="s">
        <v>79</v>
      </c>
      <c r="M6" s="93" t="s">
        <v>70</v>
      </c>
      <c r="N6" s="94" t="s">
        <v>48</v>
      </c>
      <c r="O6" s="102" t="s">
        <v>3</v>
      </c>
      <c r="P6" s="42" t="s">
        <v>15</v>
      </c>
      <c r="Q6" s="103"/>
      <c r="R6" s="44" t="s">
        <v>44</v>
      </c>
      <c r="S6" s="44" t="s">
        <v>45</v>
      </c>
    </row>
    <row r="7" spans="1:21">
      <c r="A7" s="135" t="s">
        <v>86</v>
      </c>
      <c r="B7" s="89">
        <v>3.2500000000000001E-2</v>
      </c>
      <c r="C7" s="60">
        <v>0</v>
      </c>
      <c r="D7" s="60">
        <v>0</v>
      </c>
      <c r="E7" s="91">
        <v>1430356.5921189985</v>
      </c>
      <c r="F7" s="257">
        <f>20652318+32556</f>
        <v>20684874</v>
      </c>
      <c r="G7" s="90">
        <v>6.9899999999999997E-3</v>
      </c>
      <c r="H7" s="101">
        <f>F7*G7</f>
        <v>144587.26926</v>
      </c>
      <c r="I7" s="257">
        <v>7466798</v>
      </c>
      <c r="J7" s="90">
        <v>1.2999999999999999E-4</v>
      </c>
      <c r="K7" s="101">
        <f>I7*J7</f>
        <v>970.68373999999994</v>
      </c>
      <c r="L7" s="99">
        <v>0</v>
      </c>
      <c r="M7" s="90">
        <v>0</v>
      </c>
      <c r="N7" s="101">
        <f>L7*M7</f>
        <v>0</v>
      </c>
      <c r="O7" s="97">
        <f t="shared" ref="O7:O11" si="0">ROUND(((E7*(B7/12))+(H7+K7+N7)/2*(B7/12)),2)</f>
        <v>4070.99</v>
      </c>
      <c r="P7" s="79">
        <f t="shared" ref="P7:P16" si="1">E7+H7+K7+N7+O7</f>
        <v>1579985.5351189985</v>
      </c>
      <c r="Q7" s="46"/>
      <c r="R7" s="80">
        <v>1579985.53</v>
      </c>
      <c r="S7" s="81">
        <f t="shared" ref="S7" si="2">R7-P7</f>
        <v>-5.1189984660595655E-3</v>
      </c>
    </row>
    <row r="8" spans="1:21">
      <c r="A8" s="135" t="s">
        <v>87</v>
      </c>
      <c r="B8" s="89">
        <v>3.2500000000000001E-2</v>
      </c>
      <c r="C8" s="60">
        <v>0</v>
      </c>
      <c r="D8" s="60">
        <v>0</v>
      </c>
      <c r="E8" s="91">
        <f t="shared" ref="E8:E18" si="3">P7+C8+D8</f>
        <v>1579985.5351189985</v>
      </c>
      <c r="F8" s="257">
        <f>21465565+35195</f>
        <v>21500760</v>
      </c>
      <c r="G8" s="90">
        <v>6.9899999999999997E-3</v>
      </c>
      <c r="H8" s="101">
        <f t="shared" ref="H8:H16" si="4">F8*G8</f>
        <v>150290.3124</v>
      </c>
      <c r="I8" s="257">
        <v>7487490</v>
      </c>
      <c r="J8" s="90">
        <v>1.2999999999999999E-4</v>
      </c>
      <c r="K8" s="101">
        <f t="shared" ref="K8:K16" si="5">I8*J8</f>
        <v>973.37369999999987</v>
      </c>
      <c r="L8" s="99"/>
      <c r="M8" s="90"/>
      <c r="N8" s="101">
        <f t="shared" ref="N8:N16" si="6">L8*M8</f>
        <v>0</v>
      </c>
      <c r="O8" s="98">
        <f t="shared" si="0"/>
        <v>4483.96</v>
      </c>
      <c r="P8" s="58">
        <f t="shared" si="1"/>
        <v>1735733.1812189985</v>
      </c>
      <c r="Q8" s="46"/>
      <c r="R8" s="80">
        <v>1735733.18</v>
      </c>
      <c r="S8" s="81">
        <f t="shared" ref="S8" si="7">R8-P8</f>
        <v>-1.21899857185781E-3</v>
      </c>
    </row>
    <row r="9" spans="1:21">
      <c r="A9" s="135" t="s">
        <v>88</v>
      </c>
      <c r="B9" s="89">
        <v>3.2500000000000001E-2</v>
      </c>
      <c r="C9" s="60">
        <v>0</v>
      </c>
      <c r="D9" s="60">
        <v>0</v>
      </c>
      <c r="E9" s="91">
        <f t="shared" si="3"/>
        <v>1735733.1812189985</v>
      </c>
      <c r="F9" s="257">
        <f>14741098+24419</f>
        <v>14765517</v>
      </c>
      <c r="G9" s="90">
        <v>6.9899999999999997E-3</v>
      </c>
      <c r="H9" s="101">
        <f t="shared" si="4"/>
        <v>103210.96382999999</v>
      </c>
      <c r="I9" s="257">
        <v>6893495</v>
      </c>
      <c r="J9" s="90">
        <v>1.2999999999999999E-4</v>
      </c>
      <c r="K9" s="101">
        <f t="shared" si="5"/>
        <v>896.15434999999991</v>
      </c>
      <c r="L9" s="99"/>
      <c r="M9" s="90"/>
      <c r="N9" s="101">
        <f t="shared" si="6"/>
        <v>0</v>
      </c>
      <c r="O9" s="98">
        <f t="shared" si="0"/>
        <v>4841.92</v>
      </c>
      <c r="P9" s="58">
        <f t="shared" si="1"/>
        <v>1844682.2193989984</v>
      </c>
      <c r="Q9" s="46"/>
      <c r="R9" s="80">
        <v>1844682.22</v>
      </c>
      <c r="S9" s="81">
        <f t="shared" ref="S9" si="8">R9-P9</f>
        <v>6.010015495121479E-4</v>
      </c>
    </row>
    <row r="10" spans="1:21">
      <c r="A10" s="135" t="s">
        <v>89</v>
      </c>
      <c r="B10" s="89">
        <v>3.2500000000000001E-2</v>
      </c>
      <c r="C10" s="60">
        <v>0</v>
      </c>
      <c r="D10" s="60">
        <v>0</v>
      </c>
      <c r="E10" s="91">
        <f t="shared" si="3"/>
        <v>1844682.2193989984</v>
      </c>
      <c r="F10" s="257">
        <f>8945038+17127</f>
        <v>8962165</v>
      </c>
      <c r="G10" s="90">
        <v>6.9899999999999997E-3</v>
      </c>
      <c r="H10" s="101">
        <f t="shared" si="4"/>
        <v>62645.533349999998</v>
      </c>
      <c r="I10" s="257">
        <v>3971924</v>
      </c>
      <c r="J10" s="90">
        <v>1.2999999999999999E-4</v>
      </c>
      <c r="K10" s="101">
        <f t="shared" si="5"/>
        <v>516.35011999999995</v>
      </c>
      <c r="L10" s="99"/>
      <c r="M10" s="90"/>
      <c r="N10" s="101">
        <f t="shared" si="6"/>
        <v>0</v>
      </c>
      <c r="O10" s="98">
        <f t="shared" si="0"/>
        <v>5081.55</v>
      </c>
      <c r="P10" s="58">
        <f t="shared" si="1"/>
        <v>1912925.6528689985</v>
      </c>
      <c r="Q10" s="46"/>
      <c r="R10" s="80">
        <v>1912925.65</v>
      </c>
      <c r="S10" s="81">
        <f t="shared" ref="S10" si="9">R10-P10</f>
        <v>-2.8689985629171133E-3</v>
      </c>
    </row>
    <row r="11" spans="1:21">
      <c r="A11" s="135" t="s">
        <v>90</v>
      </c>
      <c r="B11" s="89">
        <v>3.2500000000000001E-2</v>
      </c>
      <c r="C11" s="60">
        <v>0</v>
      </c>
      <c r="D11" s="60">
        <v>0</v>
      </c>
      <c r="E11" s="91">
        <f t="shared" si="3"/>
        <v>1912925.6528689985</v>
      </c>
      <c r="F11" s="257">
        <f>4457469+8599</f>
        <v>4466068</v>
      </c>
      <c r="G11" s="90">
        <v>6.9899999999999997E-3</v>
      </c>
      <c r="H11" s="101">
        <f t="shared" si="4"/>
        <v>31217.815319999998</v>
      </c>
      <c r="I11" s="257">
        <v>2827756</v>
      </c>
      <c r="J11" s="90">
        <v>1.2999999999999999E-4</v>
      </c>
      <c r="K11" s="101">
        <f t="shared" si="5"/>
        <v>367.60827999999998</v>
      </c>
      <c r="L11" s="99"/>
      <c r="M11" s="90"/>
      <c r="N11" s="101">
        <f t="shared" si="6"/>
        <v>0</v>
      </c>
      <c r="O11" s="98">
        <f t="shared" si="0"/>
        <v>5223.6099999999997</v>
      </c>
      <c r="P11" s="58">
        <f t="shared" si="1"/>
        <v>1949734.6864689987</v>
      </c>
      <c r="Q11" s="46"/>
      <c r="R11" s="80">
        <v>1949734.68</v>
      </c>
      <c r="S11" s="81">
        <f t="shared" ref="S11" si="10">R11-P11</f>
        <v>-6.468998733907938E-3</v>
      </c>
    </row>
    <row r="12" spans="1:21">
      <c r="A12" s="135" t="s">
        <v>91</v>
      </c>
      <c r="B12" s="89">
        <v>3.2500000000000001E-2</v>
      </c>
      <c r="C12" s="60">
        <v>0</v>
      </c>
      <c r="D12" s="60">
        <v>0</v>
      </c>
      <c r="E12" s="91">
        <f t="shared" si="3"/>
        <v>1949734.6864689987</v>
      </c>
      <c r="F12" s="257">
        <f>2740706+4893</f>
        <v>2745599</v>
      </c>
      <c r="G12" s="90">
        <v>6.9899999999999997E-3</v>
      </c>
      <c r="H12" s="101">
        <f t="shared" si="4"/>
        <v>19191.737010000001</v>
      </c>
      <c r="I12" s="257">
        <v>1934595</v>
      </c>
      <c r="J12" s="90">
        <v>1.2999999999999999E-4</v>
      </c>
      <c r="K12" s="101">
        <f t="shared" si="5"/>
        <v>251.49734999999998</v>
      </c>
      <c r="L12" s="99"/>
      <c r="M12" s="90"/>
      <c r="N12" s="101">
        <f t="shared" si="6"/>
        <v>0</v>
      </c>
      <c r="O12" s="98">
        <f>ROUND(((E12*(B12/12))+(H12+K12+N12)/2*(B12/12)),2)</f>
        <v>5306.86</v>
      </c>
      <c r="P12" s="58">
        <f t="shared" si="1"/>
        <v>1974484.7808289989</v>
      </c>
      <c r="Q12" s="46"/>
      <c r="R12" s="80">
        <v>1974484.77</v>
      </c>
      <c r="S12" s="81">
        <f t="shared" ref="S12" si="11">R12-P12</f>
        <v>-1.0828998871147633E-2</v>
      </c>
    </row>
    <row r="13" spans="1:21">
      <c r="A13" s="135" t="s">
        <v>92</v>
      </c>
      <c r="B13" s="89">
        <v>3.2500000000000001E-2</v>
      </c>
      <c r="C13" s="60">
        <v>0</v>
      </c>
      <c r="D13" s="60">
        <v>0</v>
      </c>
      <c r="E13" s="91">
        <f t="shared" si="3"/>
        <v>1974484.7808289989</v>
      </c>
      <c r="F13" s="257">
        <f>2045371+3096</f>
        <v>2048467</v>
      </c>
      <c r="G13" s="90">
        <v>6.9899999999999997E-3</v>
      </c>
      <c r="H13" s="101">
        <f t="shared" si="4"/>
        <v>14318.784329999999</v>
      </c>
      <c r="I13" s="257">
        <v>1663592</v>
      </c>
      <c r="J13" s="90">
        <v>1.2999999999999999E-4</v>
      </c>
      <c r="K13" s="101">
        <f t="shared" si="5"/>
        <v>216.26695999999998</v>
      </c>
      <c r="L13" s="99"/>
      <c r="M13" s="90"/>
      <c r="N13" s="101">
        <f t="shared" si="6"/>
        <v>0</v>
      </c>
      <c r="O13" s="98">
        <f t="shared" ref="O13:O23" si="12">ROUND(((E13*(B13/12))+(H13+K13+N13)/2*(B13/12)),2)</f>
        <v>5367.25</v>
      </c>
      <c r="P13" s="58">
        <f t="shared" si="1"/>
        <v>1994387.0821189987</v>
      </c>
      <c r="Q13" s="46"/>
      <c r="R13" s="80">
        <v>1994387.07</v>
      </c>
      <c r="S13" s="81">
        <f t="shared" ref="S13" si="13">R13-P13</f>
        <v>-1.2118998682126403E-2</v>
      </c>
    </row>
    <row r="14" spans="1:21">
      <c r="A14" s="135" t="s">
        <v>93</v>
      </c>
      <c r="B14" s="89">
        <v>3.2500000000000001E-2</v>
      </c>
      <c r="C14" s="60">
        <v>0</v>
      </c>
      <c r="D14" s="60">
        <v>0</v>
      </c>
      <c r="E14" s="91">
        <f t="shared" si="3"/>
        <v>1994387.0821189987</v>
      </c>
      <c r="F14" s="257">
        <f>2327290+3614</f>
        <v>2330904</v>
      </c>
      <c r="G14" s="90">
        <v>6.9899999999999997E-3</v>
      </c>
      <c r="H14" s="101">
        <f t="shared" si="4"/>
        <v>16293.018959999999</v>
      </c>
      <c r="I14" s="257">
        <v>1901151</v>
      </c>
      <c r="J14" s="90">
        <v>1.2999999999999999E-4</v>
      </c>
      <c r="K14" s="101">
        <f t="shared" si="5"/>
        <v>247.14962999999997</v>
      </c>
      <c r="L14" s="99"/>
      <c r="M14" s="90"/>
      <c r="N14" s="101">
        <f t="shared" si="6"/>
        <v>0</v>
      </c>
      <c r="O14" s="98">
        <f t="shared" si="12"/>
        <v>5423.86</v>
      </c>
      <c r="P14" s="58">
        <f t="shared" si="1"/>
        <v>2016351.110708999</v>
      </c>
      <c r="Q14" s="46"/>
      <c r="R14" s="80">
        <v>2016351.1</v>
      </c>
      <c r="S14" s="81">
        <f t="shared" ref="S14" si="14">R14-P14</f>
        <v>-1.0708998888731003E-2</v>
      </c>
      <c r="U14" s="148"/>
    </row>
    <row r="15" spans="1:21">
      <c r="A15" s="135" t="s">
        <v>94</v>
      </c>
      <c r="B15" s="89">
        <v>3.2500000000000001E-2</v>
      </c>
      <c r="C15" s="60">
        <v>0</v>
      </c>
      <c r="D15" s="60">
        <v>0</v>
      </c>
      <c r="E15" s="91">
        <f t="shared" si="3"/>
        <v>2016351.110708999</v>
      </c>
      <c r="F15" s="257">
        <f>3150157+5844</f>
        <v>3156001</v>
      </c>
      <c r="G15" s="90">
        <v>6.9899999999999997E-3</v>
      </c>
      <c r="H15" s="101">
        <f t="shared" si="4"/>
        <v>22060.44699</v>
      </c>
      <c r="I15" s="257">
        <v>2361344</v>
      </c>
      <c r="J15" s="90">
        <v>1.2999999999999999E-4</v>
      </c>
      <c r="K15" s="101">
        <f t="shared" si="5"/>
        <v>306.97471999999999</v>
      </c>
      <c r="L15" s="99"/>
      <c r="M15" s="90"/>
      <c r="N15" s="101">
        <f t="shared" si="6"/>
        <v>0</v>
      </c>
      <c r="O15" s="98">
        <f t="shared" si="12"/>
        <v>5491.24</v>
      </c>
      <c r="P15" s="58">
        <f t="shared" si="1"/>
        <v>2044209.7724189991</v>
      </c>
      <c r="Q15" s="46"/>
      <c r="R15" s="80">
        <v>2044209.76</v>
      </c>
      <c r="S15" s="81">
        <f t="shared" ref="S15" si="15">R15-P15</f>
        <v>-1.2418999103829265E-2</v>
      </c>
    </row>
    <row r="16" spans="1:21">
      <c r="A16" s="135" t="s">
        <v>95</v>
      </c>
      <c r="B16" s="89">
        <v>3.2500000000000001E-2</v>
      </c>
      <c r="C16" s="60">
        <v>0</v>
      </c>
      <c r="D16" s="60">
        <v>0</v>
      </c>
      <c r="E16" s="91">
        <f t="shared" si="3"/>
        <v>2044209.7724189991</v>
      </c>
      <c r="F16" s="257">
        <f>8294470+22138</f>
        <v>8316608</v>
      </c>
      <c r="G16" s="90">
        <v>6.9899999999999997E-3</v>
      </c>
      <c r="H16" s="101">
        <f t="shared" si="4"/>
        <v>58133.089919999999</v>
      </c>
      <c r="I16" s="257">
        <v>4273550</v>
      </c>
      <c r="J16" s="90">
        <v>1.2999999999999999E-4</v>
      </c>
      <c r="K16" s="101">
        <f t="shared" si="5"/>
        <v>555.56149999999991</v>
      </c>
      <c r="L16" s="99"/>
      <c r="M16" s="90"/>
      <c r="N16" s="101">
        <f t="shared" si="6"/>
        <v>0</v>
      </c>
      <c r="O16" s="98">
        <f t="shared" si="12"/>
        <v>5615.88</v>
      </c>
      <c r="P16" s="58">
        <f t="shared" si="1"/>
        <v>2108514.303838999</v>
      </c>
      <c r="Q16" s="46"/>
      <c r="R16" s="80">
        <v>2108514.29</v>
      </c>
      <c r="S16" s="81">
        <f t="shared" ref="S16" si="16">R16-P16</f>
        <v>-1.3838998973369598E-2</v>
      </c>
    </row>
    <row r="17" spans="1:23">
      <c r="A17" s="135" t="s">
        <v>96</v>
      </c>
      <c r="B17" s="89">
        <v>3.2500000000000001E-2</v>
      </c>
      <c r="C17" s="60">
        <f>-'191010 WA DEF'!D17</f>
        <v>7418666.1203680001</v>
      </c>
      <c r="D17" s="60">
        <v>-32444.09</v>
      </c>
      <c r="E17" s="91">
        <f t="shared" si="3"/>
        <v>9494736.3342069983</v>
      </c>
      <c r="F17" s="257">
        <f>14184948+34356</f>
        <v>14219304</v>
      </c>
      <c r="G17" s="78" t="s">
        <v>71</v>
      </c>
      <c r="H17" s="95">
        <f>-266279-654</f>
        <v>-266933</v>
      </c>
      <c r="I17" s="257">
        <v>5565284</v>
      </c>
      <c r="J17" s="78" t="s">
        <v>71</v>
      </c>
      <c r="K17" s="95">
        <v>-170359</v>
      </c>
      <c r="L17" s="99"/>
      <c r="M17" s="78" t="s">
        <v>71</v>
      </c>
      <c r="N17" s="95">
        <v>0</v>
      </c>
      <c r="O17" s="98">
        <f t="shared" si="12"/>
        <v>25122.74</v>
      </c>
      <c r="P17" s="58">
        <f>E17+H17+K17+N17+O17</f>
        <v>9082567.0742069986</v>
      </c>
      <c r="Q17" s="46"/>
      <c r="R17" s="80">
        <v>9082567.0600000005</v>
      </c>
      <c r="S17" s="81">
        <f t="shared" ref="S17" si="17">R17-P17</f>
        <v>-1.420699805021286E-2</v>
      </c>
    </row>
    <row r="18" spans="1:23" ht="13.5" thickBot="1">
      <c r="A18" s="156" t="s">
        <v>97</v>
      </c>
      <c r="B18" s="105">
        <v>3.2500000000000001E-2</v>
      </c>
      <c r="C18" s="62">
        <v>0</v>
      </c>
      <c r="D18" s="62">
        <v>0</v>
      </c>
      <c r="E18" s="256">
        <f t="shared" si="3"/>
        <v>9082567.0742069986</v>
      </c>
      <c r="F18" s="260">
        <f>23742763+54518</f>
        <v>23797281</v>
      </c>
      <c r="G18" s="82" t="s">
        <v>71</v>
      </c>
      <c r="H18" s="96">
        <f>-473797-1091</f>
        <v>-474888</v>
      </c>
      <c r="I18" s="259">
        <v>9090991</v>
      </c>
      <c r="J18" s="82" t="s">
        <v>71</v>
      </c>
      <c r="K18" s="96">
        <v>-259674</v>
      </c>
      <c r="L18" s="106"/>
      <c r="M18" s="82" t="s">
        <v>71</v>
      </c>
      <c r="N18" s="96">
        <v>0</v>
      </c>
      <c r="O18" s="107">
        <f t="shared" si="12"/>
        <v>23603.9</v>
      </c>
      <c r="P18" s="63">
        <f t="shared" ref="P18:P28" si="18">E18+H18+K18+N18+O18</f>
        <v>8371608.9742069989</v>
      </c>
      <c r="Q18" s="108"/>
      <c r="R18" s="157">
        <v>8371608.96</v>
      </c>
      <c r="S18" s="158">
        <f t="shared" ref="S18" si="19">R18-P18</f>
        <v>-1.4206998981535435E-2</v>
      </c>
    </row>
    <row r="19" spans="1:23">
      <c r="A19" s="135" t="s">
        <v>129</v>
      </c>
      <c r="B19" s="89">
        <v>3.2500000000000001E-2</v>
      </c>
      <c r="C19" s="78">
        <v>0</v>
      </c>
      <c r="D19" s="78">
        <v>0</v>
      </c>
      <c r="E19" s="91">
        <f>P18+C19+D19</f>
        <v>8371608.9742069989</v>
      </c>
      <c r="F19" s="258">
        <f>24086808+54910</f>
        <v>24141718</v>
      </c>
      <c r="G19" s="90">
        <v>-2.0060000000000001E-2</v>
      </c>
      <c r="H19" s="101">
        <f>F19*G19</f>
        <v>-484282.86308000004</v>
      </c>
      <c r="I19" s="258">
        <v>8902067</v>
      </c>
      <c r="J19" s="90">
        <v>-2.9020000000000001E-2</v>
      </c>
      <c r="K19" s="101">
        <f>I19*J19</f>
        <v>-258337.98434</v>
      </c>
      <c r="L19" s="99">
        <v>0</v>
      </c>
      <c r="M19" s="90">
        <v>0</v>
      </c>
      <c r="N19" s="101">
        <f>L19*M19</f>
        <v>0</v>
      </c>
      <c r="O19" s="97">
        <f>ROUND(((E19*(B19/12))+(H19+K19+N19)/2*(B19/12)),2)</f>
        <v>21667.48</v>
      </c>
      <c r="P19" s="79">
        <f t="shared" si="18"/>
        <v>7650655.6067869989</v>
      </c>
      <c r="Q19" s="46"/>
      <c r="R19" s="80">
        <v>7650655.5899999999</v>
      </c>
      <c r="S19" s="81">
        <f t="shared" ref="S19:S24" si="20">R19-P19</f>
        <v>-1.6786999069154263E-2</v>
      </c>
    </row>
    <row r="20" spans="1:23">
      <c r="A20" s="135" t="s">
        <v>130</v>
      </c>
      <c r="B20" s="89">
        <v>3.2500000000000001E-2</v>
      </c>
      <c r="C20" s="60">
        <v>0</v>
      </c>
      <c r="D20" s="60">
        <v>0</v>
      </c>
      <c r="E20" s="91">
        <f t="shared" ref="E20:E30" si="21">P19+C20+D20</f>
        <v>7650655.6067869989</v>
      </c>
      <c r="F20" s="257">
        <f>19884076+50305</f>
        <v>19934381</v>
      </c>
      <c r="G20" s="90">
        <v>-2.0060000000000001E-2</v>
      </c>
      <c r="H20" s="101">
        <f t="shared" ref="H20:H28" si="22">F20*G20</f>
        <v>-399883.68286</v>
      </c>
      <c r="I20" s="257">
        <v>7967454</v>
      </c>
      <c r="J20" s="90">
        <v>-2.9020000000000001E-2</v>
      </c>
      <c r="K20" s="101">
        <f t="shared" ref="K20:K28" si="23">I20*J20</f>
        <v>-231215.51508000001</v>
      </c>
      <c r="L20" s="99"/>
      <c r="M20" s="90"/>
      <c r="N20" s="101">
        <f t="shared" ref="N20:N28" si="24">L20*M20</f>
        <v>0</v>
      </c>
      <c r="O20" s="98">
        <f t="shared" si="12"/>
        <v>19865.91</v>
      </c>
      <c r="P20" s="58">
        <f t="shared" si="18"/>
        <v>7039422.3188469987</v>
      </c>
      <c r="Q20" s="46"/>
      <c r="R20" s="80">
        <v>7039422.2999999998</v>
      </c>
      <c r="S20" s="81">
        <f t="shared" si="20"/>
        <v>-1.8846998922526836E-2</v>
      </c>
    </row>
    <row r="21" spans="1:23">
      <c r="A21" s="135" t="s">
        <v>131</v>
      </c>
      <c r="B21" s="89">
        <v>3.2500000000000001E-2</v>
      </c>
      <c r="C21" s="60">
        <v>0</v>
      </c>
      <c r="D21" s="60">
        <v>0</v>
      </c>
      <c r="E21" s="91">
        <f t="shared" si="21"/>
        <v>7039422.3188469987</v>
      </c>
      <c r="F21" s="257">
        <f>14466885+38681</f>
        <v>14505566</v>
      </c>
      <c r="G21" s="90">
        <v>-2.0060000000000001E-2</v>
      </c>
      <c r="H21" s="101">
        <f t="shared" si="22"/>
        <v>-290981.65396000003</v>
      </c>
      <c r="I21" s="257">
        <v>6530840</v>
      </c>
      <c r="J21" s="90">
        <v>-2.9020000000000001E-2</v>
      </c>
      <c r="K21" s="101">
        <f t="shared" si="23"/>
        <v>-189524.9768</v>
      </c>
      <c r="L21" s="99"/>
      <c r="M21" s="90"/>
      <c r="N21" s="101">
        <f t="shared" si="24"/>
        <v>0</v>
      </c>
      <c r="O21" s="98">
        <f t="shared" si="12"/>
        <v>18414.419999999998</v>
      </c>
      <c r="P21" s="58">
        <f t="shared" si="18"/>
        <v>6577330.1080869986</v>
      </c>
      <c r="Q21" s="46"/>
      <c r="R21" s="80">
        <v>6577330.0899999999</v>
      </c>
      <c r="S21" s="81">
        <f t="shared" si="20"/>
        <v>-1.8086998723447323E-2</v>
      </c>
    </row>
    <row r="22" spans="1:23">
      <c r="A22" s="135" t="s">
        <v>132</v>
      </c>
      <c r="B22" s="89">
        <v>3.2500000000000001E-2</v>
      </c>
      <c r="C22" s="60">
        <v>0</v>
      </c>
      <c r="D22" s="60">
        <v>0</v>
      </c>
      <c r="E22" s="91">
        <f t="shared" si="21"/>
        <v>6577330.1080869986</v>
      </c>
      <c r="F22" s="257">
        <f>12130478+33753</f>
        <v>12164231</v>
      </c>
      <c r="G22" s="90">
        <v>-2.0060000000000001E-2</v>
      </c>
      <c r="H22" s="101">
        <f t="shared" si="22"/>
        <v>-244014.47386000003</v>
      </c>
      <c r="I22" s="257">
        <v>5534897</v>
      </c>
      <c r="J22" s="90">
        <v>-2.9020000000000001E-2</v>
      </c>
      <c r="K22" s="101">
        <f t="shared" si="23"/>
        <v>-160622.71093999999</v>
      </c>
      <c r="L22" s="99"/>
      <c r="M22" s="90"/>
      <c r="N22" s="101">
        <f t="shared" si="24"/>
        <v>0</v>
      </c>
      <c r="O22" s="98">
        <f t="shared" si="12"/>
        <v>17265.66</v>
      </c>
      <c r="P22" s="58">
        <f t="shared" si="18"/>
        <v>6189958.5832869988</v>
      </c>
      <c r="Q22" s="46"/>
      <c r="R22" s="80">
        <v>6189958.5700000003</v>
      </c>
      <c r="S22" s="81">
        <f t="shared" si="20"/>
        <v>-1.3286998495459557E-2</v>
      </c>
    </row>
    <row r="23" spans="1:23">
      <c r="A23" s="135" t="s">
        <v>133</v>
      </c>
      <c r="B23" s="89">
        <v>3.2500000000000001E-2</v>
      </c>
      <c r="C23" s="60">
        <v>0</v>
      </c>
      <c r="D23" s="60">
        <v>0</v>
      </c>
      <c r="E23" s="91">
        <f t="shared" si="21"/>
        <v>6189958.5832869988</v>
      </c>
      <c r="F23" s="257">
        <f>7528936+22516</f>
        <v>7551452</v>
      </c>
      <c r="G23" s="90">
        <v>-2.0060000000000001E-2</v>
      </c>
      <c r="H23" s="101">
        <f t="shared" si="22"/>
        <v>-151482.12712000002</v>
      </c>
      <c r="I23" s="257">
        <v>3861543</v>
      </c>
      <c r="J23" s="90">
        <v>-2.9020000000000001E-2</v>
      </c>
      <c r="K23" s="101">
        <f t="shared" si="23"/>
        <v>-112061.97786</v>
      </c>
      <c r="L23" s="99"/>
      <c r="M23" s="90"/>
      <c r="N23" s="101">
        <f t="shared" si="24"/>
        <v>0</v>
      </c>
      <c r="O23" s="98">
        <f t="shared" si="12"/>
        <v>16407.59</v>
      </c>
      <c r="P23" s="58">
        <f t="shared" si="18"/>
        <v>5942822.0683069983</v>
      </c>
      <c r="Q23" s="46"/>
      <c r="R23" s="80">
        <v>5942822.0599999996</v>
      </c>
      <c r="S23" s="81">
        <f t="shared" si="20"/>
        <v>-8.3069987595081329E-3</v>
      </c>
    </row>
    <row r="24" spans="1:23">
      <c r="A24" s="135" t="s">
        <v>134</v>
      </c>
      <c r="B24" s="89">
        <v>3.2500000000000001E-2</v>
      </c>
      <c r="C24" s="60">
        <v>0</v>
      </c>
      <c r="D24" s="60">
        <v>0</v>
      </c>
      <c r="E24" s="91">
        <f t="shared" si="21"/>
        <v>5942822.0683069983</v>
      </c>
      <c r="F24" s="257">
        <f>3513630+10109</f>
        <v>3523739</v>
      </c>
      <c r="G24" s="90">
        <v>-2.0060000000000001E-2</v>
      </c>
      <c r="H24" s="101">
        <f t="shared" si="22"/>
        <v>-70686.204340000011</v>
      </c>
      <c r="I24" s="257">
        <v>2400538</v>
      </c>
      <c r="J24" s="90">
        <v>-2.9020000000000001E-2</v>
      </c>
      <c r="K24" s="101">
        <f t="shared" si="23"/>
        <v>-69663.612760000004</v>
      </c>
      <c r="L24" s="99"/>
      <c r="M24" s="90"/>
      <c r="N24" s="101">
        <f t="shared" si="24"/>
        <v>0</v>
      </c>
      <c r="O24" s="98">
        <f>ROUND(((E24*(B24/12))+(H24+K24+N24)/2*(B24/12)),2)</f>
        <v>15905.09</v>
      </c>
      <c r="P24" s="58">
        <f t="shared" si="18"/>
        <v>5818377.3412069986</v>
      </c>
      <c r="Q24" s="46"/>
      <c r="R24" s="80">
        <v>5818377.3300000001</v>
      </c>
      <c r="S24" s="81">
        <f t="shared" si="20"/>
        <v>-1.1206998489797115E-2</v>
      </c>
    </row>
    <row r="25" spans="1:23">
      <c r="A25" s="135" t="s">
        <v>135</v>
      </c>
      <c r="B25" s="89">
        <v>3.5999999999999997E-2</v>
      </c>
      <c r="C25" s="60">
        <v>0</v>
      </c>
      <c r="D25" s="60">
        <v>0</v>
      </c>
      <c r="E25" s="91">
        <f t="shared" si="21"/>
        <v>5818377.3412069986</v>
      </c>
      <c r="F25" s="257">
        <f>2224703+5190</f>
        <v>2229893</v>
      </c>
      <c r="G25" s="90">
        <v>-2.0060000000000001E-2</v>
      </c>
      <c r="H25" s="101">
        <f t="shared" si="22"/>
        <v>-44731.653580000006</v>
      </c>
      <c r="I25" s="257">
        <v>1968103</v>
      </c>
      <c r="J25" s="90">
        <v>-2.9020000000000001E-2</v>
      </c>
      <c r="K25" s="101">
        <f t="shared" si="23"/>
        <v>-57114.34906</v>
      </c>
      <c r="L25" s="99"/>
      <c r="M25" s="90"/>
      <c r="N25" s="101">
        <f t="shared" si="24"/>
        <v>0</v>
      </c>
      <c r="O25" s="98">
        <f t="shared" ref="O25:O30" si="25">ROUND(((E25*(B25/12))+(H25+K25+N25)/2*(B25/12)),2)</f>
        <v>17302.36</v>
      </c>
      <c r="P25" s="58">
        <f t="shared" si="18"/>
        <v>5733833.6985669993</v>
      </c>
      <c r="Q25" s="46"/>
      <c r="R25" s="80">
        <v>5818377.3300000001</v>
      </c>
      <c r="S25" s="81">
        <f t="shared" ref="S25" si="26">R25-P25</f>
        <v>84543.631433000788</v>
      </c>
    </row>
    <row r="26" spans="1:23">
      <c r="A26" s="135" t="s">
        <v>136</v>
      </c>
      <c r="B26" s="89"/>
      <c r="C26" s="60">
        <v>0</v>
      </c>
      <c r="D26" s="60">
        <v>0</v>
      </c>
      <c r="E26" s="91">
        <f t="shared" si="21"/>
        <v>5733833.6985669993</v>
      </c>
      <c r="F26" s="257"/>
      <c r="G26" s="90"/>
      <c r="H26" s="101">
        <f t="shared" si="22"/>
        <v>0</v>
      </c>
      <c r="I26" s="257"/>
      <c r="J26" s="90"/>
      <c r="K26" s="101">
        <f t="shared" si="23"/>
        <v>0</v>
      </c>
      <c r="L26" s="99"/>
      <c r="M26" s="90"/>
      <c r="N26" s="101">
        <f t="shared" si="24"/>
        <v>0</v>
      </c>
      <c r="O26" s="98">
        <f t="shared" si="25"/>
        <v>0</v>
      </c>
      <c r="P26" s="58">
        <f t="shared" si="18"/>
        <v>5733833.6985669993</v>
      </c>
      <c r="Q26" s="46"/>
      <c r="R26" s="80"/>
      <c r="S26" s="81"/>
      <c r="U26" s="148"/>
    </row>
    <row r="27" spans="1:23">
      <c r="A27" s="135" t="s">
        <v>137</v>
      </c>
      <c r="B27" s="89"/>
      <c r="C27" s="60">
        <v>0</v>
      </c>
      <c r="D27" s="60">
        <v>0</v>
      </c>
      <c r="E27" s="91">
        <f t="shared" si="21"/>
        <v>5733833.6985669993</v>
      </c>
      <c r="F27" s="257"/>
      <c r="G27" s="90"/>
      <c r="H27" s="101">
        <f t="shared" si="22"/>
        <v>0</v>
      </c>
      <c r="I27" s="257"/>
      <c r="J27" s="90"/>
      <c r="K27" s="101">
        <f t="shared" si="23"/>
        <v>0</v>
      </c>
      <c r="L27" s="99"/>
      <c r="M27" s="90"/>
      <c r="N27" s="101">
        <f t="shared" si="24"/>
        <v>0</v>
      </c>
      <c r="O27" s="98">
        <f t="shared" si="25"/>
        <v>0</v>
      </c>
      <c r="P27" s="58">
        <f t="shared" si="18"/>
        <v>5733833.6985669993</v>
      </c>
      <c r="Q27" s="46"/>
      <c r="R27" s="80"/>
      <c r="S27" s="81"/>
    </row>
    <row r="28" spans="1:23">
      <c r="A28" s="135" t="s">
        <v>138</v>
      </c>
      <c r="B28" s="89"/>
      <c r="C28" s="60">
        <v>0</v>
      </c>
      <c r="D28" s="60">
        <v>0</v>
      </c>
      <c r="E28" s="91">
        <f t="shared" si="21"/>
        <v>5733833.6985669993</v>
      </c>
      <c r="F28" s="257"/>
      <c r="G28" s="90"/>
      <c r="H28" s="101">
        <f t="shared" si="22"/>
        <v>0</v>
      </c>
      <c r="I28" s="257"/>
      <c r="J28" s="90"/>
      <c r="K28" s="101">
        <f t="shared" si="23"/>
        <v>0</v>
      </c>
      <c r="L28" s="99"/>
      <c r="M28" s="90"/>
      <c r="N28" s="101">
        <f t="shared" si="24"/>
        <v>0</v>
      </c>
      <c r="O28" s="98">
        <f t="shared" si="25"/>
        <v>0</v>
      </c>
      <c r="P28" s="58">
        <f t="shared" si="18"/>
        <v>5733833.6985669993</v>
      </c>
      <c r="Q28" s="46"/>
      <c r="R28" s="80"/>
      <c r="S28" s="81"/>
    </row>
    <row r="29" spans="1:23">
      <c r="A29" s="135" t="s">
        <v>139</v>
      </c>
      <c r="B29" s="89"/>
      <c r="C29" s="60"/>
      <c r="D29" s="60"/>
      <c r="E29" s="91">
        <f t="shared" si="21"/>
        <v>5733833.6985669993</v>
      </c>
      <c r="F29" s="257"/>
      <c r="G29" s="78" t="s">
        <v>71</v>
      </c>
      <c r="H29" s="95"/>
      <c r="I29" s="257"/>
      <c r="J29" s="78" t="s">
        <v>71</v>
      </c>
      <c r="K29" s="95"/>
      <c r="L29" s="99"/>
      <c r="M29" s="78" t="s">
        <v>71</v>
      </c>
      <c r="N29" s="95">
        <v>0</v>
      </c>
      <c r="O29" s="98">
        <f t="shared" si="25"/>
        <v>0</v>
      </c>
      <c r="P29" s="58">
        <f>E29+H29+K29+N29+O29</f>
        <v>5733833.6985669993</v>
      </c>
      <c r="Q29" s="46"/>
      <c r="R29" s="80"/>
      <c r="S29" s="81"/>
    </row>
    <row r="30" spans="1:23" ht="13.5" thickBot="1">
      <c r="A30" s="156" t="s">
        <v>140</v>
      </c>
      <c r="B30" s="105"/>
      <c r="C30" s="62">
        <v>0</v>
      </c>
      <c r="D30" s="62">
        <v>0</v>
      </c>
      <c r="E30" s="256">
        <f t="shared" si="21"/>
        <v>5733833.6985669993</v>
      </c>
      <c r="F30" s="260"/>
      <c r="G30" s="82" t="s">
        <v>71</v>
      </c>
      <c r="H30" s="96"/>
      <c r="I30" s="259"/>
      <c r="J30" s="82" t="s">
        <v>71</v>
      </c>
      <c r="K30" s="96"/>
      <c r="L30" s="106"/>
      <c r="M30" s="82" t="s">
        <v>71</v>
      </c>
      <c r="N30" s="96">
        <v>0</v>
      </c>
      <c r="O30" s="107">
        <f t="shared" si="25"/>
        <v>0</v>
      </c>
      <c r="P30" s="63">
        <f t="shared" ref="P30" si="27">E30+H30+K30+N30+O30</f>
        <v>5733833.6985669993</v>
      </c>
      <c r="Q30" s="108"/>
      <c r="R30" s="157"/>
      <c r="S30" s="158"/>
    </row>
    <row r="31" spans="1:23" s="112" customFormat="1" ht="15.75">
      <c r="A31" s="68"/>
      <c r="B31" s="68"/>
      <c r="C31" s="109"/>
      <c r="D31" s="64">
        <f>SUMIF($A$7:$A$30,$G34,D$7:D$30)</f>
        <v>0</v>
      </c>
      <c r="E31" s="64"/>
      <c r="F31" s="64"/>
      <c r="G31" s="64"/>
      <c r="H31" s="64">
        <f>SUMIF($A$7:$A$30,$G34,H$7:H$30)</f>
        <v>-44731.653580000006</v>
      </c>
      <c r="I31" s="65"/>
      <c r="J31" s="109"/>
      <c r="K31" s="64">
        <f>SUMIF($A$7:$A$30,$G34,K$7:N$30)</f>
        <v>-57114.34906</v>
      </c>
      <c r="L31" s="68"/>
      <c r="M31" s="111"/>
      <c r="N31" s="64">
        <f>SUMIF($A$7:$A$18,$G34,N$7:N$18)</f>
        <v>0</v>
      </c>
      <c r="O31" s="64">
        <f>SUMIF($A$7:$A$30,$G34,O$7:O$30)</f>
        <v>17302.36</v>
      </c>
      <c r="P31" s="65" t="s">
        <v>49</v>
      </c>
      <c r="Q31" s="115"/>
      <c r="R31" s="116"/>
      <c r="S31" s="116"/>
      <c r="T31" s="117"/>
      <c r="U31" s="113"/>
      <c r="V31" s="113"/>
      <c r="W31" s="113"/>
    </row>
    <row r="32" spans="1:23" s="112" customFormat="1" ht="15">
      <c r="A32" s="68"/>
      <c r="B32" s="68"/>
      <c r="C32" s="109"/>
      <c r="D32" s="110" t="s">
        <v>62</v>
      </c>
      <c r="E32" s="110"/>
      <c r="F32" s="110"/>
      <c r="G32" s="110"/>
      <c r="H32" s="110" t="s">
        <v>60</v>
      </c>
      <c r="I32" s="68"/>
      <c r="J32" s="109"/>
      <c r="K32" s="110" t="s">
        <v>60</v>
      </c>
      <c r="L32" s="110"/>
      <c r="M32" s="118"/>
      <c r="N32" s="110" t="s">
        <v>60</v>
      </c>
      <c r="O32" s="110" t="s">
        <v>61</v>
      </c>
      <c r="Q32" s="113"/>
      <c r="R32" s="113"/>
      <c r="S32" s="113"/>
      <c r="T32" s="113"/>
      <c r="U32" s="113"/>
      <c r="V32" s="113"/>
      <c r="W32" s="113"/>
    </row>
    <row r="33" spans="4:26" s="32" customFormat="1" ht="15">
      <c r="D33" s="55"/>
      <c r="E33" s="55"/>
      <c r="F33" s="56"/>
      <c r="G33" s="55"/>
      <c r="H33" s="55"/>
      <c r="I33" s="55"/>
      <c r="J33" s="55"/>
      <c r="K33" s="55"/>
      <c r="L33" s="55"/>
      <c r="M33" s="56"/>
      <c r="N33" s="55"/>
      <c r="O33" s="55"/>
      <c r="P33" s="69"/>
      <c r="T33" s="33"/>
      <c r="U33" s="33"/>
      <c r="V33" s="33"/>
      <c r="W33" s="33"/>
      <c r="X33" s="33"/>
      <c r="Y33" s="33"/>
      <c r="Z33" s="33"/>
    </row>
    <row r="34" spans="4:26" s="32" customFormat="1" ht="15">
      <c r="D34" s="55"/>
      <c r="E34" s="55"/>
      <c r="F34" s="56"/>
      <c r="G34" s="48">
        <v>202207</v>
      </c>
      <c r="H34" s="49" t="s">
        <v>50</v>
      </c>
      <c r="I34" s="50"/>
      <c r="J34" s="55"/>
      <c r="K34" s="55"/>
      <c r="L34" s="55"/>
      <c r="M34" s="56"/>
      <c r="N34" s="55"/>
      <c r="O34" s="55"/>
      <c r="P34" s="69"/>
    </row>
    <row r="35" spans="4:26" s="32" customFormat="1" ht="15">
      <c r="D35" s="55"/>
      <c r="E35" s="55"/>
      <c r="F35" s="56"/>
      <c r="G35" s="51" t="s">
        <v>51</v>
      </c>
      <c r="H35" s="51" t="s">
        <v>52</v>
      </c>
      <c r="I35" s="51" t="s">
        <v>53</v>
      </c>
      <c r="J35" s="55"/>
      <c r="K35" s="55"/>
      <c r="L35" s="55"/>
      <c r="M35" s="56"/>
      <c r="N35" s="55"/>
      <c r="O35" s="55"/>
      <c r="P35" s="69"/>
    </row>
    <row r="36" spans="4:26" s="32" customFormat="1" ht="15">
      <c r="D36" s="55"/>
      <c r="E36" s="55"/>
      <c r="F36" s="66" t="s">
        <v>21</v>
      </c>
      <c r="G36" s="52" t="s">
        <v>54</v>
      </c>
      <c r="H36" s="53"/>
      <c r="I36" s="54">
        <f>IF($O$31&gt;0,ABS($O$31),"")</f>
        <v>17302.36</v>
      </c>
      <c r="J36" s="68" t="s">
        <v>61</v>
      </c>
      <c r="K36" s="55"/>
      <c r="L36" s="55"/>
      <c r="M36" s="146"/>
      <c r="N36" s="46"/>
      <c r="O36" s="55"/>
      <c r="P36" s="69"/>
    </row>
    <row r="37" spans="4:26" s="32" customFormat="1" ht="15">
      <c r="D37" s="55"/>
      <c r="E37" s="55"/>
      <c r="F37" s="66" t="s">
        <v>58</v>
      </c>
      <c r="G37" s="52" t="s">
        <v>55</v>
      </c>
      <c r="H37" s="54" t="str">
        <f>IF($O$31&lt;0,ABS($O$31),"")</f>
        <v/>
      </c>
      <c r="I37" s="53"/>
      <c r="J37" s="68" t="s">
        <v>84</v>
      </c>
      <c r="K37" s="55"/>
      <c r="L37" s="151"/>
      <c r="M37" s="149"/>
      <c r="N37" s="152"/>
      <c r="O37" s="55"/>
      <c r="P37" s="69"/>
    </row>
    <row r="38" spans="4:26" s="32" customFormat="1" ht="15">
      <c r="D38" s="55"/>
      <c r="E38" s="55"/>
      <c r="F38" s="66" t="s">
        <v>5</v>
      </c>
      <c r="G38" s="52" t="s">
        <v>68</v>
      </c>
      <c r="H38" s="54" t="str">
        <f>IF(H31+$K$31+$N$31+O31&gt;0,ABS(H31+$K$31+$N$31+O31),"")</f>
        <v/>
      </c>
      <c r="I38" s="54">
        <f>IF(H31+$K$31+$N$31+O31&lt;0,ABS(H31+$K$31+$N$31+O31),"")</f>
        <v>84543.642640000005</v>
      </c>
      <c r="J38" s="68" t="s">
        <v>75</v>
      </c>
      <c r="K38" s="55"/>
      <c r="L38" s="153"/>
      <c r="M38" s="149"/>
      <c r="N38" s="152"/>
      <c r="O38" s="55"/>
      <c r="P38" s="69"/>
    </row>
    <row r="39" spans="4:26" s="32" customFormat="1" ht="15">
      <c r="D39" s="55"/>
      <c r="E39" s="55"/>
      <c r="F39" s="66" t="s">
        <v>76</v>
      </c>
      <c r="G39" s="52" t="s">
        <v>73</v>
      </c>
      <c r="H39" s="54">
        <f>IF(H31+$K$31+$N$31&lt;0,ABS(H31+$K$31+$N$31),"")</f>
        <v>101846.00264000001</v>
      </c>
      <c r="I39" s="54" t="str">
        <f>IF(H31+$K$31+$N$31&gt;0,ABS(H31+$K$31+$N$31),"")</f>
        <v/>
      </c>
      <c r="J39" s="68" t="s">
        <v>60</v>
      </c>
      <c r="K39" s="55"/>
      <c r="L39" s="153"/>
      <c r="M39" s="149"/>
      <c r="N39" s="152"/>
      <c r="O39" s="55"/>
      <c r="P39" s="69"/>
    </row>
    <row r="40" spans="4:26" s="32" customFormat="1" ht="15">
      <c r="D40" s="55"/>
      <c r="E40" s="55"/>
      <c r="F40" s="56"/>
      <c r="G40" s="55"/>
      <c r="H40" s="55"/>
      <c r="I40" s="55"/>
      <c r="J40" s="68"/>
      <c r="K40" s="55"/>
      <c r="L40" s="153"/>
      <c r="M40" s="149"/>
      <c r="N40" s="151"/>
      <c r="O40" s="55"/>
      <c r="P40" s="69"/>
    </row>
    <row r="41" spans="4:26" s="32" customFormat="1" ht="15">
      <c r="D41" s="55"/>
      <c r="E41" s="55"/>
      <c r="F41" s="56"/>
      <c r="G41" s="55"/>
      <c r="H41" s="55"/>
      <c r="I41" s="67">
        <f>SUM(H36:H39)-SUM(I36:I39)</f>
        <v>0</v>
      </c>
      <c r="J41" s="68" t="s">
        <v>65</v>
      </c>
      <c r="K41" s="55"/>
      <c r="L41" s="55"/>
      <c r="M41" s="56"/>
      <c r="N41" s="55"/>
      <c r="O41" s="55"/>
      <c r="P41" s="69"/>
    </row>
    <row r="42" spans="4:26" s="32" customFormat="1" ht="15">
      <c r="F42" s="33"/>
      <c r="J42" s="112"/>
      <c r="M42" s="33"/>
      <c r="P42" s="71"/>
    </row>
    <row r="43" spans="4:26" s="32" customFormat="1" ht="15.75">
      <c r="F43" s="33"/>
      <c r="G43" s="51" t="s">
        <v>74</v>
      </c>
      <c r="H43" s="249"/>
      <c r="I43" s="250"/>
      <c r="J43" s="114"/>
      <c r="M43" s="33"/>
      <c r="P43" s="71"/>
    </row>
    <row r="44" spans="4:26" s="32" customFormat="1" ht="15">
      <c r="F44" s="33"/>
      <c r="G44" s="83" t="s">
        <v>68</v>
      </c>
      <c r="H44" s="54"/>
      <c r="I44" s="84"/>
      <c r="J44" s="68" t="s">
        <v>62</v>
      </c>
      <c r="M44" s="33"/>
      <c r="P44" s="71"/>
    </row>
    <row r="45" spans="4:26" s="32" customFormat="1" ht="15">
      <c r="F45" s="33"/>
      <c r="G45" s="83" t="s">
        <v>73</v>
      </c>
      <c r="H45" s="84"/>
      <c r="I45" s="54"/>
      <c r="J45" s="85"/>
      <c r="M45" s="33"/>
      <c r="P45" s="71"/>
    </row>
    <row r="46" spans="4:26">
      <c r="Q46" s="55"/>
      <c r="S46" s="104"/>
      <c r="U46" s="56"/>
    </row>
    <row r="47" spans="4:26">
      <c r="P47" s="104"/>
      <c r="Q47" s="55"/>
      <c r="R47" s="56"/>
      <c r="S47" s="55"/>
    </row>
  </sheetData>
  <printOptions horizontalCentered="1"/>
  <pageMargins left="0.2" right="0.2" top="0.75" bottom="0.75" header="0.3" footer="0.3"/>
  <pageSetup scale="72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E378F2F65DEAB42A1435CE8763998B5" ma:contentTypeVersion="44" ma:contentTypeDescription="" ma:contentTypeScope="" ma:versionID="7a80abfa7fbdd20a36d8bc65ac44e5f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2021-08-31T07:00:00+00:00</OpenedDate>
    <SignificantOrder xmlns="dc463f71-b30c-4ab2-9473-d307f9d35888">false</SignificantOrder>
    <Date1 xmlns="dc463f71-b30c-4ab2-9473-d307f9d35888">2022-08-31T07:00:00+00:00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210672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D282E25-F99C-43FF-A6B7-91FA2A9F9B84}"/>
</file>

<file path=customXml/itemProps2.xml><?xml version="1.0" encoding="utf-8"?>
<ds:datastoreItem xmlns:ds="http://schemas.openxmlformats.org/officeDocument/2006/customXml" ds:itemID="{D4D11640-FD37-47B8-A2A4-90003127E924}"/>
</file>

<file path=customXml/itemProps3.xml><?xml version="1.0" encoding="utf-8"?>
<ds:datastoreItem xmlns:ds="http://schemas.openxmlformats.org/officeDocument/2006/customXml" ds:itemID="{80143E00-8662-4FC9-916F-49515D0A906B}"/>
</file>

<file path=customXml/itemProps4.xml><?xml version="1.0" encoding="utf-8"?>
<ds:datastoreItem xmlns:ds="http://schemas.openxmlformats.org/officeDocument/2006/customXml" ds:itemID="{5610C7AD-1D2D-4156-97B0-E06C4EAFCC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Jan 22</vt:lpstr>
      <vt:lpstr>Feb 22</vt:lpstr>
      <vt:lpstr>Mar 22</vt:lpstr>
      <vt:lpstr>Apr 22</vt:lpstr>
      <vt:lpstr>May 22</vt:lpstr>
      <vt:lpstr>Jun 22</vt:lpstr>
      <vt:lpstr>Jul 22</vt:lpstr>
      <vt:lpstr>191010 WA DEF</vt:lpstr>
      <vt:lpstr>191000 WA Amort</vt:lpstr>
      <vt:lpstr>'191000 WA Amort'!Print_Area</vt:lpstr>
      <vt:lpstr>'191010 WA DEF'!Print_Area</vt:lpstr>
      <vt:lpstr>'Apr 22'!Print_Area</vt:lpstr>
      <vt:lpstr>'Feb 22'!Print_Area</vt:lpstr>
      <vt:lpstr>'Jan 22'!Print_Area</vt:lpstr>
      <vt:lpstr>'Jul 22'!Print_Area</vt:lpstr>
      <vt:lpstr>'Jun 22'!Print_Area</vt:lpstr>
      <vt:lpstr>'Mar 22'!Print_Area</vt:lpstr>
      <vt:lpstr>'May 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Garbarino, Marcus</cp:lastModifiedBy>
  <cp:lastPrinted>2022-04-06T16:14:19Z</cp:lastPrinted>
  <dcterms:created xsi:type="dcterms:W3CDTF">2003-05-01T14:02:57Z</dcterms:created>
  <dcterms:modified xsi:type="dcterms:W3CDTF">2022-08-25T17:01:18Z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0x0101006E56B4D1795A2E4DB2F0B01679ED314A00EE378F2F65DEAB42A1435CE8763998B5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